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Z:\Sala de Control ILO2\29 Planta Punta Lomitas\Reporte para COES PLOM\01 Ejecutado y Predicción diario Viento y Potencia\2024\11 Noviembre\20241116\"/>
    </mc:Choice>
  </mc:AlternateContent>
  <xr:revisionPtr revIDLastSave="0" documentId="8_{45CF0856-E1CD-4752-900A-0127FFBAB23C}" xr6:coauthVersionLast="47" xr6:coauthVersionMax="47" xr10:uidLastSave="{00000000-0000-0000-0000-000000000000}"/>
  <bookViews>
    <workbookView xWindow="-120" yWindow="-120" windowWidth="29040" windowHeight="15720" tabRatio="830" firstSheet="1" activeTab="1" xr2:uid="{9FF89010-2212-4005-8F76-D8E0470E5BB7}"/>
  </bookViews>
  <sheets>
    <sheet name="PC" sheetId="6" state="hidden" r:id="rId1"/>
    <sheet name="Plantilla Datos" sheetId="11" r:id="rId2"/>
    <sheet name="Plantilla AEG ES" sheetId="8" r:id="rId3"/>
    <sheet name="Windy_web" sheetId="3" state="hidden" r:id="rId4"/>
    <sheet name="Wyndy Procesada" sheetId="1" state="hidden" r:id="rId5"/>
    <sheet name="Darwin Procesada" sheetId="7" state="hidden" r:id="rId6"/>
    <sheet name="CCE PLOM Diario" sheetId="10" r:id="rId7"/>
    <sheet name="CCE PLOME Diario" sheetId="12" r:id="rId8"/>
    <sheet name="CCE PLOM 10d" sheetId="13" state="hidden" r:id="rId9"/>
    <sheet name="CCE PLOME 10d" sheetId="14" state="hidden" r:id="rId10"/>
    <sheet name="DIAGRAMA PE Punta Lomitas" sheetId="15" r:id="rId11"/>
    <sheet name="DIAGRAMA PLOME 10d" sheetId="17" state="hidden" r:id="rId12"/>
  </sheets>
  <definedNames>
    <definedName name="_xlnm._FilterDatabase" localSheetId="2" hidden="1">'Plantilla AEG ES'!$B$18:$F$75</definedName>
    <definedName name="Data_Darwin">'Plantilla Datos'!$B$8:$F$245</definedName>
    <definedName name="Data_Wind_Scada">'Plantilla Datos'!$I$8:$K$56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" i="8" l="1"/>
  <c r="G17" i="8" s="1"/>
  <c r="B9" i="11"/>
  <c r="A3" i="12"/>
  <c r="A1" i="12" s="1"/>
  <c r="A3" i="10"/>
  <c r="A1" i="10" s="1"/>
  <c r="I9" i="11"/>
  <c r="H4" i="7"/>
  <c r="N10" i="11"/>
  <c r="N11" i="11" s="1"/>
  <c r="N12" i="11" s="1"/>
  <c r="N13" i="11" s="1"/>
  <c r="N14" i="11" s="1"/>
  <c r="N15" i="11" s="1"/>
  <c r="N16" i="11" s="1"/>
  <c r="N17" i="11" s="1"/>
  <c r="N18" i="11" s="1"/>
  <c r="N19" i="11" s="1"/>
  <c r="N20" i="11" s="1"/>
  <c r="N21" i="11" s="1"/>
  <c r="N22" i="11" s="1"/>
  <c r="N23" i="11" s="1"/>
  <c r="N24" i="11" s="1"/>
  <c r="N25" i="11" s="1"/>
  <c r="N26" i="11" s="1"/>
  <c r="N27" i="11" s="1"/>
  <c r="N28" i="11" s="1"/>
  <c r="N29" i="11" s="1"/>
  <c r="N30" i="11" s="1"/>
  <c r="N31" i="11" s="1"/>
  <c r="N32" i="11" s="1"/>
  <c r="N33" i="11" s="1"/>
  <c r="N34" i="11" s="1"/>
  <c r="N35" i="11" s="1"/>
  <c r="N36" i="11" s="1"/>
  <c r="N37" i="11" s="1"/>
  <c r="N38" i="11" s="1"/>
  <c r="N39" i="11" s="1"/>
  <c r="N40" i="11" s="1"/>
  <c r="N41" i="11" s="1"/>
  <c r="N42" i="11" s="1"/>
  <c r="N43" i="11" s="1"/>
  <c r="N44" i="11" s="1"/>
  <c r="N45" i="11" s="1"/>
  <c r="N46" i="11" s="1"/>
  <c r="N47" i="11" s="1"/>
  <c r="N48" i="11" s="1"/>
  <c r="N49" i="11" s="1"/>
  <c r="N50" i="11" s="1"/>
  <c r="N51" i="11" s="1"/>
  <c r="N52" i="11" s="1"/>
  <c r="N53" i="11" s="1"/>
  <c r="N54" i="11" s="1"/>
  <c r="N55" i="11" s="1"/>
  <c r="N56" i="11" s="1"/>
  <c r="C2" i="7"/>
  <c r="B2" i="7"/>
  <c r="B4" i="7" s="1"/>
  <c r="G2" i="8"/>
  <c r="G18" i="8"/>
  <c r="HX76" i="8"/>
  <c r="HW76" i="8"/>
  <c r="HV76" i="8"/>
  <c r="HU76" i="8"/>
  <c r="HT76" i="8"/>
  <c r="HS76" i="8"/>
  <c r="HR76" i="8"/>
  <c r="HQ76" i="8"/>
  <c r="HP76" i="8"/>
  <c r="HO76" i="8"/>
  <c r="HN76" i="8"/>
  <c r="HM76" i="8"/>
  <c r="HL76" i="8"/>
  <c r="HK76" i="8"/>
  <c r="HJ76" i="8"/>
  <c r="HI76" i="8"/>
  <c r="HH76" i="8"/>
  <c r="HG76" i="8"/>
  <c r="HF76" i="8"/>
  <c r="HE76" i="8"/>
  <c r="HD76" i="8"/>
  <c r="HC76" i="8"/>
  <c r="HB76" i="8"/>
  <c r="HA76" i="8"/>
  <c r="GZ76" i="8"/>
  <c r="GY76" i="8"/>
  <c r="GX76" i="8"/>
  <c r="GW76" i="8"/>
  <c r="GV76" i="8"/>
  <c r="GU76" i="8"/>
  <c r="GT76" i="8"/>
  <c r="GS76" i="8"/>
  <c r="GR76" i="8"/>
  <c r="GQ76" i="8"/>
  <c r="GP76" i="8"/>
  <c r="GO76" i="8"/>
  <c r="GN76" i="8"/>
  <c r="GM76" i="8"/>
  <c r="GL76" i="8"/>
  <c r="GK76" i="8"/>
  <c r="GJ76" i="8"/>
  <c r="GI76" i="8"/>
  <c r="GH76" i="8"/>
  <c r="GG76" i="8"/>
  <c r="GF76" i="8"/>
  <c r="GE76" i="8"/>
  <c r="GD76" i="8"/>
  <c r="GC76" i="8"/>
  <c r="GB76" i="8"/>
  <c r="GA76" i="8"/>
  <c r="FZ76" i="8"/>
  <c r="FY76" i="8"/>
  <c r="FX76" i="8"/>
  <c r="FW76" i="8"/>
  <c r="FV76" i="8"/>
  <c r="FU76" i="8"/>
  <c r="FT76" i="8"/>
  <c r="FS76" i="8"/>
  <c r="FR76" i="8"/>
  <c r="FQ76" i="8"/>
  <c r="FP76" i="8"/>
  <c r="FO76" i="8"/>
  <c r="FN76" i="8"/>
  <c r="FM76" i="8"/>
  <c r="FL76" i="8"/>
  <c r="FK76" i="8"/>
  <c r="FJ76" i="8"/>
  <c r="FI76" i="8"/>
  <c r="FH76" i="8"/>
  <c r="FG76" i="8"/>
  <c r="FF76" i="8"/>
  <c r="FE76" i="8"/>
  <c r="FD76" i="8"/>
  <c r="FC76" i="8"/>
  <c r="FB76" i="8"/>
  <c r="FA76" i="8"/>
  <c r="EZ76" i="8"/>
  <c r="EY76" i="8"/>
  <c r="EX76" i="8"/>
  <c r="EW76" i="8"/>
  <c r="EV76" i="8"/>
  <c r="EU76" i="8"/>
  <c r="ET76" i="8"/>
  <c r="ES76" i="8"/>
  <c r="ER76" i="8"/>
  <c r="EQ76" i="8"/>
  <c r="EP76" i="8"/>
  <c r="EO76" i="8"/>
  <c r="EN76" i="8"/>
  <c r="EM76" i="8"/>
  <c r="EL76" i="8"/>
  <c r="EK76" i="8"/>
  <c r="EJ76" i="8"/>
  <c r="EI76" i="8"/>
  <c r="EH76" i="8"/>
  <c r="EG76" i="8"/>
  <c r="EF76" i="8"/>
  <c r="EE76" i="8"/>
  <c r="ED76" i="8"/>
  <c r="EC76" i="8"/>
  <c r="EB76" i="8"/>
  <c r="EA76" i="8"/>
  <c r="DZ76" i="8"/>
  <c r="DY76" i="8"/>
  <c r="DX76" i="8"/>
  <c r="DW76" i="8"/>
  <c r="DV76" i="8"/>
  <c r="DU76" i="8"/>
  <c r="DT76" i="8"/>
  <c r="DS76" i="8"/>
  <c r="DR76" i="8"/>
  <c r="DQ76" i="8"/>
  <c r="DP76" i="8"/>
  <c r="DO76" i="8"/>
  <c r="DN76" i="8"/>
  <c r="DM76" i="8"/>
  <c r="DL76" i="8"/>
  <c r="DK76" i="8"/>
  <c r="DJ76" i="8"/>
  <c r="DI76" i="8"/>
  <c r="DH76" i="8"/>
  <c r="DG76" i="8"/>
  <c r="DF76" i="8"/>
  <c r="DE76" i="8"/>
  <c r="DD76" i="8"/>
  <c r="DC76" i="8"/>
  <c r="DB76" i="8"/>
  <c r="DA76" i="8"/>
  <c r="CZ76" i="8"/>
  <c r="CY76" i="8"/>
  <c r="CX76" i="8"/>
  <c r="CW76" i="8"/>
  <c r="CV76" i="8"/>
  <c r="CU76" i="8"/>
  <c r="CT76" i="8"/>
  <c r="CS76" i="8"/>
  <c r="CR76" i="8"/>
  <c r="CQ76" i="8"/>
  <c r="CP76" i="8"/>
  <c r="CO76" i="8"/>
  <c r="CN76" i="8"/>
  <c r="CM76" i="8"/>
  <c r="CL76" i="8"/>
  <c r="CK76" i="8"/>
  <c r="CJ76" i="8"/>
  <c r="CI76" i="8"/>
  <c r="CH76" i="8"/>
  <c r="CG76" i="8"/>
  <c r="CF76" i="8"/>
  <c r="CE76" i="8"/>
  <c r="CD76" i="8"/>
  <c r="CC76" i="8"/>
  <c r="CB76" i="8"/>
  <c r="CA76" i="8"/>
  <c r="BZ76" i="8"/>
  <c r="BY76" i="8"/>
  <c r="BX76" i="8"/>
  <c r="BW76" i="8"/>
  <c r="BV76" i="8"/>
  <c r="BU76" i="8"/>
  <c r="BT76" i="8"/>
  <c r="BS76" i="8"/>
  <c r="BR76" i="8"/>
  <c r="BQ76" i="8"/>
  <c r="BP76" i="8"/>
  <c r="BO76" i="8"/>
  <c r="BN76" i="8"/>
  <c r="BM76" i="8"/>
  <c r="BL76" i="8"/>
  <c r="BK76" i="8"/>
  <c r="BJ76" i="8"/>
  <c r="BI76" i="8"/>
  <c r="BH76" i="8"/>
  <c r="BG76" i="8"/>
  <c r="BF76" i="8"/>
  <c r="BE76" i="8"/>
  <c r="BD76" i="8"/>
  <c r="BC76" i="8"/>
  <c r="BB76" i="8"/>
  <c r="BA76" i="8"/>
  <c r="AZ76" i="8"/>
  <c r="AY76" i="8"/>
  <c r="AX76" i="8"/>
  <c r="AW76" i="8"/>
  <c r="AV76" i="8"/>
  <c r="AU76" i="8"/>
  <c r="AT76" i="8"/>
  <c r="AS76" i="8"/>
  <c r="AR76" i="8"/>
  <c r="AQ76" i="8"/>
  <c r="AP76" i="8"/>
  <c r="AO76" i="8"/>
  <c r="AN76" i="8"/>
  <c r="AM76" i="8"/>
  <c r="AL76" i="8"/>
  <c r="AK76" i="8"/>
  <c r="AJ76" i="8"/>
  <c r="AI76" i="8"/>
  <c r="AH76" i="8"/>
  <c r="AG76" i="8"/>
  <c r="AF76" i="8"/>
  <c r="AE76" i="8"/>
  <c r="AD76" i="8"/>
  <c r="AC76" i="8"/>
  <c r="AB76" i="8"/>
  <c r="AA76" i="8"/>
  <c r="Z76" i="8"/>
  <c r="Y76" i="8"/>
  <c r="X76" i="8"/>
  <c r="W76" i="8"/>
  <c r="V76" i="8"/>
  <c r="U76" i="8"/>
  <c r="T76" i="8"/>
  <c r="S76" i="8"/>
  <c r="R76" i="8"/>
  <c r="Q76" i="8"/>
  <c r="P76" i="8"/>
  <c r="O76" i="8"/>
  <c r="N76" i="8"/>
  <c r="M76" i="8"/>
  <c r="L76" i="8"/>
  <c r="K76" i="8"/>
  <c r="J76" i="8"/>
  <c r="I76" i="8"/>
  <c r="H76" i="8"/>
  <c r="G76" i="8"/>
  <c r="C3" i="14"/>
  <c r="B3" i="13"/>
  <c r="C3" i="13"/>
  <c r="B4" i="13" l="1"/>
  <c r="B5" i="13" s="1"/>
  <c r="B5" i="14" s="1"/>
  <c r="D5" i="14" s="1"/>
  <c r="B1" i="13"/>
  <c r="C4" i="13"/>
  <c r="C4" i="14" s="1"/>
  <c r="B3" i="14"/>
  <c r="D3" i="13"/>
  <c r="D4" i="13" l="1"/>
  <c r="D5" i="13"/>
  <c r="B4" i="14"/>
  <c r="D4" i="14" s="1"/>
  <c r="B6" i="13"/>
  <c r="B7" i="13" s="1"/>
  <c r="D7" i="13" s="1"/>
  <c r="D3" i="14"/>
  <c r="B1" i="14"/>
  <c r="C5" i="13"/>
  <c r="C5" i="14" s="1"/>
  <c r="C50" i="12"/>
  <c r="C49" i="12"/>
  <c r="C48" i="12"/>
  <c r="C47" i="12"/>
  <c r="C46" i="12"/>
  <c r="C45" i="12"/>
  <c r="C44" i="12"/>
  <c r="C43" i="12"/>
  <c r="C42" i="12"/>
  <c r="C41" i="12"/>
  <c r="C40" i="12"/>
  <c r="C39" i="12"/>
  <c r="C38" i="12"/>
  <c r="C37" i="12"/>
  <c r="C36" i="12"/>
  <c r="C35" i="12"/>
  <c r="C34" i="12"/>
  <c r="C33" i="12"/>
  <c r="C32" i="12"/>
  <c r="C31" i="12"/>
  <c r="C30" i="12"/>
  <c r="C29" i="12"/>
  <c r="C28" i="12"/>
  <c r="C27" i="12"/>
  <c r="C26" i="12"/>
  <c r="C25" i="12"/>
  <c r="C24" i="12"/>
  <c r="C23" i="12"/>
  <c r="C22" i="12"/>
  <c r="C21" i="12"/>
  <c r="C20" i="12"/>
  <c r="C19" i="12"/>
  <c r="C18" i="12"/>
  <c r="C17" i="12"/>
  <c r="C16" i="12"/>
  <c r="C15" i="12"/>
  <c r="C14" i="12"/>
  <c r="C13" i="12"/>
  <c r="C12" i="12"/>
  <c r="C11" i="12"/>
  <c r="C10" i="12"/>
  <c r="C9" i="12"/>
  <c r="C8" i="12"/>
  <c r="C7" i="12"/>
  <c r="C6" i="12"/>
  <c r="C5" i="12"/>
  <c r="G4" i="12"/>
  <c r="C4" i="12"/>
  <c r="B4" i="12"/>
  <c r="B5" i="12" s="1"/>
  <c r="G5" i="12" s="1"/>
  <c r="G3" i="12"/>
  <c r="C3" i="12"/>
  <c r="C4" i="10"/>
  <c r="C5" i="10"/>
  <c r="C6" i="10"/>
  <c r="C7" i="10"/>
  <c r="C8" i="10"/>
  <c r="C9" i="10"/>
  <c r="C10" i="10"/>
  <c r="C11" i="10"/>
  <c r="C12" i="10"/>
  <c r="C13" i="10"/>
  <c r="C14" i="10"/>
  <c r="C15" i="10"/>
  <c r="C16" i="10"/>
  <c r="C17" i="10"/>
  <c r="C18" i="10"/>
  <c r="C19" i="10"/>
  <c r="C20" i="10"/>
  <c r="C21" i="10"/>
  <c r="C22" i="10"/>
  <c r="C23" i="10"/>
  <c r="C24" i="10"/>
  <c r="C25" i="10"/>
  <c r="C26" i="10"/>
  <c r="C27" i="10"/>
  <c r="C28" i="10"/>
  <c r="C29" i="10"/>
  <c r="C30" i="10"/>
  <c r="C31" i="10"/>
  <c r="C32" i="10"/>
  <c r="C33" i="10"/>
  <c r="C34" i="10"/>
  <c r="C35" i="10"/>
  <c r="C36" i="10"/>
  <c r="C37" i="10"/>
  <c r="C38" i="10"/>
  <c r="C39" i="10"/>
  <c r="C40" i="10"/>
  <c r="C41" i="10"/>
  <c r="C42" i="10"/>
  <c r="C43" i="10"/>
  <c r="C44" i="10"/>
  <c r="C45" i="10"/>
  <c r="C46" i="10"/>
  <c r="C47" i="10"/>
  <c r="C48" i="10"/>
  <c r="C49" i="10"/>
  <c r="C50" i="10"/>
  <c r="C3" i="10"/>
  <c r="J10" i="11"/>
  <c r="J11" i="11" s="1"/>
  <c r="J12" i="11" s="1"/>
  <c r="J13" i="11" s="1"/>
  <c r="J14" i="11" s="1"/>
  <c r="J15" i="11" s="1"/>
  <c r="J16" i="11" s="1"/>
  <c r="J17" i="11" s="1"/>
  <c r="J18" i="11" s="1"/>
  <c r="J19" i="11" s="1"/>
  <c r="J20" i="11" s="1"/>
  <c r="J21" i="11" s="1"/>
  <c r="J22" i="11" s="1"/>
  <c r="J23" i="11" s="1"/>
  <c r="J24" i="11" s="1"/>
  <c r="J25" i="11" s="1"/>
  <c r="J26" i="11" s="1"/>
  <c r="J27" i="11" s="1"/>
  <c r="J28" i="11" s="1"/>
  <c r="J29" i="11" s="1"/>
  <c r="J30" i="11" s="1"/>
  <c r="J31" i="11" s="1"/>
  <c r="J32" i="11" s="1"/>
  <c r="J33" i="11" s="1"/>
  <c r="J34" i="11" s="1"/>
  <c r="J35" i="11" s="1"/>
  <c r="J36" i="11" s="1"/>
  <c r="J37" i="11" s="1"/>
  <c r="J38" i="11" s="1"/>
  <c r="J39" i="11" s="1"/>
  <c r="J40" i="11" s="1"/>
  <c r="J41" i="11" s="1"/>
  <c r="J42" i="11" s="1"/>
  <c r="J43" i="11" s="1"/>
  <c r="J44" i="11" s="1"/>
  <c r="J45" i="11" s="1"/>
  <c r="J46" i="11" s="1"/>
  <c r="J47" i="11" s="1"/>
  <c r="J48" i="11" s="1"/>
  <c r="J49" i="11" s="1"/>
  <c r="J50" i="11" s="1"/>
  <c r="J51" i="11" s="1"/>
  <c r="J52" i="11" s="1"/>
  <c r="J53" i="11" s="1"/>
  <c r="J54" i="11" s="1"/>
  <c r="J55" i="11" s="1"/>
  <c r="J56" i="11" s="1"/>
  <c r="B10" i="11"/>
  <c r="B11" i="11" s="1"/>
  <c r="B12" i="11" s="1"/>
  <c r="B13" i="11" s="1"/>
  <c r="B14" i="11" s="1"/>
  <c r="B15" i="11" s="1"/>
  <c r="B16" i="11" s="1"/>
  <c r="B17" i="11" s="1"/>
  <c r="B18" i="11" s="1"/>
  <c r="B19" i="11" s="1"/>
  <c r="B20" i="11" s="1"/>
  <c r="B21" i="11" s="1"/>
  <c r="B22" i="11" s="1"/>
  <c r="B23" i="11" s="1"/>
  <c r="B24" i="11" s="1"/>
  <c r="B25" i="11" s="1"/>
  <c r="B26" i="11" s="1"/>
  <c r="B27" i="11" s="1"/>
  <c r="B28" i="11" s="1"/>
  <c r="B29" i="11" s="1"/>
  <c r="B30" i="11" s="1"/>
  <c r="B31" i="11" s="1"/>
  <c r="B32" i="11" s="1"/>
  <c r="B33" i="11" s="1"/>
  <c r="B34" i="11" s="1"/>
  <c r="B35" i="11" s="1"/>
  <c r="B36" i="11" s="1"/>
  <c r="B37" i="11" s="1"/>
  <c r="B38" i="11" s="1"/>
  <c r="B39" i="11" s="1"/>
  <c r="B40" i="11" s="1"/>
  <c r="B41" i="11" s="1"/>
  <c r="B42" i="11" s="1"/>
  <c r="B43" i="11" s="1"/>
  <c r="B44" i="11" s="1"/>
  <c r="B45" i="11" s="1"/>
  <c r="B46" i="11" s="1"/>
  <c r="B47" i="11" s="1"/>
  <c r="B48" i="11" s="1"/>
  <c r="B49" i="11" s="1"/>
  <c r="B50" i="11" s="1"/>
  <c r="B51" i="11" s="1"/>
  <c r="B52" i="11" s="1"/>
  <c r="B53" i="11" s="1"/>
  <c r="B54" i="11" s="1"/>
  <c r="B55" i="11" s="1"/>
  <c r="B56" i="11" s="1"/>
  <c r="B57" i="11" s="1"/>
  <c r="B58" i="11" s="1"/>
  <c r="B59" i="11" s="1"/>
  <c r="B60" i="11" s="1"/>
  <c r="B61" i="11" s="1"/>
  <c r="B62" i="11" s="1"/>
  <c r="B63" i="11" s="1"/>
  <c r="B64" i="11" s="1"/>
  <c r="B65" i="11" s="1"/>
  <c r="B66" i="11" s="1"/>
  <c r="B67" i="11" s="1"/>
  <c r="B68" i="11" s="1"/>
  <c r="B69" i="11" s="1"/>
  <c r="B70" i="11" s="1"/>
  <c r="B71" i="11" s="1"/>
  <c r="B72" i="11" s="1"/>
  <c r="B73" i="11" s="1"/>
  <c r="B74" i="11" s="1"/>
  <c r="B75" i="11" s="1"/>
  <c r="B76" i="11" s="1"/>
  <c r="B77" i="11" s="1"/>
  <c r="B78" i="11" s="1"/>
  <c r="B79" i="11" s="1"/>
  <c r="B80" i="11" s="1"/>
  <c r="B81" i="11" s="1"/>
  <c r="B82" i="11" s="1"/>
  <c r="B83" i="11" s="1"/>
  <c r="B84" i="11" s="1"/>
  <c r="B85" i="11" s="1"/>
  <c r="B86" i="11" s="1"/>
  <c r="B87" i="11" s="1"/>
  <c r="B88" i="11" s="1"/>
  <c r="B89" i="11" s="1"/>
  <c r="B90" i="11" s="1"/>
  <c r="B91" i="11" s="1"/>
  <c r="B92" i="11" s="1"/>
  <c r="B93" i="11" s="1"/>
  <c r="B94" i="11" s="1"/>
  <c r="B95" i="11" s="1"/>
  <c r="B96" i="11" s="1"/>
  <c r="B97" i="11" s="1"/>
  <c r="B98" i="11" s="1"/>
  <c r="B99" i="11" s="1"/>
  <c r="B100" i="11" s="1"/>
  <c r="B101" i="11" s="1"/>
  <c r="B102" i="11" s="1"/>
  <c r="B103" i="11" s="1"/>
  <c r="B104" i="11" s="1"/>
  <c r="B105" i="11" s="1"/>
  <c r="B106" i="11" s="1"/>
  <c r="B107" i="11" s="1"/>
  <c r="B108" i="11" s="1"/>
  <c r="B109" i="11" s="1"/>
  <c r="B110" i="11" s="1"/>
  <c r="B111" i="11" s="1"/>
  <c r="B112" i="11" s="1"/>
  <c r="B113" i="11" s="1"/>
  <c r="B114" i="11" s="1"/>
  <c r="B115" i="11" s="1"/>
  <c r="B116" i="11" s="1"/>
  <c r="B117" i="11" s="1"/>
  <c r="B118" i="11" s="1"/>
  <c r="B119" i="11" s="1"/>
  <c r="B120" i="11" s="1"/>
  <c r="B121" i="11" s="1"/>
  <c r="B122" i="11" s="1"/>
  <c r="B123" i="11" s="1"/>
  <c r="B124" i="11" s="1"/>
  <c r="B125" i="11" s="1"/>
  <c r="B126" i="11" s="1"/>
  <c r="B127" i="11" s="1"/>
  <c r="B128" i="11" s="1"/>
  <c r="B129" i="11" s="1"/>
  <c r="B130" i="11" s="1"/>
  <c r="B131" i="11" s="1"/>
  <c r="B132" i="11" s="1"/>
  <c r="B133" i="11" s="1"/>
  <c r="B134" i="11" s="1"/>
  <c r="B135" i="11" s="1"/>
  <c r="B136" i="11" s="1"/>
  <c r="B137" i="11" s="1"/>
  <c r="B138" i="11" s="1"/>
  <c r="B139" i="11" s="1"/>
  <c r="B140" i="11" s="1"/>
  <c r="B141" i="11" s="1"/>
  <c r="B142" i="11" s="1"/>
  <c r="B143" i="11" s="1"/>
  <c r="B144" i="11" s="1"/>
  <c r="B145" i="11" s="1"/>
  <c r="B146" i="11" s="1"/>
  <c r="B147" i="11" s="1"/>
  <c r="B148" i="11" s="1"/>
  <c r="B149" i="11" s="1"/>
  <c r="B150" i="11" s="1"/>
  <c r="B151" i="11" s="1"/>
  <c r="B152" i="11" s="1"/>
  <c r="B153" i="11" s="1"/>
  <c r="B154" i="11" s="1"/>
  <c r="B155" i="11" s="1"/>
  <c r="B156" i="11" s="1"/>
  <c r="B157" i="11" s="1"/>
  <c r="B158" i="11" s="1"/>
  <c r="B159" i="11" s="1"/>
  <c r="B160" i="11" s="1"/>
  <c r="B161" i="11" s="1"/>
  <c r="B162" i="11" s="1"/>
  <c r="B163" i="11" s="1"/>
  <c r="B164" i="11" s="1"/>
  <c r="B165" i="11" s="1"/>
  <c r="B166" i="11" s="1"/>
  <c r="B167" i="11" s="1"/>
  <c r="B168" i="11" s="1"/>
  <c r="B169" i="11" s="1"/>
  <c r="B170" i="11" s="1"/>
  <c r="B171" i="11" s="1"/>
  <c r="B172" i="11" s="1"/>
  <c r="B173" i="11" s="1"/>
  <c r="B174" i="11" s="1"/>
  <c r="B175" i="11" s="1"/>
  <c r="B176" i="11" s="1"/>
  <c r="B177" i="11" s="1"/>
  <c r="B178" i="11" s="1"/>
  <c r="B179" i="11" s="1"/>
  <c r="B180" i="11" s="1"/>
  <c r="B181" i="11" s="1"/>
  <c r="B182" i="11" s="1"/>
  <c r="B183" i="11" s="1"/>
  <c r="B184" i="11" s="1"/>
  <c r="B185" i="11" s="1"/>
  <c r="B186" i="11" s="1"/>
  <c r="B187" i="11" s="1"/>
  <c r="B188" i="11" s="1"/>
  <c r="B189" i="11" s="1"/>
  <c r="B190" i="11" s="1"/>
  <c r="B191" i="11" s="1"/>
  <c r="B192" i="11" s="1"/>
  <c r="B193" i="11" s="1"/>
  <c r="B194" i="11" s="1"/>
  <c r="B195" i="11" s="1"/>
  <c r="B196" i="11" s="1"/>
  <c r="B197" i="11" s="1"/>
  <c r="B198" i="11" s="1"/>
  <c r="B199" i="11" s="1"/>
  <c r="B200" i="11" s="1"/>
  <c r="B201" i="11" s="1"/>
  <c r="B202" i="11" s="1"/>
  <c r="B203" i="11" s="1"/>
  <c r="B204" i="11" s="1"/>
  <c r="B205" i="11" s="1"/>
  <c r="B206" i="11" s="1"/>
  <c r="B207" i="11" s="1"/>
  <c r="B208" i="11" s="1"/>
  <c r="B209" i="11" s="1"/>
  <c r="B210" i="11" s="1"/>
  <c r="B211" i="11" s="1"/>
  <c r="B212" i="11" s="1"/>
  <c r="B213" i="11" s="1"/>
  <c r="B214" i="11" s="1"/>
  <c r="B215" i="11" s="1"/>
  <c r="B216" i="11" s="1"/>
  <c r="B217" i="11" s="1"/>
  <c r="B218" i="11" s="1"/>
  <c r="B219" i="11" s="1"/>
  <c r="B220" i="11" s="1"/>
  <c r="B221" i="11" s="1"/>
  <c r="B222" i="11" s="1"/>
  <c r="B223" i="11" s="1"/>
  <c r="B224" i="11" s="1"/>
  <c r="B225" i="11" s="1"/>
  <c r="B226" i="11" s="1"/>
  <c r="B227" i="11" s="1"/>
  <c r="B228" i="11" s="1"/>
  <c r="B229" i="11" s="1"/>
  <c r="B230" i="11" s="1"/>
  <c r="B231" i="11" s="1"/>
  <c r="B232" i="11" s="1"/>
  <c r="B233" i="11" s="1"/>
  <c r="B234" i="11" s="1"/>
  <c r="B235" i="11" s="1"/>
  <c r="B236" i="11" s="1"/>
  <c r="B237" i="11" s="1"/>
  <c r="B238" i="11" s="1"/>
  <c r="B239" i="11" s="1"/>
  <c r="B240" i="11" s="1"/>
  <c r="B241" i="11" s="1"/>
  <c r="B242" i="11" s="1"/>
  <c r="B243" i="11" s="1"/>
  <c r="B244" i="11" s="1"/>
  <c r="B245" i="11" s="1"/>
  <c r="G3" i="10"/>
  <c r="B4" i="10"/>
  <c r="G4" i="10" s="1"/>
  <c r="L3" i="11"/>
  <c r="L4" i="11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59" i="7"/>
  <c r="I160" i="7"/>
  <c r="I161" i="7"/>
  <c r="I162" i="7"/>
  <c r="I16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83" i="7"/>
  <c r="I184" i="7"/>
  <c r="I185" i="7"/>
  <c r="I186" i="7"/>
  <c r="I187" i="7"/>
  <c r="I188" i="7"/>
  <c r="I189" i="7"/>
  <c r="I190" i="7"/>
  <c r="I191" i="7"/>
  <c r="I192" i="7"/>
  <c r="I193" i="7"/>
  <c r="I194" i="7"/>
  <c r="I195" i="7"/>
  <c r="I196" i="7"/>
  <c r="I197" i="7"/>
  <c r="I198" i="7"/>
  <c r="I199" i="7"/>
  <c r="I200" i="7"/>
  <c r="I201" i="7"/>
  <c r="I202" i="7"/>
  <c r="I203" i="7"/>
  <c r="I204" i="7"/>
  <c r="I205" i="7"/>
  <c r="I206" i="7"/>
  <c r="I207" i="7"/>
  <c r="I208" i="7"/>
  <c r="I209" i="7"/>
  <c r="I210" i="7"/>
  <c r="I211" i="7"/>
  <c r="I212" i="7"/>
  <c r="I213" i="7"/>
  <c r="I214" i="7"/>
  <c r="I215" i="7"/>
  <c r="I216" i="7"/>
  <c r="I217" i="7"/>
  <c r="I218" i="7"/>
  <c r="I219" i="7"/>
  <c r="I220" i="7"/>
  <c r="I221" i="7"/>
  <c r="I222" i="7"/>
  <c r="I223" i="7"/>
  <c r="I224" i="7"/>
  <c r="I225" i="7"/>
  <c r="I226" i="7"/>
  <c r="I227" i="7"/>
  <c r="I228" i="7"/>
  <c r="I229" i="7"/>
  <c r="I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4" i="7"/>
  <c r="C9" i="11"/>
  <c r="C10" i="11" s="1"/>
  <c r="C11" i="11" s="1"/>
  <c r="C12" i="11" s="1"/>
  <c r="C13" i="11" s="1"/>
  <c r="C14" i="11" s="1"/>
  <c r="C15" i="11" s="1"/>
  <c r="C16" i="11" s="1"/>
  <c r="C17" i="11" s="1"/>
  <c r="C18" i="11" s="1"/>
  <c r="C19" i="11" s="1"/>
  <c r="C20" i="11" s="1"/>
  <c r="C21" i="11" s="1"/>
  <c r="C22" i="11" s="1"/>
  <c r="C23" i="11" s="1"/>
  <c r="C24" i="11" s="1"/>
  <c r="C25" i="11" s="1"/>
  <c r="C26" i="11" s="1"/>
  <c r="C27" i="11" s="1"/>
  <c r="C28" i="11" s="1"/>
  <c r="C29" i="11" s="1"/>
  <c r="C30" i="11" s="1"/>
  <c r="C31" i="11" s="1"/>
  <c r="C32" i="11" s="1"/>
  <c r="C33" i="11" s="1"/>
  <c r="C34" i="11" s="1"/>
  <c r="C35" i="11" s="1"/>
  <c r="C36" i="11" s="1"/>
  <c r="C37" i="11" s="1"/>
  <c r="C38" i="11" s="1"/>
  <c r="C39" i="11" s="1"/>
  <c r="C40" i="11" s="1"/>
  <c r="C41" i="11" s="1"/>
  <c r="C42" i="11" s="1"/>
  <c r="C43" i="11" s="1"/>
  <c r="C44" i="11" s="1"/>
  <c r="C45" i="11" s="1"/>
  <c r="C46" i="11" s="1"/>
  <c r="C47" i="11" s="1"/>
  <c r="C48" i="11" s="1"/>
  <c r="C49" i="11" s="1"/>
  <c r="C50" i="11" s="1"/>
  <c r="C51" i="11" s="1"/>
  <c r="C52" i="11" s="1"/>
  <c r="C53" i="11" s="1"/>
  <c r="C54" i="11" s="1"/>
  <c r="C55" i="11" s="1"/>
  <c r="C56" i="11" s="1"/>
  <c r="C57" i="11" s="1"/>
  <c r="C58" i="11" s="1"/>
  <c r="C59" i="11" s="1"/>
  <c r="C60" i="11" s="1"/>
  <c r="C61" i="11" s="1"/>
  <c r="C62" i="11" s="1"/>
  <c r="C63" i="11" s="1"/>
  <c r="C64" i="11" s="1"/>
  <c r="C65" i="11" s="1"/>
  <c r="C66" i="11" s="1"/>
  <c r="C67" i="11" s="1"/>
  <c r="C68" i="11" s="1"/>
  <c r="C69" i="11" s="1"/>
  <c r="C70" i="11" s="1"/>
  <c r="C71" i="11" s="1"/>
  <c r="C72" i="11" s="1"/>
  <c r="C73" i="11" s="1"/>
  <c r="C74" i="11" s="1"/>
  <c r="C75" i="11" s="1"/>
  <c r="C76" i="11" s="1"/>
  <c r="C77" i="11" s="1"/>
  <c r="C78" i="11" s="1"/>
  <c r="C79" i="11" s="1"/>
  <c r="C80" i="11" s="1"/>
  <c r="C81" i="11" s="1"/>
  <c r="C82" i="11" s="1"/>
  <c r="C83" i="11" s="1"/>
  <c r="C84" i="11" s="1"/>
  <c r="C85" i="11" s="1"/>
  <c r="C86" i="11" s="1"/>
  <c r="C87" i="11" s="1"/>
  <c r="C88" i="11" s="1"/>
  <c r="C89" i="11" s="1"/>
  <c r="C90" i="11" s="1"/>
  <c r="C91" i="11" s="1"/>
  <c r="C92" i="11" s="1"/>
  <c r="C93" i="11" s="1"/>
  <c r="C94" i="11" s="1"/>
  <c r="C95" i="11" s="1"/>
  <c r="C96" i="11" s="1"/>
  <c r="C97" i="11" s="1"/>
  <c r="C98" i="11" s="1"/>
  <c r="C99" i="11" s="1"/>
  <c r="C100" i="11" s="1"/>
  <c r="C101" i="11" s="1"/>
  <c r="C102" i="11" s="1"/>
  <c r="C103" i="11" s="1"/>
  <c r="C104" i="11" s="1"/>
  <c r="C105" i="11" s="1"/>
  <c r="C106" i="11" s="1"/>
  <c r="C107" i="11" s="1"/>
  <c r="C108" i="11" s="1"/>
  <c r="C109" i="11" s="1"/>
  <c r="C110" i="11" s="1"/>
  <c r="C111" i="11" s="1"/>
  <c r="C112" i="11" s="1"/>
  <c r="C113" i="11" s="1"/>
  <c r="C114" i="11" s="1"/>
  <c r="C115" i="11" s="1"/>
  <c r="C116" i="11" s="1"/>
  <c r="C117" i="11" s="1"/>
  <c r="C118" i="11" s="1"/>
  <c r="C119" i="11" s="1"/>
  <c r="C120" i="11" s="1"/>
  <c r="C121" i="11" s="1"/>
  <c r="C122" i="11" s="1"/>
  <c r="C123" i="11" s="1"/>
  <c r="C124" i="11" s="1"/>
  <c r="C125" i="11" s="1"/>
  <c r="C126" i="11" s="1"/>
  <c r="C127" i="11" s="1"/>
  <c r="C128" i="11" s="1"/>
  <c r="C129" i="11" s="1"/>
  <c r="C130" i="11" s="1"/>
  <c r="C131" i="11" s="1"/>
  <c r="C132" i="11" s="1"/>
  <c r="C133" i="11" s="1"/>
  <c r="C134" i="11" s="1"/>
  <c r="C135" i="11" s="1"/>
  <c r="C136" i="11" s="1"/>
  <c r="C137" i="11" s="1"/>
  <c r="C138" i="11" s="1"/>
  <c r="C139" i="11" s="1"/>
  <c r="C140" i="11" s="1"/>
  <c r="C141" i="11" s="1"/>
  <c r="C142" i="11" s="1"/>
  <c r="C143" i="11" s="1"/>
  <c r="C144" i="11" s="1"/>
  <c r="C145" i="11" s="1"/>
  <c r="C146" i="11" s="1"/>
  <c r="C147" i="11" s="1"/>
  <c r="C148" i="11" s="1"/>
  <c r="C149" i="11" s="1"/>
  <c r="C150" i="11" s="1"/>
  <c r="C151" i="11" s="1"/>
  <c r="C152" i="11" s="1"/>
  <c r="C153" i="11" s="1"/>
  <c r="C154" i="11" s="1"/>
  <c r="C155" i="11" s="1"/>
  <c r="C156" i="11" s="1"/>
  <c r="C157" i="11" s="1"/>
  <c r="C158" i="11" s="1"/>
  <c r="C159" i="11" s="1"/>
  <c r="C160" i="11" s="1"/>
  <c r="C161" i="11" s="1"/>
  <c r="C162" i="11" s="1"/>
  <c r="C163" i="11" s="1"/>
  <c r="C164" i="11" s="1"/>
  <c r="C165" i="11" s="1"/>
  <c r="C166" i="11" s="1"/>
  <c r="C167" i="11" s="1"/>
  <c r="C168" i="11" s="1"/>
  <c r="C169" i="11" s="1"/>
  <c r="C170" i="11" s="1"/>
  <c r="C171" i="11" s="1"/>
  <c r="C172" i="11" s="1"/>
  <c r="C173" i="11" s="1"/>
  <c r="C174" i="11" s="1"/>
  <c r="C175" i="11" s="1"/>
  <c r="C176" i="11" s="1"/>
  <c r="C177" i="11" s="1"/>
  <c r="C178" i="11" s="1"/>
  <c r="C179" i="11" s="1"/>
  <c r="C180" i="11" s="1"/>
  <c r="C181" i="11" s="1"/>
  <c r="C182" i="11" s="1"/>
  <c r="C183" i="11" s="1"/>
  <c r="C184" i="11" s="1"/>
  <c r="C185" i="11" s="1"/>
  <c r="C186" i="11" s="1"/>
  <c r="C187" i="11" s="1"/>
  <c r="C188" i="11" s="1"/>
  <c r="C189" i="11" s="1"/>
  <c r="C190" i="11" s="1"/>
  <c r="C191" i="11" s="1"/>
  <c r="C192" i="11" s="1"/>
  <c r="C193" i="11" s="1"/>
  <c r="C194" i="11" s="1"/>
  <c r="C195" i="11" s="1"/>
  <c r="C196" i="11" s="1"/>
  <c r="C197" i="11" s="1"/>
  <c r="C198" i="11" s="1"/>
  <c r="C199" i="11" s="1"/>
  <c r="C200" i="11" s="1"/>
  <c r="C201" i="11" s="1"/>
  <c r="C202" i="11" s="1"/>
  <c r="C203" i="11" s="1"/>
  <c r="C204" i="11" s="1"/>
  <c r="C205" i="11" s="1"/>
  <c r="C206" i="11" s="1"/>
  <c r="C207" i="11" s="1"/>
  <c r="C208" i="11" s="1"/>
  <c r="C209" i="11" s="1"/>
  <c r="C210" i="11" s="1"/>
  <c r="C211" i="11" s="1"/>
  <c r="C212" i="11" s="1"/>
  <c r="C213" i="11" s="1"/>
  <c r="C214" i="11" s="1"/>
  <c r="C215" i="11" s="1"/>
  <c r="C216" i="11" s="1"/>
  <c r="C217" i="11" s="1"/>
  <c r="C218" i="11" s="1"/>
  <c r="C219" i="11" s="1"/>
  <c r="C220" i="11" s="1"/>
  <c r="C221" i="11" s="1"/>
  <c r="C222" i="11" s="1"/>
  <c r="C223" i="11" s="1"/>
  <c r="C224" i="11" s="1"/>
  <c r="C225" i="11" s="1"/>
  <c r="C226" i="11" s="1"/>
  <c r="C227" i="11" s="1"/>
  <c r="C228" i="11" s="1"/>
  <c r="C229" i="11" s="1"/>
  <c r="C230" i="11" s="1"/>
  <c r="C231" i="11" s="1"/>
  <c r="C232" i="11" s="1"/>
  <c r="C233" i="11" s="1"/>
  <c r="C234" i="11" s="1"/>
  <c r="C235" i="11" s="1"/>
  <c r="C236" i="11" s="1"/>
  <c r="C237" i="11" s="1"/>
  <c r="C238" i="11" s="1"/>
  <c r="C239" i="11" s="1"/>
  <c r="C240" i="11" s="1"/>
  <c r="C241" i="11" s="1"/>
  <c r="C242" i="11" s="1"/>
  <c r="C243" i="11" s="1"/>
  <c r="C244" i="11" s="1"/>
  <c r="C245" i="11" s="1"/>
  <c r="I10" i="11" l="1"/>
  <c r="I11" i="11" s="1"/>
  <c r="I12" i="11" s="1"/>
  <c r="I13" i="11" s="1"/>
  <c r="I14" i="11" s="1"/>
  <c r="I15" i="11" s="1"/>
  <c r="I16" i="11" s="1"/>
  <c r="I17" i="11" s="1"/>
  <c r="I18" i="11" s="1"/>
  <c r="I19" i="11" s="1"/>
  <c r="I20" i="11" s="1"/>
  <c r="I21" i="11" s="1"/>
  <c r="I22" i="11" s="1"/>
  <c r="I23" i="11" s="1"/>
  <c r="I24" i="11" s="1"/>
  <c r="I25" i="11" s="1"/>
  <c r="I26" i="11" s="1"/>
  <c r="I27" i="11" s="1"/>
  <c r="I28" i="11" s="1"/>
  <c r="I29" i="11" s="1"/>
  <c r="I30" i="11" s="1"/>
  <c r="I31" i="11" s="1"/>
  <c r="I32" i="11" s="1"/>
  <c r="I33" i="11" s="1"/>
  <c r="I34" i="11" s="1"/>
  <c r="I35" i="11" s="1"/>
  <c r="I36" i="11" s="1"/>
  <c r="I37" i="11" s="1"/>
  <c r="I38" i="11" s="1"/>
  <c r="I39" i="11" s="1"/>
  <c r="I40" i="11" s="1"/>
  <c r="I41" i="11" s="1"/>
  <c r="I42" i="11" s="1"/>
  <c r="I43" i="11" s="1"/>
  <c r="I44" i="11" s="1"/>
  <c r="I45" i="11" s="1"/>
  <c r="I46" i="11" s="1"/>
  <c r="I47" i="11" s="1"/>
  <c r="I48" i="11" s="1"/>
  <c r="I49" i="11" s="1"/>
  <c r="I50" i="11" s="1"/>
  <c r="I51" i="11" s="1"/>
  <c r="I52" i="11" s="1"/>
  <c r="I53" i="11" s="1"/>
  <c r="I54" i="11" s="1"/>
  <c r="I55" i="11" s="1"/>
  <c r="I56" i="11" s="1"/>
  <c r="M9" i="11"/>
  <c r="M10" i="11" s="1"/>
  <c r="M11" i="11" s="1"/>
  <c r="M12" i="11" s="1"/>
  <c r="M13" i="11" s="1"/>
  <c r="M14" i="11" s="1"/>
  <c r="M15" i="11" s="1"/>
  <c r="M16" i="11" s="1"/>
  <c r="M17" i="11" s="1"/>
  <c r="M18" i="11" s="1"/>
  <c r="M19" i="11" s="1"/>
  <c r="M20" i="11" s="1"/>
  <c r="M21" i="11" s="1"/>
  <c r="M22" i="11" s="1"/>
  <c r="M23" i="11" s="1"/>
  <c r="M24" i="11" s="1"/>
  <c r="M25" i="11" s="1"/>
  <c r="M26" i="11" s="1"/>
  <c r="M27" i="11" s="1"/>
  <c r="M28" i="11" s="1"/>
  <c r="M29" i="11" s="1"/>
  <c r="M30" i="11" s="1"/>
  <c r="M31" i="11" s="1"/>
  <c r="M32" i="11" s="1"/>
  <c r="M33" i="11" s="1"/>
  <c r="M34" i="11" s="1"/>
  <c r="M35" i="11" s="1"/>
  <c r="M36" i="11" s="1"/>
  <c r="M37" i="11" s="1"/>
  <c r="M38" i="11" s="1"/>
  <c r="M39" i="11" s="1"/>
  <c r="M40" i="11" s="1"/>
  <c r="M41" i="11" s="1"/>
  <c r="M42" i="11" s="1"/>
  <c r="M43" i="11" s="1"/>
  <c r="M44" i="11" s="1"/>
  <c r="M45" i="11" s="1"/>
  <c r="M46" i="11" s="1"/>
  <c r="M47" i="11" s="1"/>
  <c r="M48" i="11" s="1"/>
  <c r="M49" i="11" s="1"/>
  <c r="M50" i="11" s="1"/>
  <c r="M51" i="11" s="1"/>
  <c r="M52" i="11" s="1"/>
  <c r="M53" i="11" s="1"/>
  <c r="M54" i="11" s="1"/>
  <c r="M55" i="11" s="1"/>
  <c r="M56" i="11" s="1"/>
  <c r="F3" i="10"/>
  <c r="F1" i="10" s="1"/>
  <c r="D6" i="13"/>
  <c r="B6" i="14"/>
  <c r="D6" i="14" s="1"/>
  <c r="C6" i="13"/>
  <c r="C6" i="14" s="1"/>
  <c r="B8" i="13"/>
  <c r="B7" i="14"/>
  <c r="D7" i="14" s="1"/>
  <c r="B6" i="12"/>
  <c r="A4" i="12"/>
  <c r="F3" i="12"/>
  <c r="F1" i="12" s="1"/>
  <c r="B5" i="10"/>
  <c r="A4" i="10"/>
  <c r="F4" i="10" s="1"/>
  <c r="C7" i="13" l="1"/>
  <c r="C7" i="14"/>
  <c r="B9" i="13"/>
  <c r="B8" i="14"/>
  <c r="D8" i="14" s="1"/>
  <c r="D8" i="13"/>
  <c r="B5" i="7"/>
  <c r="A5" i="12"/>
  <c r="F4" i="12"/>
  <c r="B7" i="12"/>
  <c r="G6" i="12"/>
  <c r="B6" i="10"/>
  <c r="G5" i="10"/>
  <c r="A5" i="10"/>
  <c r="F5" i="10" s="1"/>
  <c r="H2" i="8"/>
  <c r="H3" i="8"/>
  <c r="H4" i="8"/>
  <c r="H5" i="8"/>
  <c r="H6" i="8"/>
  <c r="H7" i="8"/>
  <c r="H8" i="8"/>
  <c r="H9" i="8"/>
  <c r="H10" i="8"/>
  <c r="H11" i="8"/>
  <c r="H12" i="8"/>
  <c r="H13" i="8"/>
  <c r="C8" i="13" l="1"/>
  <c r="C8" i="14" s="1"/>
  <c r="B6" i="7"/>
  <c r="B10" i="13"/>
  <c r="B9" i="14"/>
  <c r="D9" i="14" s="1"/>
  <c r="D9" i="13"/>
  <c r="B8" i="12"/>
  <c r="G7" i="12"/>
  <c r="A6" i="12"/>
  <c r="F5" i="12"/>
  <c r="B7" i="10"/>
  <c r="G6" i="10"/>
  <c r="A6" i="10"/>
  <c r="F6" i="10" s="1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L44" i="7"/>
  <c r="L45" i="7"/>
  <c r="L46" i="7"/>
  <c r="L47" i="7"/>
  <c r="L48" i="7"/>
  <c r="L49" i="7"/>
  <c r="L50" i="7"/>
  <c r="L51" i="7"/>
  <c r="L52" i="7"/>
  <c r="L53" i="7"/>
  <c r="L54" i="7"/>
  <c r="L55" i="7"/>
  <c r="L56" i="7"/>
  <c r="L57" i="7"/>
  <c r="L58" i="7"/>
  <c r="L59" i="7"/>
  <c r="L60" i="7"/>
  <c r="L61" i="7"/>
  <c r="L62" i="7"/>
  <c r="L63" i="7"/>
  <c r="L64" i="7"/>
  <c r="L65" i="7"/>
  <c r="L66" i="7"/>
  <c r="L67" i="7"/>
  <c r="L68" i="7"/>
  <c r="L69" i="7"/>
  <c r="L70" i="7"/>
  <c r="L71" i="7"/>
  <c r="L72" i="7"/>
  <c r="L73" i="7"/>
  <c r="L74" i="7"/>
  <c r="L75" i="7"/>
  <c r="L76" i="7"/>
  <c r="L77" i="7"/>
  <c r="L78" i="7"/>
  <c r="L79" i="7"/>
  <c r="L80" i="7"/>
  <c r="L81" i="7"/>
  <c r="L82" i="7"/>
  <c r="L83" i="7"/>
  <c r="L84" i="7"/>
  <c r="L85" i="7"/>
  <c r="L86" i="7"/>
  <c r="L87" i="7"/>
  <c r="L88" i="7"/>
  <c r="L89" i="7"/>
  <c r="L90" i="7"/>
  <c r="L91" i="7"/>
  <c r="L92" i="7"/>
  <c r="L93" i="7"/>
  <c r="L94" i="7"/>
  <c r="L95" i="7"/>
  <c r="L96" i="7"/>
  <c r="L97" i="7"/>
  <c r="L98" i="7"/>
  <c r="L99" i="7"/>
  <c r="L100" i="7"/>
  <c r="L101" i="7"/>
  <c r="L102" i="7"/>
  <c r="L103" i="7"/>
  <c r="L104" i="7"/>
  <c r="L105" i="7"/>
  <c r="L106" i="7"/>
  <c r="L107" i="7"/>
  <c r="L108" i="7"/>
  <c r="L109" i="7"/>
  <c r="L110" i="7"/>
  <c r="L111" i="7"/>
  <c r="L112" i="7"/>
  <c r="L113" i="7"/>
  <c r="L114" i="7"/>
  <c r="L115" i="7"/>
  <c r="L116" i="7"/>
  <c r="L117" i="7"/>
  <c r="L118" i="7"/>
  <c r="L119" i="7"/>
  <c r="L120" i="7"/>
  <c r="L121" i="7"/>
  <c r="L122" i="7"/>
  <c r="L123" i="7"/>
  <c r="L124" i="7"/>
  <c r="L125" i="7"/>
  <c r="L126" i="7"/>
  <c r="L127" i="7"/>
  <c r="L128" i="7"/>
  <c r="L129" i="7"/>
  <c r="L130" i="7"/>
  <c r="L131" i="7"/>
  <c r="L132" i="7"/>
  <c r="L133" i="7"/>
  <c r="L134" i="7"/>
  <c r="L135" i="7"/>
  <c r="L136" i="7"/>
  <c r="L137" i="7"/>
  <c r="L138" i="7"/>
  <c r="L139" i="7"/>
  <c r="L140" i="7"/>
  <c r="L141" i="7"/>
  <c r="L142" i="7"/>
  <c r="L143" i="7"/>
  <c r="L144" i="7"/>
  <c r="L145" i="7"/>
  <c r="L146" i="7"/>
  <c r="L147" i="7"/>
  <c r="L148" i="7"/>
  <c r="L149" i="7"/>
  <c r="L150" i="7"/>
  <c r="L151" i="7"/>
  <c r="L152" i="7"/>
  <c r="L153" i="7"/>
  <c r="L154" i="7"/>
  <c r="L155" i="7"/>
  <c r="L156" i="7"/>
  <c r="L157" i="7"/>
  <c r="L158" i="7"/>
  <c r="L159" i="7"/>
  <c r="L160" i="7"/>
  <c r="L161" i="7"/>
  <c r="L162" i="7"/>
  <c r="L163" i="7"/>
  <c r="L164" i="7"/>
  <c r="L165" i="7"/>
  <c r="L166" i="7"/>
  <c r="L167" i="7"/>
  <c r="L168" i="7"/>
  <c r="L169" i="7"/>
  <c r="L170" i="7"/>
  <c r="L171" i="7"/>
  <c r="L172" i="7"/>
  <c r="L173" i="7"/>
  <c r="L174" i="7"/>
  <c r="L175" i="7"/>
  <c r="L176" i="7"/>
  <c r="L177" i="7"/>
  <c r="L178" i="7"/>
  <c r="L179" i="7"/>
  <c r="L180" i="7"/>
  <c r="L181" i="7"/>
  <c r="L182" i="7"/>
  <c r="L183" i="7"/>
  <c r="L184" i="7"/>
  <c r="L185" i="7"/>
  <c r="L186" i="7"/>
  <c r="L187" i="7"/>
  <c r="L188" i="7"/>
  <c r="L189" i="7"/>
  <c r="L190" i="7"/>
  <c r="L191" i="7"/>
  <c r="L192" i="7"/>
  <c r="L193" i="7"/>
  <c r="L194" i="7"/>
  <c r="L195" i="7"/>
  <c r="L196" i="7"/>
  <c r="L197" i="7"/>
  <c r="L198" i="7"/>
  <c r="L199" i="7"/>
  <c r="L200" i="7"/>
  <c r="L201" i="7"/>
  <c r="L202" i="7"/>
  <c r="L203" i="7"/>
  <c r="L204" i="7"/>
  <c r="L205" i="7"/>
  <c r="L206" i="7"/>
  <c r="L207" i="7"/>
  <c r="L208" i="7"/>
  <c r="L209" i="7"/>
  <c r="L210" i="7"/>
  <c r="L211" i="7"/>
  <c r="L212" i="7"/>
  <c r="L213" i="7"/>
  <c r="L214" i="7"/>
  <c r="L215" i="7"/>
  <c r="L216" i="7"/>
  <c r="L217" i="7"/>
  <c r="L218" i="7"/>
  <c r="L219" i="7"/>
  <c r="L220" i="7"/>
  <c r="L221" i="7"/>
  <c r="L222" i="7"/>
  <c r="L223" i="7"/>
  <c r="L224" i="7"/>
  <c r="L225" i="7"/>
  <c r="L226" i="7"/>
  <c r="L227" i="7"/>
  <c r="L228" i="7"/>
  <c r="L229" i="7"/>
  <c r="I2" i="8"/>
  <c r="J2" i="8"/>
  <c r="K2" i="8"/>
  <c r="L2" i="8"/>
  <c r="M2" i="8"/>
  <c r="N2" i="8"/>
  <c r="O2" i="8"/>
  <c r="P2" i="8"/>
  <c r="Q2" i="8"/>
  <c r="R2" i="8"/>
  <c r="S2" i="8"/>
  <c r="T2" i="8"/>
  <c r="U2" i="8"/>
  <c r="V2" i="8"/>
  <c r="W2" i="8"/>
  <c r="X2" i="8"/>
  <c r="Y2" i="8"/>
  <c r="Z2" i="8"/>
  <c r="AA2" i="8"/>
  <c r="AB2" i="8"/>
  <c r="AC2" i="8"/>
  <c r="AD2" i="8"/>
  <c r="AE2" i="8"/>
  <c r="AF2" i="8"/>
  <c r="AG2" i="8"/>
  <c r="AH2" i="8"/>
  <c r="AI2" i="8"/>
  <c r="AJ2" i="8"/>
  <c r="AK2" i="8"/>
  <c r="AL2" i="8"/>
  <c r="AM2" i="8"/>
  <c r="AN2" i="8"/>
  <c r="AO2" i="8"/>
  <c r="AP2" i="8"/>
  <c r="AQ2" i="8"/>
  <c r="AR2" i="8"/>
  <c r="AS2" i="8"/>
  <c r="AT2" i="8"/>
  <c r="AU2" i="8"/>
  <c r="AV2" i="8"/>
  <c r="AW2" i="8"/>
  <c r="AX2" i="8"/>
  <c r="AY2" i="8"/>
  <c r="AZ2" i="8"/>
  <c r="BA2" i="8"/>
  <c r="BB2" i="8"/>
  <c r="BC2" i="8"/>
  <c r="BD2" i="8"/>
  <c r="BE2" i="8"/>
  <c r="BF2" i="8"/>
  <c r="BG2" i="8"/>
  <c r="BH2" i="8"/>
  <c r="BI2" i="8"/>
  <c r="BJ2" i="8"/>
  <c r="BK2" i="8"/>
  <c r="BL2" i="8"/>
  <c r="BM2" i="8"/>
  <c r="BN2" i="8"/>
  <c r="BO2" i="8"/>
  <c r="BP2" i="8"/>
  <c r="BQ2" i="8"/>
  <c r="BR2" i="8"/>
  <c r="BS2" i="8"/>
  <c r="BT2" i="8"/>
  <c r="BU2" i="8"/>
  <c r="BV2" i="8"/>
  <c r="BW2" i="8"/>
  <c r="BX2" i="8"/>
  <c r="BY2" i="8"/>
  <c r="BZ2" i="8"/>
  <c r="CA2" i="8"/>
  <c r="CB2" i="8"/>
  <c r="CC2" i="8"/>
  <c r="CD2" i="8"/>
  <c r="CE2" i="8"/>
  <c r="CF2" i="8"/>
  <c r="CG2" i="8"/>
  <c r="CH2" i="8"/>
  <c r="CI2" i="8"/>
  <c r="CJ2" i="8"/>
  <c r="CK2" i="8"/>
  <c r="CL2" i="8"/>
  <c r="CM2" i="8"/>
  <c r="CN2" i="8"/>
  <c r="CO2" i="8"/>
  <c r="CP2" i="8"/>
  <c r="CQ2" i="8"/>
  <c r="CR2" i="8"/>
  <c r="CS2" i="8"/>
  <c r="CT2" i="8"/>
  <c r="CU2" i="8"/>
  <c r="CV2" i="8"/>
  <c r="CW2" i="8"/>
  <c r="CX2" i="8"/>
  <c r="CY2" i="8"/>
  <c r="CZ2" i="8"/>
  <c r="DA2" i="8"/>
  <c r="DB2" i="8"/>
  <c r="DC2" i="8"/>
  <c r="DD2" i="8"/>
  <c r="DE2" i="8"/>
  <c r="DF2" i="8"/>
  <c r="DG2" i="8"/>
  <c r="DH2" i="8"/>
  <c r="DI2" i="8"/>
  <c r="DJ2" i="8"/>
  <c r="DK2" i="8"/>
  <c r="DL2" i="8"/>
  <c r="DM2" i="8"/>
  <c r="DN2" i="8"/>
  <c r="DO2" i="8"/>
  <c r="DP2" i="8"/>
  <c r="DQ2" i="8"/>
  <c r="DR2" i="8"/>
  <c r="DS2" i="8"/>
  <c r="DT2" i="8"/>
  <c r="DU2" i="8"/>
  <c r="DV2" i="8"/>
  <c r="DW2" i="8"/>
  <c r="DX2" i="8"/>
  <c r="DY2" i="8"/>
  <c r="DZ2" i="8"/>
  <c r="EA2" i="8"/>
  <c r="EB2" i="8"/>
  <c r="EC2" i="8"/>
  <c r="ED2" i="8"/>
  <c r="EE2" i="8"/>
  <c r="EF2" i="8"/>
  <c r="EG2" i="8"/>
  <c r="EH2" i="8"/>
  <c r="EI2" i="8"/>
  <c r="EJ2" i="8"/>
  <c r="EK2" i="8"/>
  <c r="EL2" i="8"/>
  <c r="EM2" i="8"/>
  <c r="EN2" i="8"/>
  <c r="EO2" i="8"/>
  <c r="EP2" i="8"/>
  <c r="EQ2" i="8"/>
  <c r="ER2" i="8"/>
  <c r="ES2" i="8"/>
  <c r="ET2" i="8"/>
  <c r="EU2" i="8"/>
  <c r="EV2" i="8"/>
  <c r="EW2" i="8"/>
  <c r="EX2" i="8"/>
  <c r="EY2" i="8"/>
  <c r="EZ2" i="8"/>
  <c r="FA2" i="8"/>
  <c r="FB2" i="8"/>
  <c r="FC2" i="8"/>
  <c r="FD2" i="8"/>
  <c r="FE2" i="8"/>
  <c r="FF2" i="8"/>
  <c r="FG2" i="8"/>
  <c r="FH2" i="8"/>
  <c r="FI2" i="8"/>
  <c r="FJ2" i="8"/>
  <c r="FK2" i="8"/>
  <c r="FL2" i="8"/>
  <c r="FM2" i="8"/>
  <c r="FN2" i="8"/>
  <c r="FO2" i="8"/>
  <c r="FP2" i="8"/>
  <c r="FQ2" i="8"/>
  <c r="FR2" i="8"/>
  <c r="FS2" i="8"/>
  <c r="FT2" i="8"/>
  <c r="FU2" i="8"/>
  <c r="FV2" i="8"/>
  <c r="FW2" i="8"/>
  <c r="FX2" i="8"/>
  <c r="FY2" i="8"/>
  <c r="FZ2" i="8"/>
  <c r="GA2" i="8"/>
  <c r="GB2" i="8"/>
  <c r="GC2" i="8"/>
  <c r="GD2" i="8"/>
  <c r="GE2" i="8"/>
  <c r="GF2" i="8"/>
  <c r="GG2" i="8"/>
  <c r="GH2" i="8"/>
  <c r="GI2" i="8"/>
  <c r="GJ2" i="8"/>
  <c r="GK2" i="8"/>
  <c r="GL2" i="8"/>
  <c r="GM2" i="8"/>
  <c r="GN2" i="8"/>
  <c r="GO2" i="8"/>
  <c r="GP2" i="8"/>
  <c r="GQ2" i="8"/>
  <c r="GR2" i="8"/>
  <c r="GS2" i="8"/>
  <c r="GT2" i="8"/>
  <c r="GU2" i="8"/>
  <c r="GV2" i="8"/>
  <c r="GW2" i="8"/>
  <c r="GX2" i="8"/>
  <c r="GY2" i="8"/>
  <c r="GZ2" i="8"/>
  <c r="HA2" i="8"/>
  <c r="HB2" i="8"/>
  <c r="HC2" i="8"/>
  <c r="HD2" i="8"/>
  <c r="HE2" i="8"/>
  <c r="HF2" i="8"/>
  <c r="HG2" i="8"/>
  <c r="HH2" i="8"/>
  <c r="HI2" i="8"/>
  <c r="HJ2" i="8"/>
  <c r="HK2" i="8"/>
  <c r="HL2" i="8"/>
  <c r="HM2" i="8"/>
  <c r="HN2" i="8"/>
  <c r="HO2" i="8"/>
  <c r="HP2" i="8"/>
  <c r="HQ2" i="8"/>
  <c r="HR2" i="8"/>
  <c r="HS2" i="8"/>
  <c r="HT2" i="8"/>
  <c r="HU2" i="8"/>
  <c r="HV2" i="8"/>
  <c r="HW2" i="8"/>
  <c r="HX2" i="8"/>
  <c r="I3" i="8"/>
  <c r="J3" i="8"/>
  <c r="K3" i="8"/>
  <c r="L3" i="8"/>
  <c r="M3" i="8"/>
  <c r="N3" i="8"/>
  <c r="O3" i="8"/>
  <c r="P3" i="8"/>
  <c r="Q3" i="8"/>
  <c r="R3" i="8"/>
  <c r="S3" i="8"/>
  <c r="T3" i="8"/>
  <c r="U3" i="8"/>
  <c r="V3" i="8"/>
  <c r="W3" i="8"/>
  <c r="X3" i="8"/>
  <c r="Y3" i="8"/>
  <c r="Z3" i="8"/>
  <c r="AA3" i="8"/>
  <c r="AB3" i="8"/>
  <c r="AC3" i="8"/>
  <c r="AD3" i="8"/>
  <c r="AE3" i="8"/>
  <c r="AF3" i="8"/>
  <c r="AG3" i="8"/>
  <c r="AH3" i="8"/>
  <c r="AI3" i="8"/>
  <c r="AJ3" i="8"/>
  <c r="AK3" i="8"/>
  <c r="AL3" i="8"/>
  <c r="AM3" i="8"/>
  <c r="AN3" i="8"/>
  <c r="AO3" i="8"/>
  <c r="AP3" i="8"/>
  <c r="AQ3" i="8"/>
  <c r="AR3" i="8"/>
  <c r="AS3" i="8"/>
  <c r="AT3" i="8"/>
  <c r="AU3" i="8"/>
  <c r="AV3" i="8"/>
  <c r="AW3" i="8"/>
  <c r="AX3" i="8"/>
  <c r="AY3" i="8"/>
  <c r="AZ3" i="8"/>
  <c r="BA3" i="8"/>
  <c r="BB3" i="8"/>
  <c r="BC3" i="8"/>
  <c r="BD3" i="8"/>
  <c r="BE3" i="8"/>
  <c r="BF3" i="8"/>
  <c r="BG3" i="8"/>
  <c r="BH3" i="8"/>
  <c r="BI3" i="8"/>
  <c r="BJ3" i="8"/>
  <c r="BK3" i="8"/>
  <c r="BL3" i="8"/>
  <c r="BM3" i="8"/>
  <c r="BN3" i="8"/>
  <c r="BO3" i="8"/>
  <c r="BP3" i="8"/>
  <c r="BQ3" i="8"/>
  <c r="BR3" i="8"/>
  <c r="BS3" i="8"/>
  <c r="BT3" i="8"/>
  <c r="BU3" i="8"/>
  <c r="BV3" i="8"/>
  <c r="BW3" i="8"/>
  <c r="BX3" i="8"/>
  <c r="BY3" i="8"/>
  <c r="BZ3" i="8"/>
  <c r="CA3" i="8"/>
  <c r="CB3" i="8"/>
  <c r="CC3" i="8"/>
  <c r="CD3" i="8"/>
  <c r="CE3" i="8"/>
  <c r="CF3" i="8"/>
  <c r="CG3" i="8"/>
  <c r="CH3" i="8"/>
  <c r="CI3" i="8"/>
  <c r="CJ3" i="8"/>
  <c r="CK3" i="8"/>
  <c r="CL3" i="8"/>
  <c r="CM3" i="8"/>
  <c r="CN3" i="8"/>
  <c r="CO3" i="8"/>
  <c r="CP3" i="8"/>
  <c r="CQ3" i="8"/>
  <c r="CR3" i="8"/>
  <c r="CS3" i="8"/>
  <c r="CT3" i="8"/>
  <c r="CU3" i="8"/>
  <c r="CV3" i="8"/>
  <c r="CW3" i="8"/>
  <c r="CX3" i="8"/>
  <c r="CY3" i="8"/>
  <c r="CZ3" i="8"/>
  <c r="DA3" i="8"/>
  <c r="DB3" i="8"/>
  <c r="DC3" i="8"/>
  <c r="DD3" i="8"/>
  <c r="DE3" i="8"/>
  <c r="DF3" i="8"/>
  <c r="DG3" i="8"/>
  <c r="DH3" i="8"/>
  <c r="DI3" i="8"/>
  <c r="DJ3" i="8"/>
  <c r="DK3" i="8"/>
  <c r="DL3" i="8"/>
  <c r="DM3" i="8"/>
  <c r="DN3" i="8"/>
  <c r="DO3" i="8"/>
  <c r="DP3" i="8"/>
  <c r="DQ3" i="8"/>
  <c r="DR3" i="8"/>
  <c r="DS3" i="8"/>
  <c r="DT3" i="8"/>
  <c r="DU3" i="8"/>
  <c r="DV3" i="8"/>
  <c r="DW3" i="8"/>
  <c r="DX3" i="8"/>
  <c r="DY3" i="8"/>
  <c r="DZ3" i="8"/>
  <c r="EA3" i="8"/>
  <c r="EB3" i="8"/>
  <c r="EC3" i="8"/>
  <c r="ED3" i="8"/>
  <c r="EE3" i="8"/>
  <c r="EF3" i="8"/>
  <c r="EG3" i="8"/>
  <c r="EH3" i="8"/>
  <c r="EI3" i="8"/>
  <c r="EJ3" i="8"/>
  <c r="EK3" i="8"/>
  <c r="EL3" i="8"/>
  <c r="EM3" i="8"/>
  <c r="EN3" i="8"/>
  <c r="EO3" i="8"/>
  <c r="EP3" i="8"/>
  <c r="EQ3" i="8"/>
  <c r="ER3" i="8"/>
  <c r="ES3" i="8"/>
  <c r="ET3" i="8"/>
  <c r="EU3" i="8"/>
  <c r="EV3" i="8"/>
  <c r="EW3" i="8"/>
  <c r="EX3" i="8"/>
  <c r="EY3" i="8"/>
  <c r="EZ3" i="8"/>
  <c r="FA3" i="8"/>
  <c r="FB3" i="8"/>
  <c r="FC3" i="8"/>
  <c r="FD3" i="8"/>
  <c r="FE3" i="8"/>
  <c r="FF3" i="8"/>
  <c r="FG3" i="8"/>
  <c r="FH3" i="8"/>
  <c r="FI3" i="8"/>
  <c r="FJ3" i="8"/>
  <c r="FK3" i="8"/>
  <c r="FL3" i="8"/>
  <c r="FM3" i="8"/>
  <c r="FN3" i="8"/>
  <c r="FO3" i="8"/>
  <c r="FP3" i="8"/>
  <c r="FQ3" i="8"/>
  <c r="FR3" i="8"/>
  <c r="FS3" i="8"/>
  <c r="FT3" i="8"/>
  <c r="FU3" i="8"/>
  <c r="FV3" i="8"/>
  <c r="FW3" i="8"/>
  <c r="FX3" i="8"/>
  <c r="FY3" i="8"/>
  <c r="FZ3" i="8"/>
  <c r="GA3" i="8"/>
  <c r="GB3" i="8"/>
  <c r="GC3" i="8"/>
  <c r="GD3" i="8"/>
  <c r="GE3" i="8"/>
  <c r="GF3" i="8"/>
  <c r="GG3" i="8"/>
  <c r="GH3" i="8"/>
  <c r="GI3" i="8"/>
  <c r="GJ3" i="8"/>
  <c r="GK3" i="8"/>
  <c r="GL3" i="8"/>
  <c r="GM3" i="8"/>
  <c r="GN3" i="8"/>
  <c r="GO3" i="8"/>
  <c r="GP3" i="8"/>
  <c r="GQ3" i="8"/>
  <c r="GR3" i="8"/>
  <c r="GS3" i="8"/>
  <c r="GT3" i="8"/>
  <c r="GU3" i="8"/>
  <c r="GV3" i="8"/>
  <c r="GW3" i="8"/>
  <c r="GX3" i="8"/>
  <c r="GY3" i="8"/>
  <c r="GZ3" i="8"/>
  <c r="HA3" i="8"/>
  <c r="HB3" i="8"/>
  <c r="HC3" i="8"/>
  <c r="HD3" i="8"/>
  <c r="HE3" i="8"/>
  <c r="HF3" i="8"/>
  <c r="HG3" i="8"/>
  <c r="HH3" i="8"/>
  <c r="HI3" i="8"/>
  <c r="HJ3" i="8"/>
  <c r="HK3" i="8"/>
  <c r="HL3" i="8"/>
  <c r="HM3" i="8"/>
  <c r="HN3" i="8"/>
  <c r="HO3" i="8"/>
  <c r="HP3" i="8"/>
  <c r="HQ3" i="8"/>
  <c r="HR3" i="8"/>
  <c r="HS3" i="8"/>
  <c r="HT3" i="8"/>
  <c r="HU3" i="8"/>
  <c r="HV3" i="8"/>
  <c r="HW3" i="8"/>
  <c r="HX3" i="8"/>
  <c r="I4" i="8"/>
  <c r="J4" i="8"/>
  <c r="K4" i="8"/>
  <c r="L4" i="8"/>
  <c r="M4" i="8"/>
  <c r="N4" i="8"/>
  <c r="O4" i="8"/>
  <c r="P4" i="8"/>
  <c r="Q4" i="8"/>
  <c r="R4" i="8"/>
  <c r="S4" i="8"/>
  <c r="T4" i="8"/>
  <c r="U4" i="8"/>
  <c r="V4" i="8"/>
  <c r="W4" i="8"/>
  <c r="X4" i="8"/>
  <c r="Y4" i="8"/>
  <c r="Z4" i="8"/>
  <c r="AA4" i="8"/>
  <c r="AB4" i="8"/>
  <c r="AC4" i="8"/>
  <c r="AD4" i="8"/>
  <c r="AE4" i="8"/>
  <c r="AF4" i="8"/>
  <c r="AG4" i="8"/>
  <c r="AH4" i="8"/>
  <c r="AI4" i="8"/>
  <c r="AJ4" i="8"/>
  <c r="AK4" i="8"/>
  <c r="AL4" i="8"/>
  <c r="AM4" i="8"/>
  <c r="AN4" i="8"/>
  <c r="AO4" i="8"/>
  <c r="AP4" i="8"/>
  <c r="AQ4" i="8"/>
  <c r="AR4" i="8"/>
  <c r="AS4" i="8"/>
  <c r="AT4" i="8"/>
  <c r="AU4" i="8"/>
  <c r="AV4" i="8"/>
  <c r="AW4" i="8"/>
  <c r="AX4" i="8"/>
  <c r="AY4" i="8"/>
  <c r="AZ4" i="8"/>
  <c r="BA4" i="8"/>
  <c r="BB4" i="8"/>
  <c r="BC4" i="8"/>
  <c r="BD4" i="8"/>
  <c r="BE4" i="8"/>
  <c r="BF4" i="8"/>
  <c r="BG4" i="8"/>
  <c r="BH4" i="8"/>
  <c r="BI4" i="8"/>
  <c r="BJ4" i="8"/>
  <c r="BK4" i="8"/>
  <c r="BL4" i="8"/>
  <c r="BM4" i="8"/>
  <c r="BN4" i="8"/>
  <c r="BO4" i="8"/>
  <c r="BP4" i="8"/>
  <c r="BQ4" i="8"/>
  <c r="BR4" i="8"/>
  <c r="BS4" i="8"/>
  <c r="BT4" i="8"/>
  <c r="BU4" i="8"/>
  <c r="BV4" i="8"/>
  <c r="BW4" i="8"/>
  <c r="BX4" i="8"/>
  <c r="BY4" i="8"/>
  <c r="BZ4" i="8"/>
  <c r="CA4" i="8"/>
  <c r="CB4" i="8"/>
  <c r="CC4" i="8"/>
  <c r="CD4" i="8"/>
  <c r="CE4" i="8"/>
  <c r="CF4" i="8"/>
  <c r="CG4" i="8"/>
  <c r="CH4" i="8"/>
  <c r="CI4" i="8"/>
  <c r="CJ4" i="8"/>
  <c r="CK4" i="8"/>
  <c r="CL4" i="8"/>
  <c r="CM4" i="8"/>
  <c r="CN4" i="8"/>
  <c r="CO4" i="8"/>
  <c r="CP4" i="8"/>
  <c r="CQ4" i="8"/>
  <c r="CR4" i="8"/>
  <c r="CS4" i="8"/>
  <c r="CT4" i="8"/>
  <c r="CU4" i="8"/>
  <c r="CV4" i="8"/>
  <c r="CW4" i="8"/>
  <c r="CX4" i="8"/>
  <c r="CY4" i="8"/>
  <c r="CZ4" i="8"/>
  <c r="DA4" i="8"/>
  <c r="DB4" i="8"/>
  <c r="DC4" i="8"/>
  <c r="DD4" i="8"/>
  <c r="DE4" i="8"/>
  <c r="DF4" i="8"/>
  <c r="DG4" i="8"/>
  <c r="DH4" i="8"/>
  <c r="DI4" i="8"/>
  <c r="DJ4" i="8"/>
  <c r="DK4" i="8"/>
  <c r="DL4" i="8"/>
  <c r="DM4" i="8"/>
  <c r="DN4" i="8"/>
  <c r="DO4" i="8"/>
  <c r="DP4" i="8"/>
  <c r="DQ4" i="8"/>
  <c r="DR4" i="8"/>
  <c r="DS4" i="8"/>
  <c r="DT4" i="8"/>
  <c r="DU4" i="8"/>
  <c r="DV4" i="8"/>
  <c r="DW4" i="8"/>
  <c r="DX4" i="8"/>
  <c r="DY4" i="8"/>
  <c r="DZ4" i="8"/>
  <c r="EA4" i="8"/>
  <c r="EB4" i="8"/>
  <c r="EC4" i="8"/>
  <c r="ED4" i="8"/>
  <c r="EE4" i="8"/>
  <c r="EF4" i="8"/>
  <c r="EG4" i="8"/>
  <c r="EH4" i="8"/>
  <c r="EI4" i="8"/>
  <c r="EJ4" i="8"/>
  <c r="EK4" i="8"/>
  <c r="EL4" i="8"/>
  <c r="EM4" i="8"/>
  <c r="EN4" i="8"/>
  <c r="EO4" i="8"/>
  <c r="EP4" i="8"/>
  <c r="EQ4" i="8"/>
  <c r="ER4" i="8"/>
  <c r="ES4" i="8"/>
  <c r="ET4" i="8"/>
  <c r="EU4" i="8"/>
  <c r="EV4" i="8"/>
  <c r="EW4" i="8"/>
  <c r="EX4" i="8"/>
  <c r="EY4" i="8"/>
  <c r="EZ4" i="8"/>
  <c r="FA4" i="8"/>
  <c r="FB4" i="8"/>
  <c r="FC4" i="8"/>
  <c r="FD4" i="8"/>
  <c r="FE4" i="8"/>
  <c r="FF4" i="8"/>
  <c r="FG4" i="8"/>
  <c r="FH4" i="8"/>
  <c r="FI4" i="8"/>
  <c r="FJ4" i="8"/>
  <c r="FK4" i="8"/>
  <c r="FL4" i="8"/>
  <c r="FM4" i="8"/>
  <c r="FN4" i="8"/>
  <c r="FO4" i="8"/>
  <c r="FP4" i="8"/>
  <c r="FQ4" i="8"/>
  <c r="FR4" i="8"/>
  <c r="FS4" i="8"/>
  <c r="FT4" i="8"/>
  <c r="FU4" i="8"/>
  <c r="FV4" i="8"/>
  <c r="FW4" i="8"/>
  <c r="FX4" i="8"/>
  <c r="FY4" i="8"/>
  <c r="FZ4" i="8"/>
  <c r="GA4" i="8"/>
  <c r="GB4" i="8"/>
  <c r="GC4" i="8"/>
  <c r="GD4" i="8"/>
  <c r="GE4" i="8"/>
  <c r="GF4" i="8"/>
  <c r="GG4" i="8"/>
  <c r="GH4" i="8"/>
  <c r="GI4" i="8"/>
  <c r="GJ4" i="8"/>
  <c r="GK4" i="8"/>
  <c r="GL4" i="8"/>
  <c r="GM4" i="8"/>
  <c r="GN4" i="8"/>
  <c r="GO4" i="8"/>
  <c r="GP4" i="8"/>
  <c r="GQ4" i="8"/>
  <c r="GR4" i="8"/>
  <c r="GS4" i="8"/>
  <c r="GT4" i="8"/>
  <c r="GU4" i="8"/>
  <c r="GV4" i="8"/>
  <c r="GW4" i="8"/>
  <c r="GX4" i="8"/>
  <c r="GY4" i="8"/>
  <c r="GZ4" i="8"/>
  <c r="HA4" i="8"/>
  <c r="HB4" i="8"/>
  <c r="HC4" i="8"/>
  <c r="HD4" i="8"/>
  <c r="HE4" i="8"/>
  <c r="HF4" i="8"/>
  <c r="HG4" i="8"/>
  <c r="HH4" i="8"/>
  <c r="HI4" i="8"/>
  <c r="HJ4" i="8"/>
  <c r="HK4" i="8"/>
  <c r="HL4" i="8"/>
  <c r="HM4" i="8"/>
  <c r="HN4" i="8"/>
  <c r="HO4" i="8"/>
  <c r="HP4" i="8"/>
  <c r="HQ4" i="8"/>
  <c r="HR4" i="8"/>
  <c r="HS4" i="8"/>
  <c r="HT4" i="8"/>
  <c r="HU4" i="8"/>
  <c r="HV4" i="8"/>
  <c r="HW4" i="8"/>
  <c r="HX4" i="8"/>
  <c r="I5" i="8"/>
  <c r="J5" i="8"/>
  <c r="K5" i="8"/>
  <c r="L5" i="8"/>
  <c r="M5" i="8"/>
  <c r="N5" i="8"/>
  <c r="O5" i="8"/>
  <c r="P5" i="8"/>
  <c r="Q5" i="8"/>
  <c r="R5" i="8"/>
  <c r="S5" i="8"/>
  <c r="T5" i="8"/>
  <c r="U5" i="8"/>
  <c r="V5" i="8"/>
  <c r="W5" i="8"/>
  <c r="X5" i="8"/>
  <c r="Y5" i="8"/>
  <c r="Z5" i="8"/>
  <c r="AA5" i="8"/>
  <c r="AB5" i="8"/>
  <c r="AC5" i="8"/>
  <c r="AD5" i="8"/>
  <c r="AE5" i="8"/>
  <c r="AF5" i="8"/>
  <c r="AG5" i="8"/>
  <c r="AH5" i="8"/>
  <c r="AI5" i="8"/>
  <c r="AJ5" i="8"/>
  <c r="AK5" i="8"/>
  <c r="AL5" i="8"/>
  <c r="AM5" i="8"/>
  <c r="AN5" i="8"/>
  <c r="AO5" i="8"/>
  <c r="AP5" i="8"/>
  <c r="AQ5" i="8"/>
  <c r="AR5" i="8"/>
  <c r="AS5" i="8"/>
  <c r="AT5" i="8"/>
  <c r="AU5" i="8"/>
  <c r="AV5" i="8"/>
  <c r="AW5" i="8"/>
  <c r="AX5" i="8"/>
  <c r="AY5" i="8"/>
  <c r="AZ5" i="8"/>
  <c r="BA5" i="8"/>
  <c r="BB5" i="8"/>
  <c r="BC5" i="8"/>
  <c r="BD5" i="8"/>
  <c r="BE5" i="8"/>
  <c r="BF5" i="8"/>
  <c r="BG5" i="8"/>
  <c r="BH5" i="8"/>
  <c r="BI5" i="8"/>
  <c r="BJ5" i="8"/>
  <c r="BK5" i="8"/>
  <c r="BL5" i="8"/>
  <c r="BM5" i="8"/>
  <c r="BN5" i="8"/>
  <c r="BO5" i="8"/>
  <c r="BP5" i="8"/>
  <c r="BQ5" i="8"/>
  <c r="BR5" i="8"/>
  <c r="BS5" i="8"/>
  <c r="BT5" i="8"/>
  <c r="BU5" i="8"/>
  <c r="BV5" i="8"/>
  <c r="BW5" i="8"/>
  <c r="BX5" i="8"/>
  <c r="BY5" i="8"/>
  <c r="BZ5" i="8"/>
  <c r="CA5" i="8"/>
  <c r="CB5" i="8"/>
  <c r="CC5" i="8"/>
  <c r="CD5" i="8"/>
  <c r="CE5" i="8"/>
  <c r="CF5" i="8"/>
  <c r="CG5" i="8"/>
  <c r="CH5" i="8"/>
  <c r="CI5" i="8"/>
  <c r="CJ5" i="8"/>
  <c r="CK5" i="8"/>
  <c r="CL5" i="8"/>
  <c r="CM5" i="8"/>
  <c r="CN5" i="8"/>
  <c r="CO5" i="8"/>
  <c r="CP5" i="8"/>
  <c r="CQ5" i="8"/>
  <c r="CR5" i="8"/>
  <c r="CS5" i="8"/>
  <c r="CT5" i="8"/>
  <c r="CU5" i="8"/>
  <c r="CV5" i="8"/>
  <c r="CW5" i="8"/>
  <c r="CX5" i="8"/>
  <c r="CY5" i="8"/>
  <c r="CZ5" i="8"/>
  <c r="DA5" i="8"/>
  <c r="DB5" i="8"/>
  <c r="DC5" i="8"/>
  <c r="DD5" i="8"/>
  <c r="DE5" i="8"/>
  <c r="DF5" i="8"/>
  <c r="DG5" i="8"/>
  <c r="DH5" i="8"/>
  <c r="DI5" i="8"/>
  <c r="DJ5" i="8"/>
  <c r="DK5" i="8"/>
  <c r="DL5" i="8"/>
  <c r="DM5" i="8"/>
  <c r="DN5" i="8"/>
  <c r="DO5" i="8"/>
  <c r="DP5" i="8"/>
  <c r="DQ5" i="8"/>
  <c r="DR5" i="8"/>
  <c r="DS5" i="8"/>
  <c r="DT5" i="8"/>
  <c r="DU5" i="8"/>
  <c r="DV5" i="8"/>
  <c r="DW5" i="8"/>
  <c r="DX5" i="8"/>
  <c r="DY5" i="8"/>
  <c r="DZ5" i="8"/>
  <c r="EA5" i="8"/>
  <c r="EB5" i="8"/>
  <c r="EC5" i="8"/>
  <c r="ED5" i="8"/>
  <c r="EE5" i="8"/>
  <c r="EF5" i="8"/>
  <c r="EG5" i="8"/>
  <c r="EH5" i="8"/>
  <c r="EI5" i="8"/>
  <c r="EJ5" i="8"/>
  <c r="EK5" i="8"/>
  <c r="EL5" i="8"/>
  <c r="EM5" i="8"/>
  <c r="EN5" i="8"/>
  <c r="EO5" i="8"/>
  <c r="EP5" i="8"/>
  <c r="EQ5" i="8"/>
  <c r="ER5" i="8"/>
  <c r="ES5" i="8"/>
  <c r="ET5" i="8"/>
  <c r="EU5" i="8"/>
  <c r="EV5" i="8"/>
  <c r="EW5" i="8"/>
  <c r="EX5" i="8"/>
  <c r="EY5" i="8"/>
  <c r="EZ5" i="8"/>
  <c r="FA5" i="8"/>
  <c r="FB5" i="8"/>
  <c r="FC5" i="8"/>
  <c r="FD5" i="8"/>
  <c r="FE5" i="8"/>
  <c r="FF5" i="8"/>
  <c r="FG5" i="8"/>
  <c r="FH5" i="8"/>
  <c r="FI5" i="8"/>
  <c r="FJ5" i="8"/>
  <c r="FK5" i="8"/>
  <c r="FL5" i="8"/>
  <c r="FM5" i="8"/>
  <c r="FN5" i="8"/>
  <c r="FO5" i="8"/>
  <c r="FP5" i="8"/>
  <c r="FQ5" i="8"/>
  <c r="FR5" i="8"/>
  <c r="FS5" i="8"/>
  <c r="FT5" i="8"/>
  <c r="FU5" i="8"/>
  <c r="FV5" i="8"/>
  <c r="FW5" i="8"/>
  <c r="FX5" i="8"/>
  <c r="FY5" i="8"/>
  <c r="FZ5" i="8"/>
  <c r="GA5" i="8"/>
  <c r="GB5" i="8"/>
  <c r="GC5" i="8"/>
  <c r="GD5" i="8"/>
  <c r="GE5" i="8"/>
  <c r="GF5" i="8"/>
  <c r="GG5" i="8"/>
  <c r="GH5" i="8"/>
  <c r="GI5" i="8"/>
  <c r="GJ5" i="8"/>
  <c r="GK5" i="8"/>
  <c r="GL5" i="8"/>
  <c r="GM5" i="8"/>
  <c r="GN5" i="8"/>
  <c r="GO5" i="8"/>
  <c r="GP5" i="8"/>
  <c r="GQ5" i="8"/>
  <c r="GR5" i="8"/>
  <c r="GS5" i="8"/>
  <c r="GT5" i="8"/>
  <c r="GU5" i="8"/>
  <c r="GV5" i="8"/>
  <c r="GW5" i="8"/>
  <c r="GX5" i="8"/>
  <c r="GY5" i="8"/>
  <c r="GZ5" i="8"/>
  <c r="HA5" i="8"/>
  <c r="HB5" i="8"/>
  <c r="HC5" i="8"/>
  <c r="HD5" i="8"/>
  <c r="HE5" i="8"/>
  <c r="HF5" i="8"/>
  <c r="HG5" i="8"/>
  <c r="HH5" i="8"/>
  <c r="HI5" i="8"/>
  <c r="HJ5" i="8"/>
  <c r="HK5" i="8"/>
  <c r="HL5" i="8"/>
  <c r="HM5" i="8"/>
  <c r="HN5" i="8"/>
  <c r="HO5" i="8"/>
  <c r="HP5" i="8"/>
  <c r="HQ5" i="8"/>
  <c r="HR5" i="8"/>
  <c r="HS5" i="8"/>
  <c r="HT5" i="8"/>
  <c r="HU5" i="8"/>
  <c r="HV5" i="8"/>
  <c r="HW5" i="8"/>
  <c r="HX5" i="8"/>
  <c r="I6" i="8"/>
  <c r="J6" i="8"/>
  <c r="K6" i="8"/>
  <c r="L6" i="8"/>
  <c r="M6" i="8"/>
  <c r="N6" i="8"/>
  <c r="O6" i="8"/>
  <c r="P6" i="8"/>
  <c r="Q6" i="8"/>
  <c r="R6" i="8"/>
  <c r="S6" i="8"/>
  <c r="T6" i="8"/>
  <c r="U6" i="8"/>
  <c r="V6" i="8"/>
  <c r="W6" i="8"/>
  <c r="X6" i="8"/>
  <c r="Y6" i="8"/>
  <c r="Z6" i="8"/>
  <c r="AA6" i="8"/>
  <c r="AB6" i="8"/>
  <c r="AC6" i="8"/>
  <c r="AD6" i="8"/>
  <c r="AE6" i="8"/>
  <c r="AF6" i="8"/>
  <c r="AG6" i="8"/>
  <c r="AH6" i="8"/>
  <c r="AI6" i="8"/>
  <c r="AJ6" i="8"/>
  <c r="AK6" i="8"/>
  <c r="AL6" i="8"/>
  <c r="AM6" i="8"/>
  <c r="AN6" i="8"/>
  <c r="AO6" i="8"/>
  <c r="AP6" i="8"/>
  <c r="AQ6" i="8"/>
  <c r="AR6" i="8"/>
  <c r="AS6" i="8"/>
  <c r="AT6" i="8"/>
  <c r="AU6" i="8"/>
  <c r="AV6" i="8"/>
  <c r="AW6" i="8"/>
  <c r="AX6" i="8"/>
  <c r="AY6" i="8"/>
  <c r="AZ6" i="8"/>
  <c r="BA6" i="8"/>
  <c r="BB6" i="8"/>
  <c r="BC6" i="8"/>
  <c r="BD6" i="8"/>
  <c r="BE6" i="8"/>
  <c r="BF6" i="8"/>
  <c r="BG6" i="8"/>
  <c r="BH6" i="8"/>
  <c r="BI6" i="8"/>
  <c r="BJ6" i="8"/>
  <c r="BK6" i="8"/>
  <c r="BL6" i="8"/>
  <c r="BM6" i="8"/>
  <c r="BN6" i="8"/>
  <c r="BO6" i="8"/>
  <c r="BP6" i="8"/>
  <c r="BQ6" i="8"/>
  <c r="BR6" i="8"/>
  <c r="BS6" i="8"/>
  <c r="BT6" i="8"/>
  <c r="BU6" i="8"/>
  <c r="BV6" i="8"/>
  <c r="BW6" i="8"/>
  <c r="BX6" i="8"/>
  <c r="BY6" i="8"/>
  <c r="BZ6" i="8"/>
  <c r="CA6" i="8"/>
  <c r="CB6" i="8"/>
  <c r="CC6" i="8"/>
  <c r="CD6" i="8"/>
  <c r="CE6" i="8"/>
  <c r="CF6" i="8"/>
  <c r="CG6" i="8"/>
  <c r="CH6" i="8"/>
  <c r="CI6" i="8"/>
  <c r="CJ6" i="8"/>
  <c r="CK6" i="8"/>
  <c r="CL6" i="8"/>
  <c r="CM6" i="8"/>
  <c r="CN6" i="8"/>
  <c r="CO6" i="8"/>
  <c r="CP6" i="8"/>
  <c r="CQ6" i="8"/>
  <c r="CR6" i="8"/>
  <c r="CS6" i="8"/>
  <c r="CT6" i="8"/>
  <c r="CU6" i="8"/>
  <c r="CV6" i="8"/>
  <c r="CW6" i="8"/>
  <c r="CX6" i="8"/>
  <c r="CY6" i="8"/>
  <c r="CZ6" i="8"/>
  <c r="DA6" i="8"/>
  <c r="DB6" i="8"/>
  <c r="DC6" i="8"/>
  <c r="DD6" i="8"/>
  <c r="DE6" i="8"/>
  <c r="DF6" i="8"/>
  <c r="DG6" i="8"/>
  <c r="DH6" i="8"/>
  <c r="DI6" i="8"/>
  <c r="DJ6" i="8"/>
  <c r="DK6" i="8"/>
  <c r="DL6" i="8"/>
  <c r="DM6" i="8"/>
  <c r="DN6" i="8"/>
  <c r="DO6" i="8"/>
  <c r="DP6" i="8"/>
  <c r="DQ6" i="8"/>
  <c r="DR6" i="8"/>
  <c r="DS6" i="8"/>
  <c r="DT6" i="8"/>
  <c r="DU6" i="8"/>
  <c r="DV6" i="8"/>
  <c r="DW6" i="8"/>
  <c r="DX6" i="8"/>
  <c r="DY6" i="8"/>
  <c r="DZ6" i="8"/>
  <c r="EA6" i="8"/>
  <c r="EB6" i="8"/>
  <c r="EC6" i="8"/>
  <c r="ED6" i="8"/>
  <c r="EE6" i="8"/>
  <c r="EF6" i="8"/>
  <c r="EG6" i="8"/>
  <c r="EH6" i="8"/>
  <c r="EI6" i="8"/>
  <c r="EJ6" i="8"/>
  <c r="EK6" i="8"/>
  <c r="EL6" i="8"/>
  <c r="EM6" i="8"/>
  <c r="EN6" i="8"/>
  <c r="EO6" i="8"/>
  <c r="EP6" i="8"/>
  <c r="EQ6" i="8"/>
  <c r="ER6" i="8"/>
  <c r="ES6" i="8"/>
  <c r="ET6" i="8"/>
  <c r="EU6" i="8"/>
  <c r="EV6" i="8"/>
  <c r="EW6" i="8"/>
  <c r="EX6" i="8"/>
  <c r="EY6" i="8"/>
  <c r="EZ6" i="8"/>
  <c r="FA6" i="8"/>
  <c r="FB6" i="8"/>
  <c r="FC6" i="8"/>
  <c r="FD6" i="8"/>
  <c r="FE6" i="8"/>
  <c r="FF6" i="8"/>
  <c r="FG6" i="8"/>
  <c r="FH6" i="8"/>
  <c r="FI6" i="8"/>
  <c r="FJ6" i="8"/>
  <c r="FK6" i="8"/>
  <c r="FL6" i="8"/>
  <c r="FM6" i="8"/>
  <c r="FN6" i="8"/>
  <c r="FO6" i="8"/>
  <c r="FP6" i="8"/>
  <c r="FQ6" i="8"/>
  <c r="FR6" i="8"/>
  <c r="FS6" i="8"/>
  <c r="FT6" i="8"/>
  <c r="FU6" i="8"/>
  <c r="FV6" i="8"/>
  <c r="FW6" i="8"/>
  <c r="FX6" i="8"/>
  <c r="FY6" i="8"/>
  <c r="FZ6" i="8"/>
  <c r="GA6" i="8"/>
  <c r="GB6" i="8"/>
  <c r="GC6" i="8"/>
  <c r="GD6" i="8"/>
  <c r="GE6" i="8"/>
  <c r="GF6" i="8"/>
  <c r="GG6" i="8"/>
  <c r="GH6" i="8"/>
  <c r="GI6" i="8"/>
  <c r="GJ6" i="8"/>
  <c r="GK6" i="8"/>
  <c r="GL6" i="8"/>
  <c r="GM6" i="8"/>
  <c r="GN6" i="8"/>
  <c r="GO6" i="8"/>
  <c r="GP6" i="8"/>
  <c r="GQ6" i="8"/>
  <c r="GR6" i="8"/>
  <c r="GS6" i="8"/>
  <c r="GT6" i="8"/>
  <c r="GU6" i="8"/>
  <c r="GV6" i="8"/>
  <c r="GW6" i="8"/>
  <c r="GX6" i="8"/>
  <c r="GY6" i="8"/>
  <c r="GZ6" i="8"/>
  <c r="HA6" i="8"/>
  <c r="HB6" i="8"/>
  <c r="HC6" i="8"/>
  <c r="HD6" i="8"/>
  <c r="HE6" i="8"/>
  <c r="HF6" i="8"/>
  <c r="HG6" i="8"/>
  <c r="HH6" i="8"/>
  <c r="HI6" i="8"/>
  <c r="HJ6" i="8"/>
  <c r="HK6" i="8"/>
  <c r="HL6" i="8"/>
  <c r="HM6" i="8"/>
  <c r="HN6" i="8"/>
  <c r="HO6" i="8"/>
  <c r="HP6" i="8"/>
  <c r="HQ6" i="8"/>
  <c r="HR6" i="8"/>
  <c r="HS6" i="8"/>
  <c r="HT6" i="8"/>
  <c r="HU6" i="8"/>
  <c r="HV6" i="8"/>
  <c r="HW6" i="8"/>
  <c r="HX6" i="8"/>
  <c r="I7" i="8"/>
  <c r="J7" i="8"/>
  <c r="K7" i="8"/>
  <c r="L7" i="8"/>
  <c r="M7" i="8"/>
  <c r="N7" i="8"/>
  <c r="O7" i="8"/>
  <c r="P7" i="8"/>
  <c r="Q7" i="8"/>
  <c r="R7" i="8"/>
  <c r="S7" i="8"/>
  <c r="T7" i="8"/>
  <c r="U7" i="8"/>
  <c r="V7" i="8"/>
  <c r="W7" i="8"/>
  <c r="X7" i="8"/>
  <c r="Y7" i="8"/>
  <c r="Z7" i="8"/>
  <c r="AA7" i="8"/>
  <c r="AB7" i="8"/>
  <c r="AC7" i="8"/>
  <c r="AD7" i="8"/>
  <c r="AE7" i="8"/>
  <c r="AF7" i="8"/>
  <c r="AG7" i="8"/>
  <c r="AH7" i="8"/>
  <c r="AI7" i="8"/>
  <c r="AJ7" i="8"/>
  <c r="AK7" i="8"/>
  <c r="AL7" i="8"/>
  <c r="AM7" i="8"/>
  <c r="AN7" i="8"/>
  <c r="AO7" i="8"/>
  <c r="AP7" i="8"/>
  <c r="AQ7" i="8"/>
  <c r="AR7" i="8"/>
  <c r="AS7" i="8"/>
  <c r="AT7" i="8"/>
  <c r="AU7" i="8"/>
  <c r="AV7" i="8"/>
  <c r="AW7" i="8"/>
  <c r="AX7" i="8"/>
  <c r="AY7" i="8"/>
  <c r="AZ7" i="8"/>
  <c r="BA7" i="8"/>
  <c r="BB7" i="8"/>
  <c r="BC7" i="8"/>
  <c r="BD7" i="8"/>
  <c r="BE7" i="8"/>
  <c r="BF7" i="8"/>
  <c r="BG7" i="8"/>
  <c r="BH7" i="8"/>
  <c r="BI7" i="8"/>
  <c r="BJ7" i="8"/>
  <c r="BK7" i="8"/>
  <c r="BL7" i="8"/>
  <c r="BM7" i="8"/>
  <c r="BN7" i="8"/>
  <c r="BO7" i="8"/>
  <c r="BP7" i="8"/>
  <c r="BQ7" i="8"/>
  <c r="BR7" i="8"/>
  <c r="BS7" i="8"/>
  <c r="BT7" i="8"/>
  <c r="BU7" i="8"/>
  <c r="BV7" i="8"/>
  <c r="BW7" i="8"/>
  <c r="BX7" i="8"/>
  <c r="BY7" i="8"/>
  <c r="BZ7" i="8"/>
  <c r="CA7" i="8"/>
  <c r="CB7" i="8"/>
  <c r="CC7" i="8"/>
  <c r="CD7" i="8"/>
  <c r="CE7" i="8"/>
  <c r="CF7" i="8"/>
  <c r="CG7" i="8"/>
  <c r="CH7" i="8"/>
  <c r="CI7" i="8"/>
  <c r="CJ7" i="8"/>
  <c r="CK7" i="8"/>
  <c r="CL7" i="8"/>
  <c r="CM7" i="8"/>
  <c r="CN7" i="8"/>
  <c r="CO7" i="8"/>
  <c r="CP7" i="8"/>
  <c r="CQ7" i="8"/>
  <c r="CR7" i="8"/>
  <c r="CS7" i="8"/>
  <c r="CT7" i="8"/>
  <c r="CU7" i="8"/>
  <c r="CV7" i="8"/>
  <c r="CW7" i="8"/>
  <c r="CX7" i="8"/>
  <c r="CY7" i="8"/>
  <c r="CZ7" i="8"/>
  <c r="DA7" i="8"/>
  <c r="DB7" i="8"/>
  <c r="DC7" i="8"/>
  <c r="DD7" i="8"/>
  <c r="DE7" i="8"/>
  <c r="DF7" i="8"/>
  <c r="DG7" i="8"/>
  <c r="DH7" i="8"/>
  <c r="DI7" i="8"/>
  <c r="DJ7" i="8"/>
  <c r="DK7" i="8"/>
  <c r="DL7" i="8"/>
  <c r="DM7" i="8"/>
  <c r="DN7" i="8"/>
  <c r="DO7" i="8"/>
  <c r="DP7" i="8"/>
  <c r="DQ7" i="8"/>
  <c r="DR7" i="8"/>
  <c r="DS7" i="8"/>
  <c r="DT7" i="8"/>
  <c r="DU7" i="8"/>
  <c r="DV7" i="8"/>
  <c r="DW7" i="8"/>
  <c r="DX7" i="8"/>
  <c r="DY7" i="8"/>
  <c r="DZ7" i="8"/>
  <c r="EA7" i="8"/>
  <c r="EB7" i="8"/>
  <c r="EC7" i="8"/>
  <c r="ED7" i="8"/>
  <c r="EE7" i="8"/>
  <c r="EF7" i="8"/>
  <c r="EG7" i="8"/>
  <c r="EH7" i="8"/>
  <c r="EI7" i="8"/>
  <c r="EJ7" i="8"/>
  <c r="EK7" i="8"/>
  <c r="EL7" i="8"/>
  <c r="EM7" i="8"/>
  <c r="EN7" i="8"/>
  <c r="EO7" i="8"/>
  <c r="EP7" i="8"/>
  <c r="EQ7" i="8"/>
  <c r="ER7" i="8"/>
  <c r="ES7" i="8"/>
  <c r="ET7" i="8"/>
  <c r="EU7" i="8"/>
  <c r="EV7" i="8"/>
  <c r="EW7" i="8"/>
  <c r="EX7" i="8"/>
  <c r="EY7" i="8"/>
  <c r="EZ7" i="8"/>
  <c r="FA7" i="8"/>
  <c r="FB7" i="8"/>
  <c r="FC7" i="8"/>
  <c r="FD7" i="8"/>
  <c r="FE7" i="8"/>
  <c r="FF7" i="8"/>
  <c r="FG7" i="8"/>
  <c r="FH7" i="8"/>
  <c r="FI7" i="8"/>
  <c r="FJ7" i="8"/>
  <c r="FK7" i="8"/>
  <c r="FL7" i="8"/>
  <c r="FM7" i="8"/>
  <c r="FN7" i="8"/>
  <c r="FO7" i="8"/>
  <c r="FP7" i="8"/>
  <c r="FQ7" i="8"/>
  <c r="FR7" i="8"/>
  <c r="FS7" i="8"/>
  <c r="FT7" i="8"/>
  <c r="FU7" i="8"/>
  <c r="FV7" i="8"/>
  <c r="FW7" i="8"/>
  <c r="FX7" i="8"/>
  <c r="FY7" i="8"/>
  <c r="FZ7" i="8"/>
  <c r="GA7" i="8"/>
  <c r="GB7" i="8"/>
  <c r="GC7" i="8"/>
  <c r="GD7" i="8"/>
  <c r="GE7" i="8"/>
  <c r="GF7" i="8"/>
  <c r="GG7" i="8"/>
  <c r="GH7" i="8"/>
  <c r="GI7" i="8"/>
  <c r="GJ7" i="8"/>
  <c r="GK7" i="8"/>
  <c r="GL7" i="8"/>
  <c r="GM7" i="8"/>
  <c r="GN7" i="8"/>
  <c r="GO7" i="8"/>
  <c r="GP7" i="8"/>
  <c r="GQ7" i="8"/>
  <c r="GR7" i="8"/>
  <c r="GS7" i="8"/>
  <c r="GT7" i="8"/>
  <c r="GU7" i="8"/>
  <c r="GV7" i="8"/>
  <c r="GW7" i="8"/>
  <c r="GX7" i="8"/>
  <c r="GY7" i="8"/>
  <c r="GZ7" i="8"/>
  <c r="HA7" i="8"/>
  <c r="HB7" i="8"/>
  <c r="HC7" i="8"/>
  <c r="HD7" i="8"/>
  <c r="HE7" i="8"/>
  <c r="HF7" i="8"/>
  <c r="HG7" i="8"/>
  <c r="HH7" i="8"/>
  <c r="HI7" i="8"/>
  <c r="HJ7" i="8"/>
  <c r="HK7" i="8"/>
  <c r="HL7" i="8"/>
  <c r="HM7" i="8"/>
  <c r="HN7" i="8"/>
  <c r="HO7" i="8"/>
  <c r="HP7" i="8"/>
  <c r="HQ7" i="8"/>
  <c r="HR7" i="8"/>
  <c r="HS7" i="8"/>
  <c r="HT7" i="8"/>
  <c r="HU7" i="8"/>
  <c r="HV7" i="8"/>
  <c r="HW7" i="8"/>
  <c r="HX7" i="8"/>
  <c r="I8" i="8"/>
  <c r="J8" i="8"/>
  <c r="K8" i="8"/>
  <c r="L8" i="8"/>
  <c r="M8" i="8"/>
  <c r="N8" i="8"/>
  <c r="O8" i="8"/>
  <c r="P8" i="8"/>
  <c r="Q8" i="8"/>
  <c r="R8" i="8"/>
  <c r="S8" i="8"/>
  <c r="T8" i="8"/>
  <c r="U8" i="8"/>
  <c r="V8" i="8"/>
  <c r="W8" i="8"/>
  <c r="X8" i="8"/>
  <c r="Y8" i="8"/>
  <c r="Z8" i="8"/>
  <c r="AA8" i="8"/>
  <c r="AB8" i="8"/>
  <c r="AC8" i="8"/>
  <c r="AD8" i="8"/>
  <c r="AE8" i="8"/>
  <c r="AF8" i="8"/>
  <c r="AG8" i="8"/>
  <c r="AH8" i="8"/>
  <c r="AI8" i="8"/>
  <c r="AJ8" i="8"/>
  <c r="AK8" i="8"/>
  <c r="AL8" i="8"/>
  <c r="AM8" i="8"/>
  <c r="AN8" i="8"/>
  <c r="AO8" i="8"/>
  <c r="AP8" i="8"/>
  <c r="AQ8" i="8"/>
  <c r="AR8" i="8"/>
  <c r="AS8" i="8"/>
  <c r="AT8" i="8"/>
  <c r="AU8" i="8"/>
  <c r="AV8" i="8"/>
  <c r="AW8" i="8"/>
  <c r="AX8" i="8"/>
  <c r="AY8" i="8"/>
  <c r="AZ8" i="8"/>
  <c r="BA8" i="8"/>
  <c r="BB8" i="8"/>
  <c r="BC8" i="8"/>
  <c r="BD8" i="8"/>
  <c r="BE8" i="8"/>
  <c r="BF8" i="8"/>
  <c r="BG8" i="8"/>
  <c r="BH8" i="8"/>
  <c r="BI8" i="8"/>
  <c r="BJ8" i="8"/>
  <c r="BK8" i="8"/>
  <c r="BL8" i="8"/>
  <c r="BM8" i="8"/>
  <c r="BN8" i="8"/>
  <c r="BO8" i="8"/>
  <c r="BP8" i="8"/>
  <c r="BQ8" i="8"/>
  <c r="BR8" i="8"/>
  <c r="BS8" i="8"/>
  <c r="BT8" i="8"/>
  <c r="BU8" i="8"/>
  <c r="BV8" i="8"/>
  <c r="BW8" i="8"/>
  <c r="BX8" i="8"/>
  <c r="BY8" i="8"/>
  <c r="BZ8" i="8"/>
  <c r="CA8" i="8"/>
  <c r="CB8" i="8"/>
  <c r="CC8" i="8"/>
  <c r="CD8" i="8"/>
  <c r="CE8" i="8"/>
  <c r="CF8" i="8"/>
  <c r="CG8" i="8"/>
  <c r="CH8" i="8"/>
  <c r="CI8" i="8"/>
  <c r="CJ8" i="8"/>
  <c r="CK8" i="8"/>
  <c r="CL8" i="8"/>
  <c r="CM8" i="8"/>
  <c r="CN8" i="8"/>
  <c r="CO8" i="8"/>
  <c r="CP8" i="8"/>
  <c r="CQ8" i="8"/>
  <c r="CR8" i="8"/>
  <c r="CS8" i="8"/>
  <c r="CT8" i="8"/>
  <c r="CU8" i="8"/>
  <c r="CV8" i="8"/>
  <c r="CW8" i="8"/>
  <c r="CX8" i="8"/>
  <c r="CY8" i="8"/>
  <c r="CZ8" i="8"/>
  <c r="DA8" i="8"/>
  <c r="DB8" i="8"/>
  <c r="DC8" i="8"/>
  <c r="DD8" i="8"/>
  <c r="DE8" i="8"/>
  <c r="DF8" i="8"/>
  <c r="DG8" i="8"/>
  <c r="DH8" i="8"/>
  <c r="DI8" i="8"/>
  <c r="DJ8" i="8"/>
  <c r="DK8" i="8"/>
  <c r="DL8" i="8"/>
  <c r="DM8" i="8"/>
  <c r="DN8" i="8"/>
  <c r="DO8" i="8"/>
  <c r="DP8" i="8"/>
  <c r="DQ8" i="8"/>
  <c r="DR8" i="8"/>
  <c r="DS8" i="8"/>
  <c r="DT8" i="8"/>
  <c r="DU8" i="8"/>
  <c r="DV8" i="8"/>
  <c r="DW8" i="8"/>
  <c r="DX8" i="8"/>
  <c r="DY8" i="8"/>
  <c r="DZ8" i="8"/>
  <c r="EA8" i="8"/>
  <c r="EB8" i="8"/>
  <c r="EC8" i="8"/>
  <c r="ED8" i="8"/>
  <c r="EE8" i="8"/>
  <c r="EF8" i="8"/>
  <c r="EG8" i="8"/>
  <c r="EH8" i="8"/>
  <c r="EI8" i="8"/>
  <c r="EJ8" i="8"/>
  <c r="EK8" i="8"/>
  <c r="EL8" i="8"/>
  <c r="EM8" i="8"/>
  <c r="EN8" i="8"/>
  <c r="EO8" i="8"/>
  <c r="EP8" i="8"/>
  <c r="EQ8" i="8"/>
  <c r="ER8" i="8"/>
  <c r="ES8" i="8"/>
  <c r="ET8" i="8"/>
  <c r="EU8" i="8"/>
  <c r="EV8" i="8"/>
  <c r="EW8" i="8"/>
  <c r="EX8" i="8"/>
  <c r="EY8" i="8"/>
  <c r="EZ8" i="8"/>
  <c r="FA8" i="8"/>
  <c r="FB8" i="8"/>
  <c r="FC8" i="8"/>
  <c r="FD8" i="8"/>
  <c r="FE8" i="8"/>
  <c r="FF8" i="8"/>
  <c r="FG8" i="8"/>
  <c r="FH8" i="8"/>
  <c r="FI8" i="8"/>
  <c r="FJ8" i="8"/>
  <c r="FK8" i="8"/>
  <c r="FL8" i="8"/>
  <c r="FM8" i="8"/>
  <c r="FN8" i="8"/>
  <c r="FO8" i="8"/>
  <c r="FP8" i="8"/>
  <c r="FQ8" i="8"/>
  <c r="FR8" i="8"/>
  <c r="FS8" i="8"/>
  <c r="FT8" i="8"/>
  <c r="FU8" i="8"/>
  <c r="FV8" i="8"/>
  <c r="FW8" i="8"/>
  <c r="FX8" i="8"/>
  <c r="FY8" i="8"/>
  <c r="FZ8" i="8"/>
  <c r="GA8" i="8"/>
  <c r="GB8" i="8"/>
  <c r="GC8" i="8"/>
  <c r="GD8" i="8"/>
  <c r="GE8" i="8"/>
  <c r="GF8" i="8"/>
  <c r="GG8" i="8"/>
  <c r="GH8" i="8"/>
  <c r="GI8" i="8"/>
  <c r="GJ8" i="8"/>
  <c r="GK8" i="8"/>
  <c r="GL8" i="8"/>
  <c r="GM8" i="8"/>
  <c r="GN8" i="8"/>
  <c r="GO8" i="8"/>
  <c r="GP8" i="8"/>
  <c r="GQ8" i="8"/>
  <c r="GR8" i="8"/>
  <c r="GS8" i="8"/>
  <c r="GT8" i="8"/>
  <c r="GU8" i="8"/>
  <c r="GV8" i="8"/>
  <c r="GW8" i="8"/>
  <c r="GX8" i="8"/>
  <c r="GY8" i="8"/>
  <c r="GZ8" i="8"/>
  <c r="HA8" i="8"/>
  <c r="HB8" i="8"/>
  <c r="HC8" i="8"/>
  <c r="HD8" i="8"/>
  <c r="HE8" i="8"/>
  <c r="HF8" i="8"/>
  <c r="HG8" i="8"/>
  <c r="HH8" i="8"/>
  <c r="HI8" i="8"/>
  <c r="HJ8" i="8"/>
  <c r="HK8" i="8"/>
  <c r="HL8" i="8"/>
  <c r="HM8" i="8"/>
  <c r="HN8" i="8"/>
  <c r="HO8" i="8"/>
  <c r="HP8" i="8"/>
  <c r="HQ8" i="8"/>
  <c r="HR8" i="8"/>
  <c r="HS8" i="8"/>
  <c r="HT8" i="8"/>
  <c r="HU8" i="8"/>
  <c r="HV8" i="8"/>
  <c r="HW8" i="8"/>
  <c r="HX8" i="8"/>
  <c r="I9" i="8"/>
  <c r="J9" i="8"/>
  <c r="K9" i="8"/>
  <c r="L9" i="8"/>
  <c r="M9" i="8"/>
  <c r="N9" i="8"/>
  <c r="O9" i="8"/>
  <c r="P9" i="8"/>
  <c r="Q9" i="8"/>
  <c r="R9" i="8"/>
  <c r="S9" i="8"/>
  <c r="T9" i="8"/>
  <c r="U9" i="8"/>
  <c r="V9" i="8"/>
  <c r="W9" i="8"/>
  <c r="X9" i="8"/>
  <c r="Y9" i="8"/>
  <c r="Z9" i="8"/>
  <c r="AA9" i="8"/>
  <c r="AB9" i="8"/>
  <c r="AC9" i="8"/>
  <c r="AD9" i="8"/>
  <c r="AE9" i="8"/>
  <c r="AF9" i="8"/>
  <c r="AG9" i="8"/>
  <c r="AH9" i="8"/>
  <c r="AI9" i="8"/>
  <c r="AJ9" i="8"/>
  <c r="AK9" i="8"/>
  <c r="AL9" i="8"/>
  <c r="AM9" i="8"/>
  <c r="AN9" i="8"/>
  <c r="AO9" i="8"/>
  <c r="AP9" i="8"/>
  <c r="AQ9" i="8"/>
  <c r="AR9" i="8"/>
  <c r="AS9" i="8"/>
  <c r="AT9" i="8"/>
  <c r="AU9" i="8"/>
  <c r="AV9" i="8"/>
  <c r="AW9" i="8"/>
  <c r="AX9" i="8"/>
  <c r="AY9" i="8"/>
  <c r="AZ9" i="8"/>
  <c r="BA9" i="8"/>
  <c r="BB9" i="8"/>
  <c r="BC9" i="8"/>
  <c r="BD9" i="8"/>
  <c r="BE9" i="8"/>
  <c r="BF9" i="8"/>
  <c r="BG9" i="8"/>
  <c r="BH9" i="8"/>
  <c r="BI9" i="8"/>
  <c r="BJ9" i="8"/>
  <c r="BK9" i="8"/>
  <c r="BL9" i="8"/>
  <c r="BM9" i="8"/>
  <c r="BN9" i="8"/>
  <c r="BO9" i="8"/>
  <c r="BP9" i="8"/>
  <c r="BQ9" i="8"/>
  <c r="BR9" i="8"/>
  <c r="BS9" i="8"/>
  <c r="BT9" i="8"/>
  <c r="BU9" i="8"/>
  <c r="BV9" i="8"/>
  <c r="BW9" i="8"/>
  <c r="BX9" i="8"/>
  <c r="BY9" i="8"/>
  <c r="BZ9" i="8"/>
  <c r="CA9" i="8"/>
  <c r="CB9" i="8"/>
  <c r="CC9" i="8"/>
  <c r="CD9" i="8"/>
  <c r="CE9" i="8"/>
  <c r="CF9" i="8"/>
  <c r="CG9" i="8"/>
  <c r="CH9" i="8"/>
  <c r="CI9" i="8"/>
  <c r="CJ9" i="8"/>
  <c r="CK9" i="8"/>
  <c r="CL9" i="8"/>
  <c r="CM9" i="8"/>
  <c r="CN9" i="8"/>
  <c r="CO9" i="8"/>
  <c r="CP9" i="8"/>
  <c r="CQ9" i="8"/>
  <c r="CR9" i="8"/>
  <c r="CS9" i="8"/>
  <c r="CT9" i="8"/>
  <c r="CU9" i="8"/>
  <c r="CV9" i="8"/>
  <c r="CW9" i="8"/>
  <c r="CX9" i="8"/>
  <c r="CY9" i="8"/>
  <c r="CZ9" i="8"/>
  <c r="DA9" i="8"/>
  <c r="DB9" i="8"/>
  <c r="DC9" i="8"/>
  <c r="DD9" i="8"/>
  <c r="DE9" i="8"/>
  <c r="DF9" i="8"/>
  <c r="DG9" i="8"/>
  <c r="DH9" i="8"/>
  <c r="DI9" i="8"/>
  <c r="DJ9" i="8"/>
  <c r="DK9" i="8"/>
  <c r="DL9" i="8"/>
  <c r="DM9" i="8"/>
  <c r="DN9" i="8"/>
  <c r="DO9" i="8"/>
  <c r="DP9" i="8"/>
  <c r="DQ9" i="8"/>
  <c r="DR9" i="8"/>
  <c r="DS9" i="8"/>
  <c r="DT9" i="8"/>
  <c r="DU9" i="8"/>
  <c r="DV9" i="8"/>
  <c r="DW9" i="8"/>
  <c r="DX9" i="8"/>
  <c r="DY9" i="8"/>
  <c r="DZ9" i="8"/>
  <c r="EA9" i="8"/>
  <c r="EB9" i="8"/>
  <c r="EC9" i="8"/>
  <c r="ED9" i="8"/>
  <c r="EE9" i="8"/>
  <c r="EF9" i="8"/>
  <c r="EG9" i="8"/>
  <c r="EH9" i="8"/>
  <c r="EI9" i="8"/>
  <c r="EJ9" i="8"/>
  <c r="EK9" i="8"/>
  <c r="EL9" i="8"/>
  <c r="EM9" i="8"/>
  <c r="EN9" i="8"/>
  <c r="EO9" i="8"/>
  <c r="EP9" i="8"/>
  <c r="EQ9" i="8"/>
  <c r="ER9" i="8"/>
  <c r="ES9" i="8"/>
  <c r="ET9" i="8"/>
  <c r="EU9" i="8"/>
  <c r="EV9" i="8"/>
  <c r="EW9" i="8"/>
  <c r="EX9" i="8"/>
  <c r="EY9" i="8"/>
  <c r="EZ9" i="8"/>
  <c r="FA9" i="8"/>
  <c r="FB9" i="8"/>
  <c r="FC9" i="8"/>
  <c r="FD9" i="8"/>
  <c r="FE9" i="8"/>
  <c r="FF9" i="8"/>
  <c r="FG9" i="8"/>
  <c r="FH9" i="8"/>
  <c r="FI9" i="8"/>
  <c r="FJ9" i="8"/>
  <c r="FK9" i="8"/>
  <c r="FL9" i="8"/>
  <c r="FM9" i="8"/>
  <c r="FN9" i="8"/>
  <c r="FO9" i="8"/>
  <c r="FP9" i="8"/>
  <c r="FQ9" i="8"/>
  <c r="FR9" i="8"/>
  <c r="FS9" i="8"/>
  <c r="FT9" i="8"/>
  <c r="FU9" i="8"/>
  <c r="FV9" i="8"/>
  <c r="FW9" i="8"/>
  <c r="FX9" i="8"/>
  <c r="FY9" i="8"/>
  <c r="FZ9" i="8"/>
  <c r="GA9" i="8"/>
  <c r="GB9" i="8"/>
  <c r="GC9" i="8"/>
  <c r="GD9" i="8"/>
  <c r="GE9" i="8"/>
  <c r="GF9" i="8"/>
  <c r="GG9" i="8"/>
  <c r="GH9" i="8"/>
  <c r="GI9" i="8"/>
  <c r="GJ9" i="8"/>
  <c r="GK9" i="8"/>
  <c r="GL9" i="8"/>
  <c r="GM9" i="8"/>
  <c r="GN9" i="8"/>
  <c r="GO9" i="8"/>
  <c r="GP9" i="8"/>
  <c r="GQ9" i="8"/>
  <c r="GR9" i="8"/>
  <c r="GS9" i="8"/>
  <c r="GT9" i="8"/>
  <c r="GU9" i="8"/>
  <c r="GV9" i="8"/>
  <c r="GW9" i="8"/>
  <c r="GX9" i="8"/>
  <c r="GY9" i="8"/>
  <c r="GZ9" i="8"/>
  <c r="HA9" i="8"/>
  <c r="HB9" i="8"/>
  <c r="HC9" i="8"/>
  <c r="HD9" i="8"/>
  <c r="HE9" i="8"/>
  <c r="HF9" i="8"/>
  <c r="HG9" i="8"/>
  <c r="HH9" i="8"/>
  <c r="HI9" i="8"/>
  <c r="HJ9" i="8"/>
  <c r="HK9" i="8"/>
  <c r="HL9" i="8"/>
  <c r="HM9" i="8"/>
  <c r="HN9" i="8"/>
  <c r="HO9" i="8"/>
  <c r="HP9" i="8"/>
  <c r="HQ9" i="8"/>
  <c r="HR9" i="8"/>
  <c r="HS9" i="8"/>
  <c r="HT9" i="8"/>
  <c r="HU9" i="8"/>
  <c r="HV9" i="8"/>
  <c r="HW9" i="8"/>
  <c r="HX9" i="8"/>
  <c r="I10" i="8"/>
  <c r="J10" i="8"/>
  <c r="K10" i="8"/>
  <c r="L10" i="8"/>
  <c r="M10" i="8"/>
  <c r="N10" i="8"/>
  <c r="O10" i="8"/>
  <c r="P10" i="8"/>
  <c r="Q10" i="8"/>
  <c r="R10" i="8"/>
  <c r="S10" i="8"/>
  <c r="T10" i="8"/>
  <c r="U10" i="8"/>
  <c r="V10" i="8"/>
  <c r="W10" i="8"/>
  <c r="X10" i="8"/>
  <c r="Y10" i="8"/>
  <c r="Z10" i="8"/>
  <c r="AA10" i="8"/>
  <c r="AB10" i="8"/>
  <c r="AC10" i="8"/>
  <c r="AD10" i="8"/>
  <c r="AE10" i="8"/>
  <c r="AF10" i="8"/>
  <c r="AG10" i="8"/>
  <c r="AH10" i="8"/>
  <c r="AI10" i="8"/>
  <c r="AJ10" i="8"/>
  <c r="AK10" i="8"/>
  <c r="AL10" i="8"/>
  <c r="AM10" i="8"/>
  <c r="AN10" i="8"/>
  <c r="AO10" i="8"/>
  <c r="AP10" i="8"/>
  <c r="AQ10" i="8"/>
  <c r="AR10" i="8"/>
  <c r="AS10" i="8"/>
  <c r="AT10" i="8"/>
  <c r="AU10" i="8"/>
  <c r="AV10" i="8"/>
  <c r="AW10" i="8"/>
  <c r="AX10" i="8"/>
  <c r="AY10" i="8"/>
  <c r="AZ10" i="8"/>
  <c r="BA10" i="8"/>
  <c r="BB10" i="8"/>
  <c r="BC10" i="8"/>
  <c r="BD10" i="8"/>
  <c r="BE10" i="8"/>
  <c r="BF10" i="8"/>
  <c r="BG10" i="8"/>
  <c r="BH10" i="8"/>
  <c r="BI10" i="8"/>
  <c r="BJ10" i="8"/>
  <c r="BK10" i="8"/>
  <c r="BL10" i="8"/>
  <c r="BM10" i="8"/>
  <c r="BN10" i="8"/>
  <c r="BO10" i="8"/>
  <c r="BP10" i="8"/>
  <c r="BQ10" i="8"/>
  <c r="BR10" i="8"/>
  <c r="BS10" i="8"/>
  <c r="BT10" i="8"/>
  <c r="BU10" i="8"/>
  <c r="BV10" i="8"/>
  <c r="BW10" i="8"/>
  <c r="BX10" i="8"/>
  <c r="BY10" i="8"/>
  <c r="BZ10" i="8"/>
  <c r="CA10" i="8"/>
  <c r="CB10" i="8"/>
  <c r="CC10" i="8"/>
  <c r="CD10" i="8"/>
  <c r="CE10" i="8"/>
  <c r="CF10" i="8"/>
  <c r="CG10" i="8"/>
  <c r="CH10" i="8"/>
  <c r="CI10" i="8"/>
  <c r="CJ10" i="8"/>
  <c r="CK10" i="8"/>
  <c r="CL10" i="8"/>
  <c r="CM10" i="8"/>
  <c r="CN10" i="8"/>
  <c r="CO10" i="8"/>
  <c r="CP10" i="8"/>
  <c r="CQ10" i="8"/>
  <c r="CR10" i="8"/>
  <c r="CS10" i="8"/>
  <c r="CT10" i="8"/>
  <c r="CU10" i="8"/>
  <c r="CV10" i="8"/>
  <c r="CW10" i="8"/>
  <c r="CX10" i="8"/>
  <c r="CY10" i="8"/>
  <c r="CZ10" i="8"/>
  <c r="DA10" i="8"/>
  <c r="DB10" i="8"/>
  <c r="DC10" i="8"/>
  <c r="DD10" i="8"/>
  <c r="DE10" i="8"/>
  <c r="DF10" i="8"/>
  <c r="DG10" i="8"/>
  <c r="DH10" i="8"/>
  <c r="DI10" i="8"/>
  <c r="DJ10" i="8"/>
  <c r="DK10" i="8"/>
  <c r="DL10" i="8"/>
  <c r="DM10" i="8"/>
  <c r="DN10" i="8"/>
  <c r="DO10" i="8"/>
  <c r="DP10" i="8"/>
  <c r="DQ10" i="8"/>
  <c r="DR10" i="8"/>
  <c r="DS10" i="8"/>
  <c r="DT10" i="8"/>
  <c r="DU10" i="8"/>
  <c r="DV10" i="8"/>
  <c r="DW10" i="8"/>
  <c r="DX10" i="8"/>
  <c r="DY10" i="8"/>
  <c r="DZ10" i="8"/>
  <c r="EA10" i="8"/>
  <c r="EB10" i="8"/>
  <c r="EC10" i="8"/>
  <c r="ED10" i="8"/>
  <c r="EE10" i="8"/>
  <c r="EF10" i="8"/>
  <c r="EG10" i="8"/>
  <c r="EH10" i="8"/>
  <c r="EI10" i="8"/>
  <c r="EJ10" i="8"/>
  <c r="EK10" i="8"/>
  <c r="EL10" i="8"/>
  <c r="EM10" i="8"/>
  <c r="EN10" i="8"/>
  <c r="EO10" i="8"/>
  <c r="EP10" i="8"/>
  <c r="EQ10" i="8"/>
  <c r="ER10" i="8"/>
  <c r="ES10" i="8"/>
  <c r="ET10" i="8"/>
  <c r="EU10" i="8"/>
  <c r="EV10" i="8"/>
  <c r="EW10" i="8"/>
  <c r="EX10" i="8"/>
  <c r="EY10" i="8"/>
  <c r="EZ10" i="8"/>
  <c r="FA10" i="8"/>
  <c r="FB10" i="8"/>
  <c r="FC10" i="8"/>
  <c r="FD10" i="8"/>
  <c r="FE10" i="8"/>
  <c r="FF10" i="8"/>
  <c r="FG10" i="8"/>
  <c r="FH10" i="8"/>
  <c r="FI10" i="8"/>
  <c r="FJ10" i="8"/>
  <c r="FK10" i="8"/>
  <c r="FL10" i="8"/>
  <c r="FM10" i="8"/>
  <c r="FN10" i="8"/>
  <c r="FO10" i="8"/>
  <c r="FP10" i="8"/>
  <c r="FQ10" i="8"/>
  <c r="FR10" i="8"/>
  <c r="FS10" i="8"/>
  <c r="FT10" i="8"/>
  <c r="FU10" i="8"/>
  <c r="FV10" i="8"/>
  <c r="FW10" i="8"/>
  <c r="FX10" i="8"/>
  <c r="FY10" i="8"/>
  <c r="FZ10" i="8"/>
  <c r="GA10" i="8"/>
  <c r="GB10" i="8"/>
  <c r="GC10" i="8"/>
  <c r="GD10" i="8"/>
  <c r="GE10" i="8"/>
  <c r="GF10" i="8"/>
  <c r="GG10" i="8"/>
  <c r="GH10" i="8"/>
  <c r="GI10" i="8"/>
  <c r="GJ10" i="8"/>
  <c r="GK10" i="8"/>
  <c r="GL10" i="8"/>
  <c r="GM10" i="8"/>
  <c r="GN10" i="8"/>
  <c r="GO10" i="8"/>
  <c r="GP10" i="8"/>
  <c r="GQ10" i="8"/>
  <c r="GR10" i="8"/>
  <c r="GS10" i="8"/>
  <c r="GT10" i="8"/>
  <c r="GU10" i="8"/>
  <c r="GV10" i="8"/>
  <c r="GW10" i="8"/>
  <c r="GX10" i="8"/>
  <c r="GY10" i="8"/>
  <c r="GZ10" i="8"/>
  <c r="HA10" i="8"/>
  <c r="HB10" i="8"/>
  <c r="HC10" i="8"/>
  <c r="HD10" i="8"/>
  <c r="HE10" i="8"/>
  <c r="HF10" i="8"/>
  <c r="HG10" i="8"/>
  <c r="HH10" i="8"/>
  <c r="HI10" i="8"/>
  <c r="HJ10" i="8"/>
  <c r="HK10" i="8"/>
  <c r="HL10" i="8"/>
  <c r="HM10" i="8"/>
  <c r="HN10" i="8"/>
  <c r="HO10" i="8"/>
  <c r="HP10" i="8"/>
  <c r="HQ10" i="8"/>
  <c r="HR10" i="8"/>
  <c r="HS10" i="8"/>
  <c r="HT10" i="8"/>
  <c r="HU10" i="8"/>
  <c r="HV10" i="8"/>
  <c r="HW10" i="8"/>
  <c r="HX10" i="8"/>
  <c r="I11" i="8"/>
  <c r="J11" i="8"/>
  <c r="K11" i="8"/>
  <c r="L11" i="8"/>
  <c r="M11" i="8"/>
  <c r="N11" i="8"/>
  <c r="O11" i="8"/>
  <c r="P11" i="8"/>
  <c r="Q11" i="8"/>
  <c r="R11" i="8"/>
  <c r="S11" i="8"/>
  <c r="T11" i="8"/>
  <c r="U11" i="8"/>
  <c r="V11" i="8"/>
  <c r="W11" i="8"/>
  <c r="X11" i="8"/>
  <c r="Y11" i="8"/>
  <c r="Z11" i="8"/>
  <c r="AA11" i="8"/>
  <c r="AB11" i="8"/>
  <c r="AC11" i="8"/>
  <c r="AD11" i="8"/>
  <c r="AE11" i="8"/>
  <c r="AF11" i="8"/>
  <c r="AG11" i="8"/>
  <c r="AH11" i="8"/>
  <c r="AI11" i="8"/>
  <c r="AJ11" i="8"/>
  <c r="AK11" i="8"/>
  <c r="AL11" i="8"/>
  <c r="AM11" i="8"/>
  <c r="AN11" i="8"/>
  <c r="AO11" i="8"/>
  <c r="AP11" i="8"/>
  <c r="AQ11" i="8"/>
  <c r="AR11" i="8"/>
  <c r="AS11" i="8"/>
  <c r="AT11" i="8"/>
  <c r="AU11" i="8"/>
  <c r="AV11" i="8"/>
  <c r="AW11" i="8"/>
  <c r="AX11" i="8"/>
  <c r="AY11" i="8"/>
  <c r="AZ11" i="8"/>
  <c r="BA11" i="8"/>
  <c r="BB11" i="8"/>
  <c r="BC11" i="8"/>
  <c r="BD11" i="8"/>
  <c r="BE11" i="8"/>
  <c r="BF11" i="8"/>
  <c r="BG11" i="8"/>
  <c r="BH11" i="8"/>
  <c r="BI11" i="8"/>
  <c r="BJ11" i="8"/>
  <c r="BK11" i="8"/>
  <c r="BL11" i="8"/>
  <c r="BM11" i="8"/>
  <c r="BN11" i="8"/>
  <c r="BO11" i="8"/>
  <c r="BP11" i="8"/>
  <c r="BQ11" i="8"/>
  <c r="BR11" i="8"/>
  <c r="BS11" i="8"/>
  <c r="BT11" i="8"/>
  <c r="BU11" i="8"/>
  <c r="BV11" i="8"/>
  <c r="BW11" i="8"/>
  <c r="BX11" i="8"/>
  <c r="BY11" i="8"/>
  <c r="BZ11" i="8"/>
  <c r="CA11" i="8"/>
  <c r="CB11" i="8"/>
  <c r="CC11" i="8"/>
  <c r="CD11" i="8"/>
  <c r="CE11" i="8"/>
  <c r="CF11" i="8"/>
  <c r="CG11" i="8"/>
  <c r="CH11" i="8"/>
  <c r="CI11" i="8"/>
  <c r="CJ11" i="8"/>
  <c r="CK11" i="8"/>
  <c r="CL11" i="8"/>
  <c r="CM11" i="8"/>
  <c r="CN11" i="8"/>
  <c r="CO11" i="8"/>
  <c r="CP11" i="8"/>
  <c r="CQ11" i="8"/>
  <c r="CR11" i="8"/>
  <c r="CS11" i="8"/>
  <c r="CT11" i="8"/>
  <c r="CU11" i="8"/>
  <c r="CV11" i="8"/>
  <c r="CW11" i="8"/>
  <c r="CX11" i="8"/>
  <c r="CY11" i="8"/>
  <c r="CZ11" i="8"/>
  <c r="DA11" i="8"/>
  <c r="DB11" i="8"/>
  <c r="DC11" i="8"/>
  <c r="DD11" i="8"/>
  <c r="DE11" i="8"/>
  <c r="DF11" i="8"/>
  <c r="DG11" i="8"/>
  <c r="DH11" i="8"/>
  <c r="DI11" i="8"/>
  <c r="DJ11" i="8"/>
  <c r="DK11" i="8"/>
  <c r="DL11" i="8"/>
  <c r="DM11" i="8"/>
  <c r="DN11" i="8"/>
  <c r="DO11" i="8"/>
  <c r="DP11" i="8"/>
  <c r="DQ11" i="8"/>
  <c r="DR11" i="8"/>
  <c r="DS11" i="8"/>
  <c r="DT11" i="8"/>
  <c r="DU11" i="8"/>
  <c r="DV11" i="8"/>
  <c r="DW11" i="8"/>
  <c r="DX11" i="8"/>
  <c r="DY11" i="8"/>
  <c r="DZ11" i="8"/>
  <c r="EA11" i="8"/>
  <c r="EB11" i="8"/>
  <c r="EC11" i="8"/>
  <c r="ED11" i="8"/>
  <c r="EE11" i="8"/>
  <c r="EF11" i="8"/>
  <c r="EG11" i="8"/>
  <c r="EH11" i="8"/>
  <c r="EI11" i="8"/>
  <c r="EJ11" i="8"/>
  <c r="EK11" i="8"/>
  <c r="EL11" i="8"/>
  <c r="EM11" i="8"/>
  <c r="EN11" i="8"/>
  <c r="EO11" i="8"/>
  <c r="EP11" i="8"/>
  <c r="EQ11" i="8"/>
  <c r="ER11" i="8"/>
  <c r="ES11" i="8"/>
  <c r="ET11" i="8"/>
  <c r="EU11" i="8"/>
  <c r="EV11" i="8"/>
  <c r="EW11" i="8"/>
  <c r="EX11" i="8"/>
  <c r="EY11" i="8"/>
  <c r="EZ11" i="8"/>
  <c r="FA11" i="8"/>
  <c r="FB11" i="8"/>
  <c r="FC11" i="8"/>
  <c r="FD11" i="8"/>
  <c r="FE11" i="8"/>
  <c r="FF11" i="8"/>
  <c r="FG11" i="8"/>
  <c r="FH11" i="8"/>
  <c r="FI11" i="8"/>
  <c r="FJ11" i="8"/>
  <c r="FK11" i="8"/>
  <c r="FL11" i="8"/>
  <c r="FM11" i="8"/>
  <c r="FN11" i="8"/>
  <c r="FO11" i="8"/>
  <c r="FP11" i="8"/>
  <c r="FQ11" i="8"/>
  <c r="FR11" i="8"/>
  <c r="FS11" i="8"/>
  <c r="FT11" i="8"/>
  <c r="FU11" i="8"/>
  <c r="FV11" i="8"/>
  <c r="FW11" i="8"/>
  <c r="FX11" i="8"/>
  <c r="FY11" i="8"/>
  <c r="FZ11" i="8"/>
  <c r="GA11" i="8"/>
  <c r="GB11" i="8"/>
  <c r="GC11" i="8"/>
  <c r="GD11" i="8"/>
  <c r="GE11" i="8"/>
  <c r="GF11" i="8"/>
  <c r="GG11" i="8"/>
  <c r="GH11" i="8"/>
  <c r="GI11" i="8"/>
  <c r="GJ11" i="8"/>
  <c r="GK11" i="8"/>
  <c r="GL11" i="8"/>
  <c r="GM11" i="8"/>
  <c r="GN11" i="8"/>
  <c r="GO11" i="8"/>
  <c r="GP11" i="8"/>
  <c r="GQ11" i="8"/>
  <c r="GR11" i="8"/>
  <c r="GS11" i="8"/>
  <c r="GT11" i="8"/>
  <c r="GU11" i="8"/>
  <c r="GV11" i="8"/>
  <c r="GW11" i="8"/>
  <c r="GX11" i="8"/>
  <c r="GY11" i="8"/>
  <c r="GZ11" i="8"/>
  <c r="HA11" i="8"/>
  <c r="HB11" i="8"/>
  <c r="HC11" i="8"/>
  <c r="HD11" i="8"/>
  <c r="HE11" i="8"/>
  <c r="HF11" i="8"/>
  <c r="HG11" i="8"/>
  <c r="HH11" i="8"/>
  <c r="HI11" i="8"/>
  <c r="HJ11" i="8"/>
  <c r="HK11" i="8"/>
  <c r="HL11" i="8"/>
  <c r="HM11" i="8"/>
  <c r="HN11" i="8"/>
  <c r="HO11" i="8"/>
  <c r="HP11" i="8"/>
  <c r="HQ11" i="8"/>
  <c r="HR11" i="8"/>
  <c r="HS11" i="8"/>
  <c r="HT11" i="8"/>
  <c r="HU11" i="8"/>
  <c r="HV11" i="8"/>
  <c r="HW11" i="8"/>
  <c r="HX11" i="8"/>
  <c r="I12" i="8"/>
  <c r="J12" i="8"/>
  <c r="K12" i="8"/>
  <c r="L12" i="8"/>
  <c r="M12" i="8"/>
  <c r="N12" i="8"/>
  <c r="O12" i="8"/>
  <c r="P12" i="8"/>
  <c r="Q12" i="8"/>
  <c r="R12" i="8"/>
  <c r="S12" i="8"/>
  <c r="T12" i="8"/>
  <c r="U12" i="8"/>
  <c r="V12" i="8"/>
  <c r="W12" i="8"/>
  <c r="X12" i="8"/>
  <c r="Y12" i="8"/>
  <c r="Z12" i="8"/>
  <c r="AA12" i="8"/>
  <c r="AB12" i="8"/>
  <c r="AC12" i="8"/>
  <c r="AD12" i="8"/>
  <c r="AE12" i="8"/>
  <c r="AF12" i="8"/>
  <c r="AG12" i="8"/>
  <c r="AH12" i="8"/>
  <c r="AI12" i="8"/>
  <c r="AJ12" i="8"/>
  <c r="AK12" i="8"/>
  <c r="AL12" i="8"/>
  <c r="AM12" i="8"/>
  <c r="AN12" i="8"/>
  <c r="AO12" i="8"/>
  <c r="AP12" i="8"/>
  <c r="AQ12" i="8"/>
  <c r="AR12" i="8"/>
  <c r="AS12" i="8"/>
  <c r="AT12" i="8"/>
  <c r="AU12" i="8"/>
  <c r="AV12" i="8"/>
  <c r="AW12" i="8"/>
  <c r="AX12" i="8"/>
  <c r="AY12" i="8"/>
  <c r="AZ12" i="8"/>
  <c r="BA12" i="8"/>
  <c r="BB12" i="8"/>
  <c r="BC12" i="8"/>
  <c r="BD12" i="8"/>
  <c r="BE12" i="8"/>
  <c r="BF12" i="8"/>
  <c r="BG12" i="8"/>
  <c r="BH12" i="8"/>
  <c r="BI12" i="8"/>
  <c r="BJ12" i="8"/>
  <c r="BK12" i="8"/>
  <c r="BL12" i="8"/>
  <c r="BM12" i="8"/>
  <c r="BN12" i="8"/>
  <c r="BO12" i="8"/>
  <c r="BP12" i="8"/>
  <c r="BQ12" i="8"/>
  <c r="BR12" i="8"/>
  <c r="BS12" i="8"/>
  <c r="BT12" i="8"/>
  <c r="BU12" i="8"/>
  <c r="BV12" i="8"/>
  <c r="BW12" i="8"/>
  <c r="BX12" i="8"/>
  <c r="BY12" i="8"/>
  <c r="BZ12" i="8"/>
  <c r="CA12" i="8"/>
  <c r="CB12" i="8"/>
  <c r="CC12" i="8"/>
  <c r="CD12" i="8"/>
  <c r="CE12" i="8"/>
  <c r="CF12" i="8"/>
  <c r="CG12" i="8"/>
  <c r="CH12" i="8"/>
  <c r="CI12" i="8"/>
  <c r="CJ12" i="8"/>
  <c r="CK12" i="8"/>
  <c r="CL12" i="8"/>
  <c r="CM12" i="8"/>
  <c r="CN12" i="8"/>
  <c r="CO12" i="8"/>
  <c r="CP12" i="8"/>
  <c r="CQ12" i="8"/>
  <c r="CR12" i="8"/>
  <c r="CS12" i="8"/>
  <c r="CT12" i="8"/>
  <c r="CU12" i="8"/>
  <c r="CV12" i="8"/>
  <c r="CW12" i="8"/>
  <c r="CX12" i="8"/>
  <c r="CY12" i="8"/>
  <c r="CZ12" i="8"/>
  <c r="DA12" i="8"/>
  <c r="DB12" i="8"/>
  <c r="DC12" i="8"/>
  <c r="DD12" i="8"/>
  <c r="DE12" i="8"/>
  <c r="DF12" i="8"/>
  <c r="DG12" i="8"/>
  <c r="DH12" i="8"/>
  <c r="DI12" i="8"/>
  <c r="DJ12" i="8"/>
  <c r="DK12" i="8"/>
  <c r="DL12" i="8"/>
  <c r="DM12" i="8"/>
  <c r="DN12" i="8"/>
  <c r="DO12" i="8"/>
  <c r="DP12" i="8"/>
  <c r="DQ12" i="8"/>
  <c r="DR12" i="8"/>
  <c r="DS12" i="8"/>
  <c r="DT12" i="8"/>
  <c r="DU12" i="8"/>
  <c r="DV12" i="8"/>
  <c r="DW12" i="8"/>
  <c r="DX12" i="8"/>
  <c r="DY12" i="8"/>
  <c r="DZ12" i="8"/>
  <c r="EA12" i="8"/>
  <c r="EB12" i="8"/>
  <c r="EC12" i="8"/>
  <c r="ED12" i="8"/>
  <c r="EE12" i="8"/>
  <c r="EF12" i="8"/>
  <c r="EG12" i="8"/>
  <c r="EH12" i="8"/>
  <c r="EI12" i="8"/>
  <c r="EJ12" i="8"/>
  <c r="EK12" i="8"/>
  <c r="EL12" i="8"/>
  <c r="EM12" i="8"/>
  <c r="EN12" i="8"/>
  <c r="EO12" i="8"/>
  <c r="EP12" i="8"/>
  <c r="EQ12" i="8"/>
  <c r="ER12" i="8"/>
  <c r="ES12" i="8"/>
  <c r="ET12" i="8"/>
  <c r="EU12" i="8"/>
  <c r="EV12" i="8"/>
  <c r="EW12" i="8"/>
  <c r="EX12" i="8"/>
  <c r="EY12" i="8"/>
  <c r="EZ12" i="8"/>
  <c r="FA12" i="8"/>
  <c r="FB12" i="8"/>
  <c r="FC12" i="8"/>
  <c r="FD12" i="8"/>
  <c r="FE12" i="8"/>
  <c r="FF12" i="8"/>
  <c r="FG12" i="8"/>
  <c r="FH12" i="8"/>
  <c r="FI12" i="8"/>
  <c r="FJ12" i="8"/>
  <c r="FK12" i="8"/>
  <c r="FL12" i="8"/>
  <c r="FM12" i="8"/>
  <c r="FN12" i="8"/>
  <c r="FO12" i="8"/>
  <c r="FP12" i="8"/>
  <c r="FQ12" i="8"/>
  <c r="FR12" i="8"/>
  <c r="FS12" i="8"/>
  <c r="FT12" i="8"/>
  <c r="FU12" i="8"/>
  <c r="FV12" i="8"/>
  <c r="FW12" i="8"/>
  <c r="FX12" i="8"/>
  <c r="FY12" i="8"/>
  <c r="FZ12" i="8"/>
  <c r="GA12" i="8"/>
  <c r="GB12" i="8"/>
  <c r="GC12" i="8"/>
  <c r="GD12" i="8"/>
  <c r="GE12" i="8"/>
  <c r="GF12" i="8"/>
  <c r="GG12" i="8"/>
  <c r="GH12" i="8"/>
  <c r="GI12" i="8"/>
  <c r="GJ12" i="8"/>
  <c r="GK12" i="8"/>
  <c r="GL12" i="8"/>
  <c r="GM12" i="8"/>
  <c r="GN12" i="8"/>
  <c r="GO12" i="8"/>
  <c r="GP12" i="8"/>
  <c r="GQ12" i="8"/>
  <c r="GR12" i="8"/>
  <c r="GS12" i="8"/>
  <c r="GT12" i="8"/>
  <c r="GU12" i="8"/>
  <c r="GV12" i="8"/>
  <c r="GW12" i="8"/>
  <c r="GX12" i="8"/>
  <c r="GY12" i="8"/>
  <c r="GZ12" i="8"/>
  <c r="HA12" i="8"/>
  <c r="HB12" i="8"/>
  <c r="HC12" i="8"/>
  <c r="HD12" i="8"/>
  <c r="HE12" i="8"/>
  <c r="HF12" i="8"/>
  <c r="HG12" i="8"/>
  <c r="HH12" i="8"/>
  <c r="HI12" i="8"/>
  <c r="HJ12" i="8"/>
  <c r="HK12" i="8"/>
  <c r="HL12" i="8"/>
  <c r="HM12" i="8"/>
  <c r="HN12" i="8"/>
  <c r="HO12" i="8"/>
  <c r="HP12" i="8"/>
  <c r="HQ12" i="8"/>
  <c r="HR12" i="8"/>
  <c r="HS12" i="8"/>
  <c r="HT12" i="8"/>
  <c r="HU12" i="8"/>
  <c r="HV12" i="8"/>
  <c r="HW12" i="8"/>
  <c r="HX12" i="8"/>
  <c r="I13" i="8"/>
  <c r="J13" i="8"/>
  <c r="K13" i="8"/>
  <c r="L13" i="8"/>
  <c r="M13" i="8"/>
  <c r="N13" i="8"/>
  <c r="O13" i="8"/>
  <c r="P13" i="8"/>
  <c r="Q13" i="8"/>
  <c r="R13" i="8"/>
  <c r="S13" i="8"/>
  <c r="T13" i="8"/>
  <c r="U13" i="8"/>
  <c r="V13" i="8"/>
  <c r="W13" i="8"/>
  <c r="X13" i="8"/>
  <c r="Y13" i="8"/>
  <c r="Z13" i="8"/>
  <c r="AA13" i="8"/>
  <c r="AB13" i="8"/>
  <c r="AC13" i="8"/>
  <c r="AD13" i="8"/>
  <c r="AE13" i="8"/>
  <c r="AF13" i="8"/>
  <c r="AG13" i="8"/>
  <c r="AH13" i="8"/>
  <c r="AI13" i="8"/>
  <c r="AJ13" i="8"/>
  <c r="AK13" i="8"/>
  <c r="AL13" i="8"/>
  <c r="AM13" i="8"/>
  <c r="AN13" i="8"/>
  <c r="AO13" i="8"/>
  <c r="AP13" i="8"/>
  <c r="AQ13" i="8"/>
  <c r="AR13" i="8"/>
  <c r="AS13" i="8"/>
  <c r="AT13" i="8"/>
  <c r="AU13" i="8"/>
  <c r="AV13" i="8"/>
  <c r="AW13" i="8"/>
  <c r="AX13" i="8"/>
  <c r="AY13" i="8"/>
  <c r="AZ13" i="8"/>
  <c r="BA13" i="8"/>
  <c r="BB13" i="8"/>
  <c r="BC13" i="8"/>
  <c r="BD13" i="8"/>
  <c r="BE13" i="8"/>
  <c r="BF13" i="8"/>
  <c r="BG13" i="8"/>
  <c r="BH13" i="8"/>
  <c r="BI13" i="8"/>
  <c r="BJ13" i="8"/>
  <c r="BK13" i="8"/>
  <c r="BL13" i="8"/>
  <c r="BM13" i="8"/>
  <c r="BN13" i="8"/>
  <c r="BO13" i="8"/>
  <c r="BP13" i="8"/>
  <c r="BQ13" i="8"/>
  <c r="BR13" i="8"/>
  <c r="BS13" i="8"/>
  <c r="BT13" i="8"/>
  <c r="BU13" i="8"/>
  <c r="BV13" i="8"/>
  <c r="BW13" i="8"/>
  <c r="BX13" i="8"/>
  <c r="BY13" i="8"/>
  <c r="BZ13" i="8"/>
  <c r="CA13" i="8"/>
  <c r="CB13" i="8"/>
  <c r="CC13" i="8"/>
  <c r="CD13" i="8"/>
  <c r="CE13" i="8"/>
  <c r="CF13" i="8"/>
  <c r="CG13" i="8"/>
  <c r="CH13" i="8"/>
  <c r="CI13" i="8"/>
  <c r="CJ13" i="8"/>
  <c r="CK13" i="8"/>
  <c r="CL13" i="8"/>
  <c r="CM13" i="8"/>
  <c r="CN13" i="8"/>
  <c r="CO13" i="8"/>
  <c r="CP13" i="8"/>
  <c r="CQ13" i="8"/>
  <c r="CR13" i="8"/>
  <c r="CS13" i="8"/>
  <c r="CT13" i="8"/>
  <c r="CU13" i="8"/>
  <c r="CV13" i="8"/>
  <c r="CW13" i="8"/>
  <c r="CX13" i="8"/>
  <c r="CY13" i="8"/>
  <c r="CZ13" i="8"/>
  <c r="DA13" i="8"/>
  <c r="DB13" i="8"/>
  <c r="DC13" i="8"/>
  <c r="DD13" i="8"/>
  <c r="DE13" i="8"/>
  <c r="DF13" i="8"/>
  <c r="DG13" i="8"/>
  <c r="DH13" i="8"/>
  <c r="DI13" i="8"/>
  <c r="DJ13" i="8"/>
  <c r="DK13" i="8"/>
  <c r="DL13" i="8"/>
  <c r="DM13" i="8"/>
  <c r="DN13" i="8"/>
  <c r="DO13" i="8"/>
  <c r="DP13" i="8"/>
  <c r="DQ13" i="8"/>
  <c r="DR13" i="8"/>
  <c r="DS13" i="8"/>
  <c r="DT13" i="8"/>
  <c r="DU13" i="8"/>
  <c r="DV13" i="8"/>
  <c r="DW13" i="8"/>
  <c r="DX13" i="8"/>
  <c r="DY13" i="8"/>
  <c r="DZ13" i="8"/>
  <c r="EA13" i="8"/>
  <c r="EB13" i="8"/>
  <c r="EC13" i="8"/>
  <c r="ED13" i="8"/>
  <c r="EE13" i="8"/>
  <c r="EF13" i="8"/>
  <c r="EG13" i="8"/>
  <c r="EH13" i="8"/>
  <c r="EI13" i="8"/>
  <c r="EJ13" i="8"/>
  <c r="EK13" i="8"/>
  <c r="EL13" i="8"/>
  <c r="EM13" i="8"/>
  <c r="EN13" i="8"/>
  <c r="EO13" i="8"/>
  <c r="EP13" i="8"/>
  <c r="EQ13" i="8"/>
  <c r="ER13" i="8"/>
  <c r="ES13" i="8"/>
  <c r="ET13" i="8"/>
  <c r="EU13" i="8"/>
  <c r="EV13" i="8"/>
  <c r="EW13" i="8"/>
  <c r="EX13" i="8"/>
  <c r="EY13" i="8"/>
  <c r="EZ13" i="8"/>
  <c r="FA13" i="8"/>
  <c r="FB13" i="8"/>
  <c r="FC13" i="8"/>
  <c r="FD13" i="8"/>
  <c r="FE13" i="8"/>
  <c r="FF13" i="8"/>
  <c r="FG13" i="8"/>
  <c r="FH13" i="8"/>
  <c r="FI13" i="8"/>
  <c r="FJ13" i="8"/>
  <c r="FK13" i="8"/>
  <c r="FL13" i="8"/>
  <c r="FM13" i="8"/>
  <c r="FN13" i="8"/>
  <c r="FO13" i="8"/>
  <c r="FP13" i="8"/>
  <c r="FQ13" i="8"/>
  <c r="FR13" i="8"/>
  <c r="FS13" i="8"/>
  <c r="FT13" i="8"/>
  <c r="FU13" i="8"/>
  <c r="FV13" i="8"/>
  <c r="FW13" i="8"/>
  <c r="FX13" i="8"/>
  <c r="FY13" i="8"/>
  <c r="FZ13" i="8"/>
  <c r="GA13" i="8"/>
  <c r="GB13" i="8"/>
  <c r="GC13" i="8"/>
  <c r="GD13" i="8"/>
  <c r="GE13" i="8"/>
  <c r="GF13" i="8"/>
  <c r="GG13" i="8"/>
  <c r="GH13" i="8"/>
  <c r="GI13" i="8"/>
  <c r="GJ13" i="8"/>
  <c r="GK13" i="8"/>
  <c r="GL13" i="8"/>
  <c r="GM13" i="8"/>
  <c r="GN13" i="8"/>
  <c r="GO13" i="8"/>
  <c r="GP13" i="8"/>
  <c r="GQ13" i="8"/>
  <c r="GR13" i="8"/>
  <c r="GS13" i="8"/>
  <c r="GT13" i="8"/>
  <c r="GU13" i="8"/>
  <c r="GV13" i="8"/>
  <c r="GW13" i="8"/>
  <c r="GX13" i="8"/>
  <c r="GY13" i="8"/>
  <c r="GZ13" i="8"/>
  <c r="HA13" i="8"/>
  <c r="HB13" i="8"/>
  <c r="HC13" i="8"/>
  <c r="HD13" i="8"/>
  <c r="HE13" i="8"/>
  <c r="HF13" i="8"/>
  <c r="HG13" i="8"/>
  <c r="HH13" i="8"/>
  <c r="HI13" i="8"/>
  <c r="HJ13" i="8"/>
  <c r="HK13" i="8"/>
  <c r="HL13" i="8"/>
  <c r="HM13" i="8"/>
  <c r="HN13" i="8"/>
  <c r="HO13" i="8"/>
  <c r="HP13" i="8"/>
  <c r="HQ13" i="8"/>
  <c r="HR13" i="8"/>
  <c r="HS13" i="8"/>
  <c r="HT13" i="8"/>
  <c r="HU13" i="8"/>
  <c r="HV13" i="8"/>
  <c r="HW13" i="8"/>
  <c r="HX13" i="8"/>
  <c r="AB4" i="7" a="1"/>
  <c r="AB4" i="7" s="1"/>
  <c r="AB5" i="7" a="1"/>
  <c r="AB5" i="7" s="1"/>
  <c r="AB6" i="7" a="1"/>
  <c r="AB6" i="7" s="1"/>
  <c r="AB7" i="7" a="1"/>
  <c r="AB7" i="7" s="1"/>
  <c r="AB8" i="7" a="1"/>
  <c r="AB8" i="7" s="1"/>
  <c r="AB9" i="7" a="1"/>
  <c r="AB9" i="7" s="1"/>
  <c r="AB10" i="7" a="1"/>
  <c r="AB10" i="7" s="1"/>
  <c r="AB11" i="7" a="1"/>
  <c r="AB11" i="7" s="1"/>
  <c r="AB12" i="7" a="1"/>
  <c r="AB12" i="7" s="1"/>
  <c r="AB13" i="7" a="1"/>
  <c r="AB13" i="7" s="1"/>
  <c r="AB14" i="7" a="1"/>
  <c r="AB14" i="7" s="1"/>
  <c r="AB15" i="7" a="1"/>
  <c r="AB15" i="7" s="1"/>
  <c r="AB16" i="7" a="1"/>
  <c r="AB16" i="7" s="1"/>
  <c r="AB17" i="7" a="1"/>
  <c r="AB17" i="7" s="1"/>
  <c r="AB18" i="7" a="1"/>
  <c r="AB18" i="7" s="1"/>
  <c r="AB19" i="7" a="1"/>
  <c r="AB19" i="7" s="1"/>
  <c r="AB20" i="7" a="1"/>
  <c r="AB20" i="7" s="1"/>
  <c r="AB21" i="7" a="1"/>
  <c r="AB21" i="7" s="1"/>
  <c r="AB22" i="7" a="1"/>
  <c r="AB22" i="7" s="1"/>
  <c r="AB23" i="7" a="1"/>
  <c r="AB23" i="7" s="1"/>
  <c r="AB24" i="7" a="1"/>
  <c r="AB24" i="7" s="1"/>
  <c r="AB25" i="7" a="1"/>
  <c r="AB25" i="7" s="1"/>
  <c r="AB26" i="7" a="1"/>
  <c r="AB26" i="7" s="1"/>
  <c r="AB27" i="7" a="1"/>
  <c r="AB27" i="7" s="1"/>
  <c r="AB28" i="7" a="1"/>
  <c r="AB28" i="7" s="1"/>
  <c r="AB29" i="7" a="1"/>
  <c r="AB29" i="7" s="1"/>
  <c r="AB30" i="7" a="1"/>
  <c r="AB30" i="7" s="1"/>
  <c r="AB31" i="7" a="1"/>
  <c r="AB31" i="7" s="1"/>
  <c r="AB32" i="7" a="1"/>
  <c r="AB32" i="7" s="1"/>
  <c r="AB33" i="7" a="1"/>
  <c r="AB33" i="7" s="1"/>
  <c r="AB34" i="7" a="1"/>
  <c r="AB34" i="7" s="1"/>
  <c r="AB35" i="7" a="1"/>
  <c r="AB35" i="7" s="1"/>
  <c r="AB36" i="7" a="1"/>
  <c r="AB36" i="7" s="1"/>
  <c r="AB37" i="7" a="1"/>
  <c r="AB37" i="7" s="1"/>
  <c r="AB38" i="7" a="1"/>
  <c r="AB38" i="7" s="1"/>
  <c r="AB39" i="7" a="1"/>
  <c r="AB39" i="7" s="1"/>
  <c r="AB40" i="7" a="1"/>
  <c r="AB40" i="7" s="1"/>
  <c r="AB41" i="7" a="1"/>
  <c r="AB41" i="7" s="1"/>
  <c r="AB42" i="7" a="1"/>
  <c r="AB42" i="7" s="1"/>
  <c r="AB43" i="7" a="1"/>
  <c r="AB43" i="7" s="1"/>
  <c r="AB44" i="7" a="1"/>
  <c r="AB44" i="7" s="1"/>
  <c r="AB45" i="7" a="1"/>
  <c r="AB45" i="7" s="1"/>
  <c r="AB46" i="7" a="1"/>
  <c r="AB46" i="7" s="1"/>
  <c r="AB47" i="7" a="1"/>
  <c r="AB47" i="7" s="1"/>
  <c r="AB48" i="7" a="1"/>
  <c r="AB48" i="7" s="1"/>
  <c r="AB49" i="7" a="1"/>
  <c r="AB49" i="7" s="1"/>
  <c r="AB50" i="7" a="1"/>
  <c r="AB50" i="7" s="1"/>
  <c r="AB51" i="7" a="1"/>
  <c r="AB51" i="7" s="1"/>
  <c r="AB52" i="7" a="1"/>
  <c r="AB52" i="7" s="1"/>
  <c r="AB53" i="7" a="1"/>
  <c r="AB53" i="7" s="1"/>
  <c r="AB54" i="7" a="1"/>
  <c r="AB54" i="7" s="1"/>
  <c r="AB55" i="7" a="1"/>
  <c r="AB55" i="7" s="1"/>
  <c r="AB56" i="7" a="1"/>
  <c r="AB56" i="7" s="1"/>
  <c r="AB57" i="7" a="1"/>
  <c r="AB57" i="7" s="1"/>
  <c r="AB58" i="7" a="1"/>
  <c r="AB58" i="7" s="1"/>
  <c r="AB59" i="7" a="1"/>
  <c r="AB59" i="7" s="1"/>
  <c r="AB60" i="7" a="1"/>
  <c r="AB60" i="7" s="1"/>
  <c r="AB61" i="7" a="1"/>
  <c r="AB61" i="7" s="1"/>
  <c r="AB62" i="7" a="1"/>
  <c r="AB62" i="7" s="1"/>
  <c r="AB63" i="7" a="1"/>
  <c r="AB63" i="7" s="1"/>
  <c r="AB64" i="7" a="1"/>
  <c r="AB64" i="7" s="1"/>
  <c r="AB65" i="7" a="1"/>
  <c r="AB65" i="7" s="1"/>
  <c r="AB66" i="7" a="1"/>
  <c r="AB66" i="7" s="1"/>
  <c r="AB67" i="7" a="1"/>
  <c r="AB67" i="7" s="1"/>
  <c r="AB68" i="7" a="1"/>
  <c r="AB68" i="7" s="1"/>
  <c r="AB69" i="7" a="1"/>
  <c r="AB69" i="7" s="1"/>
  <c r="AB70" i="7" a="1"/>
  <c r="AB70" i="7" s="1"/>
  <c r="AB71" i="7" a="1"/>
  <c r="AB71" i="7" s="1"/>
  <c r="AB72" i="7" a="1"/>
  <c r="AB72" i="7" s="1"/>
  <c r="AB73" i="7" a="1"/>
  <c r="AB73" i="7" s="1"/>
  <c r="AB74" i="7" a="1"/>
  <c r="AB74" i="7" s="1"/>
  <c r="AB75" i="7" a="1"/>
  <c r="AB75" i="7" s="1"/>
  <c r="AB76" i="7" a="1"/>
  <c r="AB76" i="7" s="1"/>
  <c r="AB77" i="7" a="1"/>
  <c r="AB77" i="7" s="1"/>
  <c r="AB78" i="7" a="1"/>
  <c r="AB78" i="7" s="1"/>
  <c r="AB79" i="7" a="1"/>
  <c r="AB79" i="7" s="1"/>
  <c r="AB80" i="7" a="1"/>
  <c r="AB80" i="7" s="1"/>
  <c r="AB81" i="7" a="1"/>
  <c r="AB81" i="7" s="1"/>
  <c r="AB82" i="7" a="1"/>
  <c r="AB82" i="7" s="1"/>
  <c r="AB83" i="7" a="1"/>
  <c r="AB83" i="7" s="1"/>
  <c r="AB84" i="7" a="1"/>
  <c r="AB84" i="7" s="1"/>
  <c r="AB85" i="7" a="1"/>
  <c r="AB85" i="7" s="1"/>
  <c r="AB86" i="7" a="1"/>
  <c r="AB86" i="7" s="1"/>
  <c r="AB87" i="7" a="1"/>
  <c r="AB87" i="7" s="1"/>
  <c r="AB88" i="7" a="1"/>
  <c r="AB88" i="7" s="1"/>
  <c r="AB89" i="7" a="1"/>
  <c r="AB89" i="7" s="1"/>
  <c r="AB90" i="7" a="1"/>
  <c r="AB90" i="7" s="1"/>
  <c r="AB91" i="7" a="1"/>
  <c r="AB91" i="7" s="1"/>
  <c r="AB92" i="7" a="1"/>
  <c r="AB92" i="7" s="1"/>
  <c r="AB93" i="7" a="1"/>
  <c r="AB93" i="7" s="1"/>
  <c r="AB94" i="7" a="1"/>
  <c r="AB94" i="7" s="1"/>
  <c r="AB95" i="7" a="1"/>
  <c r="AB95" i="7" s="1"/>
  <c r="AB96" i="7" a="1"/>
  <c r="AB96" i="7" s="1"/>
  <c r="AB97" i="7" a="1"/>
  <c r="AB97" i="7" s="1"/>
  <c r="AB98" i="7" a="1"/>
  <c r="AB98" i="7" s="1"/>
  <c r="AB99" i="7" a="1"/>
  <c r="AB99" i="7" s="1"/>
  <c r="AB100" i="7" a="1"/>
  <c r="AB100" i="7" s="1"/>
  <c r="AB101" i="7" a="1"/>
  <c r="AB101" i="7" s="1"/>
  <c r="AB102" i="7" a="1"/>
  <c r="AB102" i="7" s="1"/>
  <c r="AB103" i="7" a="1"/>
  <c r="AB103" i="7" s="1"/>
  <c r="AB104" i="7" a="1"/>
  <c r="AB104" i="7" s="1"/>
  <c r="AB105" i="7" a="1"/>
  <c r="AB105" i="7" s="1"/>
  <c r="AB106" i="7" a="1"/>
  <c r="AB106" i="7" s="1"/>
  <c r="AB107" i="7" a="1"/>
  <c r="AB107" i="7" s="1"/>
  <c r="AB108" i="7" a="1"/>
  <c r="AB108" i="7" s="1"/>
  <c r="AB109" i="7" a="1"/>
  <c r="AB109" i="7" s="1"/>
  <c r="AB110" i="7" a="1"/>
  <c r="AB110" i="7" s="1"/>
  <c r="AB111" i="7" a="1"/>
  <c r="AB111" i="7" s="1"/>
  <c r="AB112" i="7" a="1"/>
  <c r="AB112" i="7" s="1"/>
  <c r="AB113" i="7" a="1"/>
  <c r="AB113" i="7" s="1"/>
  <c r="AB114" i="7" a="1"/>
  <c r="AB114" i="7" s="1"/>
  <c r="AB115" i="7" a="1"/>
  <c r="AB115" i="7" s="1"/>
  <c r="AB116" i="7" a="1"/>
  <c r="AB116" i="7" s="1"/>
  <c r="AB117" i="7" a="1"/>
  <c r="AB117" i="7" s="1"/>
  <c r="AB118" i="7" a="1"/>
  <c r="AB118" i="7" s="1"/>
  <c r="AB119" i="7" a="1"/>
  <c r="AB119" i="7" s="1"/>
  <c r="AB120" i="7" a="1"/>
  <c r="AB120" i="7" s="1"/>
  <c r="AB121" i="7" a="1"/>
  <c r="AB121" i="7" s="1"/>
  <c r="AB122" i="7" a="1"/>
  <c r="AB122" i="7" s="1"/>
  <c r="AB123" i="7" a="1"/>
  <c r="AB123" i="7" s="1"/>
  <c r="AB124" i="7" a="1"/>
  <c r="AB124" i="7" s="1"/>
  <c r="AB125" i="7" a="1"/>
  <c r="AB125" i="7" s="1"/>
  <c r="AB126" i="7" a="1"/>
  <c r="AB126" i="7" s="1"/>
  <c r="AB127" i="7" a="1"/>
  <c r="AB127" i="7" s="1"/>
  <c r="AB128" i="7" a="1"/>
  <c r="AB128" i="7" s="1"/>
  <c r="AB129" i="7" a="1"/>
  <c r="AB129" i="7" s="1"/>
  <c r="AB130" i="7" a="1"/>
  <c r="AB130" i="7" s="1"/>
  <c r="AB131" i="7" a="1"/>
  <c r="AB131" i="7" s="1"/>
  <c r="AB132" i="7" a="1"/>
  <c r="AB132" i="7" s="1"/>
  <c r="AB133" i="7" a="1"/>
  <c r="AB133" i="7" s="1"/>
  <c r="AB134" i="7" a="1"/>
  <c r="AB134" i="7" s="1"/>
  <c r="AB135" i="7" a="1"/>
  <c r="AB135" i="7" s="1"/>
  <c r="AB136" i="7" a="1"/>
  <c r="AB136" i="7" s="1"/>
  <c r="AB137" i="7" a="1"/>
  <c r="AB137" i="7" s="1"/>
  <c r="AB138" i="7" a="1"/>
  <c r="AB138" i="7" s="1"/>
  <c r="AB139" i="7" a="1"/>
  <c r="AB139" i="7" s="1"/>
  <c r="AB140" i="7" a="1"/>
  <c r="AB140" i="7" s="1"/>
  <c r="AB141" i="7" a="1"/>
  <c r="AB141" i="7" s="1"/>
  <c r="AB142" i="7" a="1"/>
  <c r="AB142" i="7" s="1"/>
  <c r="AB143" i="7" a="1"/>
  <c r="AB143" i="7" s="1"/>
  <c r="AB144" i="7" a="1"/>
  <c r="AB144" i="7" s="1"/>
  <c r="AB145" i="7" a="1"/>
  <c r="AB145" i="7" s="1"/>
  <c r="AB146" i="7" a="1"/>
  <c r="AB146" i="7" s="1"/>
  <c r="AB147" i="7" a="1"/>
  <c r="AB147" i="7" s="1"/>
  <c r="AB148" i="7" a="1"/>
  <c r="AB148" i="7" s="1"/>
  <c r="AB149" i="7" a="1"/>
  <c r="AB149" i="7" s="1"/>
  <c r="AB150" i="7" a="1"/>
  <c r="AB150" i="7" s="1"/>
  <c r="AB151" i="7" a="1"/>
  <c r="AB151" i="7" s="1"/>
  <c r="AB152" i="7" a="1"/>
  <c r="AB152" i="7" s="1"/>
  <c r="AB153" i="7" a="1"/>
  <c r="AB153" i="7" s="1"/>
  <c r="AB154" i="7" a="1"/>
  <c r="AB154" i="7" s="1"/>
  <c r="AB155" i="7" a="1"/>
  <c r="AB155" i="7" s="1"/>
  <c r="AB156" i="7" a="1"/>
  <c r="AB156" i="7" s="1"/>
  <c r="AB157" i="7" a="1"/>
  <c r="AB157" i="7" s="1"/>
  <c r="AB158" i="7" a="1"/>
  <c r="AB158" i="7" s="1"/>
  <c r="AB159" i="7" a="1"/>
  <c r="AB159" i="7" s="1"/>
  <c r="AB160" i="7" a="1"/>
  <c r="AB160" i="7" s="1"/>
  <c r="AB161" i="7" a="1"/>
  <c r="AB161" i="7" s="1"/>
  <c r="AB162" i="7" a="1"/>
  <c r="AB162" i="7" s="1"/>
  <c r="AB163" i="7" a="1"/>
  <c r="AB163" i="7" s="1"/>
  <c r="AB164" i="7" a="1"/>
  <c r="AB164" i="7" s="1"/>
  <c r="AB165" i="7" a="1"/>
  <c r="AB165" i="7" s="1"/>
  <c r="AB166" i="7" a="1"/>
  <c r="AB166" i="7" s="1"/>
  <c r="AB167" i="7" a="1"/>
  <c r="AB167" i="7" s="1"/>
  <c r="AB168" i="7" a="1"/>
  <c r="AB168" i="7" s="1"/>
  <c r="AB169" i="7" a="1"/>
  <c r="AB169" i="7" s="1"/>
  <c r="AB170" i="7" a="1"/>
  <c r="AB170" i="7" s="1"/>
  <c r="AB171" i="7" a="1"/>
  <c r="AB171" i="7" s="1"/>
  <c r="AB172" i="7" a="1"/>
  <c r="AB172" i="7" s="1"/>
  <c r="AB173" i="7" a="1"/>
  <c r="AB173" i="7" s="1"/>
  <c r="AB174" i="7" a="1"/>
  <c r="AB174" i="7" s="1"/>
  <c r="AB175" i="7" a="1"/>
  <c r="AB175" i="7" s="1"/>
  <c r="AB176" i="7" a="1"/>
  <c r="AB176" i="7" s="1"/>
  <c r="AB177" i="7" a="1"/>
  <c r="AB177" i="7" s="1"/>
  <c r="AB178" i="7" a="1"/>
  <c r="AB178" i="7" s="1"/>
  <c r="AB179" i="7" a="1"/>
  <c r="AB179" i="7" s="1"/>
  <c r="AB180" i="7" a="1"/>
  <c r="AB180" i="7" s="1"/>
  <c r="AB181" i="7" a="1"/>
  <c r="AB181" i="7" s="1"/>
  <c r="AB182" i="7" a="1"/>
  <c r="AB182" i="7" s="1"/>
  <c r="AB183" i="7" a="1"/>
  <c r="AB183" i="7" s="1"/>
  <c r="AB184" i="7" a="1"/>
  <c r="AB184" i="7" s="1"/>
  <c r="AB185" i="7" a="1"/>
  <c r="AB185" i="7" s="1"/>
  <c r="AB186" i="7" a="1"/>
  <c r="AB186" i="7" s="1"/>
  <c r="AB187" i="7" a="1"/>
  <c r="AB187" i="7" s="1"/>
  <c r="AB188" i="7" a="1"/>
  <c r="AB188" i="7" s="1"/>
  <c r="AB189" i="7" a="1"/>
  <c r="AB189" i="7" s="1"/>
  <c r="AB190" i="7" a="1"/>
  <c r="AB190" i="7" s="1"/>
  <c r="AB191" i="7" a="1"/>
  <c r="AB191" i="7" s="1"/>
  <c r="AB192" i="7" a="1"/>
  <c r="AB192" i="7" s="1"/>
  <c r="AB193" i="7" a="1"/>
  <c r="AB193" i="7" s="1"/>
  <c r="AB194" i="7" a="1"/>
  <c r="AB194" i="7" s="1"/>
  <c r="AB195" i="7" a="1"/>
  <c r="AB195" i="7" s="1"/>
  <c r="AB196" i="7" a="1"/>
  <c r="AB196" i="7" s="1"/>
  <c r="AB197" i="7" a="1"/>
  <c r="AB197" i="7" s="1"/>
  <c r="AB198" i="7" a="1"/>
  <c r="AB198" i="7" s="1"/>
  <c r="AB199" i="7" a="1"/>
  <c r="AB199" i="7" s="1"/>
  <c r="AB200" i="7" a="1"/>
  <c r="AB200" i="7" s="1"/>
  <c r="AB201" i="7" a="1"/>
  <c r="AB201" i="7" s="1"/>
  <c r="AB202" i="7" a="1"/>
  <c r="AB202" i="7" s="1"/>
  <c r="AB203" i="7" a="1"/>
  <c r="AB203" i="7" s="1"/>
  <c r="AB204" i="7" a="1"/>
  <c r="AB204" i="7" s="1"/>
  <c r="AB205" i="7" a="1"/>
  <c r="AB205" i="7" s="1"/>
  <c r="AB206" i="7" a="1"/>
  <c r="AB206" i="7" s="1"/>
  <c r="AB207" i="7" a="1"/>
  <c r="AB207" i="7" s="1"/>
  <c r="AB208" i="7" a="1"/>
  <c r="AB208" i="7" s="1"/>
  <c r="AB209" i="7" a="1"/>
  <c r="AB209" i="7" s="1"/>
  <c r="AB210" i="7" a="1"/>
  <c r="AB210" i="7" s="1"/>
  <c r="AB211" i="7" a="1"/>
  <c r="AB211" i="7" s="1"/>
  <c r="AB212" i="7" a="1"/>
  <c r="AB212" i="7" s="1"/>
  <c r="AB213" i="7" a="1"/>
  <c r="AB213" i="7" s="1"/>
  <c r="AB214" i="7" a="1"/>
  <c r="AB214" i="7" s="1"/>
  <c r="AB215" i="7" a="1"/>
  <c r="AB215" i="7" s="1"/>
  <c r="AB216" i="7" a="1"/>
  <c r="AB216" i="7" s="1"/>
  <c r="AB217" i="7" a="1"/>
  <c r="AB217" i="7" s="1"/>
  <c r="AB218" i="7" a="1"/>
  <c r="AB218" i="7" s="1"/>
  <c r="AB219" i="7" a="1"/>
  <c r="AB219" i="7" s="1"/>
  <c r="AB220" i="7" a="1"/>
  <c r="AB220" i="7" s="1"/>
  <c r="AB221" i="7" a="1"/>
  <c r="AB221" i="7" s="1"/>
  <c r="AB222" i="7" a="1"/>
  <c r="AB222" i="7" s="1"/>
  <c r="AB223" i="7" a="1"/>
  <c r="AB223" i="7" s="1"/>
  <c r="AB224" i="7" a="1"/>
  <c r="AB224" i="7" s="1"/>
  <c r="AB225" i="7" a="1"/>
  <c r="AB225" i="7" s="1"/>
  <c r="AB226" i="7" a="1"/>
  <c r="AB226" i="7" s="1"/>
  <c r="AB227" i="7" a="1"/>
  <c r="AB227" i="7" s="1"/>
  <c r="AB228" i="7" a="1"/>
  <c r="AB228" i="7" s="1"/>
  <c r="AB229" i="7" a="1"/>
  <c r="AB229" i="7" s="1"/>
  <c r="Z4" i="7"/>
  <c r="Z5" i="7"/>
  <c r="Z6" i="7"/>
  <c r="Z7" i="7"/>
  <c r="Z8" i="7"/>
  <c r="Z9" i="7"/>
  <c r="Z10" i="7"/>
  <c r="Z11" i="7"/>
  <c r="Z12" i="7"/>
  <c r="Z13" i="7"/>
  <c r="Z14" i="7"/>
  <c r="Z15" i="7"/>
  <c r="Z16" i="7"/>
  <c r="Z17" i="7"/>
  <c r="Z18" i="7"/>
  <c r="Z19" i="7"/>
  <c r="Z20" i="7"/>
  <c r="Z21" i="7"/>
  <c r="Z22" i="7"/>
  <c r="Z23" i="7"/>
  <c r="Z24" i="7"/>
  <c r="Z25" i="7"/>
  <c r="Z26" i="7"/>
  <c r="Z27" i="7"/>
  <c r="Z28" i="7"/>
  <c r="Z29" i="7"/>
  <c r="Z30" i="7"/>
  <c r="Z31" i="7"/>
  <c r="Z32" i="7"/>
  <c r="Z33" i="7"/>
  <c r="Z34" i="7"/>
  <c r="Z35" i="7"/>
  <c r="Z36" i="7"/>
  <c r="Z37" i="7"/>
  <c r="Z38" i="7"/>
  <c r="Z39" i="7"/>
  <c r="Z40" i="7"/>
  <c r="Z41" i="7"/>
  <c r="Z42" i="7"/>
  <c r="Z43" i="7"/>
  <c r="Z44" i="7"/>
  <c r="Z45" i="7"/>
  <c r="Z46" i="7"/>
  <c r="Z47" i="7"/>
  <c r="Z48" i="7"/>
  <c r="Z49" i="7"/>
  <c r="Z50" i="7"/>
  <c r="Z51" i="7"/>
  <c r="Z52" i="7"/>
  <c r="Z53" i="7"/>
  <c r="Z54" i="7"/>
  <c r="Z55" i="7"/>
  <c r="Z56" i="7"/>
  <c r="Z57" i="7"/>
  <c r="Z58" i="7"/>
  <c r="Z59" i="7"/>
  <c r="Z60" i="7"/>
  <c r="Z61" i="7"/>
  <c r="Z62" i="7"/>
  <c r="Z63" i="7"/>
  <c r="Z64" i="7"/>
  <c r="Z65" i="7"/>
  <c r="Z66" i="7"/>
  <c r="Z67" i="7"/>
  <c r="Z68" i="7"/>
  <c r="Z69" i="7"/>
  <c r="Z70" i="7"/>
  <c r="Z71" i="7"/>
  <c r="Z72" i="7"/>
  <c r="Z73" i="7"/>
  <c r="Z74" i="7"/>
  <c r="Z75" i="7"/>
  <c r="Z76" i="7"/>
  <c r="Z77" i="7"/>
  <c r="Z78" i="7"/>
  <c r="Z79" i="7"/>
  <c r="Z80" i="7"/>
  <c r="Z81" i="7"/>
  <c r="Z82" i="7"/>
  <c r="Z83" i="7"/>
  <c r="Z84" i="7"/>
  <c r="Z85" i="7"/>
  <c r="Z86" i="7"/>
  <c r="Z87" i="7"/>
  <c r="Z88" i="7"/>
  <c r="Z89" i="7"/>
  <c r="Z90" i="7"/>
  <c r="Z91" i="7"/>
  <c r="Z92" i="7"/>
  <c r="Z93" i="7"/>
  <c r="Z94" i="7"/>
  <c r="Z95" i="7"/>
  <c r="Z96" i="7"/>
  <c r="Z97" i="7"/>
  <c r="Z98" i="7"/>
  <c r="Z99" i="7"/>
  <c r="Z100" i="7"/>
  <c r="Z101" i="7"/>
  <c r="Z102" i="7"/>
  <c r="Z103" i="7"/>
  <c r="Z104" i="7"/>
  <c r="Z105" i="7"/>
  <c r="Z106" i="7"/>
  <c r="Z107" i="7"/>
  <c r="Z108" i="7"/>
  <c r="Z109" i="7"/>
  <c r="Z110" i="7"/>
  <c r="Z111" i="7"/>
  <c r="Z112" i="7"/>
  <c r="Z113" i="7"/>
  <c r="Z114" i="7"/>
  <c r="Z115" i="7"/>
  <c r="Z116" i="7"/>
  <c r="Z117" i="7"/>
  <c r="Z118" i="7"/>
  <c r="Z119" i="7"/>
  <c r="Z120" i="7"/>
  <c r="Z121" i="7"/>
  <c r="Z122" i="7"/>
  <c r="Z123" i="7"/>
  <c r="Z124" i="7"/>
  <c r="Z125" i="7"/>
  <c r="Z126" i="7"/>
  <c r="Z127" i="7"/>
  <c r="Z128" i="7"/>
  <c r="Z129" i="7"/>
  <c r="Z130" i="7"/>
  <c r="Z131" i="7"/>
  <c r="Z132" i="7"/>
  <c r="Z133" i="7"/>
  <c r="Z134" i="7"/>
  <c r="Z135" i="7"/>
  <c r="Z136" i="7"/>
  <c r="Z137" i="7"/>
  <c r="Z138" i="7"/>
  <c r="Z139" i="7"/>
  <c r="Z140" i="7"/>
  <c r="Z141" i="7"/>
  <c r="Z142" i="7"/>
  <c r="Z143" i="7"/>
  <c r="Z144" i="7"/>
  <c r="Z145" i="7"/>
  <c r="Z146" i="7"/>
  <c r="Z147" i="7"/>
  <c r="Z148" i="7"/>
  <c r="Z149" i="7"/>
  <c r="Z150" i="7"/>
  <c r="Z151" i="7"/>
  <c r="Z152" i="7"/>
  <c r="Z153" i="7"/>
  <c r="Z154" i="7"/>
  <c r="Z155" i="7"/>
  <c r="Z156" i="7"/>
  <c r="Z157" i="7"/>
  <c r="Z158" i="7"/>
  <c r="Z159" i="7"/>
  <c r="Z160" i="7"/>
  <c r="Z161" i="7"/>
  <c r="Z162" i="7"/>
  <c r="Z163" i="7"/>
  <c r="Z164" i="7"/>
  <c r="Z165" i="7"/>
  <c r="Z166" i="7"/>
  <c r="Z167" i="7"/>
  <c r="Z168" i="7"/>
  <c r="Z169" i="7"/>
  <c r="Z170" i="7"/>
  <c r="Z171" i="7"/>
  <c r="Z172" i="7"/>
  <c r="Z173" i="7"/>
  <c r="Z174" i="7"/>
  <c r="Z175" i="7"/>
  <c r="Z176" i="7"/>
  <c r="Z177" i="7"/>
  <c r="Z178" i="7"/>
  <c r="Z179" i="7"/>
  <c r="Z180" i="7"/>
  <c r="Z181" i="7"/>
  <c r="Z182" i="7"/>
  <c r="Z183" i="7"/>
  <c r="Z184" i="7"/>
  <c r="Z185" i="7"/>
  <c r="Z186" i="7"/>
  <c r="Z187" i="7"/>
  <c r="Z188" i="7"/>
  <c r="Z189" i="7"/>
  <c r="Z190" i="7"/>
  <c r="Z191" i="7"/>
  <c r="Z192" i="7"/>
  <c r="Z193" i="7"/>
  <c r="Z194" i="7"/>
  <c r="Z195" i="7"/>
  <c r="Z196" i="7"/>
  <c r="Z197" i="7"/>
  <c r="Z198" i="7"/>
  <c r="Z199" i="7"/>
  <c r="Z200" i="7"/>
  <c r="Z201" i="7"/>
  <c r="Z202" i="7"/>
  <c r="Z203" i="7"/>
  <c r="Z204" i="7"/>
  <c r="Z205" i="7"/>
  <c r="Z206" i="7"/>
  <c r="Z207" i="7"/>
  <c r="Z208" i="7"/>
  <c r="Z209" i="7"/>
  <c r="Z210" i="7"/>
  <c r="Z211" i="7"/>
  <c r="Z212" i="7"/>
  <c r="Z213" i="7"/>
  <c r="Z214" i="7"/>
  <c r="Z215" i="7"/>
  <c r="Z216" i="7"/>
  <c r="Z217" i="7"/>
  <c r="Z218" i="7"/>
  <c r="Z219" i="7"/>
  <c r="Z220" i="7"/>
  <c r="Z221" i="7"/>
  <c r="Z222" i="7"/>
  <c r="Z223" i="7"/>
  <c r="Z224" i="7"/>
  <c r="Z225" i="7"/>
  <c r="Z226" i="7"/>
  <c r="Z227" i="7"/>
  <c r="Z228" i="7"/>
  <c r="Z229" i="7"/>
  <c r="AA4" i="7" a="1"/>
  <c r="AA4" i="7" s="1"/>
  <c r="AA5" i="7" a="1"/>
  <c r="AA5" i="7" s="1"/>
  <c r="AA6" i="7" a="1"/>
  <c r="AA6" i="7" s="1"/>
  <c r="AA7" i="7" a="1"/>
  <c r="AA7" i="7" s="1"/>
  <c r="AA8" i="7" a="1"/>
  <c r="AA8" i="7" s="1"/>
  <c r="AA9" i="7" a="1"/>
  <c r="AA9" i="7" s="1"/>
  <c r="AA10" i="7" a="1"/>
  <c r="AA10" i="7" s="1"/>
  <c r="AA11" i="7" a="1"/>
  <c r="AA11" i="7" s="1"/>
  <c r="AA12" i="7" a="1"/>
  <c r="AA12" i="7" s="1"/>
  <c r="AA13" i="7" a="1"/>
  <c r="AA13" i="7" s="1"/>
  <c r="AA14" i="7" a="1"/>
  <c r="AA14" i="7" s="1"/>
  <c r="AA15" i="7" a="1"/>
  <c r="AA15" i="7" s="1"/>
  <c r="AA16" i="7" a="1"/>
  <c r="AA16" i="7" s="1"/>
  <c r="AA17" i="7" a="1"/>
  <c r="AA17" i="7" s="1"/>
  <c r="AA18" i="7" a="1"/>
  <c r="AA18" i="7" s="1"/>
  <c r="AA19" i="7" a="1"/>
  <c r="AA19" i="7" s="1"/>
  <c r="AA20" i="7" a="1"/>
  <c r="AA20" i="7" s="1"/>
  <c r="AA21" i="7" a="1"/>
  <c r="AA21" i="7" s="1"/>
  <c r="AA22" i="7" a="1"/>
  <c r="AA22" i="7" s="1"/>
  <c r="AA23" i="7" a="1"/>
  <c r="AA23" i="7" s="1"/>
  <c r="AA24" i="7" a="1"/>
  <c r="AA24" i="7" s="1"/>
  <c r="AA25" i="7" a="1"/>
  <c r="AA25" i="7" s="1"/>
  <c r="AA26" i="7" a="1"/>
  <c r="AA26" i="7" s="1"/>
  <c r="AA27" i="7" a="1"/>
  <c r="AA27" i="7" s="1"/>
  <c r="AA28" i="7" a="1"/>
  <c r="AA28" i="7" s="1"/>
  <c r="AA29" i="7" a="1"/>
  <c r="AA29" i="7" s="1"/>
  <c r="AA30" i="7" a="1"/>
  <c r="AA30" i="7" s="1"/>
  <c r="AA31" i="7" a="1"/>
  <c r="AA31" i="7" s="1"/>
  <c r="AA32" i="7" a="1"/>
  <c r="AA32" i="7" s="1"/>
  <c r="AA33" i="7" a="1"/>
  <c r="AA33" i="7" s="1"/>
  <c r="AA34" i="7" a="1"/>
  <c r="AA34" i="7" s="1"/>
  <c r="AA35" i="7" a="1"/>
  <c r="AA35" i="7" s="1"/>
  <c r="AA36" i="7" a="1"/>
  <c r="AA36" i="7" s="1"/>
  <c r="AA37" i="7" a="1"/>
  <c r="AA37" i="7" s="1"/>
  <c r="AA38" i="7" a="1"/>
  <c r="AA38" i="7" s="1"/>
  <c r="AA39" i="7" a="1"/>
  <c r="AA39" i="7" s="1"/>
  <c r="AA40" i="7" a="1"/>
  <c r="AA40" i="7" s="1"/>
  <c r="AA41" i="7" a="1"/>
  <c r="AA41" i="7" s="1"/>
  <c r="AA42" i="7" a="1"/>
  <c r="AA42" i="7" s="1"/>
  <c r="AA43" i="7" a="1"/>
  <c r="AA43" i="7" s="1"/>
  <c r="AA44" i="7" a="1"/>
  <c r="AA44" i="7" s="1"/>
  <c r="AA45" i="7" a="1"/>
  <c r="AA45" i="7" s="1"/>
  <c r="AA46" i="7" a="1"/>
  <c r="AA46" i="7" s="1"/>
  <c r="AA47" i="7" a="1"/>
  <c r="AA47" i="7" s="1"/>
  <c r="AA48" i="7" a="1"/>
  <c r="AA48" i="7" s="1"/>
  <c r="AA49" i="7" a="1"/>
  <c r="AA49" i="7" s="1"/>
  <c r="AA50" i="7" a="1"/>
  <c r="AA50" i="7" s="1"/>
  <c r="AA51" i="7" a="1"/>
  <c r="AA51" i="7" s="1"/>
  <c r="AA52" i="7" a="1"/>
  <c r="AA52" i="7" s="1"/>
  <c r="AA53" i="7" a="1"/>
  <c r="AA53" i="7" s="1"/>
  <c r="AA54" i="7" a="1"/>
  <c r="AA54" i="7" s="1"/>
  <c r="AA55" i="7" a="1"/>
  <c r="AA55" i="7" s="1"/>
  <c r="AA56" i="7" a="1"/>
  <c r="AA56" i="7" s="1"/>
  <c r="AA57" i="7" a="1"/>
  <c r="AA57" i="7" s="1"/>
  <c r="AA58" i="7" a="1"/>
  <c r="AA58" i="7" s="1"/>
  <c r="AA59" i="7" a="1"/>
  <c r="AA59" i="7" s="1"/>
  <c r="AA60" i="7" a="1"/>
  <c r="AA60" i="7" s="1"/>
  <c r="AA61" i="7" a="1"/>
  <c r="AA61" i="7" s="1"/>
  <c r="AA62" i="7" a="1"/>
  <c r="AA62" i="7" s="1"/>
  <c r="AA63" i="7" a="1"/>
  <c r="AA63" i="7" s="1"/>
  <c r="AA64" i="7" a="1"/>
  <c r="AA64" i="7" s="1"/>
  <c r="AA65" i="7" a="1"/>
  <c r="AA65" i="7" s="1"/>
  <c r="AA66" i="7" a="1"/>
  <c r="AA66" i="7" s="1"/>
  <c r="AA67" i="7" a="1"/>
  <c r="AA67" i="7" s="1"/>
  <c r="AA68" i="7" a="1"/>
  <c r="AA68" i="7" s="1"/>
  <c r="AA69" i="7" a="1"/>
  <c r="AA69" i="7" s="1"/>
  <c r="AA70" i="7" a="1"/>
  <c r="AA70" i="7" s="1"/>
  <c r="AA71" i="7" a="1"/>
  <c r="AA71" i="7" s="1"/>
  <c r="AA72" i="7" a="1"/>
  <c r="AA72" i="7" s="1"/>
  <c r="AA73" i="7" a="1"/>
  <c r="AA73" i="7" s="1"/>
  <c r="AA74" i="7" a="1"/>
  <c r="AA74" i="7" s="1"/>
  <c r="AA75" i="7" a="1"/>
  <c r="AA75" i="7" s="1"/>
  <c r="AA76" i="7" a="1"/>
  <c r="AA76" i="7" s="1"/>
  <c r="AA77" i="7" a="1"/>
  <c r="AA77" i="7" s="1"/>
  <c r="AA78" i="7" a="1"/>
  <c r="AA78" i="7" s="1"/>
  <c r="AA79" i="7" a="1"/>
  <c r="AA79" i="7" s="1"/>
  <c r="AA80" i="7" a="1"/>
  <c r="AA80" i="7" s="1"/>
  <c r="AA81" i="7" a="1"/>
  <c r="AA81" i="7" s="1"/>
  <c r="AA82" i="7" a="1"/>
  <c r="AA82" i="7" s="1"/>
  <c r="AA83" i="7" a="1"/>
  <c r="AA83" i="7" s="1"/>
  <c r="AA84" i="7" a="1"/>
  <c r="AA84" i="7" s="1"/>
  <c r="AA85" i="7" a="1"/>
  <c r="AA85" i="7" s="1"/>
  <c r="AA86" i="7" a="1"/>
  <c r="AA86" i="7" s="1"/>
  <c r="AA87" i="7" a="1"/>
  <c r="AA87" i="7" s="1"/>
  <c r="AA88" i="7" a="1"/>
  <c r="AA88" i="7" s="1"/>
  <c r="AA89" i="7" a="1"/>
  <c r="AA89" i="7" s="1"/>
  <c r="AA90" i="7" a="1"/>
  <c r="AA90" i="7" s="1"/>
  <c r="AA91" i="7" a="1"/>
  <c r="AA91" i="7" s="1"/>
  <c r="AA92" i="7" a="1"/>
  <c r="AA92" i="7" s="1"/>
  <c r="AA93" i="7" a="1"/>
  <c r="AA93" i="7" s="1"/>
  <c r="AA94" i="7" a="1"/>
  <c r="AA94" i="7" s="1"/>
  <c r="AA95" i="7" a="1"/>
  <c r="AA95" i="7" s="1"/>
  <c r="AA96" i="7" a="1"/>
  <c r="AA96" i="7" s="1"/>
  <c r="AA97" i="7" a="1"/>
  <c r="AA97" i="7" s="1"/>
  <c r="AA98" i="7" a="1"/>
  <c r="AA98" i="7" s="1"/>
  <c r="AA99" i="7" a="1"/>
  <c r="AA99" i="7" s="1"/>
  <c r="AA100" i="7" a="1"/>
  <c r="AA100" i="7" s="1"/>
  <c r="AA101" i="7" a="1"/>
  <c r="AA101" i="7" s="1"/>
  <c r="AA102" i="7" a="1"/>
  <c r="AA102" i="7" s="1"/>
  <c r="AA103" i="7" a="1"/>
  <c r="AA103" i="7" s="1"/>
  <c r="AA104" i="7" a="1"/>
  <c r="AA104" i="7" s="1"/>
  <c r="AA105" i="7" a="1"/>
  <c r="AA105" i="7" s="1"/>
  <c r="AA106" i="7" a="1"/>
  <c r="AA106" i="7" s="1"/>
  <c r="AA107" i="7" a="1"/>
  <c r="AA107" i="7" s="1"/>
  <c r="AA108" i="7" a="1"/>
  <c r="AA108" i="7" s="1"/>
  <c r="AA109" i="7" a="1"/>
  <c r="AA109" i="7" s="1"/>
  <c r="AA110" i="7" a="1"/>
  <c r="AA110" i="7" s="1"/>
  <c r="AA111" i="7" a="1"/>
  <c r="AA111" i="7" s="1"/>
  <c r="AA112" i="7" a="1"/>
  <c r="AA112" i="7" s="1"/>
  <c r="AA113" i="7" a="1"/>
  <c r="AA113" i="7" s="1"/>
  <c r="AA114" i="7" a="1"/>
  <c r="AA114" i="7" s="1"/>
  <c r="AA115" i="7" a="1"/>
  <c r="AA115" i="7" s="1"/>
  <c r="AA116" i="7" a="1"/>
  <c r="AA116" i="7" s="1"/>
  <c r="AA117" i="7" a="1"/>
  <c r="AA117" i="7" s="1"/>
  <c r="AA118" i="7" a="1"/>
  <c r="AA118" i="7" s="1"/>
  <c r="AA119" i="7" a="1"/>
  <c r="AA119" i="7" s="1"/>
  <c r="AA120" i="7" a="1"/>
  <c r="AA120" i="7" s="1"/>
  <c r="AA121" i="7" a="1"/>
  <c r="AA121" i="7" s="1"/>
  <c r="AA122" i="7" a="1"/>
  <c r="AA122" i="7" s="1"/>
  <c r="AA123" i="7" a="1"/>
  <c r="AA123" i="7" s="1"/>
  <c r="AA124" i="7" a="1"/>
  <c r="AA124" i="7" s="1"/>
  <c r="AA125" i="7" a="1"/>
  <c r="AA125" i="7" s="1"/>
  <c r="AA126" i="7" a="1"/>
  <c r="AA126" i="7" s="1"/>
  <c r="AA127" i="7" a="1"/>
  <c r="AA127" i="7" s="1"/>
  <c r="AA128" i="7" a="1"/>
  <c r="AA128" i="7" s="1"/>
  <c r="AA129" i="7" a="1"/>
  <c r="AA129" i="7" s="1"/>
  <c r="AA130" i="7" a="1"/>
  <c r="AA130" i="7" s="1"/>
  <c r="AA131" i="7" a="1"/>
  <c r="AA131" i="7" s="1"/>
  <c r="AA132" i="7" a="1"/>
  <c r="AA132" i="7" s="1"/>
  <c r="AA133" i="7" a="1"/>
  <c r="AA133" i="7" s="1"/>
  <c r="AA134" i="7" a="1"/>
  <c r="AA134" i="7" s="1"/>
  <c r="AA135" i="7" a="1"/>
  <c r="AA135" i="7" s="1"/>
  <c r="AA136" i="7" a="1"/>
  <c r="AA136" i="7" s="1"/>
  <c r="AA137" i="7" a="1"/>
  <c r="AA137" i="7" s="1"/>
  <c r="AA138" i="7" a="1"/>
  <c r="AA138" i="7" s="1"/>
  <c r="AA139" i="7" a="1"/>
  <c r="AA139" i="7" s="1"/>
  <c r="AA140" i="7" a="1"/>
  <c r="AA140" i="7" s="1"/>
  <c r="AA141" i="7" a="1"/>
  <c r="AA141" i="7" s="1"/>
  <c r="AA142" i="7" a="1"/>
  <c r="AA142" i="7" s="1"/>
  <c r="AA143" i="7" a="1"/>
  <c r="AA143" i="7" s="1"/>
  <c r="AA144" i="7" a="1"/>
  <c r="AA144" i="7" s="1"/>
  <c r="AA145" i="7" a="1"/>
  <c r="AA145" i="7" s="1"/>
  <c r="AA146" i="7" a="1"/>
  <c r="AA146" i="7" s="1"/>
  <c r="AA147" i="7" a="1"/>
  <c r="AA147" i="7" s="1"/>
  <c r="AA148" i="7" a="1"/>
  <c r="AA148" i="7" s="1"/>
  <c r="AA149" i="7" a="1"/>
  <c r="AA149" i="7" s="1"/>
  <c r="AA150" i="7" a="1"/>
  <c r="AA150" i="7" s="1"/>
  <c r="AA151" i="7" a="1"/>
  <c r="AA151" i="7" s="1"/>
  <c r="AA152" i="7" a="1"/>
  <c r="AA152" i="7" s="1"/>
  <c r="AA153" i="7" a="1"/>
  <c r="AA153" i="7" s="1"/>
  <c r="AA154" i="7" a="1"/>
  <c r="AA154" i="7" s="1"/>
  <c r="AA155" i="7" a="1"/>
  <c r="AA155" i="7" s="1"/>
  <c r="AA156" i="7" a="1"/>
  <c r="AA156" i="7" s="1"/>
  <c r="AA157" i="7" a="1"/>
  <c r="AA157" i="7" s="1"/>
  <c r="AA158" i="7" a="1"/>
  <c r="AA158" i="7" s="1"/>
  <c r="AA159" i="7" a="1"/>
  <c r="AA159" i="7" s="1"/>
  <c r="AA160" i="7" a="1"/>
  <c r="AA160" i="7" s="1"/>
  <c r="AA161" i="7" a="1"/>
  <c r="AA161" i="7" s="1"/>
  <c r="AA162" i="7" a="1"/>
  <c r="AA162" i="7" s="1"/>
  <c r="AA163" i="7" a="1"/>
  <c r="AA163" i="7" s="1"/>
  <c r="AA164" i="7" a="1"/>
  <c r="AA164" i="7" s="1"/>
  <c r="AA165" i="7" a="1"/>
  <c r="AA165" i="7" s="1"/>
  <c r="AA166" i="7" a="1"/>
  <c r="AA166" i="7" s="1"/>
  <c r="AA167" i="7" a="1"/>
  <c r="AA167" i="7" s="1"/>
  <c r="AA168" i="7" a="1"/>
  <c r="AA168" i="7" s="1"/>
  <c r="AA169" i="7" a="1"/>
  <c r="AA169" i="7" s="1"/>
  <c r="AA170" i="7" a="1"/>
  <c r="AA170" i="7" s="1"/>
  <c r="AA171" i="7" a="1"/>
  <c r="AA171" i="7" s="1"/>
  <c r="AA172" i="7" a="1"/>
  <c r="AA172" i="7" s="1"/>
  <c r="AA173" i="7" a="1"/>
  <c r="AA173" i="7" s="1"/>
  <c r="AA174" i="7" a="1"/>
  <c r="AA174" i="7" s="1"/>
  <c r="AA175" i="7" a="1"/>
  <c r="AA175" i="7" s="1"/>
  <c r="AA176" i="7" a="1"/>
  <c r="AA176" i="7" s="1"/>
  <c r="AA177" i="7" a="1"/>
  <c r="AA177" i="7" s="1"/>
  <c r="AA178" i="7" a="1"/>
  <c r="AA178" i="7" s="1"/>
  <c r="AA179" i="7" a="1"/>
  <c r="AA179" i="7" s="1"/>
  <c r="AA180" i="7" a="1"/>
  <c r="AA180" i="7" s="1"/>
  <c r="AA181" i="7" a="1"/>
  <c r="AA181" i="7" s="1"/>
  <c r="AA182" i="7" a="1"/>
  <c r="AA182" i="7" s="1"/>
  <c r="AA183" i="7" a="1"/>
  <c r="AA183" i="7" s="1"/>
  <c r="AA184" i="7" a="1"/>
  <c r="AA184" i="7" s="1"/>
  <c r="AA185" i="7" a="1"/>
  <c r="AA185" i="7" s="1"/>
  <c r="AA186" i="7" a="1"/>
  <c r="AA186" i="7" s="1"/>
  <c r="AA187" i="7" a="1"/>
  <c r="AA187" i="7" s="1"/>
  <c r="AA188" i="7" a="1"/>
  <c r="AA188" i="7" s="1"/>
  <c r="AA189" i="7" a="1"/>
  <c r="AA189" i="7" s="1"/>
  <c r="AA190" i="7" a="1"/>
  <c r="AA190" i="7" s="1"/>
  <c r="AA191" i="7" a="1"/>
  <c r="AA191" i="7" s="1"/>
  <c r="AA192" i="7" a="1"/>
  <c r="AA192" i="7" s="1"/>
  <c r="AA193" i="7" a="1"/>
  <c r="AA193" i="7" s="1"/>
  <c r="AA194" i="7" a="1"/>
  <c r="AA194" i="7" s="1"/>
  <c r="AA195" i="7" a="1"/>
  <c r="AA195" i="7" s="1"/>
  <c r="AA196" i="7" a="1"/>
  <c r="AA196" i="7" s="1"/>
  <c r="AA197" i="7" a="1"/>
  <c r="AA197" i="7" s="1"/>
  <c r="AA198" i="7" a="1"/>
  <c r="AA198" i="7" s="1"/>
  <c r="AA199" i="7" a="1"/>
  <c r="AA199" i="7" s="1"/>
  <c r="AA200" i="7" a="1"/>
  <c r="AA200" i="7" s="1"/>
  <c r="AA201" i="7" a="1"/>
  <c r="AA201" i="7" s="1"/>
  <c r="AA202" i="7" a="1"/>
  <c r="AA202" i="7" s="1"/>
  <c r="AA203" i="7" a="1"/>
  <c r="AA203" i="7" s="1"/>
  <c r="AA204" i="7" a="1"/>
  <c r="AA204" i="7" s="1"/>
  <c r="AA205" i="7" a="1"/>
  <c r="AA205" i="7" s="1"/>
  <c r="AA206" i="7" a="1"/>
  <c r="AA206" i="7" s="1"/>
  <c r="AA207" i="7" a="1"/>
  <c r="AA207" i="7" s="1"/>
  <c r="AA208" i="7" a="1"/>
  <c r="AA208" i="7" s="1"/>
  <c r="AA209" i="7" a="1"/>
  <c r="AA209" i="7" s="1"/>
  <c r="AA210" i="7" a="1"/>
  <c r="AA210" i="7" s="1"/>
  <c r="AA211" i="7" a="1"/>
  <c r="AA211" i="7" s="1"/>
  <c r="AA212" i="7" a="1"/>
  <c r="AA212" i="7" s="1"/>
  <c r="AA213" i="7" a="1"/>
  <c r="AA213" i="7" s="1"/>
  <c r="AA214" i="7" a="1"/>
  <c r="AA214" i="7" s="1"/>
  <c r="AA215" i="7" a="1"/>
  <c r="AA215" i="7" s="1"/>
  <c r="AA216" i="7" a="1"/>
  <c r="AA216" i="7" s="1"/>
  <c r="AA217" i="7" a="1"/>
  <c r="AA217" i="7" s="1"/>
  <c r="AA218" i="7" a="1"/>
  <c r="AA218" i="7" s="1"/>
  <c r="AA219" i="7" a="1"/>
  <c r="AA219" i="7" s="1"/>
  <c r="AA220" i="7" a="1"/>
  <c r="AA220" i="7" s="1"/>
  <c r="AA221" i="7" a="1"/>
  <c r="AA221" i="7" s="1"/>
  <c r="AA222" i="7" a="1"/>
  <c r="AA222" i="7" s="1"/>
  <c r="AA223" i="7" a="1"/>
  <c r="AA223" i="7" s="1"/>
  <c r="AA224" i="7" a="1"/>
  <c r="AA224" i="7" s="1"/>
  <c r="AA225" i="7" a="1"/>
  <c r="AA225" i="7" s="1"/>
  <c r="AA226" i="7" a="1"/>
  <c r="AA226" i="7" s="1"/>
  <c r="AA227" i="7" a="1"/>
  <c r="AA227" i="7" s="1"/>
  <c r="AA228" i="7" a="1"/>
  <c r="AA228" i="7" s="1"/>
  <c r="AA229" i="7" a="1"/>
  <c r="AA229" i="7" s="1"/>
  <c r="Y4" i="7"/>
  <c r="Y5" i="7"/>
  <c r="Y6" i="7"/>
  <c r="Y7" i="7"/>
  <c r="Y8" i="7"/>
  <c r="Y9" i="7"/>
  <c r="Y10" i="7"/>
  <c r="Y11" i="7"/>
  <c r="Y12" i="7"/>
  <c r="Y13" i="7"/>
  <c r="Y14" i="7"/>
  <c r="Y15" i="7"/>
  <c r="Y16" i="7"/>
  <c r="Y17" i="7"/>
  <c r="Y18" i="7"/>
  <c r="Y19" i="7"/>
  <c r="Y20" i="7"/>
  <c r="Y21" i="7"/>
  <c r="Y22" i="7"/>
  <c r="Y23" i="7"/>
  <c r="Y24" i="7"/>
  <c r="Y25" i="7"/>
  <c r="Y26" i="7"/>
  <c r="Y27" i="7"/>
  <c r="Y28" i="7"/>
  <c r="Y29" i="7"/>
  <c r="Y30" i="7"/>
  <c r="Y31" i="7"/>
  <c r="Y32" i="7"/>
  <c r="Y33" i="7"/>
  <c r="Y34" i="7"/>
  <c r="Y35" i="7"/>
  <c r="Y36" i="7"/>
  <c r="Y37" i="7"/>
  <c r="Y38" i="7"/>
  <c r="Y39" i="7"/>
  <c r="Y40" i="7"/>
  <c r="Y41" i="7"/>
  <c r="Y42" i="7"/>
  <c r="Y43" i="7"/>
  <c r="Y44" i="7"/>
  <c r="Y45" i="7"/>
  <c r="Y46" i="7"/>
  <c r="Y47" i="7"/>
  <c r="Y48" i="7"/>
  <c r="Y49" i="7"/>
  <c r="Y50" i="7"/>
  <c r="Y51" i="7"/>
  <c r="Y52" i="7"/>
  <c r="Y53" i="7"/>
  <c r="Y54" i="7"/>
  <c r="Y55" i="7"/>
  <c r="Y56" i="7"/>
  <c r="Y57" i="7"/>
  <c r="Y58" i="7"/>
  <c r="Y59" i="7"/>
  <c r="Y60" i="7"/>
  <c r="Y61" i="7"/>
  <c r="Y62" i="7"/>
  <c r="Y63" i="7"/>
  <c r="Y64" i="7"/>
  <c r="Y65" i="7"/>
  <c r="Y66" i="7"/>
  <c r="Y67" i="7"/>
  <c r="Y68" i="7"/>
  <c r="Y69" i="7"/>
  <c r="Y70" i="7"/>
  <c r="Y71" i="7"/>
  <c r="Y72" i="7"/>
  <c r="Y73" i="7"/>
  <c r="Y74" i="7"/>
  <c r="Y75" i="7"/>
  <c r="Y76" i="7"/>
  <c r="Y77" i="7"/>
  <c r="Y78" i="7"/>
  <c r="Y79" i="7"/>
  <c r="Y80" i="7"/>
  <c r="Y81" i="7"/>
  <c r="Y82" i="7"/>
  <c r="Y83" i="7"/>
  <c r="Y84" i="7"/>
  <c r="Y85" i="7"/>
  <c r="Y86" i="7"/>
  <c r="Y87" i="7"/>
  <c r="Y88" i="7"/>
  <c r="Y89" i="7"/>
  <c r="Y90" i="7"/>
  <c r="Y91" i="7"/>
  <c r="Y92" i="7"/>
  <c r="Y93" i="7"/>
  <c r="Y94" i="7"/>
  <c r="Y95" i="7"/>
  <c r="Y96" i="7"/>
  <c r="Y97" i="7"/>
  <c r="Y98" i="7"/>
  <c r="Y99" i="7"/>
  <c r="Y100" i="7"/>
  <c r="Y101" i="7"/>
  <c r="Y102" i="7"/>
  <c r="Y103" i="7"/>
  <c r="Y104" i="7"/>
  <c r="Y105" i="7"/>
  <c r="Y106" i="7"/>
  <c r="Y107" i="7"/>
  <c r="Y108" i="7"/>
  <c r="Y109" i="7"/>
  <c r="Y110" i="7"/>
  <c r="Y111" i="7"/>
  <c r="Y112" i="7"/>
  <c r="Y113" i="7"/>
  <c r="Y114" i="7"/>
  <c r="Y115" i="7"/>
  <c r="Y116" i="7"/>
  <c r="Y117" i="7"/>
  <c r="Y118" i="7"/>
  <c r="Y119" i="7"/>
  <c r="Y120" i="7"/>
  <c r="Y121" i="7"/>
  <c r="Y122" i="7"/>
  <c r="Y123" i="7"/>
  <c r="Y124" i="7"/>
  <c r="Y125" i="7"/>
  <c r="Y126" i="7"/>
  <c r="Y127" i="7"/>
  <c r="Y128" i="7"/>
  <c r="Y129" i="7"/>
  <c r="Y130" i="7"/>
  <c r="Y131" i="7"/>
  <c r="Y132" i="7"/>
  <c r="Y133" i="7"/>
  <c r="Y134" i="7"/>
  <c r="Y135" i="7"/>
  <c r="Y136" i="7"/>
  <c r="Y137" i="7"/>
  <c r="Y138" i="7"/>
  <c r="Y139" i="7"/>
  <c r="Y140" i="7"/>
  <c r="Y141" i="7"/>
  <c r="Y142" i="7"/>
  <c r="Y143" i="7"/>
  <c r="Y144" i="7"/>
  <c r="Y145" i="7"/>
  <c r="Y146" i="7"/>
  <c r="Y147" i="7"/>
  <c r="Y148" i="7"/>
  <c r="Y149" i="7"/>
  <c r="Y150" i="7"/>
  <c r="Y151" i="7"/>
  <c r="Y152" i="7"/>
  <c r="Y153" i="7"/>
  <c r="Y154" i="7"/>
  <c r="Y155" i="7"/>
  <c r="Y156" i="7"/>
  <c r="Y157" i="7"/>
  <c r="Y158" i="7"/>
  <c r="Y159" i="7"/>
  <c r="Y160" i="7"/>
  <c r="Y161" i="7"/>
  <c r="Y162" i="7"/>
  <c r="Y163" i="7"/>
  <c r="Y164" i="7"/>
  <c r="Y165" i="7"/>
  <c r="Y166" i="7"/>
  <c r="Y167" i="7"/>
  <c r="Y168" i="7"/>
  <c r="Y169" i="7"/>
  <c r="Y170" i="7"/>
  <c r="Y171" i="7"/>
  <c r="Y172" i="7"/>
  <c r="Y173" i="7"/>
  <c r="Y174" i="7"/>
  <c r="Y175" i="7"/>
  <c r="Y176" i="7"/>
  <c r="Y177" i="7"/>
  <c r="Y178" i="7"/>
  <c r="Y179" i="7"/>
  <c r="Y180" i="7"/>
  <c r="Y181" i="7"/>
  <c r="Y182" i="7"/>
  <c r="Y183" i="7"/>
  <c r="Y184" i="7"/>
  <c r="Y185" i="7"/>
  <c r="Y186" i="7"/>
  <c r="Y187" i="7"/>
  <c r="Y188" i="7"/>
  <c r="Y189" i="7"/>
  <c r="Y190" i="7"/>
  <c r="Y191" i="7"/>
  <c r="Y192" i="7"/>
  <c r="Y193" i="7"/>
  <c r="Y194" i="7"/>
  <c r="Y195" i="7"/>
  <c r="Y196" i="7"/>
  <c r="Y197" i="7"/>
  <c r="Y198" i="7"/>
  <c r="Y199" i="7"/>
  <c r="Y200" i="7"/>
  <c r="Y201" i="7"/>
  <c r="Y202" i="7"/>
  <c r="Y203" i="7"/>
  <c r="Y204" i="7"/>
  <c r="Y205" i="7"/>
  <c r="Y206" i="7"/>
  <c r="Y207" i="7"/>
  <c r="Y208" i="7"/>
  <c r="Y209" i="7"/>
  <c r="Y210" i="7"/>
  <c r="Y211" i="7"/>
  <c r="Y212" i="7"/>
  <c r="Y213" i="7"/>
  <c r="Y214" i="7"/>
  <c r="Y215" i="7"/>
  <c r="Y216" i="7"/>
  <c r="Y217" i="7"/>
  <c r="Y218" i="7"/>
  <c r="Y219" i="7"/>
  <c r="Y220" i="7"/>
  <c r="Y221" i="7"/>
  <c r="Y222" i="7"/>
  <c r="Y223" i="7"/>
  <c r="Y224" i="7"/>
  <c r="Y225" i="7"/>
  <c r="Y226" i="7"/>
  <c r="Y227" i="7"/>
  <c r="Y228" i="7"/>
  <c r="Y229" i="7"/>
  <c r="G13" i="8"/>
  <c r="G7" i="8"/>
  <c r="G6" i="8"/>
  <c r="G5" i="8"/>
  <c r="G8" i="8"/>
  <c r="G9" i="8"/>
  <c r="G10" i="8"/>
  <c r="G12" i="8"/>
  <c r="G11" i="8"/>
  <c r="G4" i="8"/>
  <c r="G3" i="8"/>
  <c r="C9" i="13" l="1"/>
  <c r="C9" i="14" s="1"/>
  <c r="B7" i="7"/>
  <c r="D10" i="13"/>
  <c r="B10" i="14"/>
  <c r="D10" i="14" s="1"/>
  <c r="B11" i="13"/>
  <c r="A7" i="12"/>
  <c r="F6" i="12"/>
  <c r="B9" i="12"/>
  <c r="G8" i="12"/>
  <c r="B8" i="10"/>
  <c r="G7" i="10"/>
  <c r="A7" i="10"/>
  <c r="F7" i="10" s="1"/>
  <c r="U223" i="7"/>
  <c r="U128" i="7"/>
  <c r="X128" i="7" s="1"/>
  <c r="U56" i="7"/>
  <c r="X56" i="7" s="1"/>
  <c r="U48" i="7"/>
  <c r="U40" i="7"/>
  <c r="X40" i="7" s="1"/>
  <c r="U33" i="7"/>
  <c r="U159" i="7"/>
  <c r="U151" i="7"/>
  <c r="X151" i="7" s="1"/>
  <c r="U143" i="7"/>
  <c r="U135" i="7"/>
  <c r="X135" i="7" s="1"/>
  <c r="U127" i="7"/>
  <c r="X127" i="7" s="1"/>
  <c r="U158" i="7"/>
  <c r="X158" i="7" s="1"/>
  <c r="U31" i="7"/>
  <c r="U212" i="7"/>
  <c r="U204" i="7"/>
  <c r="X204" i="7" s="1"/>
  <c r="U195" i="7"/>
  <c r="X195" i="7" s="1"/>
  <c r="U95" i="7"/>
  <c r="U180" i="7"/>
  <c r="U172" i="7"/>
  <c r="X172" i="7" s="1"/>
  <c r="U164" i="7"/>
  <c r="U85" i="7"/>
  <c r="U77" i="7"/>
  <c r="X77" i="7" s="1"/>
  <c r="U69" i="7"/>
  <c r="X69" i="7" s="1"/>
  <c r="U4" i="7"/>
  <c r="U217" i="7"/>
  <c r="U209" i="7"/>
  <c r="X209" i="7" s="1"/>
  <c r="U201" i="7"/>
  <c r="X201" i="7" s="1"/>
  <c r="U163" i="7"/>
  <c r="X163" i="7" s="1"/>
  <c r="U92" i="7"/>
  <c r="X92" i="7" s="1"/>
  <c r="U131" i="7"/>
  <c r="X131" i="7" s="1"/>
  <c r="U123" i="7"/>
  <c r="X123" i="7" s="1"/>
  <c r="U99" i="7"/>
  <c r="X99" i="7" s="1"/>
  <c r="U91" i="7"/>
  <c r="U67" i="7"/>
  <c r="X67" i="7" s="1"/>
  <c r="U228" i="7"/>
  <c r="U19" i="7"/>
  <c r="X19" i="7" s="1"/>
  <c r="U194" i="7"/>
  <c r="U187" i="7"/>
  <c r="X187" i="7" s="1"/>
  <c r="U122" i="7"/>
  <c r="U114" i="7"/>
  <c r="U106" i="7"/>
  <c r="U229" i="7"/>
  <c r="U216" i="7"/>
  <c r="X216" i="7" s="1"/>
  <c r="U208" i="7"/>
  <c r="X208" i="7" s="1"/>
  <c r="U200" i="7"/>
  <c r="X200" i="7" s="1"/>
  <c r="U193" i="7"/>
  <c r="U179" i="7"/>
  <c r="X179" i="7" s="1"/>
  <c r="U171" i="7"/>
  <c r="U157" i="7"/>
  <c r="U150" i="7"/>
  <c r="X150" i="7" s="1"/>
  <c r="U142" i="7"/>
  <c r="X142" i="7" s="1"/>
  <c r="U134" i="7"/>
  <c r="X134" i="7" s="1"/>
  <c r="U121" i="7"/>
  <c r="X121" i="7" s="1"/>
  <c r="U113" i="7"/>
  <c r="X113" i="7" s="1"/>
  <c r="U105" i="7"/>
  <c r="X105" i="7" s="1"/>
  <c r="U98" i="7"/>
  <c r="U84" i="7"/>
  <c r="U76" i="7"/>
  <c r="X76" i="7" s="1"/>
  <c r="U68" i="7"/>
  <c r="U62" i="7"/>
  <c r="U55" i="7"/>
  <c r="X55" i="7" s="1"/>
  <c r="U47" i="7"/>
  <c r="X47" i="7" s="1"/>
  <c r="U39" i="7"/>
  <c r="X39" i="7" s="1"/>
  <c r="U32" i="7"/>
  <c r="U26" i="7"/>
  <c r="U18" i="7"/>
  <c r="X18" i="7" s="1"/>
  <c r="U10" i="7"/>
  <c r="X10" i="7" s="1"/>
  <c r="U222" i="7"/>
  <c r="U215" i="7"/>
  <c r="U207" i="7"/>
  <c r="U199" i="7"/>
  <c r="X199" i="7" s="1"/>
  <c r="U192" i="7"/>
  <c r="X192" i="7" s="1"/>
  <c r="U186" i="7"/>
  <c r="U178" i="7"/>
  <c r="X178" i="7" s="1"/>
  <c r="U170" i="7"/>
  <c r="X170" i="7" s="1"/>
  <c r="U156" i="7"/>
  <c r="U149" i="7"/>
  <c r="U141" i="7"/>
  <c r="U133" i="7"/>
  <c r="U120" i="7"/>
  <c r="X120" i="7" s="1"/>
  <c r="U112" i="7"/>
  <c r="U104" i="7"/>
  <c r="X104" i="7" s="1"/>
  <c r="U97" i="7"/>
  <c r="U83" i="7"/>
  <c r="X83" i="7" s="1"/>
  <c r="U75" i="7"/>
  <c r="X75" i="7" s="1"/>
  <c r="U61" i="7"/>
  <c r="U54" i="7"/>
  <c r="U46" i="7"/>
  <c r="U38" i="7"/>
  <c r="U25" i="7"/>
  <c r="X25" i="7" s="1"/>
  <c r="U17" i="7"/>
  <c r="X17" i="7" s="1"/>
  <c r="U9" i="7"/>
  <c r="X9" i="7" s="1"/>
  <c r="U227" i="7"/>
  <c r="U221" i="7"/>
  <c r="U214" i="7"/>
  <c r="X214" i="7" s="1"/>
  <c r="U206" i="7"/>
  <c r="X206" i="7" s="1"/>
  <c r="U198" i="7"/>
  <c r="U191" i="7"/>
  <c r="X191" i="7" s="1"/>
  <c r="U185" i="7"/>
  <c r="X185" i="7" s="1"/>
  <c r="U177" i="7"/>
  <c r="X177" i="7" s="1"/>
  <c r="U169" i="7"/>
  <c r="X169" i="7" s="1"/>
  <c r="U162" i="7"/>
  <c r="U155" i="7"/>
  <c r="U148" i="7"/>
  <c r="U140" i="7"/>
  <c r="U132" i="7"/>
  <c r="U126" i="7"/>
  <c r="X126" i="7" s="1"/>
  <c r="U119" i="7"/>
  <c r="X119" i="7" s="1"/>
  <c r="U111" i="7"/>
  <c r="X111" i="7" s="1"/>
  <c r="U103" i="7"/>
  <c r="X103" i="7" s="1"/>
  <c r="U96" i="7"/>
  <c r="U90" i="7"/>
  <c r="X90" i="7" s="1"/>
  <c r="U82" i="7"/>
  <c r="U74" i="7"/>
  <c r="X74" i="7" s="1"/>
  <c r="U60" i="7"/>
  <c r="U53" i="7"/>
  <c r="U45" i="7"/>
  <c r="U37" i="7"/>
  <c r="U24" i="7"/>
  <c r="X24" i="7" s="1"/>
  <c r="U16" i="7"/>
  <c r="U8" i="7"/>
  <c r="U220" i="7"/>
  <c r="X220" i="7" s="1"/>
  <c r="U213" i="7"/>
  <c r="U205" i="7"/>
  <c r="U197" i="7"/>
  <c r="X197" i="7" s="1"/>
  <c r="U184" i="7"/>
  <c r="U176" i="7"/>
  <c r="U168" i="7"/>
  <c r="U161" i="7"/>
  <c r="U147" i="7"/>
  <c r="X147" i="7" s="1"/>
  <c r="U139" i="7"/>
  <c r="X139" i="7" s="1"/>
  <c r="U125" i="7"/>
  <c r="U118" i="7"/>
  <c r="U110" i="7"/>
  <c r="X110" i="7" s="1"/>
  <c r="U102" i="7"/>
  <c r="X102" i="7" s="1"/>
  <c r="U89" i="7"/>
  <c r="X89" i="7" s="1"/>
  <c r="U81" i="7"/>
  <c r="U73" i="7"/>
  <c r="X73" i="7" s="1"/>
  <c r="U66" i="7"/>
  <c r="U52" i="7"/>
  <c r="U44" i="7"/>
  <c r="U36" i="7"/>
  <c r="U30" i="7"/>
  <c r="U23" i="7"/>
  <c r="X23" i="7" s="1"/>
  <c r="U7" i="7"/>
  <c r="U226" i="7"/>
  <c r="X226" i="7" s="1"/>
  <c r="U196" i="7"/>
  <c r="U190" i="7"/>
  <c r="X190" i="7" s="1"/>
  <c r="U183" i="7"/>
  <c r="X183" i="7" s="1"/>
  <c r="U175" i="7"/>
  <c r="X175" i="7" s="1"/>
  <c r="U167" i="7"/>
  <c r="X167" i="7" s="1"/>
  <c r="U160" i="7"/>
  <c r="X160" i="7" s="1"/>
  <c r="U154" i="7"/>
  <c r="U146" i="7"/>
  <c r="X146" i="7" s="1"/>
  <c r="U138" i="7"/>
  <c r="X138" i="7" s="1"/>
  <c r="U124" i="7"/>
  <c r="X124" i="7" s="1"/>
  <c r="U117" i="7"/>
  <c r="U109" i="7"/>
  <c r="X109" i="7" s="1"/>
  <c r="U101" i="7"/>
  <c r="X101" i="7" s="1"/>
  <c r="U88" i="7"/>
  <c r="X88" i="7" s="1"/>
  <c r="U80" i="7"/>
  <c r="U72" i="7"/>
  <c r="X72" i="7" s="1"/>
  <c r="U65" i="7"/>
  <c r="X65" i="7" s="1"/>
  <c r="U51" i="7"/>
  <c r="X51" i="7" s="1"/>
  <c r="U29" i="7"/>
  <c r="X29" i="7" s="1"/>
  <c r="U22" i="7"/>
  <c r="X22" i="7" s="1"/>
  <c r="U14" i="7"/>
  <c r="U6" i="7"/>
  <c r="U219" i="7"/>
  <c r="U225" i="7"/>
  <c r="U211" i="7"/>
  <c r="X211" i="7" s="1"/>
  <c r="U203" i="7"/>
  <c r="X203" i="7" s="1"/>
  <c r="U189" i="7"/>
  <c r="X189" i="7" s="1"/>
  <c r="U182" i="7"/>
  <c r="X182" i="7" s="1"/>
  <c r="U174" i="7"/>
  <c r="X174" i="7" s="1"/>
  <c r="U166" i="7"/>
  <c r="X166" i="7" s="1"/>
  <c r="U153" i="7"/>
  <c r="U145" i="7"/>
  <c r="X145" i="7" s="1"/>
  <c r="U137" i="7"/>
  <c r="X137" i="7" s="1"/>
  <c r="U130" i="7"/>
  <c r="U116" i="7"/>
  <c r="U108" i="7"/>
  <c r="X108" i="7" s="1"/>
  <c r="U100" i="7"/>
  <c r="U94" i="7"/>
  <c r="U87" i="7"/>
  <c r="U71" i="7"/>
  <c r="X71" i="7" s="1"/>
  <c r="U64" i="7"/>
  <c r="X64" i="7" s="1"/>
  <c r="U58" i="7"/>
  <c r="X58" i="7" s="1"/>
  <c r="U50" i="7"/>
  <c r="U42" i="7"/>
  <c r="X42" i="7" s="1"/>
  <c r="U28" i="7"/>
  <c r="U21" i="7"/>
  <c r="U224" i="7"/>
  <c r="U218" i="7"/>
  <c r="X218" i="7" s="1"/>
  <c r="U210" i="7"/>
  <c r="X210" i="7" s="1"/>
  <c r="U202" i="7"/>
  <c r="X202" i="7" s="1"/>
  <c r="U188" i="7"/>
  <c r="U181" i="7"/>
  <c r="U173" i="7"/>
  <c r="X173" i="7" s="1"/>
  <c r="U165" i="7"/>
  <c r="U152" i="7"/>
  <c r="U144" i="7"/>
  <c r="X144" i="7" s="1"/>
  <c r="U136" i="7"/>
  <c r="X136" i="7" s="1"/>
  <c r="U129" i="7"/>
  <c r="X129" i="7" s="1"/>
  <c r="U115" i="7"/>
  <c r="X115" i="7" s="1"/>
  <c r="U107" i="7"/>
  <c r="U93" i="7"/>
  <c r="X93" i="7" s="1"/>
  <c r="U86" i="7"/>
  <c r="X86" i="7" s="1"/>
  <c r="U78" i="7"/>
  <c r="U70" i="7"/>
  <c r="X70" i="7" s="1"/>
  <c r="U57" i="7"/>
  <c r="X57" i="7" s="1"/>
  <c r="U49" i="7"/>
  <c r="X49" i="7" s="1"/>
  <c r="U41" i="7"/>
  <c r="X41" i="7" s="1"/>
  <c r="U34" i="7"/>
  <c r="U20" i="7"/>
  <c r="U12" i="7"/>
  <c r="X12" i="7" s="1"/>
  <c r="U11" i="7"/>
  <c r="U59" i="7"/>
  <c r="X59" i="7" s="1"/>
  <c r="U15" i="7"/>
  <c r="X15" i="7" s="1"/>
  <c r="U43" i="7"/>
  <c r="U35" i="7"/>
  <c r="U79" i="7"/>
  <c r="U13" i="7"/>
  <c r="X13" i="7" s="1"/>
  <c r="U5" i="7"/>
  <c r="X5" i="7" s="1"/>
  <c r="U63" i="7"/>
  <c r="U27" i="7"/>
  <c r="X27" i="7" s="1"/>
  <c r="B8" i="7" l="1"/>
  <c r="C10" i="13"/>
  <c r="C10" i="14" s="1"/>
  <c r="D11" i="13"/>
  <c r="B11" i="14"/>
  <c r="D11" i="14" s="1"/>
  <c r="B12" i="13"/>
  <c r="B10" i="12"/>
  <c r="G9" i="12"/>
  <c r="F7" i="12"/>
  <c r="A8" i="12"/>
  <c r="B9" i="10"/>
  <c r="G8" i="10"/>
  <c r="A8" i="10"/>
  <c r="F8" i="10" s="1"/>
  <c r="H1" i="8"/>
  <c r="I1" i="8" s="1"/>
  <c r="J1" i="8" s="1"/>
  <c r="K1" i="8" s="1"/>
  <c r="L1" i="8" s="1"/>
  <c r="M1" i="8" s="1"/>
  <c r="N1" i="8" s="1"/>
  <c r="O1" i="8" s="1"/>
  <c r="P1" i="8" s="1"/>
  <c r="Q1" i="8" s="1"/>
  <c r="R1" i="8" s="1"/>
  <c r="S1" i="8" s="1"/>
  <c r="T1" i="8" s="1"/>
  <c r="U1" i="8" s="1"/>
  <c r="V1" i="8" s="1"/>
  <c r="W1" i="8" s="1"/>
  <c r="X1" i="8" s="1"/>
  <c r="Y1" i="8" s="1"/>
  <c r="Z1" i="8" s="1"/>
  <c r="AA1" i="8" s="1"/>
  <c r="AB1" i="8" s="1"/>
  <c r="AC1" i="8" s="1"/>
  <c r="AD1" i="8" s="1"/>
  <c r="AE1" i="8" s="1"/>
  <c r="AF1" i="8" s="1"/>
  <c r="AG1" i="8" s="1"/>
  <c r="AH1" i="8" s="1"/>
  <c r="AI1" i="8" s="1"/>
  <c r="AJ1" i="8" s="1"/>
  <c r="AK1" i="8" s="1"/>
  <c r="AL1" i="8" s="1"/>
  <c r="AM1" i="8" s="1"/>
  <c r="AN1" i="8" s="1"/>
  <c r="AO1" i="8" s="1"/>
  <c r="AP1" i="8" s="1"/>
  <c r="AQ1" i="8" s="1"/>
  <c r="AR1" i="8" s="1"/>
  <c r="AS1" i="8" s="1"/>
  <c r="AT1" i="8" s="1"/>
  <c r="AU1" i="8" s="1"/>
  <c r="AV1" i="8" s="1"/>
  <c r="AW1" i="8" s="1"/>
  <c r="AX1" i="8" s="1"/>
  <c r="AY1" i="8" s="1"/>
  <c r="AZ1" i="8" s="1"/>
  <c r="BA1" i="8" s="1"/>
  <c r="BB1" i="8" s="1"/>
  <c r="BC1" i="8" s="1"/>
  <c r="BD1" i="8" s="1"/>
  <c r="BE1" i="8" s="1"/>
  <c r="BF1" i="8" s="1"/>
  <c r="BG1" i="8" s="1"/>
  <c r="BH1" i="8" s="1"/>
  <c r="BI1" i="8" s="1"/>
  <c r="BJ1" i="8" s="1"/>
  <c r="BK1" i="8" s="1"/>
  <c r="BL1" i="8" s="1"/>
  <c r="BM1" i="8" s="1"/>
  <c r="BN1" i="8" s="1"/>
  <c r="BO1" i="8" s="1"/>
  <c r="BP1" i="8" s="1"/>
  <c r="BQ1" i="8" s="1"/>
  <c r="BR1" i="8" s="1"/>
  <c r="BS1" i="8" s="1"/>
  <c r="BT1" i="8" s="1"/>
  <c r="BU1" i="8" s="1"/>
  <c r="BV1" i="8" s="1"/>
  <c r="BW1" i="8" s="1"/>
  <c r="BX1" i="8" s="1"/>
  <c r="BY1" i="8" s="1"/>
  <c r="BZ1" i="8" s="1"/>
  <c r="CA1" i="8" s="1"/>
  <c r="CB1" i="8" s="1"/>
  <c r="CC1" i="8" s="1"/>
  <c r="CD1" i="8" s="1"/>
  <c r="CE1" i="8" s="1"/>
  <c r="CF1" i="8" s="1"/>
  <c r="CG1" i="8" s="1"/>
  <c r="CH1" i="8" s="1"/>
  <c r="CI1" i="8" s="1"/>
  <c r="CJ1" i="8" s="1"/>
  <c r="CK1" i="8" s="1"/>
  <c r="CL1" i="8" s="1"/>
  <c r="CM1" i="8" s="1"/>
  <c r="CN1" i="8" s="1"/>
  <c r="CO1" i="8" s="1"/>
  <c r="CP1" i="8" s="1"/>
  <c r="CQ1" i="8" s="1"/>
  <c r="CR1" i="8" s="1"/>
  <c r="CS1" i="8" s="1"/>
  <c r="CT1" i="8" s="1"/>
  <c r="CU1" i="8" s="1"/>
  <c r="CV1" i="8" s="1"/>
  <c r="CW1" i="8" s="1"/>
  <c r="CX1" i="8" s="1"/>
  <c r="CY1" i="8" s="1"/>
  <c r="CZ1" i="8" s="1"/>
  <c r="DA1" i="8" s="1"/>
  <c r="DB1" i="8" s="1"/>
  <c r="DC1" i="8" s="1"/>
  <c r="DD1" i="8" s="1"/>
  <c r="DE1" i="8" s="1"/>
  <c r="DF1" i="8" s="1"/>
  <c r="DG1" i="8" s="1"/>
  <c r="DH1" i="8" s="1"/>
  <c r="DI1" i="8" s="1"/>
  <c r="DJ1" i="8" s="1"/>
  <c r="DK1" i="8" s="1"/>
  <c r="DL1" i="8" s="1"/>
  <c r="DM1" i="8" s="1"/>
  <c r="DN1" i="8" s="1"/>
  <c r="DO1" i="8" s="1"/>
  <c r="DP1" i="8" s="1"/>
  <c r="DQ1" i="8" s="1"/>
  <c r="DR1" i="8" s="1"/>
  <c r="DS1" i="8" s="1"/>
  <c r="DT1" i="8" s="1"/>
  <c r="DU1" i="8" s="1"/>
  <c r="DV1" i="8" s="1"/>
  <c r="DW1" i="8" s="1"/>
  <c r="DX1" i="8" s="1"/>
  <c r="DY1" i="8" s="1"/>
  <c r="DZ1" i="8" s="1"/>
  <c r="EA1" i="8" s="1"/>
  <c r="EB1" i="8" s="1"/>
  <c r="EC1" i="8" s="1"/>
  <c r="ED1" i="8" s="1"/>
  <c r="EE1" i="8" s="1"/>
  <c r="EF1" i="8" s="1"/>
  <c r="EG1" i="8" s="1"/>
  <c r="EH1" i="8" s="1"/>
  <c r="EI1" i="8" s="1"/>
  <c r="EJ1" i="8" s="1"/>
  <c r="EK1" i="8" s="1"/>
  <c r="EL1" i="8" s="1"/>
  <c r="EM1" i="8" s="1"/>
  <c r="EN1" i="8" s="1"/>
  <c r="EO1" i="8" s="1"/>
  <c r="EP1" i="8" s="1"/>
  <c r="EQ1" i="8" s="1"/>
  <c r="ER1" i="8" s="1"/>
  <c r="ES1" i="8" s="1"/>
  <c r="ET1" i="8" s="1"/>
  <c r="EU1" i="8" s="1"/>
  <c r="EV1" i="8" s="1"/>
  <c r="EW1" i="8" s="1"/>
  <c r="EX1" i="8" s="1"/>
  <c r="EY1" i="8" s="1"/>
  <c r="EZ1" i="8" s="1"/>
  <c r="FA1" i="8" s="1"/>
  <c r="FB1" i="8" s="1"/>
  <c r="FC1" i="8" s="1"/>
  <c r="FD1" i="8" s="1"/>
  <c r="FE1" i="8" s="1"/>
  <c r="FF1" i="8" s="1"/>
  <c r="FG1" i="8" s="1"/>
  <c r="FH1" i="8" s="1"/>
  <c r="FI1" i="8" s="1"/>
  <c r="FJ1" i="8" s="1"/>
  <c r="FK1" i="8" s="1"/>
  <c r="FL1" i="8" s="1"/>
  <c r="FM1" i="8" s="1"/>
  <c r="FN1" i="8" s="1"/>
  <c r="FO1" i="8" s="1"/>
  <c r="FP1" i="8" s="1"/>
  <c r="FQ1" i="8" s="1"/>
  <c r="FR1" i="8" s="1"/>
  <c r="FS1" i="8" s="1"/>
  <c r="FT1" i="8" s="1"/>
  <c r="FU1" i="8" s="1"/>
  <c r="FV1" i="8" s="1"/>
  <c r="FW1" i="8" s="1"/>
  <c r="FX1" i="8" s="1"/>
  <c r="FY1" i="8" s="1"/>
  <c r="FZ1" i="8" s="1"/>
  <c r="GA1" i="8" s="1"/>
  <c r="GB1" i="8" s="1"/>
  <c r="GC1" i="8" s="1"/>
  <c r="GD1" i="8" s="1"/>
  <c r="GE1" i="8" s="1"/>
  <c r="GF1" i="8" s="1"/>
  <c r="GG1" i="8" s="1"/>
  <c r="GH1" i="8" s="1"/>
  <c r="GI1" i="8" s="1"/>
  <c r="GJ1" i="8" s="1"/>
  <c r="GK1" i="8" s="1"/>
  <c r="GL1" i="8" s="1"/>
  <c r="GM1" i="8" s="1"/>
  <c r="GN1" i="8" s="1"/>
  <c r="GO1" i="8" s="1"/>
  <c r="GP1" i="8" s="1"/>
  <c r="GQ1" i="8" s="1"/>
  <c r="GR1" i="8" s="1"/>
  <c r="GS1" i="8" s="1"/>
  <c r="GT1" i="8" s="1"/>
  <c r="GU1" i="8" s="1"/>
  <c r="GV1" i="8" s="1"/>
  <c r="GW1" i="8" s="1"/>
  <c r="GX1" i="8" s="1"/>
  <c r="GY1" i="8" s="1"/>
  <c r="GZ1" i="8" s="1"/>
  <c r="HA1" i="8" s="1"/>
  <c r="HB1" i="8" s="1"/>
  <c r="HC1" i="8" s="1"/>
  <c r="HD1" i="8" s="1"/>
  <c r="HE1" i="8" s="1"/>
  <c r="HF1" i="8" s="1"/>
  <c r="HG1" i="8" s="1"/>
  <c r="HH1" i="8" s="1"/>
  <c r="HI1" i="8" s="1"/>
  <c r="HJ1" i="8" s="1"/>
  <c r="HK1" i="8" s="1"/>
  <c r="HL1" i="8" s="1"/>
  <c r="HM1" i="8" s="1"/>
  <c r="HN1" i="8" s="1"/>
  <c r="HO1" i="8" s="1"/>
  <c r="HP1" i="8" s="1"/>
  <c r="HQ1" i="8" s="1"/>
  <c r="HR1" i="8" s="1"/>
  <c r="HS1" i="8" s="1"/>
  <c r="HT1" i="8" s="1"/>
  <c r="HU1" i="8" s="1"/>
  <c r="HV1" i="8" s="1"/>
  <c r="HW1" i="8" s="1"/>
  <c r="HX1" i="8" s="1"/>
  <c r="X84" i="7"/>
  <c r="X38" i="7"/>
  <c r="X78" i="7"/>
  <c r="X157" i="7"/>
  <c r="X21" i="7"/>
  <c r="X148" i="7"/>
  <c r="X4" i="7"/>
  <c r="X82" i="7"/>
  <c r="X94" i="7"/>
  <c r="X165" i="7"/>
  <c r="X8" i="7"/>
  <c r="X26" i="7"/>
  <c r="X154" i="7"/>
  <c r="X181" i="7"/>
  <c r="X36" i="7"/>
  <c r="X212" i="7"/>
  <c r="X63" i="7"/>
  <c r="X16" i="7"/>
  <c r="X80" i="7"/>
  <c r="X152" i="7"/>
  <c r="X224" i="7"/>
  <c r="X193" i="7"/>
  <c r="X34" i="7"/>
  <c r="X98" i="7"/>
  <c r="X162" i="7"/>
  <c r="X11" i="7"/>
  <c r="X20" i="7"/>
  <c r="X116" i="7"/>
  <c r="X140" i="7"/>
  <c r="X100" i="7"/>
  <c r="X117" i="7"/>
  <c r="X149" i="7"/>
  <c r="X85" i="7"/>
  <c r="X7" i="7"/>
  <c r="X106" i="7"/>
  <c r="X52" i="7"/>
  <c r="X53" i="7"/>
  <c r="X164" i="7"/>
  <c r="X79" i="7"/>
  <c r="X143" i="7"/>
  <c r="X207" i="7"/>
  <c r="X32" i="7"/>
  <c r="X96" i="7"/>
  <c r="X168" i="7"/>
  <c r="X81" i="7"/>
  <c r="X50" i="7"/>
  <c r="X114" i="7"/>
  <c r="X54" i="7"/>
  <c r="X91" i="7"/>
  <c r="X155" i="7"/>
  <c r="X219" i="7"/>
  <c r="X198" i="7"/>
  <c r="X222" i="7"/>
  <c r="X28" i="7"/>
  <c r="X156" i="7"/>
  <c r="X37" i="7"/>
  <c r="X125" i="7"/>
  <c r="X205" i="7"/>
  <c r="X45" i="7"/>
  <c r="X133" i="7"/>
  <c r="X221" i="7"/>
  <c r="X196" i="7"/>
  <c r="X213" i="7"/>
  <c r="X68" i="7"/>
  <c r="X228" i="7"/>
  <c r="X87" i="7"/>
  <c r="X215" i="7"/>
  <c r="X176" i="7"/>
  <c r="X153" i="7"/>
  <c r="X217" i="7"/>
  <c r="X122" i="7"/>
  <c r="X186" i="7"/>
  <c r="X35" i="7"/>
  <c r="X227" i="7"/>
  <c r="X14" i="7"/>
  <c r="X30" i="7"/>
  <c r="X44" i="7"/>
  <c r="X132" i="7"/>
  <c r="X180" i="7"/>
  <c r="X31" i="7"/>
  <c r="X95" i="7"/>
  <c r="X159" i="7"/>
  <c r="X223" i="7"/>
  <c r="X48" i="7"/>
  <c r="X112" i="7"/>
  <c r="X184" i="7"/>
  <c r="X33" i="7"/>
  <c r="X97" i="7"/>
  <c r="X161" i="7"/>
  <c r="X225" i="7"/>
  <c r="X66" i="7"/>
  <c r="X130" i="7"/>
  <c r="X194" i="7"/>
  <c r="X118" i="7"/>
  <c r="X43" i="7"/>
  <c r="X107" i="7"/>
  <c r="X171" i="7"/>
  <c r="X6" i="7"/>
  <c r="X46" i="7"/>
  <c r="X62" i="7"/>
  <c r="X60" i="7"/>
  <c r="X188" i="7"/>
  <c r="X61" i="7"/>
  <c r="X141" i="7"/>
  <c r="X229" i="7"/>
  <c r="B9" i="7" l="1"/>
  <c r="AL4" i="7"/>
  <c r="AJ4" i="7"/>
  <c r="AF4" i="7"/>
  <c r="AE4" i="7"/>
  <c r="AM4" i="7"/>
  <c r="AN4" i="7"/>
  <c r="AT4" i="7" s="1"/>
  <c r="AG4" i="7"/>
  <c r="AH4" i="7"/>
  <c r="AD4" i="7"/>
  <c r="AK4" i="7"/>
  <c r="AC4" i="7"/>
  <c r="AI4" i="7"/>
  <c r="C11" i="13"/>
  <c r="C11" i="14" s="1"/>
  <c r="D12" i="13"/>
  <c r="B12" i="14"/>
  <c r="D12" i="14" s="1"/>
  <c r="B13" i="13"/>
  <c r="A9" i="12"/>
  <c r="F8" i="12"/>
  <c r="G10" i="12"/>
  <c r="B11" i="12"/>
  <c r="B10" i="10"/>
  <c r="G9" i="10"/>
  <c r="A9" i="10"/>
  <c r="F9" i="10" s="1"/>
  <c r="J11" i="7"/>
  <c r="V11" i="7" s="1"/>
  <c r="J19" i="7"/>
  <c r="V19" i="7" s="1"/>
  <c r="J27" i="7"/>
  <c r="V27" i="7" s="1"/>
  <c r="J35" i="7"/>
  <c r="V35" i="7" s="1"/>
  <c r="J43" i="7"/>
  <c r="V43" i="7" s="1"/>
  <c r="J51" i="7"/>
  <c r="V51" i="7" s="1"/>
  <c r="J59" i="7"/>
  <c r="V59" i="7" s="1"/>
  <c r="J67" i="7"/>
  <c r="V67" i="7" s="1"/>
  <c r="J75" i="7"/>
  <c r="V75" i="7" s="1"/>
  <c r="J83" i="7"/>
  <c r="V83" i="7" s="1"/>
  <c r="J91" i="7"/>
  <c r="V91" i="7" s="1"/>
  <c r="J99" i="7"/>
  <c r="V99" i="7" s="1"/>
  <c r="J107" i="7"/>
  <c r="V107" i="7" s="1"/>
  <c r="J115" i="7"/>
  <c r="V115" i="7" s="1"/>
  <c r="J123" i="7"/>
  <c r="V123" i="7" s="1"/>
  <c r="J131" i="7"/>
  <c r="V131" i="7" s="1"/>
  <c r="J139" i="7"/>
  <c r="V139" i="7" s="1"/>
  <c r="J147" i="7"/>
  <c r="V147" i="7" s="1"/>
  <c r="J155" i="7"/>
  <c r="V155" i="7" s="1"/>
  <c r="J163" i="7"/>
  <c r="V163" i="7" s="1"/>
  <c r="J171" i="7"/>
  <c r="V171" i="7" s="1"/>
  <c r="J179" i="7"/>
  <c r="V179" i="7" s="1"/>
  <c r="J187" i="7"/>
  <c r="V187" i="7" s="1"/>
  <c r="J195" i="7"/>
  <c r="V195" i="7" s="1"/>
  <c r="J203" i="7"/>
  <c r="V203" i="7" s="1"/>
  <c r="J211" i="7"/>
  <c r="V211" i="7" s="1"/>
  <c r="J219" i="7"/>
  <c r="V219" i="7" s="1"/>
  <c r="J227" i="7"/>
  <c r="V227" i="7" s="1"/>
  <c r="J16" i="7"/>
  <c r="V16" i="7" s="1"/>
  <c r="J48" i="7"/>
  <c r="V48" i="7" s="1"/>
  <c r="J96" i="7"/>
  <c r="V96" i="7" s="1"/>
  <c r="J120" i="7"/>
  <c r="V120" i="7" s="1"/>
  <c r="J144" i="7"/>
  <c r="V144" i="7" s="1"/>
  <c r="J168" i="7"/>
  <c r="V168" i="7" s="1"/>
  <c r="J208" i="7"/>
  <c r="V208" i="7" s="1"/>
  <c r="J224" i="7"/>
  <c r="V224" i="7" s="1"/>
  <c r="J42" i="7"/>
  <c r="V42" i="7" s="1"/>
  <c r="J74" i="7"/>
  <c r="V74" i="7" s="1"/>
  <c r="J98" i="7"/>
  <c r="V98" i="7" s="1"/>
  <c r="J122" i="7"/>
  <c r="V122" i="7" s="1"/>
  <c r="J170" i="7"/>
  <c r="V170" i="7" s="1"/>
  <c r="J202" i="7"/>
  <c r="V202" i="7" s="1"/>
  <c r="J4" i="7"/>
  <c r="V4" i="7" s="1"/>
  <c r="J12" i="7"/>
  <c r="V12" i="7" s="1"/>
  <c r="J20" i="7"/>
  <c r="V20" i="7" s="1"/>
  <c r="J28" i="7"/>
  <c r="V28" i="7" s="1"/>
  <c r="J36" i="7"/>
  <c r="V36" i="7" s="1"/>
  <c r="J44" i="7"/>
  <c r="V44" i="7" s="1"/>
  <c r="J52" i="7"/>
  <c r="V52" i="7" s="1"/>
  <c r="J60" i="7"/>
  <c r="V60" i="7" s="1"/>
  <c r="J68" i="7"/>
  <c r="V68" i="7" s="1"/>
  <c r="J76" i="7"/>
  <c r="V76" i="7" s="1"/>
  <c r="J84" i="7"/>
  <c r="V84" i="7" s="1"/>
  <c r="J92" i="7"/>
  <c r="V92" i="7" s="1"/>
  <c r="J100" i="7"/>
  <c r="V100" i="7" s="1"/>
  <c r="J108" i="7"/>
  <c r="V108" i="7" s="1"/>
  <c r="J116" i="7"/>
  <c r="V116" i="7" s="1"/>
  <c r="J124" i="7"/>
  <c r="V124" i="7" s="1"/>
  <c r="J132" i="7"/>
  <c r="V132" i="7" s="1"/>
  <c r="J140" i="7"/>
  <c r="V140" i="7" s="1"/>
  <c r="J148" i="7"/>
  <c r="V148" i="7" s="1"/>
  <c r="J156" i="7"/>
  <c r="V156" i="7" s="1"/>
  <c r="J164" i="7"/>
  <c r="V164" i="7" s="1"/>
  <c r="J172" i="7"/>
  <c r="V172" i="7" s="1"/>
  <c r="J180" i="7"/>
  <c r="V180" i="7" s="1"/>
  <c r="J188" i="7"/>
  <c r="V188" i="7" s="1"/>
  <c r="J196" i="7"/>
  <c r="V196" i="7" s="1"/>
  <c r="J204" i="7"/>
  <c r="V204" i="7" s="1"/>
  <c r="J212" i="7"/>
  <c r="V212" i="7" s="1"/>
  <c r="J220" i="7"/>
  <c r="V220" i="7" s="1"/>
  <c r="J228" i="7"/>
  <c r="V228" i="7" s="1"/>
  <c r="J24" i="7"/>
  <c r="V24" i="7" s="1"/>
  <c r="J40" i="7"/>
  <c r="V40" i="7" s="1"/>
  <c r="J80" i="7"/>
  <c r="V80" i="7" s="1"/>
  <c r="J104" i="7"/>
  <c r="V104" i="7" s="1"/>
  <c r="J136" i="7"/>
  <c r="V136" i="7" s="1"/>
  <c r="J152" i="7"/>
  <c r="V152" i="7" s="1"/>
  <c r="J200" i="7"/>
  <c r="V200" i="7" s="1"/>
  <c r="J216" i="7"/>
  <c r="V216" i="7" s="1"/>
  <c r="J26" i="7"/>
  <c r="V26" i="7" s="1"/>
  <c r="J146" i="7"/>
  <c r="V146" i="7" s="1"/>
  <c r="J226" i="7"/>
  <c r="V226" i="7" s="1"/>
  <c r="J5" i="7"/>
  <c r="V5" i="7" s="1"/>
  <c r="J13" i="7"/>
  <c r="V13" i="7" s="1"/>
  <c r="J21" i="7"/>
  <c r="V21" i="7" s="1"/>
  <c r="J29" i="7"/>
  <c r="V29" i="7" s="1"/>
  <c r="J37" i="7"/>
  <c r="V37" i="7" s="1"/>
  <c r="J45" i="7"/>
  <c r="V45" i="7" s="1"/>
  <c r="J53" i="7"/>
  <c r="V53" i="7" s="1"/>
  <c r="J61" i="7"/>
  <c r="V61" i="7" s="1"/>
  <c r="J69" i="7"/>
  <c r="V69" i="7" s="1"/>
  <c r="J77" i="7"/>
  <c r="V77" i="7" s="1"/>
  <c r="J85" i="7"/>
  <c r="V85" i="7" s="1"/>
  <c r="J93" i="7"/>
  <c r="V93" i="7" s="1"/>
  <c r="J101" i="7"/>
  <c r="V101" i="7" s="1"/>
  <c r="J109" i="7"/>
  <c r="V109" i="7" s="1"/>
  <c r="J117" i="7"/>
  <c r="V117" i="7" s="1"/>
  <c r="J125" i="7"/>
  <c r="V125" i="7" s="1"/>
  <c r="J133" i="7"/>
  <c r="V133" i="7" s="1"/>
  <c r="J141" i="7"/>
  <c r="V141" i="7" s="1"/>
  <c r="J149" i="7"/>
  <c r="V149" i="7" s="1"/>
  <c r="J157" i="7"/>
  <c r="V157" i="7" s="1"/>
  <c r="J165" i="7"/>
  <c r="V165" i="7" s="1"/>
  <c r="J173" i="7"/>
  <c r="V173" i="7" s="1"/>
  <c r="J181" i="7"/>
  <c r="V181" i="7" s="1"/>
  <c r="J189" i="7"/>
  <c r="V189" i="7" s="1"/>
  <c r="J197" i="7"/>
  <c r="V197" i="7" s="1"/>
  <c r="J205" i="7"/>
  <c r="V205" i="7" s="1"/>
  <c r="J213" i="7"/>
  <c r="V213" i="7" s="1"/>
  <c r="J221" i="7"/>
  <c r="V221" i="7" s="1"/>
  <c r="J229" i="7"/>
  <c r="V229" i="7" s="1"/>
  <c r="J8" i="7"/>
  <c r="V8" i="7" s="1"/>
  <c r="J32" i="7"/>
  <c r="V32" i="7" s="1"/>
  <c r="J56" i="7"/>
  <c r="V56" i="7" s="1"/>
  <c r="J88" i="7"/>
  <c r="V88" i="7" s="1"/>
  <c r="J112" i="7"/>
  <c r="V112" i="7" s="1"/>
  <c r="J128" i="7"/>
  <c r="V128" i="7" s="1"/>
  <c r="J160" i="7"/>
  <c r="V160" i="7" s="1"/>
  <c r="J192" i="7"/>
  <c r="V192" i="7" s="1"/>
  <c r="J18" i="7"/>
  <c r="V18" i="7" s="1"/>
  <c r="J66" i="7"/>
  <c r="V66" i="7" s="1"/>
  <c r="J114" i="7"/>
  <c r="V114" i="7" s="1"/>
  <c r="J162" i="7"/>
  <c r="V162" i="7" s="1"/>
  <c r="J210" i="7"/>
  <c r="V210" i="7" s="1"/>
  <c r="J6" i="7"/>
  <c r="V6" i="7" s="1"/>
  <c r="J14" i="7"/>
  <c r="V14" i="7" s="1"/>
  <c r="J22" i="7"/>
  <c r="V22" i="7" s="1"/>
  <c r="J30" i="7"/>
  <c r="V30" i="7" s="1"/>
  <c r="J38" i="7"/>
  <c r="V38" i="7" s="1"/>
  <c r="J46" i="7"/>
  <c r="V46" i="7" s="1"/>
  <c r="J54" i="7"/>
  <c r="V54" i="7" s="1"/>
  <c r="J62" i="7"/>
  <c r="V62" i="7" s="1"/>
  <c r="J70" i="7"/>
  <c r="V70" i="7" s="1"/>
  <c r="J78" i="7"/>
  <c r="V78" i="7" s="1"/>
  <c r="J86" i="7"/>
  <c r="V86" i="7" s="1"/>
  <c r="J94" i="7"/>
  <c r="V94" i="7" s="1"/>
  <c r="J102" i="7"/>
  <c r="V102" i="7" s="1"/>
  <c r="J110" i="7"/>
  <c r="V110" i="7" s="1"/>
  <c r="J118" i="7"/>
  <c r="V118" i="7" s="1"/>
  <c r="J126" i="7"/>
  <c r="V126" i="7" s="1"/>
  <c r="J134" i="7"/>
  <c r="V134" i="7" s="1"/>
  <c r="J142" i="7"/>
  <c r="V142" i="7" s="1"/>
  <c r="J150" i="7"/>
  <c r="V150" i="7" s="1"/>
  <c r="J158" i="7"/>
  <c r="V158" i="7" s="1"/>
  <c r="J166" i="7"/>
  <c r="V166" i="7" s="1"/>
  <c r="J174" i="7"/>
  <c r="V174" i="7" s="1"/>
  <c r="J182" i="7"/>
  <c r="V182" i="7" s="1"/>
  <c r="J190" i="7"/>
  <c r="V190" i="7" s="1"/>
  <c r="J198" i="7"/>
  <c r="V198" i="7" s="1"/>
  <c r="J206" i="7"/>
  <c r="V206" i="7" s="1"/>
  <c r="J214" i="7"/>
  <c r="V214" i="7" s="1"/>
  <c r="J222" i="7"/>
  <c r="V222" i="7" s="1"/>
  <c r="J64" i="7"/>
  <c r="V64" i="7" s="1"/>
  <c r="J176" i="7"/>
  <c r="V176" i="7" s="1"/>
  <c r="J50" i="7"/>
  <c r="V50" i="7" s="1"/>
  <c r="J106" i="7"/>
  <c r="V106" i="7" s="1"/>
  <c r="J154" i="7"/>
  <c r="V154" i="7" s="1"/>
  <c r="J194" i="7"/>
  <c r="V194" i="7" s="1"/>
  <c r="J7" i="7"/>
  <c r="V7" i="7" s="1"/>
  <c r="J15" i="7"/>
  <c r="V15" i="7" s="1"/>
  <c r="J23" i="7"/>
  <c r="V23" i="7" s="1"/>
  <c r="J31" i="7"/>
  <c r="V31" i="7" s="1"/>
  <c r="J39" i="7"/>
  <c r="V39" i="7" s="1"/>
  <c r="J47" i="7"/>
  <c r="V47" i="7" s="1"/>
  <c r="J55" i="7"/>
  <c r="V55" i="7" s="1"/>
  <c r="J63" i="7"/>
  <c r="V63" i="7" s="1"/>
  <c r="J71" i="7"/>
  <c r="V71" i="7" s="1"/>
  <c r="J79" i="7"/>
  <c r="V79" i="7" s="1"/>
  <c r="J87" i="7"/>
  <c r="V87" i="7" s="1"/>
  <c r="J95" i="7"/>
  <c r="V95" i="7" s="1"/>
  <c r="J103" i="7"/>
  <c r="V103" i="7" s="1"/>
  <c r="J111" i="7"/>
  <c r="V111" i="7" s="1"/>
  <c r="J119" i="7"/>
  <c r="V119" i="7" s="1"/>
  <c r="J127" i="7"/>
  <c r="V127" i="7" s="1"/>
  <c r="J135" i="7"/>
  <c r="V135" i="7" s="1"/>
  <c r="J143" i="7"/>
  <c r="V143" i="7" s="1"/>
  <c r="J151" i="7"/>
  <c r="V151" i="7" s="1"/>
  <c r="J159" i="7"/>
  <c r="V159" i="7" s="1"/>
  <c r="J167" i="7"/>
  <c r="V167" i="7" s="1"/>
  <c r="J175" i="7"/>
  <c r="V175" i="7" s="1"/>
  <c r="J183" i="7"/>
  <c r="V183" i="7" s="1"/>
  <c r="J191" i="7"/>
  <c r="V191" i="7" s="1"/>
  <c r="J199" i="7"/>
  <c r="V199" i="7" s="1"/>
  <c r="J207" i="7"/>
  <c r="V207" i="7" s="1"/>
  <c r="J215" i="7"/>
  <c r="V215" i="7" s="1"/>
  <c r="J223" i="7"/>
  <c r="V223" i="7" s="1"/>
  <c r="J72" i="7"/>
  <c r="V72" i="7" s="1"/>
  <c r="J184" i="7"/>
  <c r="V184" i="7" s="1"/>
  <c r="J34" i="7"/>
  <c r="V34" i="7" s="1"/>
  <c r="J82" i="7"/>
  <c r="V82" i="7" s="1"/>
  <c r="J138" i="7"/>
  <c r="V138" i="7" s="1"/>
  <c r="J186" i="7"/>
  <c r="V186" i="7" s="1"/>
  <c r="J218" i="7"/>
  <c r="V218" i="7" s="1"/>
  <c r="J9" i="7"/>
  <c r="V9" i="7" s="1"/>
  <c r="J17" i="7"/>
  <c r="V17" i="7" s="1"/>
  <c r="J25" i="7"/>
  <c r="V25" i="7" s="1"/>
  <c r="J33" i="7"/>
  <c r="V33" i="7" s="1"/>
  <c r="J41" i="7"/>
  <c r="V41" i="7" s="1"/>
  <c r="J49" i="7"/>
  <c r="V49" i="7" s="1"/>
  <c r="J57" i="7"/>
  <c r="V57" i="7" s="1"/>
  <c r="J65" i="7"/>
  <c r="V65" i="7" s="1"/>
  <c r="J73" i="7"/>
  <c r="V73" i="7" s="1"/>
  <c r="J81" i="7"/>
  <c r="V81" i="7" s="1"/>
  <c r="J89" i="7"/>
  <c r="V89" i="7" s="1"/>
  <c r="J97" i="7"/>
  <c r="V97" i="7" s="1"/>
  <c r="J105" i="7"/>
  <c r="V105" i="7" s="1"/>
  <c r="J113" i="7"/>
  <c r="V113" i="7" s="1"/>
  <c r="J121" i="7"/>
  <c r="V121" i="7" s="1"/>
  <c r="J129" i="7"/>
  <c r="V129" i="7" s="1"/>
  <c r="J137" i="7"/>
  <c r="V137" i="7" s="1"/>
  <c r="J145" i="7"/>
  <c r="V145" i="7" s="1"/>
  <c r="J153" i="7"/>
  <c r="V153" i="7" s="1"/>
  <c r="J161" i="7"/>
  <c r="V161" i="7" s="1"/>
  <c r="J169" i="7"/>
  <c r="V169" i="7" s="1"/>
  <c r="J177" i="7"/>
  <c r="V177" i="7" s="1"/>
  <c r="J185" i="7"/>
  <c r="V185" i="7" s="1"/>
  <c r="J193" i="7"/>
  <c r="V193" i="7" s="1"/>
  <c r="J201" i="7"/>
  <c r="V201" i="7" s="1"/>
  <c r="J209" i="7"/>
  <c r="V209" i="7" s="1"/>
  <c r="J217" i="7"/>
  <c r="V217" i="7" s="1"/>
  <c r="J225" i="7"/>
  <c r="V225" i="7" s="1"/>
  <c r="J10" i="7"/>
  <c r="V10" i="7" s="1"/>
  <c r="J58" i="7"/>
  <c r="V58" i="7" s="1"/>
  <c r="J90" i="7"/>
  <c r="V90" i="7" s="1"/>
  <c r="J130" i="7"/>
  <c r="V130" i="7" s="1"/>
  <c r="J178" i="7"/>
  <c r="V178" i="7" s="1"/>
  <c r="K5" i="7"/>
  <c r="W5" i="7" s="1"/>
  <c r="K13" i="7"/>
  <c r="W13" i="7" s="1"/>
  <c r="K21" i="7"/>
  <c r="W21" i="7" s="1"/>
  <c r="K29" i="7"/>
  <c r="W29" i="7" s="1"/>
  <c r="K37" i="7"/>
  <c r="W37" i="7" s="1"/>
  <c r="K45" i="7"/>
  <c r="W45" i="7" s="1"/>
  <c r="K53" i="7"/>
  <c r="W53" i="7" s="1"/>
  <c r="K61" i="7"/>
  <c r="W61" i="7" s="1"/>
  <c r="K69" i="7"/>
  <c r="W69" i="7" s="1"/>
  <c r="K77" i="7"/>
  <c r="W77" i="7" s="1"/>
  <c r="K85" i="7"/>
  <c r="W85" i="7" s="1"/>
  <c r="K93" i="7"/>
  <c r="W93" i="7" s="1"/>
  <c r="K101" i="7"/>
  <c r="W101" i="7" s="1"/>
  <c r="K109" i="7"/>
  <c r="W109" i="7" s="1"/>
  <c r="K117" i="7"/>
  <c r="W117" i="7" s="1"/>
  <c r="K125" i="7"/>
  <c r="W125" i="7" s="1"/>
  <c r="K133" i="7"/>
  <c r="W133" i="7" s="1"/>
  <c r="K141" i="7"/>
  <c r="W141" i="7" s="1"/>
  <c r="K149" i="7"/>
  <c r="W149" i="7" s="1"/>
  <c r="K157" i="7"/>
  <c r="W157" i="7" s="1"/>
  <c r="K165" i="7"/>
  <c r="W165" i="7" s="1"/>
  <c r="K173" i="7"/>
  <c r="W173" i="7" s="1"/>
  <c r="K181" i="7"/>
  <c r="W181" i="7" s="1"/>
  <c r="K189" i="7"/>
  <c r="W189" i="7" s="1"/>
  <c r="K197" i="7"/>
  <c r="W197" i="7" s="1"/>
  <c r="K205" i="7"/>
  <c r="W205" i="7" s="1"/>
  <c r="K213" i="7"/>
  <c r="W213" i="7" s="1"/>
  <c r="K221" i="7"/>
  <c r="W221" i="7" s="1"/>
  <c r="K229" i="7"/>
  <c r="W229" i="7" s="1"/>
  <c r="K10" i="7"/>
  <c r="W10" i="7" s="1"/>
  <c r="K34" i="7"/>
  <c r="W34" i="7" s="1"/>
  <c r="K58" i="7"/>
  <c r="W58" i="7" s="1"/>
  <c r="K106" i="7"/>
  <c r="W106" i="7" s="1"/>
  <c r="K130" i="7"/>
  <c r="W130" i="7" s="1"/>
  <c r="K154" i="7"/>
  <c r="W154" i="7" s="1"/>
  <c r="K178" i="7"/>
  <c r="W178" i="7" s="1"/>
  <c r="K210" i="7"/>
  <c r="W210" i="7" s="1"/>
  <c r="K226" i="7"/>
  <c r="W226" i="7" s="1"/>
  <c r="K92" i="7"/>
  <c r="W92" i="7" s="1"/>
  <c r="K140" i="7"/>
  <c r="W140" i="7" s="1"/>
  <c r="K204" i="7"/>
  <c r="W204" i="7" s="1"/>
  <c r="K6" i="7"/>
  <c r="W6" i="7" s="1"/>
  <c r="K14" i="7"/>
  <c r="W14" i="7" s="1"/>
  <c r="K22" i="7"/>
  <c r="W22" i="7" s="1"/>
  <c r="K30" i="7"/>
  <c r="W30" i="7" s="1"/>
  <c r="K38" i="7"/>
  <c r="W38" i="7" s="1"/>
  <c r="K46" i="7"/>
  <c r="W46" i="7" s="1"/>
  <c r="K54" i="7"/>
  <c r="W54" i="7" s="1"/>
  <c r="K62" i="7"/>
  <c r="W62" i="7" s="1"/>
  <c r="K70" i="7"/>
  <c r="W70" i="7" s="1"/>
  <c r="K78" i="7"/>
  <c r="W78" i="7" s="1"/>
  <c r="K86" i="7"/>
  <c r="W86" i="7" s="1"/>
  <c r="K94" i="7"/>
  <c r="W94" i="7" s="1"/>
  <c r="K102" i="7"/>
  <c r="W102" i="7" s="1"/>
  <c r="K110" i="7"/>
  <c r="W110" i="7" s="1"/>
  <c r="K118" i="7"/>
  <c r="W118" i="7" s="1"/>
  <c r="K126" i="7"/>
  <c r="W126" i="7" s="1"/>
  <c r="K134" i="7"/>
  <c r="W134" i="7" s="1"/>
  <c r="K142" i="7"/>
  <c r="W142" i="7" s="1"/>
  <c r="K150" i="7"/>
  <c r="W150" i="7" s="1"/>
  <c r="K158" i="7"/>
  <c r="W158" i="7" s="1"/>
  <c r="K166" i="7"/>
  <c r="W166" i="7" s="1"/>
  <c r="K174" i="7"/>
  <c r="W174" i="7" s="1"/>
  <c r="K182" i="7"/>
  <c r="W182" i="7" s="1"/>
  <c r="K190" i="7"/>
  <c r="W190" i="7" s="1"/>
  <c r="K198" i="7"/>
  <c r="W198" i="7" s="1"/>
  <c r="K206" i="7"/>
  <c r="W206" i="7" s="1"/>
  <c r="K214" i="7"/>
  <c r="W214" i="7" s="1"/>
  <c r="K222" i="7"/>
  <c r="W222" i="7" s="1"/>
  <c r="K26" i="7"/>
  <c r="W26" i="7" s="1"/>
  <c r="K66" i="7"/>
  <c r="W66" i="7" s="1"/>
  <c r="K90" i="7"/>
  <c r="W90" i="7" s="1"/>
  <c r="K114" i="7"/>
  <c r="W114" i="7" s="1"/>
  <c r="K138" i="7"/>
  <c r="W138" i="7" s="1"/>
  <c r="K162" i="7"/>
  <c r="W162" i="7" s="1"/>
  <c r="K186" i="7"/>
  <c r="W186" i="7" s="1"/>
  <c r="K218" i="7"/>
  <c r="W218" i="7" s="1"/>
  <c r="K60" i="7"/>
  <c r="W60" i="7" s="1"/>
  <c r="K132" i="7"/>
  <c r="W132" i="7" s="1"/>
  <c r="K172" i="7"/>
  <c r="W172" i="7" s="1"/>
  <c r="K7" i="7"/>
  <c r="W7" i="7" s="1"/>
  <c r="K15" i="7"/>
  <c r="W15" i="7" s="1"/>
  <c r="K23" i="7"/>
  <c r="W23" i="7" s="1"/>
  <c r="K31" i="7"/>
  <c r="W31" i="7" s="1"/>
  <c r="K39" i="7"/>
  <c r="W39" i="7" s="1"/>
  <c r="K47" i="7"/>
  <c r="W47" i="7" s="1"/>
  <c r="K55" i="7"/>
  <c r="W55" i="7" s="1"/>
  <c r="K63" i="7"/>
  <c r="W63" i="7" s="1"/>
  <c r="K71" i="7"/>
  <c r="W71" i="7" s="1"/>
  <c r="K79" i="7"/>
  <c r="W79" i="7" s="1"/>
  <c r="K87" i="7"/>
  <c r="W87" i="7" s="1"/>
  <c r="K95" i="7"/>
  <c r="W95" i="7" s="1"/>
  <c r="K103" i="7"/>
  <c r="W103" i="7" s="1"/>
  <c r="K111" i="7"/>
  <c r="W111" i="7" s="1"/>
  <c r="K119" i="7"/>
  <c r="W119" i="7" s="1"/>
  <c r="K127" i="7"/>
  <c r="W127" i="7" s="1"/>
  <c r="K135" i="7"/>
  <c r="W135" i="7" s="1"/>
  <c r="K143" i="7"/>
  <c r="W143" i="7" s="1"/>
  <c r="K151" i="7"/>
  <c r="W151" i="7" s="1"/>
  <c r="K159" i="7"/>
  <c r="W159" i="7" s="1"/>
  <c r="K167" i="7"/>
  <c r="W167" i="7" s="1"/>
  <c r="K175" i="7"/>
  <c r="W175" i="7" s="1"/>
  <c r="K183" i="7"/>
  <c r="W183" i="7" s="1"/>
  <c r="K191" i="7"/>
  <c r="W191" i="7" s="1"/>
  <c r="K199" i="7"/>
  <c r="W199" i="7" s="1"/>
  <c r="K207" i="7"/>
  <c r="W207" i="7" s="1"/>
  <c r="K215" i="7"/>
  <c r="W215" i="7" s="1"/>
  <c r="K223" i="7"/>
  <c r="W223" i="7" s="1"/>
  <c r="K18" i="7"/>
  <c r="W18" i="7" s="1"/>
  <c r="K42" i="7"/>
  <c r="W42" i="7" s="1"/>
  <c r="K50" i="7"/>
  <c r="W50" i="7" s="1"/>
  <c r="K74" i="7"/>
  <c r="W74" i="7" s="1"/>
  <c r="K82" i="7"/>
  <c r="W82" i="7" s="1"/>
  <c r="K98" i="7"/>
  <c r="W98" i="7" s="1"/>
  <c r="K122" i="7"/>
  <c r="W122" i="7" s="1"/>
  <c r="K146" i="7"/>
  <c r="W146" i="7" s="1"/>
  <c r="K170" i="7"/>
  <c r="W170" i="7" s="1"/>
  <c r="K194" i="7"/>
  <c r="W194" i="7" s="1"/>
  <c r="K202" i="7"/>
  <c r="W202" i="7" s="1"/>
  <c r="K76" i="7"/>
  <c r="W76" i="7" s="1"/>
  <c r="K148" i="7"/>
  <c r="W148" i="7" s="1"/>
  <c r="K212" i="7"/>
  <c r="W212" i="7" s="1"/>
  <c r="K8" i="7"/>
  <c r="W8" i="7" s="1"/>
  <c r="K16" i="7"/>
  <c r="W16" i="7" s="1"/>
  <c r="K24" i="7"/>
  <c r="W24" i="7" s="1"/>
  <c r="K32" i="7"/>
  <c r="W32" i="7" s="1"/>
  <c r="K40" i="7"/>
  <c r="W40" i="7" s="1"/>
  <c r="K48" i="7"/>
  <c r="W48" i="7" s="1"/>
  <c r="K56" i="7"/>
  <c r="W56" i="7" s="1"/>
  <c r="K64" i="7"/>
  <c r="W64" i="7" s="1"/>
  <c r="K72" i="7"/>
  <c r="W72" i="7" s="1"/>
  <c r="K80" i="7"/>
  <c r="W80" i="7" s="1"/>
  <c r="K88" i="7"/>
  <c r="W88" i="7" s="1"/>
  <c r="K96" i="7"/>
  <c r="W96" i="7" s="1"/>
  <c r="K104" i="7"/>
  <c r="W104" i="7" s="1"/>
  <c r="K112" i="7"/>
  <c r="W112" i="7" s="1"/>
  <c r="K120" i="7"/>
  <c r="W120" i="7" s="1"/>
  <c r="K128" i="7"/>
  <c r="W128" i="7" s="1"/>
  <c r="K136" i="7"/>
  <c r="W136" i="7" s="1"/>
  <c r="K144" i="7"/>
  <c r="W144" i="7" s="1"/>
  <c r="K152" i="7"/>
  <c r="W152" i="7" s="1"/>
  <c r="K160" i="7"/>
  <c r="W160" i="7" s="1"/>
  <c r="K168" i="7"/>
  <c r="W168" i="7" s="1"/>
  <c r="K176" i="7"/>
  <c r="W176" i="7" s="1"/>
  <c r="K184" i="7"/>
  <c r="W184" i="7" s="1"/>
  <c r="K192" i="7"/>
  <c r="W192" i="7" s="1"/>
  <c r="K200" i="7"/>
  <c r="W200" i="7" s="1"/>
  <c r="K208" i="7"/>
  <c r="W208" i="7" s="1"/>
  <c r="K216" i="7"/>
  <c r="W216" i="7" s="1"/>
  <c r="K224" i="7"/>
  <c r="W224" i="7" s="1"/>
  <c r="K100" i="7"/>
  <c r="W100" i="7" s="1"/>
  <c r="K164" i="7"/>
  <c r="W164" i="7" s="1"/>
  <c r="K196" i="7"/>
  <c r="W196" i="7" s="1"/>
  <c r="K228" i="7"/>
  <c r="W228" i="7" s="1"/>
  <c r="K9" i="7"/>
  <c r="W9" i="7" s="1"/>
  <c r="K17" i="7"/>
  <c r="W17" i="7" s="1"/>
  <c r="K25" i="7"/>
  <c r="W25" i="7" s="1"/>
  <c r="K33" i="7"/>
  <c r="W33" i="7" s="1"/>
  <c r="K41" i="7"/>
  <c r="W41" i="7" s="1"/>
  <c r="K49" i="7"/>
  <c r="W49" i="7" s="1"/>
  <c r="K57" i="7"/>
  <c r="W57" i="7" s="1"/>
  <c r="K65" i="7"/>
  <c r="W65" i="7" s="1"/>
  <c r="K73" i="7"/>
  <c r="W73" i="7" s="1"/>
  <c r="K81" i="7"/>
  <c r="W81" i="7" s="1"/>
  <c r="K89" i="7"/>
  <c r="W89" i="7" s="1"/>
  <c r="K97" i="7"/>
  <c r="W97" i="7" s="1"/>
  <c r="K105" i="7"/>
  <c r="W105" i="7" s="1"/>
  <c r="K113" i="7"/>
  <c r="W113" i="7" s="1"/>
  <c r="K121" i="7"/>
  <c r="W121" i="7" s="1"/>
  <c r="K129" i="7"/>
  <c r="W129" i="7" s="1"/>
  <c r="K137" i="7"/>
  <c r="W137" i="7" s="1"/>
  <c r="K145" i="7"/>
  <c r="W145" i="7" s="1"/>
  <c r="K153" i="7"/>
  <c r="W153" i="7" s="1"/>
  <c r="K161" i="7"/>
  <c r="W161" i="7" s="1"/>
  <c r="K169" i="7"/>
  <c r="W169" i="7" s="1"/>
  <c r="K177" i="7"/>
  <c r="W177" i="7" s="1"/>
  <c r="K185" i="7"/>
  <c r="W185" i="7" s="1"/>
  <c r="K193" i="7"/>
  <c r="W193" i="7" s="1"/>
  <c r="K201" i="7"/>
  <c r="W201" i="7" s="1"/>
  <c r="K209" i="7"/>
  <c r="W209" i="7" s="1"/>
  <c r="K217" i="7"/>
  <c r="W217" i="7" s="1"/>
  <c r="K225" i="7"/>
  <c r="W225" i="7" s="1"/>
  <c r="K84" i="7"/>
  <c r="W84" i="7" s="1"/>
  <c r="K116" i="7"/>
  <c r="W116" i="7" s="1"/>
  <c r="K156" i="7"/>
  <c r="W156" i="7" s="1"/>
  <c r="K188" i="7"/>
  <c r="W188" i="7" s="1"/>
  <c r="K11" i="7"/>
  <c r="W11" i="7" s="1"/>
  <c r="K19" i="7"/>
  <c r="W19" i="7" s="1"/>
  <c r="K27" i="7"/>
  <c r="W27" i="7" s="1"/>
  <c r="K35" i="7"/>
  <c r="W35" i="7" s="1"/>
  <c r="K43" i="7"/>
  <c r="W43" i="7" s="1"/>
  <c r="K51" i="7"/>
  <c r="W51" i="7" s="1"/>
  <c r="K59" i="7"/>
  <c r="W59" i="7" s="1"/>
  <c r="K67" i="7"/>
  <c r="W67" i="7" s="1"/>
  <c r="K75" i="7"/>
  <c r="W75" i="7" s="1"/>
  <c r="K83" i="7"/>
  <c r="W83" i="7" s="1"/>
  <c r="K91" i="7"/>
  <c r="W91" i="7" s="1"/>
  <c r="K99" i="7"/>
  <c r="W99" i="7" s="1"/>
  <c r="K107" i="7"/>
  <c r="W107" i="7" s="1"/>
  <c r="K115" i="7"/>
  <c r="W115" i="7" s="1"/>
  <c r="K123" i="7"/>
  <c r="W123" i="7" s="1"/>
  <c r="K131" i="7"/>
  <c r="W131" i="7" s="1"/>
  <c r="K139" i="7"/>
  <c r="W139" i="7" s="1"/>
  <c r="K147" i="7"/>
  <c r="W147" i="7" s="1"/>
  <c r="K155" i="7"/>
  <c r="W155" i="7" s="1"/>
  <c r="K163" i="7"/>
  <c r="W163" i="7" s="1"/>
  <c r="K171" i="7"/>
  <c r="W171" i="7" s="1"/>
  <c r="K179" i="7"/>
  <c r="W179" i="7" s="1"/>
  <c r="K187" i="7"/>
  <c r="W187" i="7" s="1"/>
  <c r="K195" i="7"/>
  <c r="W195" i="7" s="1"/>
  <c r="K203" i="7"/>
  <c r="W203" i="7" s="1"/>
  <c r="K211" i="7"/>
  <c r="W211" i="7" s="1"/>
  <c r="K219" i="7"/>
  <c r="W219" i="7" s="1"/>
  <c r="K227" i="7"/>
  <c r="W227" i="7" s="1"/>
  <c r="K4" i="7"/>
  <c r="W4" i="7" s="1"/>
  <c r="K12" i="7"/>
  <c r="W12" i="7" s="1"/>
  <c r="K20" i="7"/>
  <c r="W20" i="7" s="1"/>
  <c r="K28" i="7"/>
  <c r="W28" i="7" s="1"/>
  <c r="K36" i="7"/>
  <c r="W36" i="7" s="1"/>
  <c r="K44" i="7"/>
  <c r="W44" i="7" s="1"/>
  <c r="K52" i="7"/>
  <c r="W52" i="7" s="1"/>
  <c r="K68" i="7"/>
  <c r="W68" i="7" s="1"/>
  <c r="K108" i="7"/>
  <c r="W108" i="7" s="1"/>
  <c r="K124" i="7"/>
  <c r="W124" i="7" s="1"/>
  <c r="K180" i="7"/>
  <c r="W180" i="7" s="1"/>
  <c r="K220" i="7"/>
  <c r="W220" i="7" s="1"/>
  <c r="H17" i="8"/>
  <c r="AO4" i="7" l="1"/>
  <c r="AP4" i="7"/>
  <c r="AS4" i="7"/>
  <c r="B10" i="7"/>
  <c r="C12" i="13"/>
  <c r="C12" i="14" s="1"/>
  <c r="D13" i="13"/>
  <c r="B13" i="14"/>
  <c r="D13" i="14" s="1"/>
  <c r="B14" i="13"/>
  <c r="B12" i="12"/>
  <c r="G11" i="12"/>
  <c r="A10" i="12"/>
  <c r="F9" i="12"/>
  <c r="B11" i="10"/>
  <c r="G10" i="10"/>
  <c r="A10" i="10"/>
  <c r="F10" i="10" s="1"/>
  <c r="I17" i="8"/>
  <c r="T226" i="7" a="1"/>
  <c r="T226" i="7" s="1"/>
  <c r="T222" i="7" a="1"/>
  <c r="T222" i="7" s="1"/>
  <c r="R220" i="7"/>
  <c r="Q219" i="7"/>
  <c r="R217" i="7"/>
  <c r="S214" i="7" a="1"/>
  <c r="S214" i="7" s="1"/>
  <c r="Q212" i="7"/>
  <c r="T211" i="7" a="1"/>
  <c r="T211" i="7" s="1"/>
  <c r="S207" i="7" a="1"/>
  <c r="S207" i="7" s="1"/>
  <c r="S206" i="7" a="1"/>
  <c r="S206" i="7" s="1"/>
  <c r="R205" i="7"/>
  <c r="Q203" i="7"/>
  <c r="R200" i="7"/>
  <c r="S196" i="7" a="1"/>
  <c r="S196" i="7" s="1"/>
  <c r="S195" i="7" a="1"/>
  <c r="S195" i="7" s="1"/>
  <c r="T192" i="7" a="1"/>
  <c r="T192" i="7" s="1"/>
  <c r="T191" i="7" a="1"/>
  <c r="T191" i="7" s="1"/>
  <c r="T190" i="7" a="1"/>
  <c r="T190" i="7" s="1"/>
  <c r="S189" i="7" a="1"/>
  <c r="S189" i="7" s="1"/>
  <c r="T188" i="7" a="1"/>
  <c r="T188" i="7" s="1"/>
  <c r="S187" i="7" a="1"/>
  <c r="S187" i="7" s="1"/>
  <c r="T183" i="7" a="1"/>
  <c r="T183" i="7" s="1"/>
  <c r="Q180" i="7"/>
  <c r="T179" i="7" a="1"/>
  <c r="T179" i="7" s="1"/>
  <c r="T176" i="7" a="1"/>
  <c r="T176" i="7" s="1"/>
  <c r="T173" i="7" a="1"/>
  <c r="T173" i="7" s="1"/>
  <c r="S172" i="7" a="1"/>
  <c r="S172" i="7" s="1"/>
  <c r="T168" i="7" a="1"/>
  <c r="T168" i="7" s="1"/>
  <c r="T167" i="7" a="1"/>
  <c r="T167" i="7" s="1"/>
  <c r="R166" i="7"/>
  <c r="Q164" i="7"/>
  <c r="S159" i="7" a="1"/>
  <c r="S159" i="7" s="1"/>
  <c r="R158" i="7"/>
  <c r="T156" i="7" a="1"/>
  <c r="T156" i="7" s="1"/>
  <c r="S155" i="7" a="1"/>
  <c r="S155" i="7" s="1"/>
  <c r="T153" i="7" a="1"/>
  <c r="T153" i="7" s="1"/>
  <c r="Q152" i="7"/>
  <c r="Q151" i="7"/>
  <c r="S149" i="7" a="1"/>
  <c r="S149" i="7" s="1"/>
  <c r="Q148" i="7"/>
  <c r="S143" i="7" a="1"/>
  <c r="S143" i="7" s="1"/>
  <c r="R142" i="7"/>
  <c r="S139" i="7" a="1"/>
  <c r="S139" i="7" s="1"/>
  <c r="Q137" i="7"/>
  <c r="S135" i="7" a="1"/>
  <c r="S135" i="7" s="1"/>
  <c r="T133" i="7" a="1"/>
  <c r="T133" i="7" s="1"/>
  <c r="Q132" i="7"/>
  <c r="R131" i="7"/>
  <c r="S128" i="7" a="1"/>
  <c r="S128" i="7" s="1"/>
  <c r="S127" i="7" a="1"/>
  <c r="S127" i="7" s="1"/>
  <c r="Q126" i="7"/>
  <c r="Q121" i="7"/>
  <c r="Q120" i="7"/>
  <c r="S119" i="7" a="1"/>
  <c r="S119" i="7" s="1"/>
  <c r="S116" i="7" a="1"/>
  <c r="S116" i="7" s="1"/>
  <c r="S111" i="7" a="1"/>
  <c r="S111" i="7" s="1"/>
  <c r="R109" i="7"/>
  <c r="S99" i="7" a="1"/>
  <c r="S99" i="7" s="1"/>
  <c r="R97" i="7"/>
  <c r="T95" i="7" a="1"/>
  <c r="T95" i="7" s="1"/>
  <c r="S94" i="7" a="1"/>
  <c r="S94" i="7" s="1"/>
  <c r="T93" i="7" a="1"/>
  <c r="T93" i="7" s="1"/>
  <c r="S91" i="7" a="1"/>
  <c r="S91" i="7" s="1"/>
  <c r="R89" i="7"/>
  <c r="R86" i="7"/>
  <c r="Q84" i="7"/>
  <c r="S83" i="7" a="1"/>
  <c r="S83" i="7" s="1"/>
  <c r="Q81" i="7"/>
  <c r="T79" i="7" a="1"/>
  <c r="T79" i="7" s="1"/>
  <c r="S77" i="7" a="1"/>
  <c r="S77" i="7" s="1"/>
  <c r="T76" i="7" a="1"/>
  <c r="T76" i="7" s="1"/>
  <c r="S75" i="7" a="1"/>
  <c r="S75" i="7" s="1"/>
  <c r="T72" i="7" a="1"/>
  <c r="T72" i="7" s="1"/>
  <c r="T71" i="7" a="1"/>
  <c r="T71" i="7" s="1"/>
  <c r="R70" i="7"/>
  <c r="S69" i="7" a="1"/>
  <c r="S69" i="7" s="1"/>
  <c r="Q68" i="7"/>
  <c r="S67" i="7" a="1"/>
  <c r="S67" i="7" s="1"/>
  <c r="R64" i="7"/>
  <c r="T63" i="7" a="1"/>
  <c r="T63" i="7" s="1"/>
  <c r="S61" i="7" a="1"/>
  <c r="S61" i="7" s="1"/>
  <c r="Q60" i="7"/>
  <c r="S59" i="7" a="1"/>
  <c r="S59" i="7" s="1"/>
  <c r="T55" i="7" a="1"/>
  <c r="T55" i="7" s="1"/>
  <c r="S54" i="7" a="1"/>
  <c r="S54" i="7" s="1"/>
  <c r="Q52" i="7"/>
  <c r="T51" i="7" a="1"/>
  <c r="T51" i="7" s="1"/>
  <c r="Q48" i="7"/>
  <c r="T47" i="7" a="1"/>
  <c r="T47" i="7" s="1"/>
  <c r="CB46" i="7"/>
  <c r="T46" i="7" a="1"/>
  <c r="T46" i="7" s="1"/>
  <c r="CB45" i="7"/>
  <c r="BU45" i="7"/>
  <c r="BS45" i="7"/>
  <c r="Q45" i="7"/>
  <c r="T44" i="7" a="1"/>
  <c r="T44" i="7" s="1"/>
  <c r="BM42" i="7"/>
  <c r="BS41" i="7"/>
  <c r="BX41" i="7" s="1"/>
  <c r="CA41" i="7" s="1"/>
  <c r="T41" i="7" a="1"/>
  <c r="T41" i="7" s="1"/>
  <c r="BS40" i="7"/>
  <c r="BX40" i="7" s="1"/>
  <c r="CA40" i="7" s="1"/>
  <c r="T37" i="7" a="1"/>
  <c r="T37" i="7" s="1"/>
  <c r="R35" i="7"/>
  <c r="T27" i="7" a="1"/>
  <c r="T27" i="7" s="1"/>
  <c r="S25" i="7" a="1"/>
  <c r="S25" i="7" s="1"/>
  <c r="R22" i="7"/>
  <c r="T21" i="7" a="1"/>
  <c r="T21" i="7" s="1"/>
  <c r="Q17" i="7"/>
  <c r="T15" i="7" a="1"/>
  <c r="T15" i="7" s="1"/>
  <c r="R14" i="7"/>
  <c r="T13" i="7" a="1"/>
  <c r="T13" i="7" s="1"/>
  <c r="T12" i="7" a="1"/>
  <c r="T12" i="7" s="1"/>
  <c r="T11" i="7" a="1"/>
  <c r="T11" i="7" s="1"/>
  <c r="S9" i="7" a="1"/>
  <c r="S9" i="7" s="1"/>
  <c r="Q4" i="7"/>
  <c r="C4" i="7"/>
  <c r="B11" i="7" l="1"/>
  <c r="C13" i="13"/>
  <c r="C13" i="14"/>
  <c r="D14" i="13"/>
  <c r="B14" i="14"/>
  <c r="D14" i="14" s="1"/>
  <c r="B15" i="13"/>
  <c r="F10" i="12"/>
  <c r="A11" i="12"/>
  <c r="B13" i="12"/>
  <c r="G12" i="12"/>
  <c r="B12" i="10"/>
  <c r="G11" i="10"/>
  <c r="A11" i="10"/>
  <c r="F11" i="10" s="1"/>
  <c r="C5" i="7"/>
  <c r="C6" i="7" s="1"/>
  <c r="C7" i="7" s="1"/>
  <c r="C8" i="7" s="1"/>
  <c r="C9" i="7" s="1"/>
  <c r="C10" i="7" s="1"/>
  <c r="C11" i="7" s="1"/>
  <c r="C12" i="7" s="1"/>
  <c r="C13" i="7" s="1"/>
  <c r="C14" i="7" s="1"/>
  <c r="C15" i="7" s="1"/>
  <c r="C16" i="7" s="1"/>
  <c r="C17" i="7" s="1"/>
  <c r="C18" i="7" s="1"/>
  <c r="C19" i="7" s="1"/>
  <c r="C20" i="7" s="1"/>
  <c r="C21" i="7" s="1"/>
  <c r="C22" i="7" s="1"/>
  <c r="C23" i="7" s="1"/>
  <c r="C24" i="7" s="1"/>
  <c r="C25" i="7" s="1"/>
  <c r="C26" i="7" s="1"/>
  <c r="C27" i="7" s="1"/>
  <c r="C28" i="7" s="1"/>
  <c r="C29" i="7" s="1"/>
  <c r="C30" i="7" s="1"/>
  <c r="C31" i="7" s="1"/>
  <c r="C32" i="7" s="1"/>
  <c r="C33" i="7" s="1"/>
  <c r="C34" i="7" s="1"/>
  <c r="C35" i="7" s="1"/>
  <c r="C36" i="7" s="1"/>
  <c r="C37" i="7" s="1"/>
  <c r="C38" i="7" s="1"/>
  <c r="C39" i="7" s="1"/>
  <c r="C40" i="7" s="1"/>
  <c r="C41" i="7" s="1"/>
  <c r="C42" i="7" s="1"/>
  <c r="C43" i="7" s="1"/>
  <c r="C44" i="7" s="1"/>
  <c r="C45" i="7" s="1"/>
  <c r="C46" i="7" s="1"/>
  <c r="C47" i="7" s="1"/>
  <c r="C48" i="7" s="1"/>
  <c r="C49" i="7" s="1"/>
  <c r="C50" i="7" s="1"/>
  <c r="C51" i="7" s="1"/>
  <c r="C52" i="7" s="1"/>
  <c r="C53" i="7" s="1"/>
  <c r="C54" i="7" s="1"/>
  <c r="C55" i="7" s="1"/>
  <c r="C56" i="7" s="1"/>
  <c r="C57" i="7" s="1"/>
  <c r="C58" i="7" s="1"/>
  <c r="C59" i="7" s="1"/>
  <c r="C60" i="7" s="1"/>
  <c r="C61" i="7" s="1"/>
  <c r="C62" i="7" s="1"/>
  <c r="C63" i="7" s="1"/>
  <c r="C64" i="7" s="1"/>
  <c r="C65" i="7" s="1"/>
  <c r="C66" i="7" s="1"/>
  <c r="C67" i="7" s="1"/>
  <c r="C68" i="7" s="1"/>
  <c r="C69" i="7" s="1"/>
  <c r="C70" i="7" s="1"/>
  <c r="C71" i="7" s="1"/>
  <c r="C72" i="7" s="1"/>
  <c r="C73" i="7" s="1"/>
  <c r="C74" i="7" s="1"/>
  <c r="C75" i="7" s="1"/>
  <c r="C76" i="7" s="1"/>
  <c r="C77" i="7" s="1"/>
  <c r="C78" i="7" s="1"/>
  <c r="C79" i="7" s="1"/>
  <c r="C80" i="7" s="1"/>
  <c r="C81" i="7" s="1"/>
  <c r="C82" i="7" s="1"/>
  <c r="C83" i="7" s="1"/>
  <c r="C84" i="7" s="1"/>
  <c r="C85" i="7" s="1"/>
  <c r="C86" i="7" s="1"/>
  <c r="C87" i="7" s="1"/>
  <c r="C88" i="7" s="1"/>
  <c r="C89" i="7" s="1"/>
  <c r="C90" i="7" s="1"/>
  <c r="C91" i="7" s="1"/>
  <c r="C92" i="7" s="1"/>
  <c r="C93" i="7" s="1"/>
  <c r="C94" i="7" s="1"/>
  <c r="C95" i="7" s="1"/>
  <c r="C96" i="7" s="1"/>
  <c r="C97" i="7" s="1"/>
  <c r="C98" i="7" s="1"/>
  <c r="C99" i="7" s="1"/>
  <c r="C100" i="7" s="1"/>
  <c r="C101" i="7" s="1"/>
  <c r="C102" i="7" s="1"/>
  <c r="C103" i="7" s="1"/>
  <c r="C104" i="7" s="1"/>
  <c r="C105" i="7" s="1"/>
  <c r="C106" i="7" s="1"/>
  <c r="C107" i="7" s="1"/>
  <c r="C108" i="7" s="1"/>
  <c r="C109" i="7" s="1"/>
  <c r="C110" i="7" s="1"/>
  <c r="C111" i="7" s="1"/>
  <c r="C112" i="7" s="1"/>
  <c r="C113" i="7" s="1"/>
  <c r="C114" i="7" s="1"/>
  <c r="C115" i="7" s="1"/>
  <c r="C116" i="7" s="1"/>
  <c r="C117" i="7" s="1"/>
  <c r="C118" i="7" s="1"/>
  <c r="C119" i="7" s="1"/>
  <c r="C120" i="7" s="1"/>
  <c r="C121" i="7" s="1"/>
  <c r="C122" i="7" s="1"/>
  <c r="C123" i="7" s="1"/>
  <c r="C124" i="7" s="1"/>
  <c r="C125" i="7" s="1"/>
  <c r="C126" i="7" s="1"/>
  <c r="C127" i="7" s="1"/>
  <c r="C128" i="7" s="1"/>
  <c r="C129" i="7" s="1"/>
  <c r="C130" i="7" s="1"/>
  <c r="C131" i="7" s="1"/>
  <c r="C132" i="7" s="1"/>
  <c r="C133" i="7" s="1"/>
  <c r="C134" i="7" s="1"/>
  <c r="C135" i="7" s="1"/>
  <c r="C136" i="7" s="1"/>
  <c r="C137" i="7" s="1"/>
  <c r="C138" i="7" s="1"/>
  <c r="C139" i="7" s="1"/>
  <c r="C140" i="7" s="1"/>
  <c r="C141" i="7" s="1"/>
  <c r="C142" i="7" s="1"/>
  <c r="C143" i="7" s="1"/>
  <c r="C144" i="7" s="1"/>
  <c r="C145" i="7" s="1"/>
  <c r="C146" i="7" s="1"/>
  <c r="C147" i="7" s="1"/>
  <c r="C148" i="7" s="1"/>
  <c r="C149" i="7" s="1"/>
  <c r="C150" i="7" s="1"/>
  <c r="C151" i="7" s="1"/>
  <c r="C152" i="7" s="1"/>
  <c r="C153" i="7" s="1"/>
  <c r="C154" i="7" s="1"/>
  <c r="C155" i="7" s="1"/>
  <c r="C156" i="7" s="1"/>
  <c r="C157" i="7" s="1"/>
  <c r="C158" i="7" s="1"/>
  <c r="C159" i="7" s="1"/>
  <c r="C160" i="7" s="1"/>
  <c r="C161" i="7" s="1"/>
  <c r="C162" i="7" s="1"/>
  <c r="C163" i="7" s="1"/>
  <c r="C164" i="7" s="1"/>
  <c r="C165" i="7" s="1"/>
  <c r="C166" i="7" s="1"/>
  <c r="C167" i="7" s="1"/>
  <c r="C168" i="7" s="1"/>
  <c r="C169" i="7" s="1"/>
  <c r="C170" i="7" s="1"/>
  <c r="C171" i="7" s="1"/>
  <c r="C172" i="7" s="1"/>
  <c r="C173" i="7" s="1"/>
  <c r="C174" i="7" s="1"/>
  <c r="C175" i="7" s="1"/>
  <c r="C176" i="7" s="1"/>
  <c r="C177" i="7" s="1"/>
  <c r="C178" i="7" s="1"/>
  <c r="C179" i="7" s="1"/>
  <c r="C180" i="7" s="1"/>
  <c r="C181" i="7" s="1"/>
  <c r="C182" i="7" s="1"/>
  <c r="C183" i="7" s="1"/>
  <c r="C184" i="7" s="1"/>
  <c r="C185" i="7" s="1"/>
  <c r="C186" i="7" s="1"/>
  <c r="C187" i="7" s="1"/>
  <c r="C188" i="7" s="1"/>
  <c r="C189" i="7" s="1"/>
  <c r="C190" i="7" s="1"/>
  <c r="C191" i="7" s="1"/>
  <c r="C192" i="7" s="1"/>
  <c r="C193" i="7" s="1"/>
  <c r="C194" i="7" s="1"/>
  <c r="C195" i="7" s="1"/>
  <c r="C196" i="7" s="1"/>
  <c r="C197" i="7" s="1"/>
  <c r="C198" i="7" s="1"/>
  <c r="C199" i="7" s="1"/>
  <c r="C200" i="7" s="1"/>
  <c r="C201" i="7" s="1"/>
  <c r="C202" i="7" s="1"/>
  <c r="C203" i="7" s="1"/>
  <c r="C204" i="7" s="1"/>
  <c r="C205" i="7" s="1"/>
  <c r="C206" i="7" s="1"/>
  <c r="C207" i="7" s="1"/>
  <c r="C208" i="7" s="1"/>
  <c r="C209" i="7" s="1"/>
  <c r="C210" i="7" s="1"/>
  <c r="C211" i="7" s="1"/>
  <c r="C212" i="7" s="1"/>
  <c r="C213" i="7" s="1"/>
  <c r="C214" i="7" s="1"/>
  <c r="C215" i="7" s="1"/>
  <c r="C216" i="7" s="1"/>
  <c r="C217" i="7" s="1"/>
  <c r="C218" i="7" s="1"/>
  <c r="C219" i="7" s="1"/>
  <c r="C220" i="7" s="1"/>
  <c r="C221" i="7" s="1"/>
  <c r="C222" i="7" s="1"/>
  <c r="C223" i="7" s="1"/>
  <c r="C224" i="7" s="1"/>
  <c r="C225" i="7" s="1"/>
  <c r="C226" i="7" s="1"/>
  <c r="C227" i="7" s="1"/>
  <c r="C228" i="7" s="1"/>
  <c r="C229" i="7" s="1"/>
  <c r="H18" i="8"/>
  <c r="I18" i="8" s="1"/>
  <c r="J18" i="8" s="1"/>
  <c r="K18" i="8" s="1"/>
  <c r="L18" i="8" s="1"/>
  <c r="M18" i="8" s="1"/>
  <c r="N18" i="8" s="1"/>
  <c r="O18" i="8" s="1"/>
  <c r="P18" i="8" s="1"/>
  <c r="Q18" i="8" s="1"/>
  <c r="R18" i="8" s="1"/>
  <c r="S18" i="8" s="1"/>
  <c r="T18" i="8" s="1"/>
  <c r="U18" i="8" s="1"/>
  <c r="V18" i="8" s="1"/>
  <c r="W18" i="8" s="1"/>
  <c r="X18" i="8" s="1"/>
  <c r="Y18" i="8" s="1"/>
  <c r="Z18" i="8" s="1"/>
  <c r="AA18" i="8" s="1"/>
  <c r="AB18" i="8" s="1"/>
  <c r="AC18" i="8" s="1"/>
  <c r="AD18" i="8" s="1"/>
  <c r="AE18" i="8" s="1"/>
  <c r="AF18" i="8" s="1"/>
  <c r="AG18" i="8" s="1"/>
  <c r="AH18" i="8" s="1"/>
  <c r="AI18" i="8" s="1"/>
  <c r="AJ18" i="8" s="1"/>
  <c r="AK18" i="8" s="1"/>
  <c r="AL18" i="8" s="1"/>
  <c r="AM18" i="8" s="1"/>
  <c r="AN18" i="8" s="1"/>
  <c r="AO18" i="8" s="1"/>
  <c r="AP18" i="8" s="1"/>
  <c r="AQ18" i="8" s="1"/>
  <c r="AR18" i="8" s="1"/>
  <c r="AS18" i="8" s="1"/>
  <c r="AT18" i="8" s="1"/>
  <c r="AU18" i="8" s="1"/>
  <c r="AV18" i="8" s="1"/>
  <c r="AW18" i="8" s="1"/>
  <c r="AX18" i="8" s="1"/>
  <c r="AY18" i="8" s="1"/>
  <c r="AZ18" i="8" s="1"/>
  <c r="BA18" i="8" s="1"/>
  <c r="BB18" i="8" s="1"/>
  <c r="BC18" i="8" s="1"/>
  <c r="BD18" i="8" s="1"/>
  <c r="BE18" i="8" s="1"/>
  <c r="BF18" i="8" s="1"/>
  <c r="BG18" i="8" s="1"/>
  <c r="BH18" i="8" s="1"/>
  <c r="BI18" i="8" s="1"/>
  <c r="BJ18" i="8" s="1"/>
  <c r="BK18" i="8" s="1"/>
  <c r="BL18" i="8" s="1"/>
  <c r="BM18" i="8" s="1"/>
  <c r="BN18" i="8" s="1"/>
  <c r="BO18" i="8" s="1"/>
  <c r="BP18" i="8" s="1"/>
  <c r="BQ18" i="8" s="1"/>
  <c r="BR18" i="8" s="1"/>
  <c r="BS18" i="8" s="1"/>
  <c r="BT18" i="8" s="1"/>
  <c r="BU18" i="8" s="1"/>
  <c r="BV18" i="8" s="1"/>
  <c r="BW18" i="8" s="1"/>
  <c r="BX18" i="8" s="1"/>
  <c r="BY18" i="8" s="1"/>
  <c r="BZ18" i="8" s="1"/>
  <c r="CA18" i="8" s="1"/>
  <c r="CB18" i="8" s="1"/>
  <c r="CC18" i="8" s="1"/>
  <c r="CD18" i="8" s="1"/>
  <c r="CE18" i="8" s="1"/>
  <c r="CF18" i="8" s="1"/>
  <c r="CG18" i="8" s="1"/>
  <c r="CH18" i="8" s="1"/>
  <c r="CI18" i="8" s="1"/>
  <c r="CJ18" i="8" s="1"/>
  <c r="CK18" i="8" s="1"/>
  <c r="CL18" i="8" s="1"/>
  <c r="CM18" i="8" s="1"/>
  <c r="CN18" i="8" s="1"/>
  <c r="CO18" i="8" s="1"/>
  <c r="CP18" i="8" s="1"/>
  <c r="CQ18" i="8" s="1"/>
  <c r="CR18" i="8" s="1"/>
  <c r="CS18" i="8" s="1"/>
  <c r="CT18" i="8" s="1"/>
  <c r="CU18" i="8" s="1"/>
  <c r="CV18" i="8" s="1"/>
  <c r="CW18" i="8" s="1"/>
  <c r="CX18" i="8" s="1"/>
  <c r="CY18" i="8" s="1"/>
  <c r="CZ18" i="8" s="1"/>
  <c r="DA18" i="8" s="1"/>
  <c r="DB18" i="8" s="1"/>
  <c r="DC18" i="8" s="1"/>
  <c r="DD18" i="8" s="1"/>
  <c r="DE18" i="8" s="1"/>
  <c r="DF18" i="8" s="1"/>
  <c r="DG18" i="8" s="1"/>
  <c r="DH18" i="8" s="1"/>
  <c r="DI18" i="8" s="1"/>
  <c r="DJ18" i="8" s="1"/>
  <c r="DK18" i="8" s="1"/>
  <c r="DL18" i="8" s="1"/>
  <c r="DM18" i="8" s="1"/>
  <c r="DN18" i="8" s="1"/>
  <c r="DO18" i="8" s="1"/>
  <c r="DP18" i="8" s="1"/>
  <c r="DQ18" i="8" s="1"/>
  <c r="DR18" i="8" s="1"/>
  <c r="DS18" i="8" s="1"/>
  <c r="DT18" i="8" s="1"/>
  <c r="DU18" i="8" s="1"/>
  <c r="DV18" i="8" s="1"/>
  <c r="DW18" i="8" s="1"/>
  <c r="DX18" i="8" s="1"/>
  <c r="DY18" i="8" s="1"/>
  <c r="DZ18" i="8" s="1"/>
  <c r="EA18" i="8" s="1"/>
  <c r="EB18" i="8" s="1"/>
  <c r="EC18" i="8" s="1"/>
  <c r="ED18" i="8" s="1"/>
  <c r="EE18" i="8" s="1"/>
  <c r="EF18" i="8" s="1"/>
  <c r="EG18" i="8" s="1"/>
  <c r="EH18" i="8" s="1"/>
  <c r="EI18" i="8" s="1"/>
  <c r="EJ18" i="8" s="1"/>
  <c r="EK18" i="8" s="1"/>
  <c r="EL18" i="8" s="1"/>
  <c r="EM18" i="8" s="1"/>
  <c r="EN18" i="8" s="1"/>
  <c r="EO18" i="8" s="1"/>
  <c r="EP18" i="8" s="1"/>
  <c r="EQ18" i="8" s="1"/>
  <c r="ER18" i="8" s="1"/>
  <c r="ES18" i="8" s="1"/>
  <c r="ET18" i="8" s="1"/>
  <c r="EU18" i="8" s="1"/>
  <c r="EV18" i="8" s="1"/>
  <c r="EW18" i="8" s="1"/>
  <c r="EX18" i="8" s="1"/>
  <c r="EY18" i="8" s="1"/>
  <c r="EZ18" i="8" s="1"/>
  <c r="FA18" i="8" s="1"/>
  <c r="FB18" i="8" s="1"/>
  <c r="FC18" i="8" s="1"/>
  <c r="FD18" i="8" s="1"/>
  <c r="FE18" i="8" s="1"/>
  <c r="FF18" i="8" s="1"/>
  <c r="FG18" i="8" s="1"/>
  <c r="FH18" i="8" s="1"/>
  <c r="FI18" i="8" s="1"/>
  <c r="FJ18" i="8" s="1"/>
  <c r="FK18" i="8" s="1"/>
  <c r="FL18" i="8" s="1"/>
  <c r="FM18" i="8" s="1"/>
  <c r="FN18" i="8" s="1"/>
  <c r="FO18" i="8" s="1"/>
  <c r="FP18" i="8" s="1"/>
  <c r="FQ18" i="8" s="1"/>
  <c r="FR18" i="8" s="1"/>
  <c r="FS18" i="8" s="1"/>
  <c r="FT18" i="8" s="1"/>
  <c r="FU18" i="8" s="1"/>
  <c r="FV18" i="8" s="1"/>
  <c r="FW18" i="8" s="1"/>
  <c r="FX18" i="8" s="1"/>
  <c r="FY18" i="8" s="1"/>
  <c r="FZ18" i="8" s="1"/>
  <c r="GA18" i="8" s="1"/>
  <c r="GB18" i="8" s="1"/>
  <c r="GC18" i="8" s="1"/>
  <c r="GD18" i="8" s="1"/>
  <c r="GE18" i="8" s="1"/>
  <c r="GF18" i="8" s="1"/>
  <c r="GG18" i="8" s="1"/>
  <c r="GH18" i="8" s="1"/>
  <c r="GI18" i="8" s="1"/>
  <c r="GJ18" i="8" s="1"/>
  <c r="GK18" i="8" s="1"/>
  <c r="GL18" i="8" s="1"/>
  <c r="GM18" i="8" s="1"/>
  <c r="GN18" i="8" s="1"/>
  <c r="GO18" i="8" s="1"/>
  <c r="GP18" i="8" s="1"/>
  <c r="GQ18" i="8" s="1"/>
  <c r="GR18" i="8" s="1"/>
  <c r="GS18" i="8" s="1"/>
  <c r="GT18" i="8" s="1"/>
  <c r="GU18" i="8" s="1"/>
  <c r="GV18" i="8" s="1"/>
  <c r="GW18" i="8" s="1"/>
  <c r="GX18" i="8" s="1"/>
  <c r="GY18" i="8" s="1"/>
  <c r="GZ18" i="8" s="1"/>
  <c r="HA18" i="8" s="1"/>
  <c r="HB18" i="8" s="1"/>
  <c r="HC18" i="8" s="1"/>
  <c r="HD18" i="8" s="1"/>
  <c r="HE18" i="8" s="1"/>
  <c r="HF18" i="8" s="1"/>
  <c r="HG18" i="8" s="1"/>
  <c r="HH18" i="8" s="1"/>
  <c r="HI18" i="8" s="1"/>
  <c r="HJ18" i="8" s="1"/>
  <c r="HK18" i="8" s="1"/>
  <c r="HL18" i="8" s="1"/>
  <c r="HM18" i="8" s="1"/>
  <c r="HN18" i="8" s="1"/>
  <c r="HO18" i="8" s="1"/>
  <c r="HP18" i="8" s="1"/>
  <c r="HQ18" i="8" s="1"/>
  <c r="HR18" i="8" s="1"/>
  <c r="HS18" i="8" s="1"/>
  <c r="HT18" i="8" s="1"/>
  <c r="HU18" i="8" s="1"/>
  <c r="HV18" i="8" s="1"/>
  <c r="HW18" i="8" s="1"/>
  <c r="HX18" i="8" s="1"/>
  <c r="J17" i="8"/>
  <c r="T50" i="7" a="1"/>
  <c r="T50" i="7" s="1"/>
  <c r="T42" i="7" a="1"/>
  <c r="T42" i="7" s="1"/>
  <c r="S216" i="7" a="1"/>
  <c r="S216" i="7" s="1"/>
  <c r="T106" i="7" a="1"/>
  <c r="T106" i="7" s="1"/>
  <c r="T194" i="7" a="1"/>
  <c r="T194" i="7" s="1"/>
  <c r="Q138" i="7"/>
  <c r="Q221" i="7"/>
  <c r="S17" i="7" a="1"/>
  <c r="S17" i="7" s="1"/>
  <c r="Q128" i="7"/>
  <c r="R212" i="7"/>
  <c r="BU41" i="7"/>
  <c r="S37" i="7" a="1"/>
  <c r="S37" i="7" s="1"/>
  <c r="Q211" i="7"/>
  <c r="R222" i="7"/>
  <c r="BU40" i="7"/>
  <c r="T49" i="7" a="1"/>
  <c r="T49" i="7" s="1"/>
  <c r="S49" i="7" a="1"/>
  <c r="S49" i="7" s="1"/>
  <c r="R94" i="7"/>
  <c r="S221" i="7" a="1"/>
  <c r="S221" i="7" s="1"/>
  <c r="R12" i="7"/>
  <c r="R138" i="7"/>
  <c r="R156" i="7"/>
  <c r="S12" i="7" a="1"/>
  <c r="S12" i="7" s="1"/>
  <c r="Q99" i="7"/>
  <c r="R133" i="7"/>
  <c r="R37" i="7"/>
  <c r="S142" i="7" a="1"/>
  <c r="S142" i="7" s="1"/>
  <c r="S222" i="7" a="1"/>
  <c r="S222" i="7" s="1"/>
  <c r="Q198" i="7"/>
  <c r="S198" i="7" a="1"/>
  <c r="S198" i="7" s="1"/>
  <c r="R198" i="7"/>
  <c r="T154" i="7" a="1"/>
  <c r="T154" i="7" s="1"/>
  <c r="R154" i="7"/>
  <c r="T174" i="7" a="1"/>
  <c r="T174" i="7" s="1"/>
  <c r="S174" i="7" a="1"/>
  <c r="S174" i="7" s="1"/>
  <c r="T118" i="7" a="1"/>
  <c r="T118" i="7" s="1"/>
  <c r="S118" i="7" a="1"/>
  <c r="S118" i="7" s="1"/>
  <c r="R145" i="7"/>
  <c r="S145" i="7" a="1"/>
  <c r="S145" i="7" s="1"/>
  <c r="T145" i="7" a="1"/>
  <c r="T145" i="7" s="1"/>
  <c r="T165" i="7" a="1"/>
  <c r="T165" i="7" s="1"/>
  <c r="Q165" i="7"/>
  <c r="T162" i="7" a="1"/>
  <c r="T162" i="7" s="1"/>
  <c r="S162" i="7" a="1"/>
  <c r="S162" i="7" s="1"/>
  <c r="R162" i="7"/>
  <c r="T201" i="7" a="1"/>
  <c r="T201" i="7" s="1"/>
  <c r="S201" i="7" a="1"/>
  <c r="S201" i="7" s="1"/>
  <c r="R201" i="7"/>
  <c r="R48" i="7"/>
  <c r="Q51" i="7"/>
  <c r="Q67" i="7"/>
  <c r="Q109" i="7"/>
  <c r="S158" i="7" a="1"/>
  <c r="S158" i="7" s="1"/>
  <c r="R211" i="7"/>
  <c r="S41" i="7" a="1"/>
  <c r="S41" i="7" s="1"/>
  <c r="R42" i="7"/>
  <c r="R45" i="7"/>
  <c r="Q46" i="7"/>
  <c r="S86" i="7" a="1"/>
  <c r="S86" i="7" s="1"/>
  <c r="Q183" i="7"/>
  <c r="Q195" i="7"/>
  <c r="R51" i="7"/>
  <c r="Q42" i="7"/>
  <c r="R46" i="7"/>
  <c r="Q127" i="7"/>
  <c r="S48" i="7" a="1"/>
  <c r="S48" i="7" s="1"/>
  <c r="R41" i="7"/>
  <c r="T31" i="7" a="1"/>
  <c r="T31" i="7" s="1"/>
  <c r="R31" i="7"/>
  <c r="Q31" i="7"/>
  <c r="T19" i="7" a="1"/>
  <c r="T19" i="7" s="1"/>
  <c r="S19" i="7" a="1"/>
  <c r="S19" i="7" s="1"/>
  <c r="T65" i="7" a="1"/>
  <c r="T65" i="7" s="1"/>
  <c r="S65" i="7" a="1"/>
  <c r="S65" i="7" s="1"/>
  <c r="R65" i="7"/>
  <c r="Q65" i="7"/>
  <c r="T114" i="7" a="1"/>
  <c r="T114" i="7" s="1"/>
  <c r="Q114" i="7"/>
  <c r="S114" i="7" a="1"/>
  <c r="S114" i="7" s="1"/>
  <c r="R114" i="7"/>
  <c r="T23" i="7" a="1"/>
  <c r="T23" i="7" s="1"/>
  <c r="R23" i="7"/>
  <c r="Q23" i="7"/>
  <c r="T181" i="7" a="1"/>
  <c r="T181" i="7" s="1"/>
  <c r="Q181" i="7"/>
  <c r="R213" i="7"/>
  <c r="T213" i="7" a="1"/>
  <c r="T213" i="7" s="1"/>
  <c r="S213" i="7" a="1"/>
  <c r="S213" i="7" s="1"/>
  <c r="Q213" i="7"/>
  <c r="T20" i="7" a="1"/>
  <c r="T20" i="7" s="1"/>
  <c r="S20" i="7" a="1"/>
  <c r="S20" i="7" s="1"/>
  <c r="R20" i="7"/>
  <c r="T40" i="7" a="1"/>
  <c r="T40" i="7" s="1"/>
  <c r="S40" i="7" a="1"/>
  <c r="S40" i="7" s="1"/>
  <c r="R40" i="7"/>
  <c r="Q40" i="7"/>
  <c r="T57" i="7" a="1"/>
  <c r="T57" i="7" s="1"/>
  <c r="Q57" i="7"/>
  <c r="S57" i="7" a="1"/>
  <c r="S57" i="7" s="1"/>
  <c r="R57" i="7"/>
  <c r="T73" i="7" a="1"/>
  <c r="T73" i="7" s="1"/>
  <c r="Q73" i="7"/>
  <c r="R73" i="7"/>
  <c r="S73" i="7" a="1"/>
  <c r="S73" i="7" s="1"/>
  <c r="Q108" i="7"/>
  <c r="R108" i="7"/>
  <c r="Q223" i="7"/>
  <c r="T223" i="7" a="1"/>
  <c r="T223" i="7" s="1"/>
  <c r="Q104" i="7"/>
  <c r="S104" i="7" a="1"/>
  <c r="S104" i="7" s="1"/>
  <c r="R104" i="7"/>
  <c r="T104" i="7" a="1"/>
  <c r="T104" i="7" s="1"/>
  <c r="S171" i="7" a="1"/>
  <c r="S171" i="7" s="1"/>
  <c r="T171" i="7" a="1"/>
  <c r="T171" i="7" s="1"/>
  <c r="Q38" i="7"/>
  <c r="T38" i="7" a="1"/>
  <c r="T38" i="7" s="1"/>
  <c r="T92" i="7" a="1"/>
  <c r="T92" i="7" s="1"/>
  <c r="R92" i="7"/>
  <c r="Q92" i="7"/>
  <c r="T225" i="7" a="1"/>
  <c r="T225" i="7" s="1"/>
  <c r="S225" i="7" a="1"/>
  <c r="S225" i="7" s="1"/>
  <c r="R225" i="7"/>
  <c r="Q225" i="7"/>
  <c r="Q130" i="7"/>
  <c r="T130" i="7" a="1"/>
  <c r="T130" i="7" s="1"/>
  <c r="S130" i="7" a="1"/>
  <c r="S130" i="7" s="1"/>
  <c r="R130" i="7"/>
  <c r="T28" i="7" a="1"/>
  <c r="T28" i="7" s="1"/>
  <c r="S28" i="7" a="1"/>
  <c r="S28" i="7" s="1"/>
  <c r="R28" i="7"/>
  <c r="T170" i="7" a="1"/>
  <c r="T170" i="7" s="1"/>
  <c r="R170" i="7"/>
  <c r="Q170" i="7"/>
  <c r="T197" i="7" a="1"/>
  <c r="T197" i="7" s="1"/>
  <c r="S197" i="7" a="1"/>
  <c r="S197" i="7" s="1"/>
  <c r="R197" i="7"/>
  <c r="Q197" i="7"/>
  <c r="T7" i="7" a="1"/>
  <c r="T7" i="7" s="1"/>
  <c r="R7" i="7"/>
  <c r="Q7" i="7"/>
  <c r="T85" i="7" a="1"/>
  <c r="T85" i="7" s="1"/>
  <c r="S85" i="7" a="1"/>
  <c r="S85" i="7" s="1"/>
  <c r="Q129" i="7"/>
  <c r="T129" i="7" a="1"/>
  <c r="T129" i="7" s="1"/>
  <c r="S129" i="7" a="1"/>
  <c r="S129" i="7" s="1"/>
  <c r="R129" i="7"/>
  <c r="T146" i="7" a="1"/>
  <c r="T146" i="7" s="1"/>
  <c r="R146" i="7"/>
  <c r="S146" i="7" a="1"/>
  <c r="S146" i="7" s="1"/>
  <c r="T161" i="7" a="1"/>
  <c r="T161" i="7" s="1"/>
  <c r="S161" i="7" a="1"/>
  <c r="S161" i="7" s="1"/>
  <c r="R161" i="7"/>
  <c r="Q161" i="7"/>
  <c r="T209" i="7" a="1"/>
  <c r="T209" i="7" s="1"/>
  <c r="Q209" i="7"/>
  <c r="S229" i="7" a="1"/>
  <c r="S229" i="7" s="1"/>
  <c r="T229" i="7" a="1"/>
  <c r="T229" i="7" s="1"/>
  <c r="S93" i="7" a="1"/>
  <c r="S93" i="7" s="1"/>
  <c r="S46" i="7" a="1"/>
  <c r="S46" i="7" s="1"/>
  <c r="Q49" i="7"/>
  <c r="Q75" i="7"/>
  <c r="R76" i="7"/>
  <c r="Q89" i="7"/>
  <c r="Q116" i="7"/>
  <c r="T149" i="7" a="1"/>
  <c r="T149" i="7" s="1"/>
  <c r="R167" i="7"/>
  <c r="R194" i="7"/>
  <c r="Q220" i="7"/>
  <c r="Q76" i="7"/>
  <c r="R149" i="7"/>
  <c r="T152" i="7" a="1"/>
  <c r="T152" i="7" s="1"/>
  <c r="Q167" i="7"/>
  <c r="Q194" i="7"/>
  <c r="R49" i="7"/>
  <c r="T5" i="7" a="1"/>
  <c r="T5" i="7" s="1"/>
  <c r="Q15" i="7"/>
  <c r="Q35" i="7"/>
  <c r="S42" i="7" a="1"/>
  <c r="S42" i="7" s="1"/>
  <c r="Q97" i="7"/>
  <c r="R121" i="7"/>
  <c r="S138" i="7" a="1"/>
  <c r="S138" i="7" s="1"/>
  <c r="Q145" i="7"/>
  <c r="S154" i="7" a="1"/>
  <c r="S154" i="7" s="1"/>
  <c r="R165" i="7"/>
  <c r="Q173" i="7"/>
  <c r="R183" i="7"/>
  <c r="S188" i="7" a="1"/>
  <c r="S188" i="7" s="1"/>
  <c r="T198" i="7" a="1"/>
  <c r="T198" i="7" s="1"/>
  <c r="S211" i="7" a="1"/>
  <c r="S211" i="7" s="1"/>
  <c r="Q222" i="7"/>
  <c r="R15" i="7"/>
  <c r="T121" i="7" a="1"/>
  <c r="T121" i="7" s="1"/>
  <c r="T138" i="7" a="1"/>
  <c r="T138" i="7" s="1"/>
  <c r="Q201" i="7"/>
  <c r="T26" i="7" a="1"/>
  <c r="T26" i="7" s="1"/>
  <c r="S26" i="7" a="1"/>
  <c r="S26" i="7" s="1"/>
  <c r="R26" i="7"/>
  <c r="Q26" i="7"/>
  <c r="Q30" i="7"/>
  <c r="T30" i="7" a="1"/>
  <c r="T30" i="7" s="1"/>
  <c r="S30" i="7" a="1"/>
  <c r="S30" i="7" s="1"/>
  <c r="S43" i="7" a="1"/>
  <c r="S43" i="7" s="1"/>
  <c r="R43" i="7"/>
  <c r="Q43" i="7"/>
  <c r="T43" i="7" a="1"/>
  <c r="T43" i="7" s="1"/>
  <c r="Q96" i="7"/>
  <c r="S96" i="7" a="1"/>
  <c r="S96" i="7" s="1"/>
  <c r="T96" i="7" a="1"/>
  <c r="T96" i="7" s="1"/>
  <c r="R96" i="7"/>
  <c r="Q25" i="7"/>
  <c r="S27" i="7" a="1"/>
  <c r="S27" i="7" s="1"/>
  <c r="T34" i="7" a="1"/>
  <c r="T34" i="7" s="1"/>
  <c r="S34" i="7" a="1"/>
  <c r="S34" i="7" s="1"/>
  <c r="Q34" i="7"/>
  <c r="S29" i="7" a="1"/>
  <c r="S29" i="7" s="1"/>
  <c r="R29" i="7"/>
  <c r="Q29" i="7"/>
  <c r="R30" i="7"/>
  <c r="S32" i="7" a="1"/>
  <c r="S32" i="7" s="1"/>
  <c r="R32" i="7"/>
  <c r="Q32" i="7"/>
  <c r="T32" i="7" a="1"/>
  <c r="T32" i="7" s="1"/>
  <c r="S33" i="7" a="1"/>
  <c r="S33" i="7" s="1"/>
  <c r="R33" i="7"/>
  <c r="Q33" i="7"/>
  <c r="T33" i="7" a="1"/>
  <c r="T33" i="7" s="1"/>
  <c r="R34" i="7"/>
  <c r="Q56" i="7"/>
  <c r="S56" i="7" a="1"/>
  <c r="S56" i="7" s="1"/>
  <c r="T56" i="7" a="1"/>
  <c r="T56" i="7" s="1"/>
  <c r="R56" i="7"/>
  <c r="Q64" i="7"/>
  <c r="S64" i="7" a="1"/>
  <c r="S64" i="7" s="1"/>
  <c r="S74" i="7" a="1"/>
  <c r="S74" i="7" s="1"/>
  <c r="R74" i="7"/>
  <c r="Q74" i="7"/>
  <c r="T74" i="7" a="1"/>
  <c r="T74" i="7" s="1"/>
  <c r="Q105" i="7"/>
  <c r="T105" i="7" a="1"/>
  <c r="T105" i="7" s="1"/>
  <c r="S105" i="7" a="1"/>
  <c r="S105" i="7" s="1"/>
  <c r="R105" i="7"/>
  <c r="Q122" i="7"/>
  <c r="R122" i="7"/>
  <c r="T122" i="7" a="1"/>
  <c r="T122" i="7" s="1"/>
  <c r="S122" i="7" a="1"/>
  <c r="S122" i="7" s="1"/>
  <c r="R53" i="7"/>
  <c r="Q53" i="7"/>
  <c r="T53" i="7" a="1"/>
  <c r="T53" i="7" s="1"/>
  <c r="Q80" i="7"/>
  <c r="S80" i="7" a="1"/>
  <c r="S80" i="7" s="1"/>
  <c r="R80" i="7"/>
  <c r="S24" i="7" a="1"/>
  <c r="S24" i="7" s="1"/>
  <c r="R24" i="7"/>
  <c r="Q24" i="7"/>
  <c r="T24" i="7" a="1"/>
  <c r="T24" i="7" s="1"/>
  <c r="T80" i="7" a="1"/>
  <c r="T80" i="7" s="1"/>
  <c r="S140" i="7" a="1"/>
  <c r="S140" i="7" s="1"/>
  <c r="Q140" i="7"/>
  <c r="R140" i="7"/>
  <c r="T140" i="7" a="1"/>
  <c r="T140" i="7" s="1"/>
  <c r="S8" i="7" a="1"/>
  <c r="S8" i="7" s="1"/>
  <c r="R8" i="7"/>
  <c r="Q8" i="7"/>
  <c r="T8" i="7" a="1"/>
  <c r="T8" i="7" s="1"/>
  <c r="T9" i="7" a="1"/>
  <c r="T9" i="7" s="1"/>
  <c r="R9" i="7"/>
  <c r="R11" i="7"/>
  <c r="Q11" i="7"/>
  <c r="T29" i="7" a="1"/>
  <c r="T29" i="7" s="1"/>
  <c r="Q44" i="7"/>
  <c r="S44" i="7" a="1"/>
  <c r="S44" i="7" s="1"/>
  <c r="R44" i="7"/>
  <c r="T64" i="7" a="1"/>
  <c r="T64" i="7" s="1"/>
  <c r="T78" i="7" a="1"/>
  <c r="T78" i="7" s="1"/>
  <c r="Q78" i="7"/>
  <c r="S78" i="7" a="1"/>
  <c r="S78" i="7" s="1"/>
  <c r="R78" i="7"/>
  <c r="S87" i="7" a="1"/>
  <c r="S87" i="7" s="1"/>
  <c r="R87" i="7"/>
  <c r="Q87" i="7"/>
  <c r="T87" i="7" a="1"/>
  <c r="T87" i="7" s="1"/>
  <c r="R101" i="7"/>
  <c r="Q101" i="7"/>
  <c r="T101" i="7" a="1"/>
  <c r="T101" i="7" s="1"/>
  <c r="S101" i="7" a="1"/>
  <c r="S101" i="7" s="1"/>
  <c r="S21" i="7" a="1"/>
  <c r="S21" i="7" s="1"/>
  <c r="R21" i="7"/>
  <c r="Q21" i="7"/>
  <c r="S53" i="7" a="1"/>
  <c r="S53" i="7" s="1"/>
  <c r="Q88" i="7"/>
  <c r="S88" i="7" a="1"/>
  <c r="S88" i="7" s="1"/>
  <c r="T88" i="7" a="1"/>
  <c r="T88" i="7" s="1"/>
  <c r="R88" i="7"/>
  <c r="S4" i="7" a="1"/>
  <c r="S4" i="7" s="1"/>
  <c r="T4" i="7" a="1"/>
  <c r="T4" i="7" s="1"/>
  <c r="Q6" i="7"/>
  <c r="T6" i="7" a="1"/>
  <c r="T6" i="7" s="1"/>
  <c r="S6" i="7" a="1"/>
  <c r="S6" i="7" s="1"/>
  <c r="T10" i="7" a="1"/>
  <c r="T10" i="7" s="1"/>
  <c r="Q10" i="7"/>
  <c r="S10" i="7" a="1"/>
  <c r="S10" i="7" s="1"/>
  <c r="R10" i="7"/>
  <c r="Q39" i="7"/>
  <c r="T39" i="7" a="1"/>
  <c r="T39" i="7" s="1"/>
  <c r="S39" i="7" a="1"/>
  <c r="S39" i="7" s="1"/>
  <c r="R39" i="7"/>
  <c r="R6" i="7"/>
  <c r="R4" i="7"/>
  <c r="Q9" i="7"/>
  <c r="S11" i="7" a="1"/>
  <c r="S11" i="7" s="1"/>
  <c r="Q14" i="7"/>
  <c r="T14" i="7" a="1"/>
  <c r="T14" i="7" s="1"/>
  <c r="S14" i="7" a="1"/>
  <c r="S14" i="7" s="1"/>
  <c r="T18" i="7" a="1"/>
  <c r="T18" i="7" s="1"/>
  <c r="Q18" i="7"/>
  <c r="S18" i="7" a="1"/>
  <c r="S18" i="7" s="1"/>
  <c r="R18" i="7"/>
  <c r="Q22" i="7"/>
  <c r="T22" i="7" a="1"/>
  <c r="T22" i="7" s="1"/>
  <c r="S22" i="7" a="1"/>
  <c r="S22" i="7" s="1"/>
  <c r="T25" i="7" a="1"/>
  <c r="T25" i="7" s="1"/>
  <c r="R25" i="7"/>
  <c r="R27" i="7"/>
  <c r="Q27" i="7"/>
  <c r="S13" i="7" a="1"/>
  <c r="S13" i="7" s="1"/>
  <c r="R13" i="7"/>
  <c r="Q13" i="7"/>
  <c r="S16" i="7" a="1"/>
  <c r="S16" i="7" s="1"/>
  <c r="R16" i="7"/>
  <c r="Q16" i="7"/>
  <c r="T16" i="7" a="1"/>
  <c r="T16" i="7" s="1"/>
  <c r="T17" i="7" a="1"/>
  <c r="T17" i="7" s="1"/>
  <c r="R17" i="7"/>
  <c r="R19" i="7"/>
  <c r="Q19" i="7"/>
  <c r="R36" i="7"/>
  <c r="Q36" i="7"/>
  <c r="T36" i="7" a="1"/>
  <c r="T36" i="7" s="1"/>
  <c r="S36" i="7" a="1"/>
  <c r="S36" i="7" s="1"/>
  <c r="T62" i="7" a="1"/>
  <c r="T62" i="7" s="1"/>
  <c r="Q62" i="7"/>
  <c r="S62" i="7" a="1"/>
  <c r="S62" i="7" s="1"/>
  <c r="R62" i="7"/>
  <c r="Q113" i="7"/>
  <c r="S113" i="7" a="1"/>
  <c r="S113" i="7" s="1"/>
  <c r="R113" i="7"/>
  <c r="T113" i="7" a="1"/>
  <c r="T113" i="7" s="1"/>
  <c r="R69" i="7"/>
  <c r="Q69" i="7"/>
  <c r="T81" i="7" a="1"/>
  <c r="T81" i="7" s="1"/>
  <c r="S81" i="7" a="1"/>
  <c r="S81" i="7" s="1"/>
  <c r="T91" i="7" a="1"/>
  <c r="T91" i="7" s="1"/>
  <c r="R91" i="7"/>
  <c r="T100" i="7" a="1"/>
  <c r="T100" i="7" s="1"/>
  <c r="S100" i="7" a="1"/>
  <c r="S100" i="7" s="1"/>
  <c r="R100" i="7"/>
  <c r="T117" i="7" a="1"/>
  <c r="T117" i="7" s="1"/>
  <c r="S117" i="7" a="1"/>
  <c r="S117" i="7" s="1"/>
  <c r="R117" i="7"/>
  <c r="Q117" i="7"/>
  <c r="Q123" i="7"/>
  <c r="S123" i="7" a="1"/>
  <c r="S123" i="7" s="1"/>
  <c r="R123" i="7"/>
  <c r="T123" i="7" a="1"/>
  <c r="T123" i="7" s="1"/>
  <c r="T134" i="7" a="1"/>
  <c r="T134" i="7" s="1"/>
  <c r="S134" i="7" a="1"/>
  <c r="S134" i="7" s="1"/>
  <c r="R134" i="7"/>
  <c r="Q134" i="7"/>
  <c r="S169" i="7" a="1"/>
  <c r="S169" i="7" s="1"/>
  <c r="R169" i="7"/>
  <c r="Q169" i="7"/>
  <c r="T169" i="7" a="1"/>
  <c r="T169" i="7" s="1"/>
  <c r="Q12" i="7"/>
  <c r="Q20" i="7"/>
  <c r="Q28" i="7"/>
  <c r="Q37" i="7"/>
  <c r="Q41" i="7"/>
  <c r="S47" i="7" a="1"/>
  <c r="S47" i="7" s="1"/>
  <c r="R47" i="7"/>
  <c r="Q47" i="7"/>
  <c r="T48" i="7" a="1"/>
  <c r="T48" i="7" s="1"/>
  <c r="R61" i="7"/>
  <c r="Q61" i="7"/>
  <c r="T70" i="7" a="1"/>
  <c r="T70" i="7" s="1"/>
  <c r="Q70" i="7"/>
  <c r="R77" i="7"/>
  <c r="Q77" i="7"/>
  <c r="S82" i="7" a="1"/>
  <c r="S82" i="7" s="1"/>
  <c r="R82" i="7"/>
  <c r="Q82" i="7"/>
  <c r="T82" i="7" a="1"/>
  <c r="T82" i="7" s="1"/>
  <c r="Q91" i="7"/>
  <c r="S95" i="7" a="1"/>
  <c r="S95" i="7" s="1"/>
  <c r="R95" i="7"/>
  <c r="Q95" i="7"/>
  <c r="R116" i="7"/>
  <c r="T116" i="7" a="1"/>
  <c r="T116" i="7" s="1"/>
  <c r="S141" i="7" a="1"/>
  <c r="S141" i="7" s="1"/>
  <c r="T141" i="7" a="1"/>
  <c r="T141" i="7" s="1"/>
  <c r="R141" i="7"/>
  <c r="Q141" i="7"/>
  <c r="S163" i="7" a="1"/>
  <c r="S163" i="7" s="1"/>
  <c r="R163" i="7"/>
  <c r="Q163" i="7"/>
  <c r="T163" i="7" a="1"/>
  <c r="T163" i="7" s="1"/>
  <c r="S66" i="7" a="1"/>
  <c r="S66" i="7" s="1"/>
  <c r="R66" i="7"/>
  <c r="Q66" i="7"/>
  <c r="T66" i="7" a="1"/>
  <c r="T66" i="7" s="1"/>
  <c r="T69" i="7" a="1"/>
  <c r="T69" i="7" s="1"/>
  <c r="T103" i="7" a="1"/>
  <c r="T103" i="7" s="1"/>
  <c r="Q103" i="7"/>
  <c r="S160" i="7" a="1"/>
  <c r="S160" i="7" s="1"/>
  <c r="R160" i="7"/>
  <c r="T160" i="7" a="1"/>
  <c r="T160" i="7" s="1"/>
  <c r="Q160" i="7"/>
  <c r="S7" i="7" a="1"/>
  <c r="S7" i="7" s="1"/>
  <c r="S15" i="7" a="1"/>
  <c r="S15" i="7" s="1"/>
  <c r="S23" i="7" a="1"/>
  <c r="S23" i="7" s="1"/>
  <c r="S31" i="7" a="1"/>
  <c r="S31" i="7" s="1"/>
  <c r="T35" i="7" a="1"/>
  <c r="T35" i="7" s="1"/>
  <c r="S35" i="7" a="1"/>
  <c r="S35" i="7" s="1"/>
  <c r="S51" i="7" a="1"/>
  <c r="S51" i="7" s="1"/>
  <c r="T52" i="7" a="1"/>
  <c r="T52" i="7" s="1"/>
  <c r="S52" i="7" a="1"/>
  <c r="S52" i="7" s="1"/>
  <c r="R52" i="7"/>
  <c r="S58" i="7" a="1"/>
  <c r="S58" i="7" s="1"/>
  <c r="R58" i="7"/>
  <c r="Q58" i="7"/>
  <c r="T58" i="7" a="1"/>
  <c r="T58" i="7" s="1"/>
  <c r="T61" i="7" a="1"/>
  <c r="T61" i="7" s="1"/>
  <c r="S70" i="7" a="1"/>
  <c r="S70" i="7" s="1"/>
  <c r="S71" i="7" a="1"/>
  <c r="S71" i="7" s="1"/>
  <c r="R71" i="7"/>
  <c r="Q71" i="7"/>
  <c r="T75" i="7" a="1"/>
  <c r="T75" i="7" s="1"/>
  <c r="R75" i="7"/>
  <c r="T77" i="7" a="1"/>
  <c r="T77" i="7" s="1"/>
  <c r="Q83" i="7"/>
  <c r="T84" i="7" a="1"/>
  <c r="T84" i="7" s="1"/>
  <c r="S84" i="7" a="1"/>
  <c r="S84" i="7" s="1"/>
  <c r="R84" i="7"/>
  <c r="T97" i="7" a="1"/>
  <c r="T97" i="7" s="1"/>
  <c r="S97" i="7" a="1"/>
  <c r="S97" i="7" s="1"/>
  <c r="S107" i="7" a="1"/>
  <c r="S107" i="7" s="1"/>
  <c r="Q107" i="7"/>
  <c r="T107" i="7" a="1"/>
  <c r="T107" i="7" s="1"/>
  <c r="R107" i="7"/>
  <c r="S112" i="7" a="1"/>
  <c r="S112" i="7" s="1"/>
  <c r="R112" i="7"/>
  <c r="T112" i="7" a="1"/>
  <c r="T112" i="7" s="1"/>
  <c r="Q112" i="7"/>
  <c r="S125" i="7" a="1"/>
  <c r="S125" i="7" s="1"/>
  <c r="R125" i="7"/>
  <c r="Q125" i="7"/>
  <c r="T125" i="7" a="1"/>
  <c r="T125" i="7" s="1"/>
  <c r="R139" i="7"/>
  <c r="Q139" i="7"/>
  <c r="T139" i="7" a="1"/>
  <c r="T139" i="7" s="1"/>
  <c r="Q100" i="7"/>
  <c r="R102" i="7"/>
  <c r="T102" i="7" a="1"/>
  <c r="T102" i="7" s="1"/>
  <c r="Q102" i="7"/>
  <c r="S38" i="7" a="1"/>
  <c r="S38" i="7" s="1"/>
  <c r="R38" i="7"/>
  <c r="R54" i="7"/>
  <c r="S63" i="7" a="1"/>
  <c r="S63" i="7" s="1"/>
  <c r="R63" i="7"/>
  <c r="Q63" i="7"/>
  <c r="T67" i="7" a="1"/>
  <c r="T67" i="7" s="1"/>
  <c r="R67" i="7"/>
  <c r="S79" i="7" a="1"/>
  <c r="S79" i="7" s="1"/>
  <c r="R79" i="7"/>
  <c r="Q79" i="7"/>
  <c r="T89" i="7" a="1"/>
  <c r="T89" i="7" s="1"/>
  <c r="S89" i="7" a="1"/>
  <c r="S89" i="7" s="1"/>
  <c r="R93" i="7"/>
  <c r="Q93" i="7"/>
  <c r="S98" i="7" a="1"/>
  <c r="S98" i="7" s="1"/>
  <c r="R98" i="7"/>
  <c r="Q98" i="7"/>
  <c r="T98" i="7" a="1"/>
  <c r="T98" i="7" s="1"/>
  <c r="S102" i="7" a="1"/>
  <c r="S102" i="7" s="1"/>
  <c r="R103" i="7"/>
  <c r="T108" i="7" a="1"/>
  <c r="T108" i="7" s="1"/>
  <c r="S108" i="7" a="1"/>
  <c r="S108" i="7" s="1"/>
  <c r="R136" i="7"/>
  <c r="T136" i="7" a="1"/>
  <c r="T136" i="7" s="1"/>
  <c r="S136" i="7" a="1"/>
  <c r="S136" i="7" s="1"/>
  <c r="Q136" i="7"/>
  <c r="R147" i="7"/>
  <c r="Q147" i="7"/>
  <c r="S147" i="7" a="1"/>
  <c r="S147" i="7" s="1"/>
  <c r="T147" i="7" a="1"/>
  <c r="T147" i="7" s="1"/>
  <c r="S164" i="7" a="1"/>
  <c r="S164" i="7" s="1"/>
  <c r="R164" i="7"/>
  <c r="T164" i="7" a="1"/>
  <c r="T164" i="7" s="1"/>
  <c r="T83" i="7" a="1"/>
  <c r="T83" i="7" s="1"/>
  <c r="R83" i="7"/>
  <c r="S50" i="7" a="1"/>
  <c r="S50" i="7" s="1"/>
  <c r="R50" i="7"/>
  <c r="Q50" i="7"/>
  <c r="S55" i="7" a="1"/>
  <c r="S55" i="7" s="1"/>
  <c r="R55" i="7"/>
  <c r="Q55" i="7"/>
  <c r="T59" i="7" a="1"/>
  <c r="T59" i="7" s="1"/>
  <c r="R59" i="7"/>
  <c r="T68" i="7" a="1"/>
  <c r="T68" i="7" s="1"/>
  <c r="S68" i="7" a="1"/>
  <c r="S68" i="7" s="1"/>
  <c r="R68" i="7"/>
  <c r="Q72" i="7"/>
  <c r="S72" i="7" a="1"/>
  <c r="S72" i="7" s="1"/>
  <c r="R85" i="7"/>
  <c r="Q85" i="7"/>
  <c r="S90" i="7" a="1"/>
  <c r="S90" i="7" s="1"/>
  <c r="R90" i="7"/>
  <c r="Q90" i="7"/>
  <c r="T90" i="7" a="1"/>
  <c r="T90" i="7" s="1"/>
  <c r="T94" i="7" a="1"/>
  <c r="T94" i="7" s="1"/>
  <c r="Q94" i="7"/>
  <c r="S103" i="7" a="1"/>
  <c r="S103" i="7" s="1"/>
  <c r="R110" i="7"/>
  <c r="Q110" i="7"/>
  <c r="T110" i="7" a="1"/>
  <c r="T110" i="7" s="1"/>
  <c r="S110" i="7" a="1"/>
  <c r="S110" i="7" s="1"/>
  <c r="S124" i="7" a="1"/>
  <c r="S124" i="7" s="1"/>
  <c r="R124" i="7"/>
  <c r="Q124" i="7"/>
  <c r="T124" i="7" a="1"/>
  <c r="T124" i="7" s="1"/>
  <c r="T54" i="7" a="1"/>
  <c r="T54" i="7" s="1"/>
  <c r="Q54" i="7"/>
  <c r="R81" i="7"/>
  <c r="T45" i="7" a="1"/>
  <c r="T45" i="7" s="1"/>
  <c r="S45" i="7" a="1"/>
  <c r="S45" i="7" s="1"/>
  <c r="Q59" i="7"/>
  <c r="T60" i="7" a="1"/>
  <c r="T60" i="7" s="1"/>
  <c r="S60" i="7" a="1"/>
  <c r="S60" i="7" s="1"/>
  <c r="R60" i="7"/>
  <c r="R72" i="7"/>
  <c r="T86" i="7" a="1"/>
  <c r="T86" i="7" s="1"/>
  <c r="Q86" i="7"/>
  <c r="T99" i="7" a="1"/>
  <c r="T99" i="7" s="1"/>
  <c r="R99" i="7"/>
  <c r="Q150" i="7"/>
  <c r="T150" i="7" a="1"/>
  <c r="T150" i="7" s="1"/>
  <c r="S150" i="7" a="1"/>
  <c r="S150" i="7" s="1"/>
  <c r="R150" i="7"/>
  <c r="T119" i="7" a="1"/>
  <c r="T119" i="7" s="1"/>
  <c r="R119" i="7"/>
  <c r="Q119" i="7"/>
  <c r="R120" i="7"/>
  <c r="S120" i="7" a="1"/>
  <c r="S120" i="7" s="1"/>
  <c r="T126" i="7" a="1"/>
  <c r="T126" i="7" s="1"/>
  <c r="S126" i="7" a="1"/>
  <c r="S126" i="7" s="1"/>
  <c r="R126" i="7"/>
  <c r="Q131" i="7"/>
  <c r="S131" i="7" a="1"/>
  <c r="S131" i="7" s="1"/>
  <c r="S132" i="7" a="1"/>
  <c r="S132" i="7" s="1"/>
  <c r="R132" i="7"/>
  <c r="S133" i="7" a="1"/>
  <c r="S133" i="7" s="1"/>
  <c r="Q133" i="7"/>
  <c r="T137" i="7" a="1"/>
  <c r="T137" i="7" s="1"/>
  <c r="S137" i="7" a="1"/>
  <c r="S137" i="7" s="1"/>
  <c r="R137" i="7"/>
  <c r="S148" i="7" a="1"/>
  <c r="S148" i="7" s="1"/>
  <c r="T148" i="7" a="1"/>
  <c r="T148" i="7" s="1"/>
  <c r="R148" i="7"/>
  <c r="R155" i="7"/>
  <c r="Q155" i="7"/>
  <c r="T155" i="7" a="1"/>
  <c r="T155" i="7" s="1"/>
  <c r="S156" i="7" a="1"/>
  <c r="S156" i="7" s="1"/>
  <c r="Q156" i="7"/>
  <c r="S157" i="7" a="1"/>
  <c r="S157" i="7" s="1"/>
  <c r="T157" i="7" a="1"/>
  <c r="T157" i="7" s="1"/>
  <c r="R157" i="7"/>
  <c r="Q157" i="7"/>
  <c r="Q216" i="7"/>
  <c r="R216" i="7"/>
  <c r="T216" i="7" a="1"/>
  <c r="T216" i="7" s="1"/>
  <c r="Q106" i="7"/>
  <c r="S115" i="7" a="1"/>
  <c r="S115" i="7" s="1"/>
  <c r="R115" i="7"/>
  <c r="Q115" i="7"/>
  <c r="T115" i="7" a="1"/>
  <c r="T115" i="7" s="1"/>
  <c r="T120" i="7" a="1"/>
  <c r="T120" i="7" s="1"/>
  <c r="T131" i="7" a="1"/>
  <c r="T131" i="7" s="1"/>
  <c r="T132" i="7" a="1"/>
  <c r="T132" i="7" s="1"/>
  <c r="S76" i="7" a="1"/>
  <c r="S76" i="7" s="1"/>
  <c r="S92" i="7" a="1"/>
  <c r="S92" i="7" s="1"/>
  <c r="R106" i="7"/>
  <c r="T109" i="7" a="1"/>
  <c r="T109" i="7" s="1"/>
  <c r="S109" i="7" a="1"/>
  <c r="S109" i="7" s="1"/>
  <c r="T111" i="7" a="1"/>
  <c r="T111" i="7" s="1"/>
  <c r="Q111" i="7"/>
  <c r="R128" i="7"/>
  <c r="T128" i="7" a="1"/>
  <c r="T128" i="7" s="1"/>
  <c r="T178" i="7" a="1"/>
  <c r="T178" i="7" s="1"/>
  <c r="S178" i="7" a="1"/>
  <c r="S178" i="7" s="1"/>
  <c r="R178" i="7"/>
  <c r="Q178" i="7"/>
  <c r="S106" i="7" a="1"/>
  <c r="S106" i="7" s="1"/>
  <c r="R111" i="7"/>
  <c r="R118" i="7"/>
  <c r="Q118" i="7"/>
  <c r="S144" i="7" a="1"/>
  <c r="S144" i="7" s="1"/>
  <c r="R144" i="7"/>
  <c r="T144" i="7" a="1"/>
  <c r="T144" i="7" s="1"/>
  <c r="Q144" i="7"/>
  <c r="T151" i="7" a="1"/>
  <c r="T151" i="7" s="1"/>
  <c r="R151" i="7"/>
  <c r="S151" i="7" a="1"/>
  <c r="S151" i="7" s="1"/>
  <c r="S153" i="7" a="1"/>
  <c r="S153" i="7" s="1"/>
  <c r="R153" i="7"/>
  <c r="Q153" i="7"/>
  <c r="T172" i="7" a="1"/>
  <c r="T172" i="7" s="1"/>
  <c r="R172" i="7"/>
  <c r="Q172" i="7"/>
  <c r="Q202" i="7"/>
  <c r="T202" i="7" a="1"/>
  <c r="T202" i="7" s="1"/>
  <c r="S202" i="7" a="1"/>
  <c r="S202" i="7" s="1"/>
  <c r="R202" i="7"/>
  <c r="S121" i="7" a="1"/>
  <c r="S121" i="7" s="1"/>
  <c r="T135" i="7" a="1"/>
  <c r="T135" i="7" s="1"/>
  <c r="R135" i="7"/>
  <c r="Q149" i="7"/>
  <c r="T180" i="7" a="1"/>
  <c r="T180" i="7" s="1"/>
  <c r="S180" i="7" a="1"/>
  <c r="S180" i="7" s="1"/>
  <c r="R180" i="7"/>
  <c r="R182" i="7"/>
  <c r="Q182" i="7"/>
  <c r="T182" i="7" a="1"/>
  <c r="T182" i="7" s="1"/>
  <c r="S182" i="7" a="1"/>
  <c r="S182" i="7" s="1"/>
  <c r="T143" i="7" a="1"/>
  <c r="T143" i="7" s="1"/>
  <c r="R143" i="7"/>
  <c r="T159" i="7" a="1"/>
  <c r="T159" i="7" s="1"/>
  <c r="R159" i="7"/>
  <c r="T175" i="7" a="1"/>
  <c r="T175" i="7" s="1"/>
  <c r="S175" i="7" a="1"/>
  <c r="S175" i="7" s="1"/>
  <c r="Q177" i="7"/>
  <c r="T177" i="7" a="1"/>
  <c r="T177" i="7" s="1"/>
  <c r="R177" i="7"/>
  <c r="Q135" i="7"/>
  <c r="Q175" i="7"/>
  <c r="S177" i="7" a="1"/>
  <c r="S177" i="7" s="1"/>
  <c r="S185" i="7" a="1"/>
  <c r="S185" i="7" s="1"/>
  <c r="R185" i="7"/>
  <c r="Q185" i="7"/>
  <c r="T185" i="7" a="1"/>
  <c r="T185" i="7" s="1"/>
  <c r="R199" i="7"/>
  <c r="Q199" i="7"/>
  <c r="S199" i="7" a="1"/>
  <c r="S199" i="7" s="1"/>
  <c r="T199" i="7" a="1"/>
  <c r="T199" i="7" s="1"/>
  <c r="Q142" i="7"/>
  <c r="T142" i="7" a="1"/>
  <c r="T142" i="7" s="1"/>
  <c r="S152" i="7" a="1"/>
  <c r="S152" i="7" s="1"/>
  <c r="R152" i="7"/>
  <c r="Q158" i="7"/>
  <c r="T158" i="7" a="1"/>
  <c r="T158" i="7" s="1"/>
  <c r="T166" i="7" a="1"/>
  <c r="T166" i="7" s="1"/>
  <c r="S166" i="7" a="1"/>
  <c r="S166" i="7" s="1"/>
  <c r="R175" i="7"/>
  <c r="S204" i="7" a="1"/>
  <c r="S204" i="7" s="1"/>
  <c r="Q204" i="7"/>
  <c r="R204" i="7"/>
  <c r="T204" i="7" a="1"/>
  <c r="T204" i="7" s="1"/>
  <c r="S218" i="7" a="1"/>
  <c r="S218" i="7" s="1"/>
  <c r="Q218" i="7"/>
  <c r="T218" i="7" a="1"/>
  <c r="T218" i="7" s="1"/>
  <c r="R218" i="7"/>
  <c r="T127" i="7" a="1"/>
  <c r="T127" i="7" s="1"/>
  <c r="R127" i="7"/>
  <c r="Q143" i="7"/>
  <c r="Q159" i="7"/>
  <c r="Q166" i="7"/>
  <c r="Q146" i="7"/>
  <c r="Q154" i="7"/>
  <c r="Q162" i="7"/>
  <c r="S183" i="7" a="1"/>
  <c r="S183" i="7" s="1"/>
  <c r="T184" i="7" a="1"/>
  <c r="T184" i="7" s="1"/>
  <c r="S184" i="7" a="1"/>
  <c r="S184" i="7" s="1"/>
  <c r="R184" i="7"/>
  <c r="Q200" i="7"/>
  <c r="T200" i="7" a="1"/>
  <c r="T200" i="7" s="1"/>
  <c r="S200" i="7" a="1"/>
  <c r="S200" i="7" s="1"/>
  <c r="T203" i="7" a="1"/>
  <c r="T203" i="7" s="1"/>
  <c r="S203" i="7" a="1"/>
  <c r="S203" i="7" s="1"/>
  <c r="R203" i="7"/>
  <c r="S165" i="7" a="1"/>
  <c r="S165" i="7" s="1"/>
  <c r="S167" i="7" a="1"/>
  <c r="S167" i="7" s="1"/>
  <c r="S176" i="7" a="1"/>
  <c r="S176" i="7" s="1"/>
  <c r="R176" i="7"/>
  <c r="Q176" i="7"/>
  <c r="Q184" i="7"/>
  <c r="S186" i="7" a="1"/>
  <c r="S186" i="7" s="1"/>
  <c r="R186" i="7"/>
  <c r="Q186" i="7"/>
  <c r="T186" i="7" a="1"/>
  <c r="T186" i="7" s="1"/>
  <c r="T187" i="7" a="1"/>
  <c r="T187" i="7" s="1"/>
  <c r="R187" i="7"/>
  <c r="Q187" i="7"/>
  <c r="R215" i="7"/>
  <c r="Q215" i="7"/>
  <c r="T215" i="7" a="1"/>
  <c r="T215" i="7" s="1"/>
  <c r="S215" i="7" a="1"/>
  <c r="S215" i="7" s="1"/>
  <c r="S168" i="7" a="1"/>
  <c r="S168" i="7" s="1"/>
  <c r="R168" i="7"/>
  <c r="Q168" i="7"/>
  <c r="R174" i="7"/>
  <c r="Q174" i="7"/>
  <c r="R188" i="7"/>
  <c r="Q188" i="7"/>
  <c r="R189" i="7"/>
  <c r="Q189" i="7"/>
  <c r="T189" i="7" a="1"/>
  <c r="T189" i="7" s="1"/>
  <c r="Q190" i="7"/>
  <c r="S190" i="7" a="1"/>
  <c r="S190" i="7" s="1"/>
  <c r="R190" i="7"/>
  <c r="S193" i="7" a="1"/>
  <c r="S193" i="7" s="1"/>
  <c r="T193" i="7" a="1"/>
  <c r="T193" i="7" s="1"/>
  <c r="R193" i="7"/>
  <c r="Q193" i="7"/>
  <c r="Q208" i="7"/>
  <c r="S208" i="7" a="1"/>
  <c r="S208" i="7" s="1"/>
  <c r="T208" i="7" a="1"/>
  <c r="T208" i="7" s="1"/>
  <c r="R208" i="7"/>
  <c r="T214" i="7" a="1"/>
  <c r="T214" i="7" s="1"/>
  <c r="R214" i="7"/>
  <c r="Q214" i="7"/>
  <c r="S226" i="7" a="1"/>
  <c r="S226" i="7" s="1"/>
  <c r="R226" i="7"/>
  <c r="Q226" i="7"/>
  <c r="R171" i="7"/>
  <c r="Q171" i="7"/>
  <c r="Q191" i="7"/>
  <c r="S191" i="7" a="1"/>
  <c r="S191" i="7" s="1"/>
  <c r="R191" i="7"/>
  <c r="S192" i="7" a="1"/>
  <c r="S192" i="7" s="1"/>
  <c r="R192" i="7"/>
  <c r="Q192" i="7"/>
  <c r="R196" i="7"/>
  <c r="T196" i="7" a="1"/>
  <c r="T196" i="7" s="1"/>
  <c r="Q196" i="7"/>
  <c r="T219" i="7" a="1"/>
  <c r="T219" i="7" s="1"/>
  <c r="S219" i="7" a="1"/>
  <c r="S219" i="7" s="1"/>
  <c r="R219" i="7"/>
  <c r="Q224" i="7"/>
  <c r="T224" i="7" a="1"/>
  <c r="T224" i="7" s="1"/>
  <c r="S224" i="7" a="1"/>
  <c r="S224" i="7" s="1"/>
  <c r="R224" i="7"/>
  <c r="S179" i="7" a="1"/>
  <c r="S179" i="7" s="1"/>
  <c r="R179" i="7"/>
  <c r="Q179" i="7"/>
  <c r="S205" i="7" a="1"/>
  <c r="S205" i="7" s="1"/>
  <c r="Q205" i="7"/>
  <c r="T205" i="7" a="1"/>
  <c r="T205" i="7" s="1"/>
  <c r="S210" i="7" a="1"/>
  <c r="S210" i="7" s="1"/>
  <c r="Q210" i="7"/>
  <c r="T210" i="7" a="1"/>
  <c r="T210" i="7" s="1"/>
  <c r="S217" i="7" a="1"/>
  <c r="S217" i="7" s="1"/>
  <c r="Q217" i="7"/>
  <c r="S227" i="7" a="1"/>
  <c r="S227" i="7" s="1"/>
  <c r="R227" i="7"/>
  <c r="Q227" i="7"/>
  <c r="T227" i="7" a="1"/>
  <c r="T227" i="7" s="1"/>
  <c r="S170" i="7" a="1"/>
  <c r="S170" i="7" s="1"/>
  <c r="R173" i="7"/>
  <c r="R181" i="7"/>
  <c r="S194" i="7" a="1"/>
  <c r="S194" i="7" s="1"/>
  <c r="T206" i="7" a="1"/>
  <c r="T206" i="7" s="1"/>
  <c r="R206" i="7"/>
  <c r="Q206" i="7"/>
  <c r="T217" i="7" a="1"/>
  <c r="T217" i="7" s="1"/>
  <c r="S173" i="7" a="1"/>
  <c r="S173" i="7" s="1"/>
  <c r="S181" i="7" a="1"/>
  <c r="S181" i="7" s="1"/>
  <c r="R210" i="7"/>
  <c r="R221" i="7"/>
  <c r="T221" i="7" a="1"/>
  <c r="T221" i="7" s="1"/>
  <c r="T195" i="7" a="1"/>
  <c r="T195" i="7" s="1"/>
  <c r="R195" i="7"/>
  <c r="S209" i="7" a="1"/>
  <c r="S209" i="7" s="1"/>
  <c r="R209" i="7"/>
  <c r="R207" i="7"/>
  <c r="T207" i="7" a="1"/>
  <c r="T207" i="7" s="1"/>
  <c r="Q207" i="7"/>
  <c r="T228" i="7" a="1"/>
  <c r="T228" i="7" s="1"/>
  <c r="S228" i="7" a="1"/>
  <c r="S228" i="7" s="1"/>
  <c r="R228" i="7"/>
  <c r="Q228" i="7"/>
  <c r="T212" i="7" a="1"/>
  <c r="T212" i="7" s="1"/>
  <c r="S212" i="7" a="1"/>
  <c r="S212" i="7" s="1"/>
  <c r="S223" i="7" a="1"/>
  <c r="S223" i="7" s="1"/>
  <c r="R223" i="7"/>
  <c r="R229" i="7"/>
  <c r="Q229" i="7"/>
  <c r="T220" i="7" a="1"/>
  <c r="T220" i="7" s="1"/>
  <c r="S220" i="7" a="1"/>
  <c r="S220" i="7" s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4" i="1"/>
  <c r="C4" i="1"/>
  <c r="B12" i="7" l="1"/>
  <c r="C14" i="13"/>
  <c r="C14" i="14"/>
  <c r="D15" i="13"/>
  <c r="B15" i="14"/>
  <c r="D15" i="14" s="1"/>
  <c r="B16" i="13"/>
  <c r="A12" i="12"/>
  <c r="F11" i="12"/>
  <c r="G13" i="12"/>
  <c r="B14" i="12"/>
  <c r="B13" i="10"/>
  <c r="G12" i="10"/>
  <c r="A12" i="10"/>
  <c r="F12" i="10" s="1"/>
  <c r="K17" i="8"/>
  <c r="M162" i="7"/>
  <c r="Q5" i="7"/>
  <c r="M194" i="7"/>
  <c r="M217" i="7"/>
  <c r="M81" i="7"/>
  <c r="M129" i="7"/>
  <c r="M183" i="7"/>
  <c r="M222" i="7"/>
  <c r="R5" i="7"/>
  <c r="M28" i="7"/>
  <c r="M49" i="7"/>
  <c r="M20" i="7"/>
  <c r="M198" i="7"/>
  <c r="M197" i="7"/>
  <c r="M12" i="7"/>
  <c r="M145" i="7"/>
  <c r="M211" i="7"/>
  <c r="M97" i="7"/>
  <c r="M31" i="7"/>
  <c r="M114" i="7"/>
  <c r="M46" i="7"/>
  <c r="M72" i="7"/>
  <c r="M23" i="7"/>
  <c r="M57" i="7"/>
  <c r="M205" i="7"/>
  <c r="M108" i="7"/>
  <c r="M21" i="7"/>
  <c r="M42" i="7"/>
  <c r="M167" i="7"/>
  <c r="M94" i="7"/>
  <c r="M37" i="7"/>
  <c r="M165" i="7"/>
  <c r="M138" i="7"/>
  <c r="M127" i="7"/>
  <c r="M202" i="7"/>
  <c r="M63" i="7"/>
  <c r="M48" i="7"/>
  <c r="S5" i="7" a="1"/>
  <c r="S5" i="7" s="1"/>
  <c r="M225" i="7"/>
  <c r="M89" i="7"/>
  <c r="M43" i="7"/>
  <c r="M51" i="7"/>
  <c r="M221" i="7"/>
  <c r="M176" i="7"/>
  <c r="M201" i="7"/>
  <c r="M121" i="7"/>
  <c r="M93" i="7"/>
  <c r="M171" i="7"/>
  <c r="M188" i="7"/>
  <c r="M154" i="7"/>
  <c r="M112" i="7"/>
  <c r="M71" i="7"/>
  <c r="M15" i="7"/>
  <c r="M96" i="7"/>
  <c r="M65" i="7"/>
  <c r="M50" i="7"/>
  <c r="M200" i="7"/>
  <c r="M146" i="7"/>
  <c r="M131" i="7"/>
  <c r="M139" i="7"/>
  <c r="M41" i="7"/>
  <c r="M64" i="7"/>
  <c r="M73" i="7"/>
  <c r="M40" i="7"/>
  <c r="M213" i="7"/>
  <c r="M195" i="7"/>
  <c r="M170" i="7"/>
  <c r="M156" i="7"/>
  <c r="M103" i="7"/>
  <c r="M7" i="7"/>
  <c r="M169" i="7"/>
  <c r="M69" i="7"/>
  <c r="M19" i="7"/>
  <c r="M22" i="7"/>
  <c r="M24" i="7"/>
  <c r="M104" i="7"/>
  <c r="M70" i="7"/>
  <c r="M166" i="7"/>
  <c r="M151" i="7"/>
  <c r="M109" i="7"/>
  <c r="M216" i="7"/>
  <c r="M75" i="7"/>
  <c r="M91" i="7"/>
  <c r="M101" i="7"/>
  <c r="M9" i="7"/>
  <c r="M122" i="7"/>
  <c r="M227" i="7"/>
  <c r="M189" i="7"/>
  <c r="M142" i="7"/>
  <c r="M149" i="7"/>
  <c r="M126" i="7"/>
  <c r="M150" i="7"/>
  <c r="M86" i="7"/>
  <c r="M45" i="7"/>
  <c r="M35" i="7"/>
  <c r="M134" i="7"/>
  <c r="M27" i="7"/>
  <c r="M224" i="7"/>
  <c r="M199" i="7"/>
  <c r="M135" i="7"/>
  <c r="M92" i="7"/>
  <c r="M133" i="7"/>
  <c r="M98" i="7"/>
  <c r="M54" i="7"/>
  <c r="M61" i="7"/>
  <c r="M25" i="7"/>
  <c r="M34" i="7"/>
  <c r="M161" i="7"/>
  <c r="M111" i="7"/>
  <c r="M76" i="7"/>
  <c r="M38" i="7"/>
  <c r="M116" i="7"/>
  <c r="M10" i="7"/>
  <c r="M30" i="7"/>
  <c r="M220" i="7"/>
  <c r="M181" i="7"/>
  <c r="M158" i="7"/>
  <c r="M144" i="7"/>
  <c r="M128" i="7"/>
  <c r="M132" i="7"/>
  <c r="M124" i="7"/>
  <c r="M67" i="7"/>
  <c r="M14" i="7"/>
  <c r="M8" i="7"/>
  <c r="M130" i="7"/>
  <c r="M210" i="7"/>
  <c r="M100" i="7"/>
  <c r="M62" i="7"/>
  <c r="M4" i="7"/>
  <c r="M177" i="7"/>
  <c r="M102" i="7"/>
  <c r="M226" i="7"/>
  <c r="M190" i="7"/>
  <c r="M143" i="7"/>
  <c r="M178" i="7"/>
  <c r="M115" i="7"/>
  <c r="M137" i="7"/>
  <c r="M119" i="7"/>
  <c r="M99" i="7"/>
  <c r="M83" i="7"/>
  <c r="M164" i="7"/>
  <c r="M125" i="7"/>
  <c r="M107" i="7"/>
  <c r="M84" i="7"/>
  <c r="M141" i="7"/>
  <c r="M82" i="7"/>
  <c r="M6" i="7"/>
  <c r="M11" i="7"/>
  <c r="M140" i="7"/>
  <c r="M80" i="7"/>
  <c r="M56" i="7"/>
  <c r="M33" i="7"/>
  <c r="M29" i="7"/>
  <c r="M26" i="7"/>
  <c r="M173" i="7"/>
  <c r="M110" i="7"/>
  <c r="M212" i="7"/>
  <c r="M206" i="7"/>
  <c r="M179" i="7"/>
  <c r="M214" i="7"/>
  <c r="M180" i="7"/>
  <c r="M157" i="7"/>
  <c r="M148" i="7"/>
  <c r="M68" i="7"/>
  <c r="M163" i="7"/>
  <c r="M95" i="7"/>
  <c r="M113" i="7"/>
  <c r="M18" i="7"/>
  <c r="M87" i="7"/>
  <c r="M153" i="7"/>
  <c r="M90" i="7"/>
  <c r="M136" i="7"/>
  <c r="M160" i="7"/>
  <c r="M16" i="7"/>
  <c r="M192" i="7"/>
  <c r="M168" i="7"/>
  <c r="M203" i="7"/>
  <c r="M184" i="7"/>
  <c r="M218" i="7"/>
  <c r="M152" i="7"/>
  <c r="M185" i="7"/>
  <c r="M159" i="7"/>
  <c r="M60" i="7"/>
  <c r="M52" i="7"/>
  <c r="M77" i="7"/>
  <c r="M47" i="7"/>
  <c r="M88" i="7"/>
  <c r="M44" i="7"/>
  <c r="M105" i="7"/>
  <c r="M74" i="7"/>
  <c r="M32" i="7"/>
  <c r="M196" i="7"/>
  <c r="M174" i="7"/>
  <c r="M186" i="7"/>
  <c r="M204" i="7"/>
  <c r="M182" i="7"/>
  <c r="M155" i="7"/>
  <c r="M219" i="7"/>
  <c r="M208" i="7"/>
  <c r="M193" i="7"/>
  <c r="M175" i="7"/>
  <c r="M39" i="7"/>
  <c r="M78" i="7"/>
  <c r="M53" i="7"/>
  <c r="M55" i="7"/>
  <c r="M58" i="7"/>
  <c r="M117" i="7"/>
  <c r="M229" i="7"/>
  <c r="M223" i="7"/>
  <c r="M228" i="7"/>
  <c r="M207" i="7"/>
  <c r="M209" i="7"/>
  <c r="M191" i="7"/>
  <c r="M215" i="7"/>
  <c r="M187" i="7"/>
  <c r="M172" i="7"/>
  <c r="M118" i="7"/>
  <c r="M106" i="7"/>
  <c r="M120" i="7"/>
  <c r="M85" i="7"/>
  <c r="M59" i="7"/>
  <c r="M147" i="7"/>
  <c r="M79" i="7"/>
  <c r="M66" i="7"/>
  <c r="M123" i="7"/>
  <c r="M36" i="7"/>
  <c r="M17" i="7"/>
  <c r="M13" i="7"/>
  <c r="G244" i="1"/>
  <c r="H244" i="1" s="1"/>
  <c r="G243" i="1"/>
  <c r="H243" i="1" s="1"/>
  <c r="G242" i="1"/>
  <c r="H242" i="1" s="1"/>
  <c r="G241" i="1"/>
  <c r="H241" i="1" s="1"/>
  <c r="G240" i="1"/>
  <c r="H240" i="1" s="1"/>
  <c r="G239" i="1"/>
  <c r="H239" i="1" s="1"/>
  <c r="G238" i="1"/>
  <c r="H238" i="1" s="1"/>
  <c r="G237" i="1"/>
  <c r="H237" i="1" s="1"/>
  <c r="G236" i="1"/>
  <c r="H236" i="1" s="1"/>
  <c r="G235" i="1"/>
  <c r="H235" i="1" s="1"/>
  <c r="G234" i="1"/>
  <c r="H234" i="1" s="1"/>
  <c r="G233" i="1"/>
  <c r="H233" i="1" s="1"/>
  <c r="G232" i="1"/>
  <c r="H232" i="1" s="1"/>
  <c r="G231" i="1"/>
  <c r="H231" i="1" s="1"/>
  <c r="G230" i="1"/>
  <c r="H230" i="1" s="1"/>
  <c r="G229" i="1"/>
  <c r="H229" i="1" s="1"/>
  <c r="G228" i="1"/>
  <c r="H228" i="1" s="1"/>
  <c r="G227" i="1"/>
  <c r="H227" i="1" s="1"/>
  <c r="G226" i="1"/>
  <c r="H226" i="1" s="1"/>
  <c r="G225" i="1"/>
  <c r="H225" i="1" s="1"/>
  <c r="G224" i="1"/>
  <c r="H224" i="1" s="1"/>
  <c r="G223" i="1"/>
  <c r="H223" i="1" s="1"/>
  <c r="G222" i="1"/>
  <c r="H222" i="1" s="1"/>
  <c r="G221" i="1"/>
  <c r="H221" i="1" s="1"/>
  <c r="G220" i="1"/>
  <c r="H220" i="1" s="1"/>
  <c r="G219" i="1"/>
  <c r="H219" i="1" s="1"/>
  <c r="G218" i="1"/>
  <c r="H218" i="1" s="1"/>
  <c r="G217" i="1"/>
  <c r="H217" i="1" s="1"/>
  <c r="G216" i="1"/>
  <c r="H216" i="1" s="1"/>
  <c r="G215" i="1"/>
  <c r="H215" i="1" s="1"/>
  <c r="G214" i="1"/>
  <c r="H214" i="1" s="1"/>
  <c r="G213" i="1"/>
  <c r="H213" i="1" s="1"/>
  <c r="G212" i="1"/>
  <c r="H212" i="1" s="1"/>
  <c r="G211" i="1"/>
  <c r="H211" i="1" s="1"/>
  <c r="G210" i="1"/>
  <c r="H210" i="1" s="1"/>
  <c r="G209" i="1"/>
  <c r="H209" i="1" s="1"/>
  <c r="G208" i="1"/>
  <c r="H208" i="1" s="1"/>
  <c r="G207" i="1"/>
  <c r="H207" i="1" s="1"/>
  <c r="G206" i="1"/>
  <c r="H206" i="1" s="1"/>
  <c r="G205" i="1"/>
  <c r="H205" i="1" s="1"/>
  <c r="G204" i="1"/>
  <c r="H204" i="1" s="1"/>
  <c r="G203" i="1"/>
  <c r="H203" i="1" s="1"/>
  <c r="G202" i="1"/>
  <c r="H202" i="1" s="1"/>
  <c r="G201" i="1"/>
  <c r="H201" i="1" s="1"/>
  <c r="G200" i="1"/>
  <c r="H200" i="1" s="1"/>
  <c r="G199" i="1"/>
  <c r="H199" i="1" s="1"/>
  <c r="G198" i="1"/>
  <c r="H198" i="1" s="1"/>
  <c r="G197" i="1"/>
  <c r="H197" i="1" s="1"/>
  <c r="G196" i="1"/>
  <c r="H196" i="1" s="1"/>
  <c r="G195" i="1"/>
  <c r="H195" i="1" s="1"/>
  <c r="G194" i="1"/>
  <c r="H194" i="1" s="1"/>
  <c r="G193" i="1"/>
  <c r="H193" i="1" s="1"/>
  <c r="G192" i="1"/>
  <c r="H192" i="1" s="1"/>
  <c r="G191" i="1"/>
  <c r="H191" i="1" s="1"/>
  <c r="G190" i="1"/>
  <c r="H190" i="1" s="1"/>
  <c r="G189" i="1"/>
  <c r="H189" i="1" s="1"/>
  <c r="G188" i="1"/>
  <c r="H188" i="1" s="1"/>
  <c r="G187" i="1"/>
  <c r="H187" i="1" s="1"/>
  <c r="G186" i="1"/>
  <c r="H186" i="1" s="1"/>
  <c r="G185" i="1"/>
  <c r="H185" i="1" s="1"/>
  <c r="G184" i="1"/>
  <c r="H184" i="1" s="1"/>
  <c r="G183" i="1"/>
  <c r="H183" i="1" s="1"/>
  <c r="G182" i="1"/>
  <c r="H182" i="1" s="1"/>
  <c r="G181" i="1"/>
  <c r="H181" i="1" s="1"/>
  <c r="G180" i="1"/>
  <c r="H180" i="1" s="1"/>
  <c r="G179" i="1"/>
  <c r="H179" i="1" s="1"/>
  <c r="G178" i="1"/>
  <c r="H178" i="1" s="1"/>
  <c r="G177" i="1"/>
  <c r="H177" i="1" s="1"/>
  <c r="G176" i="1"/>
  <c r="H176" i="1" s="1"/>
  <c r="G175" i="1"/>
  <c r="H175" i="1" s="1"/>
  <c r="G174" i="1"/>
  <c r="H174" i="1" s="1"/>
  <c r="G173" i="1"/>
  <c r="H173" i="1" s="1"/>
  <c r="G172" i="1"/>
  <c r="H172" i="1" s="1"/>
  <c r="G171" i="1"/>
  <c r="H171" i="1" s="1"/>
  <c r="G170" i="1"/>
  <c r="H170" i="1" s="1"/>
  <c r="G169" i="1"/>
  <c r="H169" i="1" s="1"/>
  <c r="G168" i="1"/>
  <c r="H168" i="1" s="1"/>
  <c r="G167" i="1"/>
  <c r="H167" i="1" s="1"/>
  <c r="G166" i="1"/>
  <c r="H166" i="1" s="1"/>
  <c r="G165" i="1"/>
  <c r="H165" i="1" s="1"/>
  <c r="G164" i="1"/>
  <c r="H164" i="1" s="1"/>
  <c r="G163" i="1"/>
  <c r="H163" i="1" s="1"/>
  <c r="G162" i="1"/>
  <c r="H162" i="1" s="1"/>
  <c r="G161" i="1"/>
  <c r="H161" i="1" s="1"/>
  <c r="G160" i="1"/>
  <c r="H160" i="1" s="1"/>
  <c r="G159" i="1"/>
  <c r="H159" i="1" s="1"/>
  <c r="G158" i="1"/>
  <c r="H158" i="1" s="1"/>
  <c r="G157" i="1"/>
  <c r="H157" i="1" s="1"/>
  <c r="G156" i="1"/>
  <c r="H156" i="1" s="1"/>
  <c r="G155" i="1"/>
  <c r="H155" i="1" s="1"/>
  <c r="G154" i="1"/>
  <c r="H154" i="1" s="1"/>
  <c r="G153" i="1"/>
  <c r="H153" i="1" s="1"/>
  <c r="G152" i="1"/>
  <c r="H152" i="1" s="1"/>
  <c r="G151" i="1"/>
  <c r="H151" i="1" s="1"/>
  <c r="G150" i="1"/>
  <c r="H150" i="1" s="1"/>
  <c r="G149" i="1"/>
  <c r="H149" i="1" s="1"/>
  <c r="G148" i="1"/>
  <c r="H148" i="1" s="1"/>
  <c r="G147" i="1"/>
  <c r="H147" i="1" s="1"/>
  <c r="G146" i="1"/>
  <c r="H146" i="1" s="1"/>
  <c r="G145" i="1"/>
  <c r="H145" i="1" s="1"/>
  <c r="G144" i="1"/>
  <c r="H144" i="1" s="1"/>
  <c r="G143" i="1"/>
  <c r="H143" i="1" s="1"/>
  <c r="G142" i="1"/>
  <c r="H142" i="1" s="1"/>
  <c r="G141" i="1"/>
  <c r="H141" i="1" s="1"/>
  <c r="G140" i="1"/>
  <c r="H140" i="1" s="1"/>
  <c r="G139" i="1"/>
  <c r="H139" i="1" s="1"/>
  <c r="G138" i="1"/>
  <c r="H138" i="1" s="1"/>
  <c r="G137" i="1"/>
  <c r="H137" i="1" s="1"/>
  <c r="G136" i="1"/>
  <c r="H136" i="1" s="1"/>
  <c r="G135" i="1"/>
  <c r="H135" i="1" s="1"/>
  <c r="G134" i="1"/>
  <c r="H134" i="1" s="1"/>
  <c r="G133" i="1"/>
  <c r="H133" i="1" s="1"/>
  <c r="G132" i="1"/>
  <c r="H132" i="1" s="1"/>
  <c r="G131" i="1"/>
  <c r="H131" i="1" s="1"/>
  <c r="G130" i="1"/>
  <c r="H130" i="1" s="1"/>
  <c r="G129" i="1"/>
  <c r="H129" i="1" s="1"/>
  <c r="G128" i="1"/>
  <c r="H128" i="1" s="1"/>
  <c r="G127" i="1"/>
  <c r="H127" i="1" s="1"/>
  <c r="G126" i="1"/>
  <c r="H126" i="1" s="1"/>
  <c r="G125" i="1"/>
  <c r="H125" i="1" s="1"/>
  <c r="G124" i="1"/>
  <c r="H124" i="1" s="1"/>
  <c r="G123" i="1"/>
  <c r="H123" i="1" s="1"/>
  <c r="G122" i="1"/>
  <c r="H122" i="1" s="1"/>
  <c r="G121" i="1"/>
  <c r="H121" i="1" s="1"/>
  <c r="G120" i="1"/>
  <c r="H120" i="1" s="1"/>
  <c r="G119" i="1"/>
  <c r="H119" i="1" s="1"/>
  <c r="G118" i="1"/>
  <c r="H118" i="1" s="1"/>
  <c r="G117" i="1"/>
  <c r="H117" i="1" s="1"/>
  <c r="G116" i="1"/>
  <c r="H116" i="1" s="1"/>
  <c r="G115" i="1"/>
  <c r="H115" i="1" s="1"/>
  <c r="G114" i="1"/>
  <c r="H114" i="1" s="1"/>
  <c r="G113" i="1"/>
  <c r="H113" i="1" s="1"/>
  <c r="G112" i="1"/>
  <c r="H112" i="1" s="1"/>
  <c r="G111" i="1"/>
  <c r="H111" i="1" s="1"/>
  <c r="G110" i="1"/>
  <c r="H110" i="1" s="1"/>
  <c r="G109" i="1"/>
  <c r="H109" i="1" s="1"/>
  <c r="G108" i="1"/>
  <c r="H108" i="1" s="1"/>
  <c r="G107" i="1"/>
  <c r="H107" i="1" s="1"/>
  <c r="G106" i="1"/>
  <c r="H106" i="1" s="1"/>
  <c r="G105" i="1"/>
  <c r="H105" i="1" s="1"/>
  <c r="G104" i="1"/>
  <c r="H104" i="1" s="1"/>
  <c r="G103" i="1"/>
  <c r="H103" i="1" s="1"/>
  <c r="G102" i="1"/>
  <c r="H102" i="1" s="1"/>
  <c r="G101" i="1"/>
  <c r="H101" i="1" s="1"/>
  <c r="G100" i="1"/>
  <c r="H100" i="1" s="1"/>
  <c r="G99" i="1"/>
  <c r="H99" i="1" s="1"/>
  <c r="G98" i="1"/>
  <c r="H98" i="1" s="1"/>
  <c r="G97" i="1"/>
  <c r="H97" i="1" s="1"/>
  <c r="G96" i="1"/>
  <c r="H96" i="1" s="1"/>
  <c r="G95" i="1"/>
  <c r="H95" i="1" s="1"/>
  <c r="G94" i="1"/>
  <c r="H94" i="1" s="1"/>
  <c r="G93" i="1"/>
  <c r="H93" i="1" s="1"/>
  <c r="G92" i="1"/>
  <c r="H92" i="1" s="1"/>
  <c r="G91" i="1"/>
  <c r="H91" i="1" s="1"/>
  <c r="G90" i="1"/>
  <c r="H90" i="1" s="1"/>
  <c r="G89" i="1"/>
  <c r="H89" i="1" s="1"/>
  <c r="G88" i="1"/>
  <c r="H88" i="1" s="1"/>
  <c r="G87" i="1"/>
  <c r="H87" i="1" s="1"/>
  <c r="G86" i="1"/>
  <c r="H86" i="1" s="1"/>
  <c r="G85" i="1"/>
  <c r="H85" i="1" s="1"/>
  <c r="G84" i="1"/>
  <c r="H84" i="1" s="1"/>
  <c r="G83" i="1"/>
  <c r="H83" i="1" s="1"/>
  <c r="G82" i="1"/>
  <c r="H82" i="1" s="1"/>
  <c r="G81" i="1"/>
  <c r="H81" i="1" s="1"/>
  <c r="G80" i="1"/>
  <c r="H80" i="1" s="1"/>
  <c r="G79" i="1"/>
  <c r="H79" i="1" s="1"/>
  <c r="G78" i="1"/>
  <c r="H78" i="1" s="1"/>
  <c r="G77" i="1"/>
  <c r="H77" i="1" s="1"/>
  <c r="G76" i="1"/>
  <c r="H76" i="1" s="1"/>
  <c r="G75" i="1"/>
  <c r="H75" i="1" s="1"/>
  <c r="G74" i="1"/>
  <c r="H74" i="1" s="1"/>
  <c r="G73" i="1"/>
  <c r="H73" i="1" s="1"/>
  <c r="G72" i="1"/>
  <c r="H72" i="1" s="1"/>
  <c r="G71" i="1"/>
  <c r="H71" i="1" s="1"/>
  <c r="G70" i="1"/>
  <c r="H70" i="1" s="1"/>
  <c r="G69" i="1"/>
  <c r="H69" i="1" s="1"/>
  <c r="G68" i="1"/>
  <c r="H68" i="1" s="1"/>
  <c r="G67" i="1"/>
  <c r="H67" i="1" s="1"/>
  <c r="G66" i="1"/>
  <c r="H66" i="1" s="1"/>
  <c r="G65" i="1"/>
  <c r="H65" i="1" s="1"/>
  <c r="G64" i="1"/>
  <c r="H64" i="1" s="1"/>
  <c r="G63" i="1"/>
  <c r="H63" i="1" s="1"/>
  <c r="G62" i="1"/>
  <c r="H62" i="1" s="1"/>
  <c r="G61" i="1"/>
  <c r="H61" i="1" s="1"/>
  <c r="G60" i="1"/>
  <c r="H60" i="1" s="1"/>
  <c r="G59" i="1"/>
  <c r="H59" i="1" s="1"/>
  <c r="G58" i="1"/>
  <c r="H58" i="1" s="1"/>
  <c r="G57" i="1"/>
  <c r="H57" i="1" s="1"/>
  <c r="G56" i="1"/>
  <c r="H56" i="1" s="1"/>
  <c r="G55" i="1"/>
  <c r="H55" i="1" s="1"/>
  <c r="G54" i="1"/>
  <c r="H54" i="1" s="1"/>
  <c r="G53" i="1"/>
  <c r="H53" i="1" s="1"/>
  <c r="G52" i="1"/>
  <c r="H52" i="1" s="1"/>
  <c r="G51" i="1"/>
  <c r="H51" i="1" s="1"/>
  <c r="G50" i="1"/>
  <c r="H50" i="1" s="1"/>
  <c r="G49" i="1"/>
  <c r="H49" i="1" s="1"/>
  <c r="G48" i="1"/>
  <c r="H48" i="1" s="1"/>
  <c r="G47" i="1"/>
  <c r="H47" i="1" s="1"/>
  <c r="G46" i="1"/>
  <c r="H46" i="1" s="1"/>
  <c r="G45" i="1"/>
  <c r="H45" i="1" s="1"/>
  <c r="G44" i="1"/>
  <c r="H44" i="1" s="1"/>
  <c r="G43" i="1"/>
  <c r="H43" i="1" s="1"/>
  <c r="G42" i="1"/>
  <c r="H42" i="1" s="1"/>
  <c r="G41" i="1"/>
  <c r="H41" i="1" s="1"/>
  <c r="G40" i="1"/>
  <c r="H40" i="1" s="1"/>
  <c r="G39" i="1"/>
  <c r="H39" i="1" s="1"/>
  <c r="G38" i="1"/>
  <c r="H38" i="1" s="1"/>
  <c r="G37" i="1"/>
  <c r="H37" i="1" s="1"/>
  <c r="G36" i="1"/>
  <c r="H36" i="1" s="1"/>
  <c r="G35" i="1"/>
  <c r="H35" i="1" s="1"/>
  <c r="G34" i="1"/>
  <c r="H34" i="1" s="1"/>
  <c r="G33" i="1"/>
  <c r="H33" i="1" s="1"/>
  <c r="G32" i="1"/>
  <c r="H32" i="1" s="1"/>
  <c r="G31" i="1"/>
  <c r="H31" i="1" s="1"/>
  <c r="G30" i="1"/>
  <c r="H30" i="1" s="1"/>
  <c r="G29" i="1"/>
  <c r="H29" i="1" s="1"/>
  <c r="G28" i="1"/>
  <c r="H28" i="1" s="1"/>
  <c r="G27" i="1"/>
  <c r="H27" i="1" s="1"/>
  <c r="G26" i="1"/>
  <c r="H26" i="1" s="1"/>
  <c r="G25" i="1"/>
  <c r="H25" i="1" s="1"/>
  <c r="G24" i="1"/>
  <c r="H24" i="1" s="1"/>
  <c r="G23" i="1"/>
  <c r="H23" i="1" s="1"/>
  <c r="G22" i="1"/>
  <c r="H22" i="1" s="1"/>
  <c r="G21" i="1"/>
  <c r="H21" i="1" s="1"/>
  <c r="G20" i="1"/>
  <c r="H20" i="1" s="1"/>
  <c r="G19" i="1"/>
  <c r="H19" i="1" s="1"/>
  <c r="G18" i="1"/>
  <c r="H18" i="1" s="1"/>
  <c r="G17" i="1"/>
  <c r="H17" i="1" s="1"/>
  <c r="G16" i="1"/>
  <c r="H16" i="1" s="1"/>
  <c r="G15" i="1"/>
  <c r="H15" i="1" s="1"/>
  <c r="G14" i="1"/>
  <c r="H14" i="1" s="1"/>
  <c r="G13" i="1"/>
  <c r="H13" i="1" s="1"/>
  <c r="G12" i="1"/>
  <c r="H12" i="1" s="1"/>
  <c r="G11" i="1"/>
  <c r="H11" i="1" s="1"/>
  <c r="G10" i="1"/>
  <c r="H10" i="1" s="1"/>
  <c r="G9" i="1"/>
  <c r="H9" i="1" s="1"/>
  <c r="G8" i="1"/>
  <c r="H8" i="1" s="1"/>
  <c r="G7" i="1"/>
  <c r="H7" i="1" s="1"/>
  <c r="G6" i="1"/>
  <c r="H6" i="1" s="1"/>
  <c r="G5" i="1"/>
  <c r="G4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B13" i="7" l="1"/>
  <c r="C15" i="13"/>
  <c r="C15" i="14"/>
  <c r="D16" i="13"/>
  <c r="B16" i="14"/>
  <c r="D16" i="14" s="1"/>
  <c r="B17" i="13"/>
  <c r="A13" i="12"/>
  <c r="F12" i="12"/>
  <c r="B15" i="12"/>
  <c r="G14" i="12"/>
  <c r="B14" i="10"/>
  <c r="G13" i="10"/>
  <c r="A13" i="10"/>
  <c r="F13" i="10" s="1"/>
  <c r="L17" i="8"/>
  <c r="O229" i="7"/>
  <c r="P229" i="7"/>
  <c r="N229" i="7"/>
  <c r="N214" i="7"/>
  <c r="P214" i="7"/>
  <c r="O214" i="7"/>
  <c r="P54" i="7"/>
  <c r="N54" i="7"/>
  <c r="O54" i="7"/>
  <c r="P89" i="7"/>
  <c r="N89" i="7"/>
  <c r="O89" i="7"/>
  <c r="N187" i="7"/>
  <c r="O187" i="7"/>
  <c r="P187" i="7"/>
  <c r="N113" i="7"/>
  <c r="P113" i="7"/>
  <c r="O113" i="7"/>
  <c r="O38" i="7"/>
  <c r="P38" i="7"/>
  <c r="N38" i="7"/>
  <c r="O73" i="7"/>
  <c r="N73" i="7"/>
  <c r="P73" i="7"/>
  <c r="O225" i="7"/>
  <c r="P225" i="7"/>
  <c r="N225" i="7"/>
  <c r="P74" i="7"/>
  <c r="O74" i="7"/>
  <c r="N74" i="7"/>
  <c r="P16" i="7"/>
  <c r="N16" i="7"/>
  <c r="O16" i="7"/>
  <c r="O206" i="7"/>
  <c r="N206" i="7"/>
  <c r="P206" i="7"/>
  <c r="N125" i="7"/>
  <c r="P125" i="7"/>
  <c r="O125" i="7"/>
  <c r="O210" i="7"/>
  <c r="P210" i="7"/>
  <c r="N210" i="7"/>
  <c r="O76" i="7"/>
  <c r="N76" i="7"/>
  <c r="P76" i="7"/>
  <c r="P133" i="7"/>
  <c r="O133" i="7"/>
  <c r="N133" i="7"/>
  <c r="O45" i="7"/>
  <c r="N45" i="7"/>
  <c r="P45" i="7"/>
  <c r="P122" i="7"/>
  <c r="O122" i="7"/>
  <c r="N122" i="7"/>
  <c r="N7" i="7"/>
  <c r="P7" i="7"/>
  <c r="O7" i="7"/>
  <c r="P64" i="7"/>
  <c r="N64" i="7"/>
  <c r="O64" i="7"/>
  <c r="O96" i="7"/>
  <c r="P96" i="7"/>
  <c r="N96" i="7"/>
  <c r="N121" i="7"/>
  <c r="O121" i="7"/>
  <c r="P121" i="7"/>
  <c r="N94" i="7"/>
  <c r="O94" i="7"/>
  <c r="P94" i="7"/>
  <c r="P72" i="7"/>
  <c r="O72" i="7"/>
  <c r="N72" i="7"/>
  <c r="P197" i="7"/>
  <c r="O197" i="7"/>
  <c r="N197" i="7"/>
  <c r="N129" i="7"/>
  <c r="O129" i="7"/>
  <c r="P129" i="7"/>
  <c r="P66" i="7"/>
  <c r="O66" i="7"/>
  <c r="N66" i="7"/>
  <c r="O168" i="7"/>
  <c r="P168" i="7"/>
  <c r="N168" i="7"/>
  <c r="P132" i="7"/>
  <c r="O132" i="7"/>
  <c r="N132" i="7"/>
  <c r="P69" i="7"/>
  <c r="O69" i="7"/>
  <c r="N69" i="7"/>
  <c r="P32" i="7"/>
  <c r="O32" i="7"/>
  <c r="N32" i="7"/>
  <c r="O107" i="7"/>
  <c r="P107" i="7"/>
  <c r="N107" i="7"/>
  <c r="N227" i="7"/>
  <c r="P227" i="7"/>
  <c r="O227" i="7"/>
  <c r="O93" i="7"/>
  <c r="N93" i="7"/>
  <c r="P93" i="7"/>
  <c r="P58" i="7"/>
  <c r="O58" i="7"/>
  <c r="N58" i="7"/>
  <c r="P159" i="7"/>
  <c r="O159" i="7"/>
  <c r="N159" i="7"/>
  <c r="P95" i="7"/>
  <c r="O95" i="7"/>
  <c r="N95" i="7"/>
  <c r="P80" i="7"/>
  <c r="N80" i="7"/>
  <c r="O80" i="7"/>
  <c r="N143" i="7"/>
  <c r="O143" i="7"/>
  <c r="P143" i="7"/>
  <c r="P144" i="7"/>
  <c r="O144" i="7"/>
  <c r="N144" i="7"/>
  <c r="P166" i="7"/>
  <c r="O166" i="7"/>
  <c r="N166" i="7"/>
  <c r="N59" i="7"/>
  <c r="O59" i="7"/>
  <c r="P59" i="7"/>
  <c r="N191" i="7"/>
  <c r="P191" i="7"/>
  <c r="O191" i="7"/>
  <c r="N55" i="7"/>
  <c r="O55" i="7"/>
  <c r="P55" i="7"/>
  <c r="O155" i="7"/>
  <c r="N155" i="7"/>
  <c r="P155" i="7"/>
  <c r="N105" i="7"/>
  <c r="O105" i="7"/>
  <c r="P105" i="7"/>
  <c r="N185" i="7"/>
  <c r="P185" i="7"/>
  <c r="O185" i="7"/>
  <c r="P160" i="7"/>
  <c r="O160" i="7"/>
  <c r="N160" i="7"/>
  <c r="O163" i="7"/>
  <c r="N163" i="7"/>
  <c r="P163" i="7"/>
  <c r="N212" i="7"/>
  <c r="O212" i="7"/>
  <c r="P212" i="7"/>
  <c r="N140" i="7"/>
  <c r="O140" i="7"/>
  <c r="P140" i="7"/>
  <c r="N164" i="7"/>
  <c r="O164" i="7"/>
  <c r="P164" i="7"/>
  <c r="O190" i="7"/>
  <c r="N190" i="7"/>
  <c r="P190" i="7"/>
  <c r="P130" i="7"/>
  <c r="N130" i="7"/>
  <c r="O130" i="7"/>
  <c r="N158" i="7"/>
  <c r="O158" i="7"/>
  <c r="P158" i="7"/>
  <c r="N111" i="7"/>
  <c r="O111" i="7"/>
  <c r="P111" i="7"/>
  <c r="P92" i="7"/>
  <c r="N92" i="7"/>
  <c r="O92" i="7"/>
  <c r="N86" i="7"/>
  <c r="O86" i="7"/>
  <c r="P86" i="7"/>
  <c r="N9" i="7"/>
  <c r="O9" i="7"/>
  <c r="P9" i="7"/>
  <c r="N70" i="7"/>
  <c r="O70" i="7"/>
  <c r="P70" i="7"/>
  <c r="P103" i="7"/>
  <c r="O103" i="7"/>
  <c r="N103" i="7"/>
  <c r="O41" i="7"/>
  <c r="N41" i="7"/>
  <c r="P41" i="7"/>
  <c r="P15" i="7"/>
  <c r="N15" i="7"/>
  <c r="O15" i="7"/>
  <c r="N201" i="7"/>
  <c r="P201" i="7"/>
  <c r="O201" i="7"/>
  <c r="N48" i="7"/>
  <c r="O48" i="7"/>
  <c r="P48" i="7"/>
  <c r="P167" i="7"/>
  <c r="O167" i="7"/>
  <c r="N167" i="7"/>
  <c r="O46" i="7"/>
  <c r="P46" i="7"/>
  <c r="N46" i="7"/>
  <c r="O198" i="7"/>
  <c r="P198" i="7"/>
  <c r="N198" i="7"/>
  <c r="O81" i="7"/>
  <c r="P81" i="7"/>
  <c r="N81" i="7"/>
  <c r="P52" i="7"/>
  <c r="N52" i="7"/>
  <c r="O52" i="7"/>
  <c r="P115" i="7"/>
  <c r="N115" i="7"/>
  <c r="O115" i="7"/>
  <c r="O109" i="7"/>
  <c r="N109" i="7"/>
  <c r="P109" i="7"/>
  <c r="O165" i="7"/>
  <c r="N165" i="7"/>
  <c r="P165" i="7"/>
  <c r="P208" i="7"/>
  <c r="N208" i="7"/>
  <c r="O208" i="7"/>
  <c r="P56" i="7"/>
  <c r="O56" i="7"/>
  <c r="N56" i="7"/>
  <c r="P35" i="7"/>
  <c r="O35" i="7"/>
  <c r="N35" i="7"/>
  <c r="O12" i="7"/>
  <c r="N12" i="7"/>
  <c r="P12" i="7"/>
  <c r="N85" i="7"/>
  <c r="O85" i="7"/>
  <c r="P85" i="7"/>
  <c r="O152" i="7"/>
  <c r="N152" i="7"/>
  <c r="P152" i="7"/>
  <c r="N11" i="7"/>
  <c r="P11" i="7"/>
  <c r="O11" i="7"/>
  <c r="N181" i="7"/>
  <c r="P181" i="7"/>
  <c r="O181" i="7"/>
  <c r="O161" i="7"/>
  <c r="P161" i="7"/>
  <c r="N161" i="7"/>
  <c r="N135" i="7"/>
  <c r="P135" i="7"/>
  <c r="O135" i="7"/>
  <c r="N150" i="7"/>
  <c r="O150" i="7"/>
  <c r="P150" i="7"/>
  <c r="O101" i="7"/>
  <c r="P101" i="7"/>
  <c r="N101" i="7"/>
  <c r="O104" i="7"/>
  <c r="N104" i="7"/>
  <c r="P104" i="7"/>
  <c r="O156" i="7"/>
  <c r="N156" i="7"/>
  <c r="P156" i="7"/>
  <c r="P139" i="7"/>
  <c r="N139" i="7"/>
  <c r="O139" i="7"/>
  <c r="N71" i="7"/>
  <c r="P71" i="7"/>
  <c r="O71" i="7"/>
  <c r="N176" i="7"/>
  <c r="P176" i="7"/>
  <c r="O176" i="7"/>
  <c r="N63" i="7"/>
  <c r="O63" i="7"/>
  <c r="P63" i="7"/>
  <c r="N42" i="7"/>
  <c r="P42" i="7"/>
  <c r="O42" i="7"/>
  <c r="N114" i="7"/>
  <c r="P114" i="7"/>
  <c r="O114" i="7"/>
  <c r="O20" i="7"/>
  <c r="N20" i="7"/>
  <c r="P20" i="7"/>
  <c r="P217" i="7"/>
  <c r="N217" i="7"/>
  <c r="O217" i="7"/>
  <c r="N172" i="7"/>
  <c r="P172" i="7"/>
  <c r="O172" i="7"/>
  <c r="O18" i="7"/>
  <c r="P18" i="7"/>
  <c r="N18" i="7"/>
  <c r="O62" i="7"/>
  <c r="N62" i="7"/>
  <c r="P62" i="7"/>
  <c r="N189" i="7"/>
  <c r="P189" i="7"/>
  <c r="O189" i="7"/>
  <c r="O171" i="7"/>
  <c r="N171" i="7"/>
  <c r="P171" i="7"/>
  <c r="N222" i="7"/>
  <c r="O222" i="7"/>
  <c r="P222" i="7"/>
  <c r="N117" i="7"/>
  <c r="P117" i="7"/>
  <c r="O117" i="7"/>
  <c r="P179" i="7"/>
  <c r="N179" i="7"/>
  <c r="O179" i="7"/>
  <c r="N178" i="7"/>
  <c r="O178" i="7"/>
  <c r="P178" i="7"/>
  <c r="O98" i="7"/>
  <c r="P98" i="7"/>
  <c r="N98" i="7"/>
  <c r="O65" i="7"/>
  <c r="N65" i="7"/>
  <c r="P65" i="7"/>
  <c r="O183" i="7"/>
  <c r="N183" i="7"/>
  <c r="P183" i="7"/>
  <c r="P219" i="7"/>
  <c r="O219" i="7"/>
  <c r="N219" i="7"/>
  <c r="O209" i="7"/>
  <c r="P209" i="7"/>
  <c r="N209" i="7"/>
  <c r="N44" i="7"/>
  <c r="P44" i="7"/>
  <c r="O44" i="7"/>
  <c r="P110" i="7"/>
  <c r="O110" i="7"/>
  <c r="N110" i="7"/>
  <c r="O226" i="7"/>
  <c r="N226" i="7"/>
  <c r="P226" i="7"/>
  <c r="O17" i="7"/>
  <c r="P17" i="7"/>
  <c r="N17" i="7"/>
  <c r="O120" i="7"/>
  <c r="P120" i="7"/>
  <c r="N120" i="7"/>
  <c r="N207" i="7"/>
  <c r="P207" i="7"/>
  <c r="O207" i="7"/>
  <c r="O78" i="7"/>
  <c r="N78" i="7"/>
  <c r="P78" i="7"/>
  <c r="N204" i="7"/>
  <c r="O204" i="7"/>
  <c r="P204" i="7"/>
  <c r="N88" i="7"/>
  <c r="O88" i="7"/>
  <c r="P88" i="7"/>
  <c r="O218" i="7"/>
  <c r="N218" i="7"/>
  <c r="P218" i="7"/>
  <c r="O90" i="7"/>
  <c r="P90" i="7"/>
  <c r="N90" i="7"/>
  <c r="P148" i="7"/>
  <c r="O148" i="7"/>
  <c r="N148" i="7"/>
  <c r="O173" i="7"/>
  <c r="N173" i="7"/>
  <c r="P173" i="7"/>
  <c r="N6" i="7"/>
  <c r="P6" i="7"/>
  <c r="O6" i="7"/>
  <c r="O99" i="7"/>
  <c r="P99" i="7"/>
  <c r="N99" i="7"/>
  <c r="P102" i="7"/>
  <c r="N102" i="7"/>
  <c r="O102" i="7"/>
  <c r="N14" i="7"/>
  <c r="P14" i="7"/>
  <c r="O14" i="7"/>
  <c r="P220" i="7"/>
  <c r="N220" i="7"/>
  <c r="O220" i="7"/>
  <c r="O34" i="7"/>
  <c r="P34" i="7"/>
  <c r="N34" i="7"/>
  <c r="O199" i="7"/>
  <c r="N199" i="7"/>
  <c r="P199" i="7"/>
  <c r="O126" i="7"/>
  <c r="N126" i="7"/>
  <c r="P126" i="7"/>
  <c r="O91" i="7"/>
  <c r="P91" i="7"/>
  <c r="N91" i="7"/>
  <c r="N24" i="7"/>
  <c r="O24" i="7"/>
  <c r="P24" i="7"/>
  <c r="N170" i="7"/>
  <c r="O170" i="7"/>
  <c r="P170" i="7"/>
  <c r="P131" i="7"/>
  <c r="O131" i="7"/>
  <c r="N131" i="7"/>
  <c r="O112" i="7"/>
  <c r="P112" i="7"/>
  <c r="N112" i="7"/>
  <c r="P221" i="7"/>
  <c r="O221" i="7"/>
  <c r="N221" i="7"/>
  <c r="N202" i="7"/>
  <c r="O202" i="7"/>
  <c r="P202" i="7"/>
  <c r="O21" i="7"/>
  <c r="N21" i="7"/>
  <c r="P21" i="7"/>
  <c r="P31" i="7"/>
  <c r="N31" i="7"/>
  <c r="O31" i="7"/>
  <c r="P49" i="7"/>
  <c r="O49" i="7"/>
  <c r="N49" i="7"/>
  <c r="O194" i="7"/>
  <c r="P194" i="7"/>
  <c r="N194" i="7"/>
  <c r="O196" i="7"/>
  <c r="P196" i="7"/>
  <c r="N196" i="7"/>
  <c r="O84" i="7"/>
  <c r="P84" i="7"/>
  <c r="N84" i="7"/>
  <c r="N134" i="7"/>
  <c r="P134" i="7"/>
  <c r="O134" i="7"/>
  <c r="N50" i="7"/>
  <c r="O50" i="7"/>
  <c r="P50" i="7"/>
  <c r="O57" i="7"/>
  <c r="N57" i="7"/>
  <c r="P57" i="7"/>
  <c r="O79" i="7"/>
  <c r="P79" i="7"/>
  <c r="N79" i="7"/>
  <c r="N60" i="7"/>
  <c r="P60" i="7"/>
  <c r="O60" i="7"/>
  <c r="O128" i="7"/>
  <c r="P128" i="7"/>
  <c r="N128" i="7"/>
  <c r="O169" i="7"/>
  <c r="N169" i="7"/>
  <c r="P169" i="7"/>
  <c r="P23" i="7"/>
  <c r="N23" i="7"/>
  <c r="O23" i="7"/>
  <c r="N215" i="7"/>
  <c r="P215" i="7"/>
  <c r="O215" i="7"/>
  <c r="N53" i="7"/>
  <c r="P53" i="7"/>
  <c r="O53" i="7"/>
  <c r="P136" i="7"/>
  <c r="N136" i="7"/>
  <c r="O136" i="7"/>
  <c r="P8" i="7"/>
  <c r="N8" i="7"/>
  <c r="O8" i="7"/>
  <c r="P36" i="7"/>
  <c r="O36" i="7"/>
  <c r="N36" i="7"/>
  <c r="N106" i="7"/>
  <c r="O106" i="7"/>
  <c r="P106" i="7"/>
  <c r="N228" i="7"/>
  <c r="O228" i="7"/>
  <c r="P228" i="7"/>
  <c r="N39" i="7"/>
  <c r="P39" i="7"/>
  <c r="O39" i="7"/>
  <c r="P186" i="7"/>
  <c r="O186" i="7"/>
  <c r="N186" i="7"/>
  <c r="N47" i="7"/>
  <c r="O47" i="7"/>
  <c r="P47" i="7"/>
  <c r="O184" i="7"/>
  <c r="P184" i="7"/>
  <c r="N184" i="7"/>
  <c r="O153" i="7"/>
  <c r="P153" i="7"/>
  <c r="N153" i="7"/>
  <c r="O157" i="7"/>
  <c r="P157" i="7"/>
  <c r="N157" i="7"/>
  <c r="O26" i="7"/>
  <c r="P26" i="7"/>
  <c r="N26" i="7"/>
  <c r="P82" i="7"/>
  <c r="O82" i="7"/>
  <c r="N82" i="7"/>
  <c r="O119" i="7"/>
  <c r="P119" i="7"/>
  <c r="N119" i="7"/>
  <c r="P177" i="7"/>
  <c r="O177" i="7"/>
  <c r="N177" i="7"/>
  <c r="P67" i="7"/>
  <c r="O67" i="7"/>
  <c r="N67" i="7"/>
  <c r="N30" i="7"/>
  <c r="O30" i="7"/>
  <c r="P30" i="7"/>
  <c r="P25" i="7"/>
  <c r="N25" i="7"/>
  <c r="O25" i="7"/>
  <c r="O224" i="7"/>
  <c r="P224" i="7"/>
  <c r="N224" i="7"/>
  <c r="O149" i="7"/>
  <c r="N149" i="7"/>
  <c r="P149" i="7"/>
  <c r="P75" i="7"/>
  <c r="O75" i="7"/>
  <c r="N75" i="7"/>
  <c r="N22" i="7"/>
  <c r="O22" i="7"/>
  <c r="P22" i="7"/>
  <c r="P195" i="7"/>
  <c r="O195" i="7"/>
  <c r="N195" i="7"/>
  <c r="P146" i="7"/>
  <c r="O146" i="7"/>
  <c r="N146" i="7"/>
  <c r="O154" i="7"/>
  <c r="N154" i="7"/>
  <c r="P154" i="7"/>
  <c r="P51" i="7"/>
  <c r="N51" i="7"/>
  <c r="O51" i="7"/>
  <c r="N127" i="7"/>
  <c r="O127" i="7"/>
  <c r="P127" i="7"/>
  <c r="N108" i="7"/>
  <c r="P108" i="7"/>
  <c r="O108" i="7"/>
  <c r="O97" i="7"/>
  <c r="P97" i="7"/>
  <c r="N97" i="7"/>
  <c r="N28" i="7"/>
  <c r="P28" i="7"/>
  <c r="O28" i="7"/>
  <c r="N193" i="7"/>
  <c r="P193" i="7"/>
  <c r="O193" i="7"/>
  <c r="O33" i="7"/>
  <c r="P33" i="7"/>
  <c r="N33" i="7"/>
  <c r="P116" i="7"/>
  <c r="N116" i="7"/>
  <c r="O116" i="7"/>
  <c r="O40" i="7"/>
  <c r="P40" i="7"/>
  <c r="N40" i="7"/>
  <c r="O145" i="7"/>
  <c r="P145" i="7"/>
  <c r="N145" i="7"/>
  <c r="P192" i="7"/>
  <c r="O192" i="7"/>
  <c r="N192" i="7"/>
  <c r="O100" i="7"/>
  <c r="P100" i="7"/>
  <c r="N100" i="7"/>
  <c r="N151" i="7"/>
  <c r="P151" i="7"/>
  <c r="O151" i="7"/>
  <c r="O37" i="7"/>
  <c r="N37" i="7"/>
  <c r="P37" i="7"/>
  <c r="P147" i="7"/>
  <c r="O147" i="7"/>
  <c r="N147" i="7"/>
  <c r="P13" i="7"/>
  <c r="N13" i="7"/>
  <c r="O13" i="7"/>
  <c r="P182" i="7"/>
  <c r="O182" i="7"/>
  <c r="N182" i="7"/>
  <c r="P68" i="7"/>
  <c r="O68" i="7"/>
  <c r="N68" i="7"/>
  <c r="N83" i="7"/>
  <c r="O83" i="7"/>
  <c r="P83" i="7"/>
  <c r="N123" i="7"/>
  <c r="P123" i="7"/>
  <c r="O123" i="7"/>
  <c r="P118" i="7"/>
  <c r="N118" i="7"/>
  <c r="O118" i="7"/>
  <c r="N223" i="7"/>
  <c r="P223" i="7"/>
  <c r="O223" i="7"/>
  <c r="N175" i="7"/>
  <c r="O175" i="7"/>
  <c r="P175" i="7"/>
  <c r="O174" i="7"/>
  <c r="P174" i="7"/>
  <c r="N174" i="7"/>
  <c r="P77" i="7"/>
  <c r="N77" i="7"/>
  <c r="O77" i="7"/>
  <c r="P203" i="7"/>
  <c r="O203" i="7"/>
  <c r="N203" i="7"/>
  <c r="P87" i="7"/>
  <c r="O87" i="7"/>
  <c r="N87" i="7"/>
  <c r="O180" i="7"/>
  <c r="P180" i="7"/>
  <c r="N180" i="7"/>
  <c r="O29" i="7"/>
  <c r="P29" i="7"/>
  <c r="N29" i="7"/>
  <c r="P141" i="7"/>
  <c r="O141" i="7"/>
  <c r="N141" i="7"/>
  <c r="N137" i="7"/>
  <c r="O137" i="7"/>
  <c r="P137" i="7"/>
  <c r="P4" i="7"/>
  <c r="N4" i="7"/>
  <c r="O4" i="7"/>
  <c r="P124" i="7"/>
  <c r="N124" i="7"/>
  <c r="O124" i="7"/>
  <c r="O10" i="7"/>
  <c r="N10" i="7"/>
  <c r="P10" i="7"/>
  <c r="N61" i="7"/>
  <c r="P61" i="7"/>
  <c r="O61" i="7"/>
  <c r="P27" i="7"/>
  <c r="O27" i="7"/>
  <c r="N27" i="7"/>
  <c r="N142" i="7"/>
  <c r="O142" i="7"/>
  <c r="P142" i="7"/>
  <c r="N216" i="7"/>
  <c r="O216" i="7"/>
  <c r="P216" i="7"/>
  <c r="P19" i="7"/>
  <c r="O19" i="7"/>
  <c r="N19" i="7"/>
  <c r="N213" i="7"/>
  <c r="O213" i="7"/>
  <c r="P213" i="7"/>
  <c r="P200" i="7"/>
  <c r="N200" i="7"/>
  <c r="O200" i="7"/>
  <c r="O188" i="7"/>
  <c r="P188" i="7"/>
  <c r="N188" i="7"/>
  <c r="P43" i="7"/>
  <c r="O43" i="7"/>
  <c r="N43" i="7"/>
  <c r="N138" i="7"/>
  <c r="P138" i="7"/>
  <c r="O138" i="7"/>
  <c r="P205" i="7"/>
  <c r="N205" i="7"/>
  <c r="O205" i="7"/>
  <c r="P211" i="7"/>
  <c r="O211" i="7"/>
  <c r="N211" i="7"/>
  <c r="O162" i="7"/>
  <c r="N162" i="7"/>
  <c r="P162" i="7"/>
  <c r="M5" i="7"/>
  <c r="H4" i="1"/>
  <c r="H5" i="1"/>
  <c r="Q5" i="1" s="1" a="1"/>
  <c r="Q5" i="1" s="1"/>
  <c r="P29" i="1" a="1"/>
  <c r="P29" i="1" s="1"/>
  <c r="Q29" i="1" a="1"/>
  <c r="Q29" i="1" s="1"/>
  <c r="N29" i="1"/>
  <c r="O29" i="1"/>
  <c r="Q85" i="1" a="1"/>
  <c r="Q85" i="1" s="1"/>
  <c r="N85" i="1"/>
  <c r="O85" i="1"/>
  <c r="P85" i="1" a="1"/>
  <c r="P85" i="1" s="1"/>
  <c r="Q133" i="1" a="1"/>
  <c r="Q133" i="1" s="1"/>
  <c r="P133" i="1" a="1"/>
  <c r="P133" i="1" s="1"/>
  <c r="N133" i="1"/>
  <c r="O133" i="1"/>
  <c r="Q181" i="1" a="1"/>
  <c r="Q181" i="1" s="1"/>
  <c r="P181" i="1" a="1"/>
  <c r="P181" i="1" s="1"/>
  <c r="O181" i="1"/>
  <c r="N181" i="1"/>
  <c r="Q229" i="1" a="1"/>
  <c r="Q229" i="1" s="1"/>
  <c r="O229" i="1"/>
  <c r="P229" i="1" a="1"/>
  <c r="P229" i="1" s="1"/>
  <c r="N229" i="1"/>
  <c r="P14" i="1" a="1"/>
  <c r="P14" i="1" s="1"/>
  <c r="Q14" i="1" a="1"/>
  <c r="Q14" i="1" s="1"/>
  <c r="O14" i="1"/>
  <c r="N14" i="1"/>
  <c r="Q70" i="1" a="1"/>
  <c r="Q70" i="1" s="1"/>
  <c r="P70" i="1" a="1"/>
  <c r="P70" i="1" s="1"/>
  <c r="N70" i="1"/>
  <c r="O70" i="1"/>
  <c r="Q142" i="1" a="1"/>
  <c r="Q142" i="1" s="1"/>
  <c r="N142" i="1"/>
  <c r="O142" i="1"/>
  <c r="P142" i="1" a="1"/>
  <c r="P142" i="1" s="1"/>
  <c r="P190" i="1" a="1"/>
  <c r="P190" i="1" s="1"/>
  <c r="Q190" i="1" a="1"/>
  <c r="Q190" i="1" s="1"/>
  <c r="N190" i="1"/>
  <c r="O190" i="1"/>
  <c r="P198" i="1" a="1"/>
  <c r="P198" i="1" s="1"/>
  <c r="Q198" i="1" a="1"/>
  <c r="Q198" i="1" s="1"/>
  <c r="N198" i="1"/>
  <c r="O198" i="1"/>
  <c r="N7" i="1"/>
  <c r="Q7" i="1" a="1"/>
  <c r="Q7" i="1" s="1"/>
  <c r="P7" i="1" a="1"/>
  <c r="P7" i="1" s="1"/>
  <c r="O7" i="1"/>
  <c r="N15" i="1"/>
  <c r="Q15" i="1" a="1"/>
  <c r="Q15" i="1" s="1"/>
  <c r="O15" i="1"/>
  <c r="P15" i="1" a="1"/>
  <c r="P15" i="1" s="1"/>
  <c r="Q23" i="1" a="1"/>
  <c r="Q23" i="1" s="1"/>
  <c r="N23" i="1"/>
  <c r="P23" i="1" a="1"/>
  <c r="P23" i="1" s="1"/>
  <c r="O23" i="1"/>
  <c r="N31" i="1"/>
  <c r="Q31" i="1" a="1"/>
  <c r="Q31" i="1" s="1"/>
  <c r="O31" i="1"/>
  <c r="P31" i="1" a="1"/>
  <c r="P31" i="1" s="1"/>
  <c r="N39" i="1"/>
  <c r="Q39" i="1" a="1"/>
  <c r="Q39" i="1" s="1"/>
  <c r="P39" i="1" a="1"/>
  <c r="P39" i="1" s="1"/>
  <c r="O39" i="1"/>
  <c r="N47" i="1"/>
  <c r="Q47" i="1" a="1"/>
  <c r="Q47" i="1" s="1"/>
  <c r="P47" i="1" a="1"/>
  <c r="P47" i="1" s="1"/>
  <c r="O47" i="1"/>
  <c r="N55" i="1"/>
  <c r="Q55" i="1" a="1"/>
  <c r="Q55" i="1" s="1"/>
  <c r="O55" i="1"/>
  <c r="P55" i="1" a="1"/>
  <c r="P55" i="1" s="1"/>
  <c r="N63" i="1"/>
  <c r="Q63" i="1" a="1"/>
  <c r="Q63" i="1" s="1"/>
  <c r="P63" i="1" a="1"/>
  <c r="P63" i="1" s="1"/>
  <c r="O63" i="1"/>
  <c r="P71" i="1" a="1"/>
  <c r="P71" i="1" s="1"/>
  <c r="N71" i="1"/>
  <c r="Q71" i="1" a="1"/>
  <c r="Q71" i="1" s="1"/>
  <c r="O71" i="1"/>
  <c r="N79" i="1"/>
  <c r="P79" i="1" a="1"/>
  <c r="P79" i="1" s="1"/>
  <c r="Q79" i="1" a="1"/>
  <c r="Q79" i="1" s="1"/>
  <c r="O79" i="1"/>
  <c r="N87" i="1"/>
  <c r="P87" i="1" a="1"/>
  <c r="P87" i="1" s="1"/>
  <c r="Q87" i="1" a="1"/>
  <c r="Q87" i="1" s="1"/>
  <c r="O87" i="1"/>
  <c r="N95" i="1"/>
  <c r="P95" i="1" a="1"/>
  <c r="P95" i="1" s="1"/>
  <c r="Q95" i="1" a="1"/>
  <c r="Q95" i="1" s="1"/>
  <c r="O95" i="1"/>
  <c r="N103" i="1"/>
  <c r="P103" i="1" a="1"/>
  <c r="P103" i="1" s="1"/>
  <c r="Q103" i="1" a="1"/>
  <c r="Q103" i="1" s="1"/>
  <c r="O103" i="1"/>
  <c r="N111" i="1"/>
  <c r="P111" i="1" a="1"/>
  <c r="P111" i="1" s="1"/>
  <c r="Q111" i="1" a="1"/>
  <c r="Q111" i="1" s="1"/>
  <c r="O111" i="1"/>
  <c r="N119" i="1"/>
  <c r="Q119" i="1" a="1"/>
  <c r="Q119" i="1" s="1"/>
  <c r="O119" i="1"/>
  <c r="P119" i="1" a="1"/>
  <c r="P119" i="1" s="1"/>
  <c r="N127" i="1"/>
  <c r="Q127" i="1" a="1"/>
  <c r="Q127" i="1" s="1"/>
  <c r="P127" i="1" a="1"/>
  <c r="P127" i="1" s="1"/>
  <c r="O127" i="1"/>
  <c r="N135" i="1"/>
  <c r="Q135" i="1" a="1"/>
  <c r="Q135" i="1" s="1"/>
  <c r="O135" i="1"/>
  <c r="P135" i="1" a="1"/>
  <c r="P135" i="1" s="1"/>
  <c r="N143" i="1"/>
  <c r="P143" i="1" a="1"/>
  <c r="P143" i="1" s="1"/>
  <c r="O143" i="1"/>
  <c r="Q143" i="1" a="1"/>
  <c r="Q143" i="1" s="1"/>
  <c r="N151" i="1"/>
  <c r="O151" i="1"/>
  <c r="P151" i="1" a="1"/>
  <c r="P151" i="1" s="1"/>
  <c r="Q151" i="1" a="1"/>
  <c r="Q151" i="1" s="1"/>
  <c r="N159" i="1"/>
  <c r="Q159" i="1" a="1"/>
  <c r="Q159" i="1" s="1"/>
  <c r="O159" i="1"/>
  <c r="P159" i="1" a="1"/>
  <c r="P159" i="1" s="1"/>
  <c r="P167" i="1" a="1"/>
  <c r="P167" i="1" s="1"/>
  <c r="N167" i="1"/>
  <c r="O167" i="1"/>
  <c r="Q167" i="1" a="1"/>
  <c r="Q167" i="1" s="1"/>
  <c r="P175" i="1" a="1"/>
  <c r="P175" i="1" s="1"/>
  <c r="O175" i="1"/>
  <c r="N175" i="1"/>
  <c r="Q175" i="1" a="1"/>
  <c r="Q175" i="1" s="1"/>
  <c r="P183" i="1" a="1"/>
  <c r="P183" i="1" s="1"/>
  <c r="Q183" i="1" a="1"/>
  <c r="Q183" i="1" s="1"/>
  <c r="O183" i="1"/>
  <c r="N183" i="1"/>
  <c r="P191" i="1" a="1"/>
  <c r="P191" i="1" s="1"/>
  <c r="O191" i="1"/>
  <c r="N191" i="1"/>
  <c r="Q191" i="1" a="1"/>
  <c r="Q191" i="1" s="1"/>
  <c r="P199" i="1" a="1"/>
  <c r="P199" i="1" s="1"/>
  <c r="Q199" i="1" a="1"/>
  <c r="Q199" i="1" s="1"/>
  <c r="O199" i="1"/>
  <c r="N199" i="1"/>
  <c r="O207" i="1"/>
  <c r="Q207" i="1" a="1"/>
  <c r="Q207" i="1" s="1"/>
  <c r="P207" i="1" a="1"/>
  <c r="P207" i="1" s="1"/>
  <c r="N207" i="1"/>
  <c r="P215" i="1" a="1"/>
  <c r="P215" i="1" s="1"/>
  <c r="O215" i="1"/>
  <c r="N215" i="1"/>
  <c r="Q215" i="1" a="1"/>
  <c r="Q215" i="1" s="1"/>
  <c r="P223" i="1" a="1"/>
  <c r="P223" i="1" s="1"/>
  <c r="Q223" i="1" a="1"/>
  <c r="Q223" i="1" s="1"/>
  <c r="O223" i="1"/>
  <c r="N223" i="1"/>
  <c r="O231" i="1"/>
  <c r="N231" i="1"/>
  <c r="Q231" i="1" a="1"/>
  <c r="Q231" i="1" s="1"/>
  <c r="P231" i="1" a="1"/>
  <c r="P231" i="1" s="1"/>
  <c r="P239" i="1" a="1"/>
  <c r="P239" i="1" s="1"/>
  <c r="O239" i="1"/>
  <c r="N239" i="1"/>
  <c r="Q239" i="1" a="1"/>
  <c r="Q239" i="1" s="1"/>
  <c r="Q13" i="1" a="1"/>
  <c r="Q13" i="1" s="1"/>
  <c r="P13" i="1" a="1"/>
  <c r="P13" i="1" s="1"/>
  <c r="N13" i="1"/>
  <c r="O13" i="1"/>
  <c r="Q69" i="1" a="1"/>
  <c r="Q69" i="1" s="1"/>
  <c r="N69" i="1"/>
  <c r="O69" i="1"/>
  <c r="P69" i="1" a="1"/>
  <c r="P69" i="1" s="1"/>
  <c r="P117" i="1" a="1"/>
  <c r="P117" i="1" s="1"/>
  <c r="Q117" i="1" a="1"/>
  <c r="Q117" i="1" s="1"/>
  <c r="N117" i="1"/>
  <c r="O117" i="1"/>
  <c r="Q157" i="1" a="1"/>
  <c r="Q157" i="1" s="1"/>
  <c r="N157" i="1"/>
  <c r="O157" i="1"/>
  <c r="P157" i="1" a="1"/>
  <c r="P157" i="1" s="1"/>
  <c r="Q205" i="1" a="1"/>
  <c r="Q205" i="1" s="1"/>
  <c r="P205" i="1" a="1"/>
  <c r="P205" i="1" s="1"/>
  <c r="O205" i="1"/>
  <c r="N205" i="1"/>
  <c r="Q6" i="1" a="1"/>
  <c r="Q6" i="1" s="1"/>
  <c r="P6" i="1" a="1"/>
  <c r="P6" i="1" s="1"/>
  <c r="N6" i="1"/>
  <c r="O6" i="1"/>
  <c r="Q54" i="1" a="1"/>
  <c r="Q54" i="1" s="1"/>
  <c r="P54" i="1" a="1"/>
  <c r="P54" i="1" s="1"/>
  <c r="N54" i="1"/>
  <c r="O54" i="1"/>
  <c r="P102" i="1" a="1"/>
  <c r="P102" i="1" s="1"/>
  <c r="Q102" i="1" a="1"/>
  <c r="Q102" i="1" s="1"/>
  <c r="N102" i="1"/>
  <c r="O102" i="1"/>
  <c r="Q150" i="1" a="1"/>
  <c r="Q150" i="1" s="1"/>
  <c r="N150" i="1"/>
  <c r="P150" i="1" a="1"/>
  <c r="P150" i="1" s="1"/>
  <c r="O150" i="1"/>
  <c r="Q230" i="1" a="1"/>
  <c r="Q230" i="1" s="1"/>
  <c r="N230" i="1"/>
  <c r="P230" i="1" a="1"/>
  <c r="P230" i="1" s="1"/>
  <c r="O230" i="1"/>
  <c r="P56" i="1" a="1"/>
  <c r="P56" i="1" s="1"/>
  <c r="N56" i="1"/>
  <c r="Q56" i="1" a="1"/>
  <c r="Q56" i="1" s="1"/>
  <c r="O56" i="1"/>
  <c r="N96" i="1"/>
  <c r="P96" i="1" a="1"/>
  <c r="P96" i="1" s="1"/>
  <c r="Q96" i="1" a="1"/>
  <c r="Q96" i="1" s="1"/>
  <c r="O96" i="1"/>
  <c r="P232" i="1" a="1"/>
  <c r="P232" i="1" s="1"/>
  <c r="O232" i="1"/>
  <c r="N232" i="1"/>
  <c r="Q232" i="1" a="1"/>
  <c r="Q232" i="1" s="1"/>
  <c r="P240" i="1" a="1"/>
  <c r="P240" i="1" s="1"/>
  <c r="Q240" i="1" a="1"/>
  <c r="Q240" i="1" s="1"/>
  <c r="O240" i="1"/>
  <c r="N240" i="1"/>
  <c r="Q37" i="1" a="1"/>
  <c r="Q37" i="1" s="1"/>
  <c r="P37" i="1" a="1"/>
  <c r="P37" i="1" s="1"/>
  <c r="N37" i="1"/>
  <c r="O37" i="1"/>
  <c r="Q77" i="1" a="1"/>
  <c r="Q77" i="1" s="1"/>
  <c r="P77" i="1" a="1"/>
  <c r="P77" i="1" s="1"/>
  <c r="N77" i="1"/>
  <c r="O77" i="1"/>
  <c r="Q125" i="1" a="1"/>
  <c r="Q125" i="1" s="1"/>
  <c r="P125" i="1" a="1"/>
  <c r="P125" i="1" s="1"/>
  <c r="N125" i="1"/>
  <c r="O125" i="1"/>
  <c r="Q173" i="1" a="1"/>
  <c r="Q173" i="1" s="1"/>
  <c r="P173" i="1" a="1"/>
  <c r="P173" i="1" s="1"/>
  <c r="N173" i="1"/>
  <c r="O173" i="1"/>
  <c r="Q213" i="1" a="1"/>
  <c r="Q213" i="1" s="1"/>
  <c r="P213" i="1" a="1"/>
  <c r="P213" i="1" s="1"/>
  <c r="O213" i="1"/>
  <c r="N213" i="1"/>
  <c r="Q46" i="1" a="1"/>
  <c r="Q46" i="1" s="1"/>
  <c r="P46" i="1" a="1"/>
  <c r="P46" i="1" s="1"/>
  <c r="N46" i="1"/>
  <c r="O46" i="1"/>
  <c r="P94" i="1" a="1"/>
  <c r="P94" i="1" s="1"/>
  <c r="Q94" i="1" a="1"/>
  <c r="Q94" i="1" s="1"/>
  <c r="N94" i="1"/>
  <c r="O94" i="1"/>
  <c r="Q126" i="1" a="1"/>
  <c r="Q126" i="1" s="1"/>
  <c r="P126" i="1" a="1"/>
  <c r="P126" i="1" s="1"/>
  <c r="N126" i="1"/>
  <c r="O126" i="1"/>
  <c r="Q174" i="1" a="1"/>
  <c r="Q174" i="1" s="1"/>
  <c r="N174" i="1"/>
  <c r="O174" i="1"/>
  <c r="P174" i="1" a="1"/>
  <c r="P174" i="1" s="1"/>
  <c r="Q222" i="1" a="1"/>
  <c r="Q222" i="1" s="1"/>
  <c r="P222" i="1" a="1"/>
  <c r="P222" i="1" s="1"/>
  <c r="N222" i="1"/>
  <c r="O222" i="1"/>
  <c r="N8" i="1"/>
  <c r="Q8" i="1" a="1"/>
  <c r="Q8" i="1" s="1"/>
  <c r="P8" i="1" a="1"/>
  <c r="P8" i="1" s="1"/>
  <c r="O8" i="1"/>
  <c r="N40" i="1"/>
  <c r="Q40" i="1" a="1"/>
  <c r="Q40" i="1" s="1"/>
  <c r="O40" i="1"/>
  <c r="P40" i="1" a="1"/>
  <c r="P40" i="1" s="1"/>
  <c r="N80" i="1"/>
  <c r="P80" i="1" a="1"/>
  <c r="P80" i="1" s="1"/>
  <c r="Q80" i="1" a="1"/>
  <c r="Q80" i="1" s="1"/>
  <c r="O80" i="1"/>
  <c r="N120" i="1"/>
  <c r="Q120" i="1" a="1"/>
  <c r="Q120" i="1" s="1"/>
  <c r="O120" i="1"/>
  <c r="P120" i="1" a="1"/>
  <c r="P120" i="1" s="1"/>
  <c r="P144" i="1" a="1"/>
  <c r="P144" i="1" s="1"/>
  <c r="O144" i="1"/>
  <c r="Q144" i="1" a="1"/>
  <c r="Q144" i="1" s="1"/>
  <c r="N144" i="1"/>
  <c r="P184" i="1" a="1"/>
  <c r="P184" i="1" s="1"/>
  <c r="N184" i="1"/>
  <c r="Q184" i="1" a="1"/>
  <c r="Q184" i="1" s="1"/>
  <c r="O184" i="1"/>
  <c r="N216" i="1"/>
  <c r="O216" i="1"/>
  <c r="P216" i="1" a="1"/>
  <c r="P216" i="1" s="1"/>
  <c r="Q216" i="1" a="1"/>
  <c r="Q216" i="1" s="1"/>
  <c r="N9" i="1"/>
  <c r="Q9" i="1" a="1"/>
  <c r="Q9" i="1" s="1"/>
  <c r="P9" i="1" a="1"/>
  <c r="P9" i="1" s="1"/>
  <c r="O9" i="1"/>
  <c r="Q25" i="1" a="1"/>
  <c r="Q25" i="1" s="1"/>
  <c r="N25" i="1"/>
  <c r="P25" i="1" a="1"/>
  <c r="P25" i="1" s="1"/>
  <c r="O25" i="1"/>
  <c r="P41" i="1" a="1"/>
  <c r="P41" i="1" s="1"/>
  <c r="N41" i="1"/>
  <c r="Q41" i="1" a="1"/>
  <c r="Q41" i="1" s="1"/>
  <c r="O41" i="1"/>
  <c r="P49" i="1" a="1"/>
  <c r="P49" i="1" s="1"/>
  <c r="N49" i="1"/>
  <c r="Q49" i="1" a="1"/>
  <c r="Q49" i="1" s="1"/>
  <c r="O49" i="1"/>
  <c r="P57" i="1" a="1"/>
  <c r="P57" i="1" s="1"/>
  <c r="N57" i="1"/>
  <c r="Q57" i="1" a="1"/>
  <c r="Q57" i="1" s="1"/>
  <c r="O57" i="1"/>
  <c r="P65" i="1" a="1"/>
  <c r="P65" i="1" s="1"/>
  <c r="N65" i="1"/>
  <c r="Q65" i="1" a="1"/>
  <c r="Q65" i="1" s="1"/>
  <c r="O65" i="1"/>
  <c r="P73" i="1" a="1"/>
  <c r="P73" i="1" s="1"/>
  <c r="N73" i="1"/>
  <c r="Q73" i="1" a="1"/>
  <c r="Q73" i="1" s="1"/>
  <c r="O73" i="1"/>
  <c r="N81" i="1"/>
  <c r="P81" i="1" a="1"/>
  <c r="P81" i="1" s="1"/>
  <c r="Q81" i="1" a="1"/>
  <c r="Q81" i="1" s="1"/>
  <c r="O81" i="1"/>
  <c r="N89" i="1"/>
  <c r="P89" i="1" a="1"/>
  <c r="P89" i="1" s="1"/>
  <c r="Q89" i="1" a="1"/>
  <c r="Q89" i="1" s="1"/>
  <c r="O89" i="1"/>
  <c r="N97" i="1"/>
  <c r="P97" i="1" a="1"/>
  <c r="P97" i="1" s="1"/>
  <c r="Q97" i="1" a="1"/>
  <c r="Q97" i="1" s="1"/>
  <c r="O97" i="1"/>
  <c r="N105" i="1"/>
  <c r="Q105" i="1" a="1"/>
  <c r="Q105" i="1" s="1"/>
  <c r="P105" i="1" a="1"/>
  <c r="P105" i="1" s="1"/>
  <c r="O105" i="1"/>
  <c r="N113" i="1"/>
  <c r="Q113" i="1" a="1"/>
  <c r="Q113" i="1" s="1"/>
  <c r="P113" i="1" a="1"/>
  <c r="P113" i="1" s="1"/>
  <c r="O113" i="1"/>
  <c r="N121" i="1"/>
  <c r="Q121" i="1" a="1"/>
  <c r="Q121" i="1" s="1"/>
  <c r="P121" i="1" a="1"/>
  <c r="P121" i="1" s="1"/>
  <c r="O121" i="1"/>
  <c r="N129" i="1"/>
  <c r="Q129" i="1" a="1"/>
  <c r="Q129" i="1" s="1"/>
  <c r="P129" i="1" a="1"/>
  <c r="P129" i="1" s="1"/>
  <c r="O129" i="1"/>
  <c r="N137" i="1"/>
  <c r="Q137" i="1" a="1"/>
  <c r="Q137" i="1" s="1"/>
  <c r="P137" i="1" a="1"/>
  <c r="P137" i="1" s="1"/>
  <c r="O137" i="1"/>
  <c r="P145" i="1" a="1"/>
  <c r="P145" i="1" s="1"/>
  <c r="N145" i="1"/>
  <c r="Q145" i="1" a="1"/>
  <c r="Q145" i="1" s="1"/>
  <c r="O145" i="1"/>
  <c r="P153" i="1" a="1"/>
  <c r="P153" i="1" s="1"/>
  <c r="N153" i="1"/>
  <c r="Q153" i="1" a="1"/>
  <c r="Q153" i="1" s="1"/>
  <c r="O153" i="1"/>
  <c r="P161" i="1" a="1"/>
  <c r="P161" i="1" s="1"/>
  <c r="Q161" i="1" a="1"/>
  <c r="Q161" i="1" s="1"/>
  <c r="N161" i="1"/>
  <c r="O161" i="1"/>
  <c r="P169" i="1" a="1"/>
  <c r="P169" i="1" s="1"/>
  <c r="Q169" i="1" a="1"/>
  <c r="Q169" i="1" s="1"/>
  <c r="N169" i="1"/>
  <c r="O169" i="1"/>
  <c r="P177" i="1" a="1"/>
  <c r="P177" i="1" s="1"/>
  <c r="Q177" i="1" a="1"/>
  <c r="Q177" i="1" s="1"/>
  <c r="N177" i="1"/>
  <c r="O177" i="1"/>
  <c r="Q185" i="1" a="1"/>
  <c r="Q185" i="1" s="1"/>
  <c r="P185" i="1" a="1"/>
  <c r="P185" i="1" s="1"/>
  <c r="O185" i="1"/>
  <c r="N185" i="1"/>
  <c r="Q193" i="1" a="1"/>
  <c r="Q193" i="1" s="1"/>
  <c r="P193" i="1" a="1"/>
  <c r="P193" i="1" s="1"/>
  <c r="O193" i="1"/>
  <c r="N193" i="1"/>
  <c r="Q201" i="1" a="1"/>
  <c r="Q201" i="1" s="1"/>
  <c r="P201" i="1" a="1"/>
  <c r="P201" i="1" s="1"/>
  <c r="N201" i="1"/>
  <c r="O201" i="1"/>
  <c r="Q209" i="1" a="1"/>
  <c r="Q209" i="1" s="1"/>
  <c r="P209" i="1" a="1"/>
  <c r="P209" i="1" s="1"/>
  <c r="N209" i="1"/>
  <c r="O209" i="1"/>
  <c r="P217" i="1" a="1"/>
  <c r="P217" i="1" s="1"/>
  <c r="Q217" i="1" a="1"/>
  <c r="Q217" i="1" s="1"/>
  <c r="N217" i="1"/>
  <c r="O217" i="1"/>
  <c r="P225" i="1" a="1"/>
  <c r="P225" i="1" s="1"/>
  <c r="Q225" i="1" a="1"/>
  <c r="Q225" i="1" s="1"/>
  <c r="O225" i="1"/>
  <c r="N225" i="1"/>
  <c r="P233" i="1" a="1"/>
  <c r="P233" i="1" s="1"/>
  <c r="Q233" i="1" a="1"/>
  <c r="Q233" i="1" s="1"/>
  <c r="N233" i="1"/>
  <c r="O233" i="1"/>
  <c r="P241" i="1" a="1"/>
  <c r="P241" i="1" s="1"/>
  <c r="Q241" i="1" a="1"/>
  <c r="Q241" i="1" s="1"/>
  <c r="N241" i="1"/>
  <c r="O241" i="1"/>
  <c r="P21" i="1" a="1"/>
  <c r="P21" i="1" s="1"/>
  <c r="Q21" i="1" a="1"/>
  <c r="Q21" i="1" s="1"/>
  <c r="N21" i="1"/>
  <c r="O21" i="1"/>
  <c r="Q61" i="1" a="1"/>
  <c r="Q61" i="1" s="1"/>
  <c r="N61" i="1"/>
  <c r="O61" i="1"/>
  <c r="P61" i="1" a="1"/>
  <c r="P61" i="1" s="1"/>
  <c r="P109" i="1" a="1"/>
  <c r="P109" i="1" s="1"/>
  <c r="Q109" i="1" a="1"/>
  <c r="Q109" i="1" s="1"/>
  <c r="N109" i="1"/>
  <c r="O109" i="1"/>
  <c r="Q165" i="1" a="1"/>
  <c r="Q165" i="1" s="1"/>
  <c r="N165" i="1"/>
  <c r="O165" i="1"/>
  <c r="P165" i="1" a="1"/>
  <c r="P165" i="1" s="1"/>
  <c r="Q221" i="1" a="1"/>
  <c r="Q221" i="1" s="1"/>
  <c r="P221" i="1" a="1"/>
  <c r="P221" i="1" s="1"/>
  <c r="O221" i="1"/>
  <c r="N221" i="1"/>
  <c r="Q38" i="1" a="1"/>
  <c r="Q38" i="1" s="1"/>
  <c r="N38" i="1"/>
  <c r="P38" i="1" a="1"/>
  <c r="P38" i="1" s="1"/>
  <c r="O38" i="1"/>
  <c r="Q78" i="1" a="1"/>
  <c r="Q78" i="1" s="1"/>
  <c r="P78" i="1" a="1"/>
  <c r="P78" i="1" s="1"/>
  <c r="O78" i="1"/>
  <c r="N78" i="1"/>
  <c r="P118" i="1" a="1"/>
  <c r="P118" i="1" s="1"/>
  <c r="Q118" i="1" a="1"/>
  <c r="Q118" i="1" s="1"/>
  <c r="N118" i="1"/>
  <c r="O118" i="1"/>
  <c r="Q166" i="1" a="1"/>
  <c r="Q166" i="1" s="1"/>
  <c r="P166" i="1" a="1"/>
  <c r="P166" i="1" s="1"/>
  <c r="N166" i="1"/>
  <c r="O166" i="1"/>
  <c r="Q238" i="1" a="1"/>
  <c r="Q238" i="1" s="1"/>
  <c r="P238" i="1" a="1"/>
  <c r="P238" i="1" s="1"/>
  <c r="N238" i="1"/>
  <c r="O238" i="1"/>
  <c r="N32" i="1"/>
  <c r="Q32" i="1" a="1"/>
  <c r="Q32" i="1" s="1"/>
  <c r="P32" i="1" a="1"/>
  <c r="P32" i="1" s="1"/>
  <c r="O32" i="1"/>
  <c r="P72" i="1" a="1"/>
  <c r="P72" i="1" s="1"/>
  <c r="N72" i="1"/>
  <c r="Q72" i="1" a="1"/>
  <c r="Q72" i="1" s="1"/>
  <c r="O72" i="1"/>
  <c r="N104" i="1"/>
  <c r="P104" i="1" a="1"/>
  <c r="P104" i="1" s="1"/>
  <c r="Q104" i="1" a="1"/>
  <c r="Q104" i="1" s="1"/>
  <c r="O104" i="1"/>
  <c r="P160" i="1" a="1"/>
  <c r="P160" i="1" s="1"/>
  <c r="Q160" i="1" a="1"/>
  <c r="Q160" i="1" s="1"/>
  <c r="O160" i="1"/>
  <c r="N160" i="1"/>
  <c r="P192" i="1" a="1"/>
  <c r="P192" i="1" s="1"/>
  <c r="O192" i="1"/>
  <c r="N192" i="1"/>
  <c r="Q192" i="1" a="1"/>
  <c r="Q192" i="1" s="1"/>
  <c r="P208" i="1" a="1"/>
  <c r="P208" i="1" s="1"/>
  <c r="O208" i="1"/>
  <c r="Q208" i="1" a="1"/>
  <c r="Q208" i="1" s="1"/>
  <c r="N208" i="1"/>
  <c r="N33" i="1"/>
  <c r="Q33" i="1" a="1"/>
  <c r="Q33" i="1" s="1"/>
  <c r="P33" i="1" a="1"/>
  <c r="P33" i="1" s="1"/>
  <c r="O33" i="1"/>
  <c r="N10" i="1"/>
  <c r="Q10" i="1" a="1"/>
  <c r="Q10" i="1" s="1"/>
  <c r="P10" i="1" a="1"/>
  <c r="P10" i="1" s="1"/>
  <c r="O10" i="1"/>
  <c r="P18" i="1" a="1"/>
  <c r="P18" i="1" s="1"/>
  <c r="Q18" i="1" a="1"/>
  <c r="Q18" i="1" s="1"/>
  <c r="N18" i="1"/>
  <c r="O18" i="1"/>
  <c r="P26" i="1" a="1"/>
  <c r="P26" i="1" s="1"/>
  <c r="Q26" i="1" a="1"/>
  <c r="Q26" i="1" s="1"/>
  <c r="N26" i="1"/>
  <c r="O26" i="1"/>
  <c r="P34" i="1" a="1"/>
  <c r="P34" i="1" s="1"/>
  <c r="N34" i="1"/>
  <c r="Q34" i="1" a="1"/>
  <c r="Q34" i="1" s="1"/>
  <c r="O34" i="1"/>
  <c r="P42" i="1" a="1"/>
  <c r="P42" i="1" s="1"/>
  <c r="N42" i="1"/>
  <c r="Q42" i="1" a="1"/>
  <c r="Q42" i="1" s="1"/>
  <c r="O42" i="1"/>
  <c r="P50" i="1" a="1"/>
  <c r="P50" i="1" s="1"/>
  <c r="N50" i="1"/>
  <c r="O50" i="1"/>
  <c r="Q50" i="1" a="1"/>
  <c r="Q50" i="1" s="1"/>
  <c r="P58" i="1" a="1"/>
  <c r="P58" i="1" s="1"/>
  <c r="N58" i="1"/>
  <c r="Q58" i="1" a="1"/>
  <c r="Q58" i="1" s="1"/>
  <c r="O58" i="1"/>
  <c r="P66" i="1" a="1"/>
  <c r="P66" i="1" s="1"/>
  <c r="N66" i="1"/>
  <c r="Q66" i="1" a="1"/>
  <c r="Q66" i="1" s="1"/>
  <c r="O66" i="1"/>
  <c r="P74" i="1" a="1"/>
  <c r="P74" i="1" s="1"/>
  <c r="N74" i="1"/>
  <c r="Q74" i="1" a="1"/>
  <c r="Q74" i="1" s="1"/>
  <c r="O74" i="1"/>
  <c r="N82" i="1"/>
  <c r="Q82" i="1" a="1"/>
  <c r="Q82" i="1" s="1"/>
  <c r="O82" i="1"/>
  <c r="P82" i="1" a="1"/>
  <c r="P82" i="1" s="1"/>
  <c r="N90" i="1"/>
  <c r="P90" i="1" a="1"/>
  <c r="P90" i="1" s="1"/>
  <c r="Q90" i="1" a="1"/>
  <c r="Q90" i="1" s="1"/>
  <c r="O90" i="1"/>
  <c r="N98" i="1"/>
  <c r="P98" i="1" a="1"/>
  <c r="P98" i="1" s="1"/>
  <c r="Q98" i="1" a="1"/>
  <c r="Q98" i="1" s="1"/>
  <c r="O98" i="1"/>
  <c r="N106" i="1"/>
  <c r="P106" i="1" a="1"/>
  <c r="P106" i="1" s="1"/>
  <c r="Q106" i="1" a="1"/>
  <c r="Q106" i="1" s="1"/>
  <c r="O106" i="1"/>
  <c r="N114" i="1"/>
  <c r="P114" i="1" a="1"/>
  <c r="P114" i="1" s="1"/>
  <c r="O114" i="1"/>
  <c r="Q114" i="1" a="1"/>
  <c r="Q114" i="1" s="1"/>
  <c r="N122" i="1"/>
  <c r="Q122" i="1" a="1"/>
  <c r="Q122" i="1" s="1"/>
  <c r="P122" i="1" a="1"/>
  <c r="P122" i="1" s="1"/>
  <c r="O122" i="1"/>
  <c r="N130" i="1"/>
  <c r="Q130" i="1" a="1"/>
  <c r="Q130" i="1" s="1"/>
  <c r="P130" i="1" a="1"/>
  <c r="P130" i="1" s="1"/>
  <c r="O130" i="1"/>
  <c r="P138" i="1" a="1"/>
  <c r="P138" i="1" s="1"/>
  <c r="N138" i="1"/>
  <c r="Q138" i="1" a="1"/>
  <c r="Q138" i="1" s="1"/>
  <c r="O138" i="1"/>
  <c r="P146" i="1" a="1"/>
  <c r="P146" i="1" s="1"/>
  <c r="N146" i="1"/>
  <c r="O146" i="1"/>
  <c r="Q146" i="1" a="1"/>
  <c r="Q146" i="1" s="1"/>
  <c r="P154" i="1" a="1"/>
  <c r="P154" i="1" s="1"/>
  <c r="N154" i="1"/>
  <c r="Q154" i="1" a="1"/>
  <c r="Q154" i="1" s="1"/>
  <c r="O154" i="1"/>
  <c r="P162" i="1" a="1"/>
  <c r="P162" i="1" s="1"/>
  <c r="Q162" i="1" a="1"/>
  <c r="Q162" i="1" s="1"/>
  <c r="O162" i="1"/>
  <c r="N162" i="1"/>
  <c r="P170" i="1" a="1"/>
  <c r="P170" i="1" s="1"/>
  <c r="Q170" i="1" a="1"/>
  <c r="Q170" i="1" s="1"/>
  <c r="N170" i="1"/>
  <c r="O170" i="1"/>
  <c r="Q178" i="1" a="1"/>
  <c r="Q178" i="1" s="1"/>
  <c r="P178" i="1" a="1"/>
  <c r="P178" i="1" s="1"/>
  <c r="N178" i="1"/>
  <c r="O178" i="1"/>
  <c r="P186" i="1" a="1"/>
  <c r="P186" i="1" s="1"/>
  <c r="Q186" i="1" a="1"/>
  <c r="Q186" i="1" s="1"/>
  <c r="N186" i="1"/>
  <c r="O186" i="1"/>
  <c r="N194" i="1"/>
  <c r="P194" i="1" a="1"/>
  <c r="P194" i="1" s="1"/>
  <c r="O194" i="1"/>
  <c r="Q194" i="1" a="1"/>
  <c r="Q194" i="1" s="1"/>
  <c r="P202" i="1" a="1"/>
  <c r="P202" i="1" s="1"/>
  <c r="Q202" i="1" a="1"/>
  <c r="Q202" i="1" s="1"/>
  <c r="N202" i="1"/>
  <c r="O202" i="1"/>
  <c r="P210" i="1" a="1"/>
  <c r="P210" i="1" s="1"/>
  <c r="N210" i="1"/>
  <c r="Q210" i="1" a="1"/>
  <c r="Q210" i="1" s="1"/>
  <c r="O210" i="1"/>
  <c r="P218" i="1" a="1"/>
  <c r="P218" i="1" s="1"/>
  <c r="Q218" i="1" a="1"/>
  <c r="Q218" i="1" s="1"/>
  <c r="N218" i="1"/>
  <c r="O218" i="1"/>
  <c r="P226" i="1" a="1"/>
  <c r="P226" i="1" s="1"/>
  <c r="Q226" i="1" a="1"/>
  <c r="Q226" i="1" s="1"/>
  <c r="N226" i="1"/>
  <c r="O226" i="1"/>
  <c r="P234" i="1" a="1"/>
  <c r="P234" i="1" s="1"/>
  <c r="Q234" i="1" a="1"/>
  <c r="Q234" i="1" s="1"/>
  <c r="N234" i="1"/>
  <c r="O234" i="1"/>
  <c r="P242" i="1" a="1"/>
  <c r="P242" i="1" s="1"/>
  <c r="Q242" i="1" a="1"/>
  <c r="Q242" i="1" s="1"/>
  <c r="N242" i="1"/>
  <c r="O242" i="1"/>
  <c r="P5" i="1" a="1"/>
  <c r="P5" i="1" s="1"/>
  <c r="N5" i="1"/>
  <c r="O5" i="1"/>
  <c r="Q53" i="1" a="1"/>
  <c r="Q53" i="1" s="1"/>
  <c r="N53" i="1"/>
  <c r="O53" i="1"/>
  <c r="P53" i="1" a="1"/>
  <c r="P53" i="1" s="1"/>
  <c r="Q101" i="1" a="1"/>
  <c r="Q101" i="1" s="1"/>
  <c r="N101" i="1"/>
  <c r="O101" i="1"/>
  <c r="P101" i="1" a="1"/>
  <c r="P101" i="1" s="1"/>
  <c r="Q149" i="1" a="1"/>
  <c r="Q149" i="1" s="1"/>
  <c r="N149" i="1"/>
  <c r="O149" i="1"/>
  <c r="P149" i="1" a="1"/>
  <c r="P149" i="1" s="1"/>
  <c r="Q237" i="1" a="1"/>
  <c r="Q237" i="1" s="1"/>
  <c r="O237" i="1"/>
  <c r="P237" i="1" a="1"/>
  <c r="P237" i="1" s="1"/>
  <c r="N237" i="1"/>
  <c r="Q30" i="1" a="1"/>
  <c r="Q30" i="1" s="1"/>
  <c r="P30" i="1" a="1"/>
  <c r="P30" i="1" s="1"/>
  <c r="N30" i="1"/>
  <c r="O30" i="1"/>
  <c r="P86" i="1" a="1"/>
  <c r="P86" i="1" s="1"/>
  <c r="Q86" i="1" a="1"/>
  <c r="Q86" i="1" s="1"/>
  <c r="N86" i="1"/>
  <c r="O86" i="1"/>
  <c r="Q134" i="1" a="1"/>
  <c r="Q134" i="1" s="1"/>
  <c r="P134" i="1" a="1"/>
  <c r="P134" i="1" s="1"/>
  <c r="N134" i="1"/>
  <c r="O134" i="1"/>
  <c r="Q158" i="1" a="1"/>
  <c r="Q158" i="1" s="1"/>
  <c r="P158" i="1" a="1"/>
  <c r="P158" i="1" s="1"/>
  <c r="N158" i="1"/>
  <c r="O158" i="1"/>
  <c r="Q214" i="1" a="1"/>
  <c r="Q214" i="1" s="1"/>
  <c r="N214" i="1"/>
  <c r="O214" i="1"/>
  <c r="P214" i="1" a="1"/>
  <c r="P214" i="1" s="1"/>
  <c r="N16" i="1"/>
  <c r="Q16" i="1" a="1"/>
  <c r="Q16" i="1" s="1"/>
  <c r="P16" i="1" a="1"/>
  <c r="P16" i="1" s="1"/>
  <c r="O16" i="1"/>
  <c r="P48" i="1" a="1"/>
  <c r="P48" i="1" s="1"/>
  <c r="N48" i="1"/>
  <c r="Q48" i="1" a="1"/>
  <c r="Q48" i="1" s="1"/>
  <c r="O48" i="1"/>
  <c r="N88" i="1"/>
  <c r="P88" i="1" a="1"/>
  <c r="P88" i="1" s="1"/>
  <c r="Q88" i="1" a="1"/>
  <c r="Q88" i="1" s="1"/>
  <c r="O88" i="1"/>
  <c r="N128" i="1"/>
  <c r="Q128" i="1" a="1"/>
  <c r="Q128" i="1" s="1"/>
  <c r="P128" i="1" a="1"/>
  <c r="P128" i="1" s="1"/>
  <c r="O128" i="1"/>
  <c r="P152" i="1" a="1"/>
  <c r="P152" i="1" s="1"/>
  <c r="N152" i="1"/>
  <c r="O152" i="1"/>
  <c r="Q152" i="1" a="1"/>
  <c r="Q152" i="1" s="1"/>
  <c r="P176" i="1" a="1"/>
  <c r="P176" i="1" s="1"/>
  <c r="Q176" i="1" a="1"/>
  <c r="Q176" i="1" s="1"/>
  <c r="N176" i="1"/>
  <c r="O176" i="1"/>
  <c r="Q224" i="1" a="1"/>
  <c r="Q224" i="1" s="1"/>
  <c r="P224" i="1" a="1"/>
  <c r="P224" i="1" s="1"/>
  <c r="O224" i="1"/>
  <c r="N224" i="1"/>
  <c r="N17" i="1"/>
  <c r="Q17" i="1" a="1"/>
  <c r="Q17" i="1" s="1"/>
  <c r="P17" i="1" a="1"/>
  <c r="P17" i="1" s="1"/>
  <c r="O17" i="1"/>
  <c r="Q11" i="1" a="1"/>
  <c r="Q11" i="1" s="1"/>
  <c r="P11" i="1" a="1"/>
  <c r="P11" i="1" s="1"/>
  <c r="N11" i="1"/>
  <c r="O11" i="1"/>
  <c r="P19" i="1" a="1"/>
  <c r="P19" i="1" s="1"/>
  <c r="Q19" i="1" a="1"/>
  <c r="Q19" i="1" s="1"/>
  <c r="N19" i="1"/>
  <c r="O19" i="1"/>
  <c r="P27" i="1" a="1"/>
  <c r="P27" i="1" s="1"/>
  <c r="Q27" i="1" a="1"/>
  <c r="Q27" i="1" s="1"/>
  <c r="N27" i="1"/>
  <c r="O27" i="1"/>
  <c r="P35" i="1" a="1"/>
  <c r="P35" i="1" s="1"/>
  <c r="N35" i="1"/>
  <c r="O35" i="1"/>
  <c r="Q35" i="1" a="1"/>
  <c r="Q35" i="1" s="1"/>
  <c r="P43" i="1" a="1"/>
  <c r="P43" i="1" s="1"/>
  <c r="Q43" i="1" a="1"/>
  <c r="Q43" i="1" s="1"/>
  <c r="O43" i="1"/>
  <c r="N43" i="1"/>
  <c r="Q51" i="1" a="1"/>
  <c r="Q51" i="1" s="1"/>
  <c r="P51" i="1" a="1"/>
  <c r="P51" i="1" s="1"/>
  <c r="N51" i="1"/>
  <c r="O51" i="1"/>
  <c r="Q59" i="1" a="1"/>
  <c r="Q59" i="1" s="1"/>
  <c r="P59" i="1" a="1"/>
  <c r="P59" i="1" s="1"/>
  <c r="O59" i="1"/>
  <c r="N59" i="1"/>
  <c r="Q67" i="1" a="1"/>
  <c r="Q67" i="1" s="1"/>
  <c r="P67" i="1" a="1"/>
  <c r="P67" i="1" s="1"/>
  <c r="N67" i="1"/>
  <c r="O67" i="1"/>
  <c r="Q75" i="1" a="1"/>
  <c r="Q75" i="1" s="1"/>
  <c r="N75" i="1"/>
  <c r="P75" i="1" a="1"/>
  <c r="P75" i="1" s="1"/>
  <c r="O75" i="1"/>
  <c r="Q83" i="1" a="1"/>
  <c r="Q83" i="1" s="1"/>
  <c r="P83" i="1" a="1"/>
  <c r="P83" i="1" s="1"/>
  <c r="N83" i="1"/>
  <c r="O83" i="1"/>
  <c r="Q91" i="1" a="1"/>
  <c r="Q91" i="1" s="1"/>
  <c r="N91" i="1"/>
  <c r="P91" i="1" a="1"/>
  <c r="P91" i="1" s="1"/>
  <c r="O91" i="1"/>
  <c r="Q99" i="1" a="1"/>
  <c r="Q99" i="1" s="1"/>
  <c r="N99" i="1"/>
  <c r="P99" i="1" a="1"/>
  <c r="P99" i="1" s="1"/>
  <c r="O99" i="1"/>
  <c r="Q107" i="1" a="1"/>
  <c r="Q107" i="1" s="1"/>
  <c r="P107" i="1" a="1"/>
  <c r="P107" i="1" s="1"/>
  <c r="N107" i="1"/>
  <c r="O107" i="1"/>
  <c r="Q115" i="1" a="1"/>
  <c r="Q115" i="1" s="1"/>
  <c r="N115" i="1"/>
  <c r="P115" i="1" a="1"/>
  <c r="P115" i="1" s="1"/>
  <c r="O115" i="1"/>
  <c r="Q123" i="1" a="1"/>
  <c r="Q123" i="1" s="1"/>
  <c r="P123" i="1" a="1"/>
  <c r="P123" i="1" s="1"/>
  <c r="N123" i="1"/>
  <c r="O123" i="1"/>
  <c r="Q131" i="1" a="1"/>
  <c r="Q131" i="1" s="1"/>
  <c r="P131" i="1" a="1"/>
  <c r="P131" i="1" s="1"/>
  <c r="N131" i="1"/>
  <c r="O131" i="1"/>
  <c r="Q139" i="1" a="1"/>
  <c r="Q139" i="1" s="1"/>
  <c r="P139" i="1" a="1"/>
  <c r="P139" i="1" s="1"/>
  <c r="N139" i="1"/>
  <c r="O139" i="1"/>
  <c r="Q147" i="1" a="1"/>
  <c r="Q147" i="1" s="1"/>
  <c r="P147" i="1" a="1"/>
  <c r="P147" i="1" s="1"/>
  <c r="N147" i="1"/>
  <c r="O147" i="1"/>
  <c r="Q155" i="1" a="1"/>
  <c r="Q155" i="1" s="1"/>
  <c r="P155" i="1" a="1"/>
  <c r="P155" i="1" s="1"/>
  <c r="N155" i="1"/>
  <c r="O155" i="1"/>
  <c r="Q163" i="1" a="1"/>
  <c r="Q163" i="1" s="1"/>
  <c r="P163" i="1" a="1"/>
  <c r="P163" i="1" s="1"/>
  <c r="N163" i="1"/>
  <c r="O163" i="1"/>
  <c r="Q171" i="1" a="1"/>
  <c r="Q171" i="1" s="1"/>
  <c r="N171" i="1"/>
  <c r="P171" i="1" a="1"/>
  <c r="P171" i="1" s="1"/>
  <c r="O171" i="1"/>
  <c r="Q179" i="1" a="1"/>
  <c r="Q179" i="1" s="1"/>
  <c r="O179" i="1"/>
  <c r="N179" i="1"/>
  <c r="P179" i="1" a="1"/>
  <c r="P179" i="1" s="1"/>
  <c r="Q187" i="1" a="1"/>
  <c r="Q187" i="1" s="1"/>
  <c r="P187" i="1" a="1"/>
  <c r="P187" i="1" s="1"/>
  <c r="N187" i="1"/>
  <c r="O187" i="1"/>
  <c r="Q195" i="1" a="1"/>
  <c r="Q195" i="1" s="1"/>
  <c r="P195" i="1" a="1"/>
  <c r="P195" i="1" s="1"/>
  <c r="N195" i="1"/>
  <c r="O195" i="1"/>
  <c r="Q203" i="1" a="1"/>
  <c r="Q203" i="1" s="1"/>
  <c r="P203" i="1" a="1"/>
  <c r="P203" i="1" s="1"/>
  <c r="O203" i="1"/>
  <c r="N203" i="1"/>
  <c r="Q211" i="1" a="1"/>
  <c r="Q211" i="1" s="1"/>
  <c r="P211" i="1" a="1"/>
  <c r="P211" i="1" s="1"/>
  <c r="N211" i="1"/>
  <c r="O211" i="1"/>
  <c r="Q219" i="1" a="1"/>
  <c r="Q219" i="1" s="1"/>
  <c r="P219" i="1" a="1"/>
  <c r="P219" i="1" s="1"/>
  <c r="O219" i="1"/>
  <c r="N219" i="1"/>
  <c r="Q227" i="1" a="1"/>
  <c r="Q227" i="1" s="1"/>
  <c r="P227" i="1" a="1"/>
  <c r="P227" i="1" s="1"/>
  <c r="N227" i="1"/>
  <c r="O227" i="1"/>
  <c r="Q235" i="1" a="1"/>
  <c r="Q235" i="1" s="1"/>
  <c r="P235" i="1" a="1"/>
  <c r="P235" i="1" s="1"/>
  <c r="N235" i="1"/>
  <c r="O235" i="1"/>
  <c r="Q243" i="1" a="1"/>
  <c r="Q243" i="1" s="1"/>
  <c r="P243" i="1" a="1"/>
  <c r="P243" i="1" s="1"/>
  <c r="O243" i="1"/>
  <c r="N243" i="1"/>
  <c r="Q45" i="1" a="1"/>
  <c r="Q45" i="1" s="1"/>
  <c r="N45" i="1"/>
  <c r="P45" i="1" a="1"/>
  <c r="P45" i="1" s="1"/>
  <c r="O45" i="1"/>
  <c r="Q93" i="1" a="1"/>
  <c r="Q93" i="1" s="1"/>
  <c r="N93" i="1"/>
  <c r="O93" i="1"/>
  <c r="P93" i="1" a="1"/>
  <c r="P93" i="1" s="1"/>
  <c r="Q141" i="1" a="1"/>
  <c r="Q141" i="1" s="1"/>
  <c r="P141" i="1" a="1"/>
  <c r="P141" i="1" s="1"/>
  <c r="N141" i="1"/>
  <c r="O141" i="1"/>
  <c r="P189" i="1" a="1"/>
  <c r="P189" i="1" s="1"/>
  <c r="Q189" i="1" a="1"/>
  <c r="Q189" i="1" s="1"/>
  <c r="O189" i="1"/>
  <c r="N189" i="1"/>
  <c r="P197" i="1" a="1"/>
  <c r="P197" i="1" s="1"/>
  <c r="Q197" i="1" a="1"/>
  <c r="Q197" i="1" s="1"/>
  <c r="O197" i="1"/>
  <c r="N197" i="1"/>
  <c r="Q22" i="1" a="1"/>
  <c r="Q22" i="1" s="1"/>
  <c r="N22" i="1"/>
  <c r="O22" i="1"/>
  <c r="P22" i="1" a="1"/>
  <c r="P22" i="1" s="1"/>
  <c r="Q62" i="1" a="1"/>
  <c r="Q62" i="1" s="1"/>
  <c r="P62" i="1" a="1"/>
  <c r="P62" i="1" s="1"/>
  <c r="N62" i="1"/>
  <c r="O62" i="1"/>
  <c r="P110" i="1" a="1"/>
  <c r="P110" i="1" s="1"/>
  <c r="Q110" i="1" a="1"/>
  <c r="Q110" i="1" s="1"/>
  <c r="N110" i="1"/>
  <c r="O110" i="1"/>
  <c r="P182" i="1" a="1"/>
  <c r="P182" i="1" s="1"/>
  <c r="Q182" i="1" a="1"/>
  <c r="Q182" i="1" s="1"/>
  <c r="N182" i="1"/>
  <c r="O182" i="1"/>
  <c r="Q206" i="1" a="1"/>
  <c r="Q206" i="1" s="1"/>
  <c r="P206" i="1" a="1"/>
  <c r="P206" i="1" s="1"/>
  <c r="N206" i="1"/>
  <c r="O206" i="1"/>
  <c r="Q24" i="1" a="1"/>
  <c r="Q24" i="1" s="1"/>
  <c r="N24" i="1"/>
  <c r="P24" i="1" a="1"/>
  <c r="P24" i="1" s="1"/>
  <c r="O24" i="1"/>
  <c r="P64" i="1" a="1"/>
  <c r="P64" i="1" s="1"/>
  <c r="N64" i="1"/>
  <c r="Q64" i="1" a="1"/>
  <c r="Q64" i="1" s="1"/>
  <c r="O64" i="1"/>
  <c r="N112" i="1"/>
  <c r="Q112" i="1" a="1"/>
  <c r="Q112" i="1" s="1"/>
  <c r="P112" i="1" a="1"/>
  <c r="P112" i="1" s="1"/>
  <c r="O112" i="1"/>
  <c r="Q136" i="1" a="1"/>
  <c r="Q136" i="1" s="1"/>
  <c r="P136" i="1" a="1"/>
  <c r="P136" i="1" s="1"/>
  <c r="N136" i="1"/>
  <c r="O136" i="1"/>
  <c r="P168" i="1" a="1"/>
  <c r="P168" i="1" s="1"/>
  <c r="O168" i="1"/>
  <c r="N168" i="1"/>
  <c r="Q168" i="1" a="1"/>
  <c r="Q168" i="1" s="1"/>
  <c r="Q200" i="1" a="1"/>
  <c r="Q200" i="1" s="1"/>
  <c r="N200" i="1"/>
  <c r="O200" i="1"/>
  <c r="P200" i="1" a="1"/>
  <c r="P200" i="1" s="1"/>
  <c r="Q12" i="1" a="1"/>
  <c r="Q12" i="1" s="1"/>
  <c r="P12" i="1" a="1"/>
  <c r="P12" i="1" s="1"/>
  <c r="N12" i="1"/>
  <c r="O12" i="1"/>
  <c r="P20" i="1" a="1"/>
  <c r="P20" i="1" s="1"/>
  <c r="Q20" i="1" a="1"/>
  <c r="Q20" i="1" s="1"/>
  <c r="N20" i="1"/>
  <c r="O20" i="1"/>
  <c r="P28" i="1" a="1"/>
  <c r="P28" i="1" s="1"/>
  <c r="Q28" i="1" a="1"/>
  <c r="Q28" i="1" s="1"/>
  <c r="N28" i="1"/>
  <c r="O28" i="1"/>
  <c r="Q36" i="1" a="1"/>
  <c r="Q36" i="1" s="1"/>
  <c r="P36" i="1" a="1"/>
  <c r="P36" i="1" s="1"/>
  <c r="O36" i="1"/>
  <c r="N36" i="1"/>
  <c r="Q44" i="1" a="1"/>
  <c r="Q44" i="1" s="1"/>
  <c r="P44" i="1" a="1"/>
  <c r="P44" i="1" s="1"/>
  <c r="N44" i="1"/>
  <c r="O44" i="1"/>
  <c r="Q52" i="1" a="1"/>
  <c r="Q52" i="1" s="1"/>
  <c r="P52" i="1" a="1"/>
  <c r="P52" i="1" s="1"/>
  <c r="N52" i="1"/>
  <c r="O52" i="1"/>
  <c r="Q60" i="1" a="1"/>
  <c r="Q60" i="1" s="1"/>
  <c r="P60" i="1" a="1"/>
  <c r="P60" i="1" s="1"/>
  <c r="N60" i="1"/>
  <c r="O60" i="1"/>
  <c r="Q68" i="1" a="1"/>
  <c r="Q68" i="1" s="1"/>
  <c r="P68" i="1" a="1"/>
  <c r="P68" i="1" s="1"/>
  <c r="N68" i="1"/>
  <c r="O68" i="1"/>
  <c r="Q76" i="1" a="1"/>
  <c r="Q76" i="1" s="1"/>
  <c r="N76" i="1"/>
  <c r="O76" i="1"/>
  <c r="P76" i="1" a="1"/>
  <c r="P76" i="1" s="1"/>
  <c r="Q84" i="1" a="1"/>
  <c r="Q84" i="1" s="1"/>
  <c r="P84" i="1" a="1"/>
  <c r="P84" i="1" s="1"/>
  <c r="N84" i="1"/>
  <c r="O84" i="1"/>
  <c r="Q92" i="1" a="1"/>
  <c r="Q92" i="1" s="1"/>
  <c r="P92" i="1" a="1"/>
  <c r="P92" i="1" s="1"/>
  <c r="N92" i="1"/>
  <c r="O92" i="1"/>
  <c r="Q100" i="1" a="1"/>
  <c r="Q100" i="1" s="1"/>
  <c r="P100" i="1" a="1"/>
  <c r="P100" i="1" s="1"/>
  <c r="N100" i="1"/>
  <c r="O100" i="1"/>
  <c r="Q108" i="1" a="1"/>
  <c r="Q108" i="1" s="1"/>
  <c r="N108" i="1"/>
  <c r="P108" i="1" a="1"/>
  <c r="P108" i="1" s="1"/>
  <c r="O108" i="1"/>
  <c r="P116" i="1" a="1"/>
  <c r="P116" i="1" s="1"/>
  <c r="Q116" i="1" a="1"/>
  <c r="Q116" i="1" s="1"/>
  <c r="N116" i="1"/>
  <c r="O116" i="1"/>
  <c r="Q124" i="1" a="1"/>
  <c r="Q124" i="1" s="1"/>
  <c r="P124" i="1" a="1"/>
  <c r="P124" i="1" s="1"/>
  <c r="N124" i="1"/>
  <c r="O124" i="1"/>
  <c r="Q132" i="1" a="1"/>
  <c r="Q132" i="1" s="1"/>
  <c r="P132" i="1" a="1"/>
  <c r="P132" i="1" s="1"/>
  <c r="N132" i="1"/>
  <c r="O132" i="1"/>
  <c r="Q140" i="1" a="1"/>
  <c r="Q140" i="1" s="1"/>
  <c r="P140" i="1" a="1"/>
  <c r="P140" i="1" s="1"/>
  <c r="O140" i="1"/>
  <c r="N140" i="1"/>
  <c r="Q148" i="1" a="1"/>
  <c r="Q148" i="1" s="1"/>
  <c r="P148" i="1" a="1"/>
  <c r="P148" i="1" s="1"/>
  <c r="N148" i="1"/>
  <c r="O148" i="1"/>
  <c r="Q156" i="1" a="1"/>
  <c r="Q156" i="1" s="1"/>
  <c r="N156" i="1"/>
  <c r="O156" i="1"/>
  <c r="P156" i="1" a="1"/>
  <c r="P156" i="1" s="1"/>
  <c r="Q164" i="1" a="1"/>
  <c r="Q164" i="1" s="1"/>
  <c r="P164" i="1" a="1"/>
  <c r="P164" i="1" s="1"/>
  <c r="N164" i="1"/>
  <c r="O164" i="1"/>
  <c r="Q172" i="1" a="1"/>
  <c r="Q172" i="1" s="1"/>
  <c r="P172" i="1" a="1"/>
  <c r="P172" i="1" s="1"/>
  <c r="O172" i="1"/>
  <c r="N172" i="1"/>
  <c r="Q180" i="1" a="1"/>
  <c r="Q180" i="1" s="1"/>
  <c r="P180" i="1" a="1"/>
  <c r="P180" i="1" s="1"/>
  <c r="N180" i="1"/>
  <c r="O180" i="1"/>
  <c r="Q188" i="1" a="1"/>
  <c r="Q188" i="1" s="1"/>
  <c r="N188" i="1"/>
  <c r="P188" i="1" a="1"/>
  <c r="P188" i="1" s="1"/>
  <c r="O188" i="1"/>
  <c r="Q196" i="1" a="1"/>
  <c r="Q196" i="1" s="1"/>
  <c r="N196" i="1"/>
  <c r="P196" i="1" a="1"/>
  <c r="P196" i="1" s="1"/>
  <c r="O196" i="1"/>
  <c r="Q204" i="1" a="1"/>
  <c r="Q204" i="1" s="1"/>
  <c r="P204" i="1" a="1"/>
  <c r="P204" i="1" s="1"/>
  <c r="N204" i="1"/>
  <c r="O204" i="1"/>
  <c r="Q212" i="1" a="1"/>
  <c r="Q212" i="1" s="1"/>
  <c r="P212" i="1" a="1"/>
  <c r="P212" i="1" s="1"/>
  <c r="N212" i="1"/>
  <c r="O212" i="1"/>
  <c r="Q220" i="1" a="1"/>
  <c r="Q220" i="1" s="1"/>
  <c r="P220" i="1" a="1"/>
  <c r="P220" i="1" s="1"/>
  <c r="N220" i="1"/>
  <c r="O220" i="1"/>
  <c r="Q228" i="1" a="1"/>
  <c r="Q228" i="1" s="1"/>
  <c r="P228" i="1" a="1"/>
  <c r="P228" i="1" s="1"/>
  <c r="N228" i="1"/>
  <c r="O228" i="1"/>
  <c r="Q236" i="1" a="1"/>
  <c r="Q236" i="1" s="1"/>
  <c r="N236" i="1"/>
  <c r="P236" i="1" a="1"/>
  <c r="P236" i="1" s="1"/>
  <c r="O236" i="1"/>
  <c r="Q244" i="1" a="1"/>
  <c r="Q244" i="1" s="1"/>
  <c r="N244" i="1"/>
  <c r="P244" i="1" a="1"/>
  <c r="P244" i="1" s="1"/>
  <c r="O244" i="1"/>
  <c r="B14" i="7" l="1"/>
  <c r="C16" i="13"/>
  <c r="C16" i="14"/>
  <c r="D17" i="13"/>
  <c r="B17" i="14"/>
  <c r="D17" i="14" s="1"/>
  <c r="B18" i="13"/>
  <c r="A14" i="12"/>
  <c r="F13" i="12"/>
  <c r="B16" i="12"/>
  <c r="G15" i="12"/>
  <c r="B15" i="10"/>
  <c r="G14" i="10"/>
  <c r="A14" i="10"/>
  <c r="F14" i="10" s="1"/>
  <c r="AQ4" i="7"/>
  <c r="AR4" i="7"/>
  <c r="M17" i="8"/>
  <c r="AU4" i="7"/>
  <c r="AV4" i="7"/>
  <c r="O5" i="7"/>
  <c r="P5" i="7"/>
  <c r="N5" i="7"/>
  <c r="M207" i="1"/>
  <c r="R207" i="1" s="1"/>
  <c r="K207" i="1" s="1"/>
  <c r="S207" i="1"/>
  <c r="L207" i="1" s="1"/>
  <c r="M236" i="1"/>
  <c r="M220" i="1"/>
  <c r="M204" i="1"/>
  <c r="M188" i="1"/>
  <c r="M124" i="1"/>
  <c r="M108" i="1"/>
  <c r="M92" i="1"/>
  <c r="M60" i="1"/>
  <c r="M44" i="1"/>
  <c r="M28" i="1"/>
  <c r="M12" i="1"/>
  <c r="M112" i="1"/>
  <c r="M24" i="1"/>
  <c r="M182" i="1"/>
  <c r="M62" i="1"/>
  <c r="M141" i="1"/>
  <c r="M45" i="1"/>
  <c r="M235" i="1"/>
  <c r="M187" i="1"/>
  <c r="M171" i="1"/>
  <c r="M155" i="1"/>
  <c r="M139" i="1"/>
  <c r="M123" i="1"/>
  <c r="M107" i="1"/>
  <c r="M91" i="1"/>
  <c r="M75" i="1"/>
  <c r="M27" i="1"/>
  <c r="M11" i="1"/>
  <c r="M88" i="1"/>
  <c r="M16" i="1"/>
  <c r="M158" i="1"/>
  <c r="M86" i="1"/>
  <c r="M5" i="1"/>
  <c r="M234" i="1"/>
  <c r="M218" i="1"/>
  <c r="M202" i="1"/>
  <c r="M186" i="1"/>
  <c r="M170" i="1"/>
  <c r="M154" i="1"/>
  <c r="M138" i="1"/>
  <c r="M122" i="1"/>
  <c r="M106" i="1"/>
  <c r="M90" i="1"/>
  <c r="M74" i="1"/>
  <c r="M58" i="1"/>
  <c r="M42" i="1"/>
  <c r="M26" i="1"/>
  <c r="M10" i="1"/>
  <c r="M72" i="1"/>
  <c r="M238" i="1"/>
  <c r="M118" i="1"/>
  <c r="M38" i="1"/>
  <c r="M241" i="1"/>
  <c r="M209" i="1"/>
  <c r="M177" i="1"/>
  <c r="M161" i="1"/>
  <c r="M145" i="1"/>
  <c r="M129" i="1"/>
  <c r="M113" i="1"/>
  <c r="M97" i="1"/>
  <c r="M81" i="1"/>
  <c r="M65" i="1"/>
  <c r="M49" i="1"/>
  <c r="M25" i="1"/>
  <c r="M80" i="1"/>
  <c r="M8" i="1"/>
  <c r="M94" i="1"/>
  <c r="M125" i="1"/>
  <c r="M37" i="1"/>
  <c r="M56" i="1"/>
  <c r="M150" i="1"/>
  <c r="M54" i="1"/>
  <c r="M117" i="1"/>
  <c r="M13" i="1"/>
  <c r="M103" i="1"/>
  <c r="M87" i="1"/>
  <c r="M71" i="1"/>
  <c r="M39" i="1"/>
  <c r="M23" i="1"/>
  <c r="M7" i="1"/>
  <c r="M190" i="1"/>
  <c r="M70" i="1"/>
  <c r="M133" i="1"/>
  <c r="M29" i="1"/>
  <c r="M244" i="1"/>
  <c r="M228" i="1"/>
  <c r="M212" i="1"/>
  <c r="M196" i="1"/>
  <c r="M180" i="1"/>
  <c r="M164" i="1"/>
  <c r="M148" i="1"/>
  <c r="M132" i="1"/>
  <c r="M116" i="1"/>
  <c r="M100" i="1"/>
  <c r="M84" i="1"/>
  <c r="M68" i="1"/>
  <c r="M52" i="1"/>
  <c r="M20" i="1"/>
  <c r="M136" i="1"/>
  <c r="M64" i="1"/>
  <c r="M206" i="1"/>
  <c r="M110" i="1"/>
  <c r="M227" i="1"/>
  <c r="M211" i="1"/>
  <c r="M195" i="1"/>
  <c r="M163" i="1"/>
  <c r="M147" i="1"/>
  <c r="M131" i="1"/>
  <c r="M115" i="1"/>
  <c r="M99" i="1"/>
  <c r="M83" i="1"/>
  <c r="M172" i="1"/>
  <c r="M156" i="1"/>
  <c r="M140" i="1"/>
  <c r="M76" i="1"/>
  <c r="M197" i="1"/>
  <c r="M219" i="1"/>
  <c r="M203" i="1"/>
  <c r="M59" i="1"/>
  <c r="M43" i="1"/>
  <c r="M224" i="1"/>
  <c r="M152" i="1"/>
  <c r="M101" i="1"/>
  <c r="M160" i="1"/>
  <c r="M165" i="1"/>
  <c r="M61" i="1"/>
  <c r="M225" i="1"/>
  <c r="M193" i="1"/>
  <c r="M174" i="1"/>
  <c r="M213" i="1"/>
  <c r="M205" i="1"/>
  <c r="M199" i="1"/>
  <c r="M183" i="1"/>
  <c r="M167" i="1"/>
  <c r="M135" i="1"/>
  <c r="M119" i="1"/>
  <c r="M55" i="1"/>
  <c r="M168" i="1"/>
  <c r="M237" i="1"/>
  <c r="M208" i="1"/>
  <c r="M216" i="1"/>
  <c r="M144" i="1"/>
  <c r="M232" i="1"/>
  <c r="M215" i="1"/>
  <c r="M151" i="1"/>
  <c r="M229" i="1"/>
  <c r="M231" i="1"/>
  <c r="M67" i="1"/>
  <c r="M51" i="1"/>
  <c r="M19" i="1"/>
  <c r="M17" i="1"/>
  <c r="M176" i="1"/>
  <c r="M128" i="1"/>
  <c r="M48" i="1"/>
  <c r="M134" i="1"/>
  <c r="M30" i="1"/>
  <c r="M242" i="1"/>
  <c r="M226" i="1"/>
  <c r="M210" i="1"/>
  <c r="M178" i="1"/>
  <c r="M130" i="1"/>
  <c r="M98" i="1"/>
  <c r="M66" i="1"/>
  <c r="M34" i="1"/>
  <c r="M18" i="1"/>
  <c r="M33" i="1"/>
  <c r="M104" i="1"/>
  <c r="M32" i="1"/>
  <c r="M166" i="1"/>
  <c r="M109" i="1"/>
  <c r="M21" i="1"/>
  <c r="M233" i="1"/>
  <c r="M217" i="1"/>
  <c r="M201" i="1"/>
  <c r="M169" i="1"/>
  <c r="M153" i="1"/>
  <c r="M137" i="1"/>
  <c r="M121" i="1"/>
  <c r="M105" i="1"/>
  <c r="M89" i="1"/>
  <c r="M73" i="1"/>
  <c r="M57" i="1"/>
  <c r="M41" i="1"/>
  <c r="M9" i="1"/>
  <c r="M184" i="1"/>
  <c r="M222" i="1"/>
  <c r="M126" i="1"/>
  <c r="M46" i="1"/>
  <c r="M173" i="1"/>
  <c r="M77" i="1"/>
  <c r="M96" i="1"/>
  <c r="M230" i="1"/>
  <c r="M102" i="1"/>
  <c r="M6" i="1"/>
  <c r="M127" i="1"/>
  <c r="M111" i="1"/>
  <c r="M95" i="1"/>
  <c r="M79" i="1"/>
  <c r="M63" i="1"/>
  <c r="M47" i="1"/>
  <c r="M198" i="1"/>
  <c r="M36" i="1"/>
  <c r="M200" i="1"/>
  <c r="M22" i="1"/>
  <c r="M189" i="1"/>
  <c r="M93" i="1"/>
  <c r="M243" i="1"/>
  <c r="M35" i="1"/>
  <c r="M214" i="1"/>
  <c r="M149" i="1"/>
  <c r="M53" i="1"/>
  <c r="M194" i="1"/>
  <c r="M162" i="1"/>
  <c r="M146" i="1"/>
  <c r="M114" i="1"/>
  <c r="M82" i="1"/>
  <c r="M50" i="1"/>
  <c r="M78" i="1"/>
  <c r="M221" i="1"/>
  <c r="M185" i="1"/>
  <c r="M120" i="1"/>
  <c r="M40" i="1"/>
  <c r="M240" i="1"/>
  <c r="M157" i="1"/>
  <c r="M69" i="1"/>
  <c r="M223" i="1"/>
  <c r="M159" i="1"/>
  <c r="M143" i="1"/>
  <c r="M31" i="1"/>
  <c r="M15" i="1"/>
  <c r="M142" i="1"/>
  <c r="M14" i="1"/>
  <c r="M181" i="1"/>
  <c r="M85" i="1"/>
  <c r="M179" i="1"/>
  <c r="M192" i="1"/>
  <c r="M239" i="1"/>
  <c r="M191" i="1"/>
  <c r="M175" i="1"/>
  <c r="P4" i="1" a="1"/>
  <c r="P4" i="1" s="1"/>
  <c r="N4" i="1"/>
  <c r="O4" i="1"/>
  <c r="Q4" i="1" a="1"/>
  <c r="Q4" i="1" s="1"/>
  <c r="BG46" i="1"/>
  <c r="BG45" i="1"/>
  <c r="AZ45" i="1"/>
  <c r="AX45" i="1"/>
  <c r="AX40" i="1"/>
  <c r="BC40" i="1" s="1"/>
  <c r="BF40" i="1" s="1"/>
  <c r="AX41" i="1"/>
  <c r="BC41" i="1" s="1"/>
  <c r="BF41" i="1" s="1"/>
  <c r="AR42" i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C5" i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B15" i="7" l="1"/>
  <c r="C17" i="13"/>
  <c r="C17" i="14"/>
  <c r="D18" i="13"/>
  <c r="B18" i="14"/>
  <c r="D18" i="14" s="1"/>
  <c r="B19" i="13"/>
  <c r="B17" i="12"/>
  <c r="G16" i="12"/>
  <c r="A15" i="12"/>
  <c r="F14" i="12"/>
  <c r="B16" i="10"/>
  <c r="G15" i="10"/>
  <c r="A15" i="10"/>
  <c r="F15" i="10" s="1"/>
  <c r="N17" i="8"/>
  <c r="E4" i="7"/>
  <c r="F4" i="7"/>
  <c r="D207" i="1"/>
  <c r="R85" i="1"/>
  <c r="K85" i="1" s="1"/>
  <c r="S85" i="1"/>
  <c r="L85" i="1" s="1"/>
  <c r="R222" i="1"/>
  <c r="K222" i="1" s="1"/>
  <c r="S222" i="1"/>
  <c r="L222" i="1" s="1"/>
  <c r="R168" i="1"/>
  <c r="K168" i="1" s="1"/>
  <c r="S168" i="1"/>
  <c r="L168" i="1" s="1"/>
  <c r="R164" i="1"/>
  <c r="K164" i="1" s="1"/>
  <c r="S164" i="1"/>
  <c r="L164" i="1" s="1"/>
  <c r="R42" i="1"/>
  <c r="K42" i="1" s="1"/>
  <c r="S42" i="1"/>
  <c r="L42" i="1" s="1"/>
  <c r="R214" i="1"/>
  <c r="K214" i="1" s="1"/>
  <c r="S214" i="1"/>
  <c r="L214" i="1" s="1"/>
  <c r="R166" i="1"/>
  <c r="K166" i="1" s="1"/>
  <c r="S166" i="1"/>
  <c r="L166" i="1" s="1"/>
  <c r="R174" i="1"/>
  <c r="K174" i="1" s="1"/>
  <c r="S174" i="1"/>
  <c r="L174" i="1" s="1"/>
  <c r="R180" i="1"/>
  <c r="K180" i="1" s="1"/>
  <c r="S180" i="1"/>
  <c r="L180" i="1" s="1"/>
  <c r="R241" i="1"/>
  <c r="K241" i="1" s="1"/>
  <c r="S241" i="1"/>
  <c r="L241" i="1" s="1"/>
  <c r="R192" i="1"/>
  <c r="K192" i="1" s="1"/>
  <c r="S192" i="1"/>
  <c r="L192" i="1" s="1"/>
  <c r="R143" i="1"/>
  <c r="K143" i="1" s="1"/>
  <c r="S143" i="1"/>
  <c r="L143" i="1" s="1"/>
  <c r="R185" i="1"/>
  <c r="K185" i="1" s="1"/>
  <c r="S185" i="1"/>
  <c r="L185" i="1" s="1"/>
  <c r="R194" i="1"/>
  <c r="K194" i="1" s="1"/>
  <c r="S194" i="1"/>
  <c r="L194" i="1" s="1"/>
  <c r="R22" i="1"/>
  <c r="K22" i="1" s="1"/>
  <c r="S22" i="1"/>
  <c r="L22" i="1" s="1"/>
  <c r="R111" i="1"/>
  <c r="K111" i="1" s="1"/>
  <c r="S111" i="1"/>
  <c r="L111" i="1" s="1"/>
  <c r="R46" i="1"/>
  <c r="K46" i="1" s="1"/>
  <c r="S46" i="1"/>
  <c r="L46" i="1" s="1"/>
  <c r="R89" i="1"/>
  <c r="K89" i="1" s="1"/>
  <c r="S89" i="1"/>
  <c r="L89" i="1" s="1"/>
  <c r="R233" i="1"/>
  <c r="K233" i="1" s="1"/>
  <c r="S233" i="1"/>
  <c r="L233" i="1" s="1"/>
  <c r="R34" i="1"/>
  <c r="K34" i="1" s="1"/>
  <c r="S34" i="1"/>
  <c r="L34" i="1" s="1"/>
  <c r="R30" i="1"/>
  <c r="K30" i="1" s="1"/>
  <c r="S30" i="1"/>
  <c r="L30" i="1" s="1"/>
  <c r="R67" i="1"/>
  <c r="K67" i="1" s="1"/>
  <c r="S67" i="1"/>
  <c r="L67" i="1" s="1"/>
  <c r="R208" i="1"/>
  <c r="K208" i="1" s="1"/>
  <c r="S208" i="1"/>
  <c r="L208" i="1" s="1"/>
  <c r="R199" i="1"/>
  <c r="K199" i="1" s="1"/>
  <c r="S199" i="1"/>
  <c r="L199" i="1" s="1"/>
  <c r="R160" i="1"/>
  <c r="K160" i="1" s="1"/>
  <c r="S160" i="1"/>
  <c r="L160" i="1" s="1"/>
  <c r="R197" i="1"/>
  <c r="K197" i="1" s="1"/>
  <c r="S197" i="1"/>
  <c r="L197" i="1" s="1"/>
  <c r="R131" i="1"/>
  <c r="K131" i="1" s="1"/>
  <c r="S131" i="1"/>
  <c r="L131" i="1" s="1"/>
  <c r="R64" i="1"/>
  <c r="K64" i="1" s="1"/>
  <c r="S64" i="1"/>
  <c r="L64" i="1" s="1"/>
  <c r="R132" i="1"/>
  <c r="K132" i="1" s="1"/>
  <c r="S132" i="1"/>
  <c r="L132" i="1" s="1"/>
  <c r="R7" i="1"/>
  <c r="K7" i="1" s="1"/>
  <c r="S7" i="1"/>
  <c r="L7" i="1" s="1"/>
  <c r="R54" i="1"/>
  <c r="K54" i="1" s="1"/>
  <c r="S54" i="1"/>
  <c r="L54" i="1" s="1"/>
  <c r="R25" i="1"/>
  <c r="K25" i="1" s="1"/>
  <c r="S25" i="1"/>
  <c r="L25" i="1" s="1"/>
  <c r="R161" i="1"/>
  <c r="K161" i="1" s="1"/>
  <c r="S161" i="1"/>
  <c r="L161" i="1" s="1"/>
  <c r="R10" i="1"/>
  <c r="K10" i="1" s="1"/>
  <c r="S10" i="1"/>
  <c r="L10" i="1" s="1"/>
  <c r="R138" i="1"/>
  <c r="K138" i="1" s="1"/>
  <c r="S138" i="1"/>
  <c r="L138" i="1" s="1"/>
  <c r="R86" i="1"/>
  <c r="K86" i="1" s="1"/>
  <c r="S86" i="1"/>
  <c r="L86" i="1" s="1"/>
  <c r="R107" i="1"/>
  <c r="K107" i="1" s="1"/>
  <c r="S107" i="1"/>
  <c r="L107" i="1" s="1"/>
  <c r="R141" i="1"/>
  <c r="K141" i="1" s="1"/>
  <c r="S141" i="1"/>
  <c r="L141" i="1" s="1"/>
  <c r="R60" i="1"/>
  <c r="K60" i="1" s="1"/>
  <c r="S60" i="1"/>
  <c r="L60" i="1" s="1"/>
  <c r="R78" i="1"/>
  <c r="K78" i="1" s="1"/>
  <c r="S78" i="1"/>
  <c r="L78" i="1" s="1"/>
  <c r="R109" i="1"/>
  <c r="K109" i="1" s="1"/>
  <c r="S109" i="1"/>
  <c r="L109" i="1" s="1"/>
  <c r="R152" i="1"/>
  <c r="K152" i="1" s="1"/>
  <c r="S152" i="1"/>
  <c r="L152" i="1" s="1"/>
  <c r="R209" i="1"/>
  <c r="K209" i="1" s="1"/>
  <c r="S209" i="1"/>
  <c r="L209" i="1" s="1"/>
  <c r="R182" i="1"/>
  <c r="K182" i="1" s="1"/>
  <c r="S182" i="1"/>
  <c r="L182" i="1" s="1"/>
  <c r="R179" i="1"/>
  <c r="K179" i="1" s="1"/>
  <c r="S179" i="1"/>
  <c r="L179" i="1" s="1"/>
  <c r="R159" i="1"/>
  <c r="K159" i="1" s="1"/>
  <c r="S159" i="1"/>
  <c r="L159" i="1" s="1"/>
  <c r="R221" i="1"/>
  <c r="K221" i="1" s="1"/>
  <c r="S221" i="1"/>
  <c r="L221" i="1" s="1"/>
  <c r="R53" i="1"/>
  <c r="K53" i="1" s="1"/>
  <c r="S53" i="1"/>
  <c r="L53" i="1" s="1"/>
  <c r="R200" i="1"/>
  <c r="K200" i="1" s="1"/>
  <c r="S200" i="1"/>
  <c r="L200" i="1" s="1"/>
  <c r="R127" i="1"/>
  <c r="K127" i="1" s="1"/>
  <c r="S127" i="1"/>
  <c r="L127" i="1" s="1"/>
  <c r="R126" i="1"/>
  <c r="K126" i="1" s="1"/>
  <c r="S126" i="1"/>
  <c r="L126" i="1" s="1"/>
  <c r="R105" i="1"/>
  <c r="K105" i="1" s="1"/>
  <c r="S105" i="1"/>
  <c r="L105" i="1" s="1"/>
  <c r="R21" i="1"/>
  <c r="K21" i="1" s="1"/>
  <c r="S21" i="1"/>
  <c r="L21" i="1" s="1"/>
  <c r="R66" i="1"/>
  <c r="K66" i="1" s="1"/>
  <c r="S66" i="1"/>
  <c r="L66" i="1" s="1"/>
  <c r="R134" i="1"/>
  <c r="K134" i="1" s="1"/>
  <c r="S134" i="1"/>
  <c r="L134" i="1" s="1"/>
  <c r="R231" i="1"/>
  <c r="K231" i="1" s="1"/>
  <c r="S231" i="1"/>
  <c r="L231" i="1" s="1"/>
  <c r="R237" i="1"/>
  <c r="K237" i="1" s="1"/>
  <c r="S237" i="1"/>
  <c r="L237" i="1" s="1"/>
  <c r="R205" i="1"/>
  <c r="K205" i="1" s="1"/>
  <c r="S205" i="1"/>
  <c r="L205" i="1" s="1"/>
  <c r="R101" i="1"/>
  <c r="K101" i="1" s="1"/>
  <c r="S101" i="1"/>
  <c r="L101" i="1" s="1"/>
  <c r="R76" i="1"/>
  <c r="K76" i="1" s="1"/>
  <c r="S76" i="1"/>
  <c r="L76" i="1" s="1"/>
  <c r="R147" i="1"/>
  <c r="K147" i="1" s="1"/>
  <c r="S147" i="1"/>
  <c r="L147" i="1" s="1"/>
  <c r="R136" i="1"/>
  <c r="K136" i="1" s="1"/>
  <c r="S136" i="1"/>
  <c r="L136" i="1" s="1"/>
  <c r="R148" i="1"/>
  <c r="K148" i="1" s="1"/>
  <c r="S148" i="1"/>
  <c r="L148" i="1" s="1"/>
  <c r="R23" i="1"/>
  <c r="K23" i="1" s="1"/>
  <c r="S23" i="1"/>
  <c r="L23" i="1" s="1"/>
  <c r="R150" i="1"/>
  <c r="K150" i="1" s="1"/>
  <c r="S150" i="1"/>
  <c r="L150" i="1" s="1"/>
  <c r="R49" i="1"/>
  <c r="K49" i="1" s="1"/>
  <c r="S49" i="1"/>
  <c r="L49" i="1" s="1"/>
  <c r="R177" i="1"/>
  <c r="K177" i="1" s="1"/>
  <c r="S177" i="1"/>
  <c r="L177" i="1" s="1"/>
  <c r="R26" i="1"/>
  <c r="K26" i="1" s="1"/>
  <c r="S26" i="1"/>
  <c r="L26" i="1" s="1"/>
  <c r="R154" i="1"/>
  <c r="K154" i="1" s="1"/>
  <c r="S154" i="1"/>
  <c r="L154" i="1" s="1"/>
  <c r="R158" i="1"/>
  <c r="K158" i="1" s="1"/>
  <c r="S158" i="1"/>
  <c r="L158" i="1" s="1"/>
  <c r="R123" i="1"/>
  <c r="K123" i="1" s="1"/>
  <c r="S123" i="1"/>
  <c r="L123" i="1" s="1"/>
  <c r="R62" i="1"/>
  <c r="K62" i="1" s="1"/>
  <c r="S62" i="1"/>
  <c r="L62" i="1" s="1"/>
  <c r="R92" i="1"/>
  <c r="K92" i="1" s="1"/>
  <c r="S92" i="1"/>
  <c r="L92" i="1" s="1"/>
  <c r="R24" i="1"/>
  <c r="K24" i="1" s="1"/>
  <c r="S24" i="1"/>
  <c r="L24" i="1" s="1"/>
  <c r="R124" i="1"/>
  <c r="K124" i="1" s="1"/>
  <c r="S124" i="1"/>
  <c r="L124" i="1" s="1"/>
  <c r="R223" i="1"/>
  <c r="K223" i="1" s="1"/>
  <c r="S223" i="1"/>
  <c r="L223" i="1" s="1"/>
  <c r="R121" i="1"/>
  <c r="K121" i="1" s="1"/>
  <c r="S121" i="1"/>
  <c r="L121" i="1" s="1"/>
  <c r="R213" i="1"/>
  <c r="K213" i="1" s="1"/>
  <c r="S213" i="1"/>
  <c r="L213" i="1" s="1"/>
  <c r="R39" i="1"/>
  <c r="K39" i="1" s="1"/>
  <c r="S39" i="1"/>
  <c r="L39" i="1" s="1"/>
  <c r="R16" i="1"/>
  <c r="K16" i="1" s="1"/>
  <c r="S16" i="1"/>
  <c r="L16" i="1" s="1"/>
  <c r="R50" i="1"/>
  <c r="K50" i="1" s="1"/>
  <c r="S50" i="1"/>
  <c r="L50" i="1" s="1"/>
  <c r="R137" i="1"/>
  <c r="K137" i="1" s="1"/>
  <c r="S137" i="1"/>
  <c r="L137" i="1" s="1"/>
  <c r="R55" i="1"/>
  <c r="K55" i="1" s="1"/>
  <c r="S55" i="1"/>
  <c r="L55" i="1" s="1"/>
  <c r="R52" i="1"/>
  <c r="K52" i="1" s="1"/>
  <c r="S52" i="1"/>
  <c r="L52" i="1" s="1"/>
  <c r="R88" i="1"/>
  <c r="K88" i="1" s="1"/>
  <c r="S88" i="1"/>
  <c r="L88" i="1" s="1"/>
  <c r="R14" i="1"/>
  <c r="K14" i="1" s="1"/>
  <c r="S14" i="1"/>
  <c r="L14" i="1" s="1"/>
  <c r="R157" i="1"/>
  <c r="K157" i="1" s="1"/>
  <c r="S157" i="1"/>
  <c r="L157" i="1" s="1"/>
  <c r="R82" i="1"/>
  <c r="K82" i="1" s="1"/>
  <c r="S82" i="1"/>
  <c r="L82" i="1" s="1"/>
  <c r="R35" i="1"/>
  <c r="K35" i="1" s="1"/>
  <c r="S35" i="1"/>
  <c r="L35" i="1" s="1"/>
  <c r="R47" i="1"/>
  <c r="K47" i="1" s="1"/>
  <c r="S47" i="1"/>
  <c r="L47" i="1" s="1"/>
  <c r="R230" i="1"/>
  <c r="K230" i="1" s="1"/>
  <c r="S230" i="1"/>
  <c r="L230" i="1" s="1"/>
  <c r="R9" i="1"/>
  <c r="K9" i="1" s="1"/>
  <c r="S9" i="1"/>
  <c r="L9" i="1" s="1"/>
  <c r="R153" i="1"/>
  <c r="K153" i="1" s="1"/>
  <c r="S153" i="1"/>
  <c r="L153" i="1" s="1"/>
  <c r="R32" i="1"/>
  <c r="K32" i="1" s="1"/>
  <c r="S32" i="1"/>
  <c r="L32" i="1" s="1"/>
  <c r="R178" i="1"/>
  <c r="K178" i="1" s="1"/>
  <c r="S178" i="1"/>
  <c r="L178" i="1" s="1"/>
  <c r="R176" i="1"/>
  <c r="K176" i="1" s="1"/>
  <c r="S176" i="1"/>
  <c r="L176" i="1" s="1"/>
  <c r="R215" i="1"/>
  <c r="K215" i="1" s="1"/>
  <c r="S215" i="1"/>
  <c r="L215" i="1" s="1"/>
  <c r="R119" i="1"/>
  <c r="K119" i="1" s="1"/>
  <c r="S119" i="1"/>
  <c r="L119" i="1" s="1"/>
  <c r="R193" i="1"/>
  <c r="K193" i="1" s="1"/>
  <c r="S193" i="1"/>
  <c r="L193" i="1" s="1"/>
  <c r="R43" i="1"/>
  <c r="K43" i="1" s="1"/>
  <c r="S43" i="1"/>
  <c r="L43" i="1" s="1"/>
  <c r="R172" i="1"/>
  <c r="K172" i="1" s="1"/>
  <c r="S172" i="1"/>
  <c r="L172" i="1" s="1"/>
  <c r="R211" i="1"/>
  <c r="K211" i="1" s="1"/>
  <c r="S211" i="1"/>
  <c r="L211" i="1" s="1"/>
  <c r="R68" i="1"/>
  <c r="K68" i="1" s="1"/>
  <c r="S68" i="1"/>
  <c r="L68" i="1" s="1"/>
  <c r="R196" i="1"/>
  <c r="K196" i="1" s="1"/>
  <c r="S196" i="1"/>
  <c r="L196" i="1" s="1"/>
  <c r="R29" i="1"/>
  <c r="K29" i="1" s="1"/>
  <c r="S29" i="1"/>
  <c r="L29" i="1" s="1"/>
  <c r="R87" i="1"/>
  <c r="K87" i="1" s="1"/>
  <c r="S87" i="1"/>
  <c r="L87" i="1" s="1"/>
  <c r="R125" i="1"/>
  <c r="K125" i="1" s="1"/>
  <c r="S125" i="1"/>
  <c r="L125" i="1" s="1"/>
  <c r="R97" i="1"/>
  <c r="K97" i="1" s="1"/>
  <c r="S97" i="1"/>
  <c r="L97" i="1" s="1"/>
  <c r="R38" i="1"/>
  <c r="K38" i="1" s="1"/>
  <c r="S38" i="1"/>
  <c r="L38" i="1" s="1"/>
  <c r="R74" i="1"/>
  <c r="K74" i="1" s="1"/>
  <c r="S74" i="1"/>
  <c r="L74" i="1" s="1"/>
  <c r="R202" i="1"/>
  <c r="K202" i="1" s="1"/>
  <c r="S202" i="1"/>
  <c r="L202" i="1" s="1"/>
  <c r="R11" i="1"/>
  <c r="K11" i="1" s="1"/>
  <c r="S11" i="1"/>
  <c r="L11" i="1" s="1"/>
  <c r="R171" i="1"/>
  <c r="K171" i="1" s="1"/>
  <c r="S171" i="1"/>
  <c r="L171" i="1" s="1"/>
  <c r="R112" i="1"/>
  <c r="K112" i="1" s="1"/>
  <c r="S112" i="1"/>
  <c r="L112" i="1" s="1"/>
  <c r="R188" i="1"/>
  <c r="K188" i="1" s="1"/>
  <c r="S188" i="1"/>
  <c r="L188" i="1" s="1"/>
  <c r="R149" i="1"/>
  <c r="K149" i="1" s="1"/>
  <c r="S149" i="1"/>
  <c r="L149" i="1" s="1"/>
  <c r="R98" i="1"/>
  <c r="K98" i="1" s="1"/>
  <c r="S98" i="1"/>
  <c r="L98" i="1" s="1"/>
  <c r="R20" i="1"/>
  <c r="K20" i="1" s="1"/>
  <c r="S20" i="1"/>
  <c r="L20" i="1" s="1"/>
  <c r="R65" i="1"/>
  <c r="K65" i="1" s="1"/>
  <c r="S65" i="1"/>
  <c r="L65" i="1" s="1"/>
  <c r="R108" i="1"/>
  <c r="K108" i="1" s="1"/>
  <c r="S108" i="1"/>
  <c r="L108" i="1" s="1"/>
  <c r="R69" i="1"/>
  <c r="K69" i="1" s="1"/>
  <c r="S69" i="1"/>
  <c r="L69" i="1" s="1"/>
  <c r="R184" i="1"/>
  <c r="K184" i="1" s="1"/>
  <c r="S184" i="1"/>
  <c r="L184" i="1" s="1"/>
  <c r="R151" i="1"/>
  <c r="K151" i="1" s="1"/>
  <c r="S151" i="1"/>
  <c r="L151" i="1" s="1"/>
  <c r="R195" i="1"/>
  <c r="K195" i="1" s="1"/>
  <c r="S195" i="1"/>
  <c r="L195" i="1" s="1"/>
  <c r="R71" i="1"/>
  <c r="K71" i="1" s="1"/>
  <c r="S71" i="1"/>
  <c r="L71" i="1" s="1"/>
  <c r="R58" i="1"/>
  <c r="K58" i="1" s="1"/>
  <c r="S58" i="1"/>
  <c r="L58" i="1" s="1"/>
  <c r="R175" i="1"/>
  <c r="K175" i="1" s="1"/>
  <c r="S175" i="1"/>
  <c r="L175" i="1" s="1"/>
  <c r="R142" i="1"/>
  <c r="K142" i="1" s="1"/>
  <c r="S142" i="1"/>
  <c r="L142" i="1" s="1"/>
  <c r="R240" i="1"/>
  <c r="K240" i="1" s="1"/>
  <c r="S240" i="1"/>
  <c r="L240" i="1" s="1"/>
  <c r="R114" i="1"/>
  <c r="K114" i="1" s="1"/>
  <c r="S114" i="1"/>
  <c r="L114" i="1" s="1"/>
  <c r="R243" i="1"/>
  <c r="K243" i="1" s="1"/>
  <c r="S243" i="1"/>
  <c r="L243" i="1" s="1"/>
  <c r="R63" i="1"/>
  <c r="K63" i="1" s="1"/>
  <c r="S63" i="1"/>
  <c r="L63" i="1" s="1"/>
  <c r="R96" i="1"/>
  <c r="K96" i="1" s="1"/>
  <c r="S96" i="1"/>
  <c r="L96" i="1" s="1"/>
  <c r="R41" i="1"/>
  <c r="K41" i="1" s="1"/>
  <c r="S41" i="1"/>
  <c r="L41" i="1" s="1"/>
  <c r="R169" i="1"/>
  <c r="K169" i="1" s="1"/>
  <c r="S169" i="1"/>
  <c r="L169" i="1" s="1"/>
  <c r="R104" i="1"/>
  <c r="K104" i="1" s="1"/>
  <c r="S104" i="1"/>
  <c r="L104" i="1" s="1"/>
  <c r="R210" i="1"/>
  <c r="K210" i="1" s="1"/>
  <c r="S210" i="1"/>
  <c r="L210" i="1" s="1"/>
  <c r="R17" i="1"/>
  <c r="K17" i="1" s="1"/>
  <c r="S17" i="1"/>
  <c r="L17" i="1" s="1"/>
  <c r="R232" i="1"/>
  <c r="K232" i="1" s="1"/>
  <c r="S232" i="1"/>
  <c r="L232" i="1" s="1"/>
  <c r="R135" i="1"/>
  <c r="K135" i="1" s="1"/>
  <c r="S135" i="1"/>
  <c r="L135" i="1" s="1"/>
  <c r="R225" i="1"/>
  <c r="K225" i="1" s="1"/>
  <c r="S225" i="1"/>
  <c r="L225" i="1" s="1"/>
  <c r="R59" i="1"/>
  <c r="K59" i="1" s="1"/>
  <c r="S59" i="1"/>
  <c r="L59" i="1" s="1"/>
  <c r="R83" i="1"/>
  <c r="K83" i="1" s="1"/>
  <c r="S83" i="1"/>
  <c r="L83" i="1" s="1"/>
  <c r="R227" i="1"/>
  <c r="K227" i="1" s="1"/>
  <c r="S227" i="1"/>
  <c r="L227" i="1" s="1"/>
  <c r="R84" i="1"/>
  <c r="K84" i="1" s="1"/>
  <c r="S84" i="1"/>
  <c r="L84" i="1" s="1"/>
  <c r="R212" i="1"/>
  <c r="K212" i="1" s="1"/>
  <c r="S212" i="1"/>
  <c r="L212" i="1" s="1"/>
  <c r="R133" i="1"/>
  <c r="K133" i="1" s="1"/>
  <c r="S133" i="1"/>
  <c r="L133" i="1" s="1"/>
  <c r="R103" i="1"/>
  <c r="K103" i="1" s="1"/>
  <c r="S103" i="1"/>
  <c r="L103" i="1" s="1"/>
  <c r="R94" i="1"/>
  <c r="K94" i="1" s="1"/>
  <c r="S94" i="1"/>
  <c r="L94" i="1" s="1"/>
  <c r="R113" i="1"/>
  <c r="K113" i="1" s="1"/>
  <c r="S113" i="1"/>
  <c r="L113" i="1" s="1"/>
  <c r="R118" i="1"/>
  <c r="K118" i="1" s="1"/>
  <c r="S118" i="1"/>
  <c r="L118" i="1" s="1"/>
  <c r="R90" i="1"/>
  <c r="K90" i="1" s="1"/>
  <c r="S90" i="1"/>
  <c r="L90" i="1" s="1"/>
  <c r="R218" i="1"/>
  <c r="K218" i="1" s="1"/>
  <c r="S218" i="1"/>
  <c r="L218" i="1" s="1"/>
  <c r="R27" i="1"/>
  <c r="K27" i="1" s="1"/>
  <c r="S27" i="1"/>
  <c r="L27" i="1" s="1"/>
  <c r="R187" i="1"/>
  <c r="K187" i="1" s="1"/>
  <c r="S187" i="1"/>
  <c r="L187" i="1" s="1"/>
  <c r="R12" i="1"/>
  <c r="K12" i="1" s="1"/>
  <c r="S12" i="1"/>
  <c r="L12" i="1" s="1"/>
  <c r="R204" i="1"/>
  <c r="K204" i="1" s="1"/>
  <c r="S204" i="1"/>
  <c r="L204" i="1" s="1"/>
  <c r="R6" i="1"/>
  <c r="K6" i="1" s="1"/>
  <c r="S6" i="1"/>
  <c r="L6" i="1" s="1"/>
  <c r="R48" i="1"/>
  <c r="K48" i="1" s="1"/>
  <c r="S48" i="1"/>
  <c r="L48" i="1" s="1"/>
  <c r="R140" i="1"/>
  <c r="K140" i="1" s="1"/>
  <c r="S140" i="1"/>
  <c r="L140" i="1" s="1"/>
  <c r="R56" i="1"/>
  <c r="K56" i="1" s="1"/>
  <c r="S56" i="1"/>
  <c r="L56" i="1" s="1"/>
  <c r="R170" i="1"/>
  <c r="K170" i="1" s="1"/>
  <c r="S170" i="1"/>
  <c r="L170" i="1" s="1"/>
  <c r="R181" i="1"/>
  <c r="K181" i="1" s="1"/>
  <c r="S181" i="1"/>
  <c r="L181" i="1" s="1"/>
  <c r="R198" i="1"/>
  <c r="K198" i="1" s="1"/>
  <c r="S198" i="1"/>
  <c r="L198" i="1" s="1"/>
  <c r="R128" i="1"/>
  <c r="K128" i="1" s="1"/>
  <c r="S128" i="1"/>
  <c r="L128" i="1" s="1"/>
  <c r="R156" i="1"/>
  <c r="K156" i="1" s="1"/>
  <c r="S156" i="1"/>
  <c r="L156" i="1" s="1"/>
  <c r="R81" i="1"/>
  <c r="K81" i="1" s="1"/>
  <c r="S81" i="1"/>
  <c r="L81" i="1" s="1"/>
  <c r="R186" i="1"/>
  <c r="K186" i="1" s="1"/>
  <c r="S186" i="1"/>
  <c r="L186" i="1" s="1"/>
  <c r="R191" i="1"/>
  <c r="K191" i="1" s="1"/>
  <c r="S191" i="1"/>
  <c r="L191" i="1" s="1"/>
  <c r="R15" i="1"/>
  <c r="K15" i="1" s="1"/>
  <c r="S15" i="1"/>
  <c r="L15" i="1" s="1"/>
  <c r="R40" i="1"/>
  <c r="K40" i="1" s="1"/>
  <c r="S40" i="1"/>
  <c r="L40" i="1" s="1"/>
  <c r="R146" i="1"/>
  <c r="K146" i="1" s="1"/>
  <c r="S146" i="1"/>
  <c r="L146" i="1" s="1"/>
  <c r="R93" i="1"/>
  <c r="K93" i="1" s="1"/>
  <c r="S93" i="1"/>
  <c r="L93" i="1" s="1"/>
  <c r="R79" i="1"/>
  <c r="K79" i="1" s="1"/>
  <c r="S79" i="1"/>
  <c r="L79" i="1" s="1"/>
  <c r="R77" i="1"/>
  <c r="K77" i="1" s="1"/>
  <c r="S77" i="1"/>
  <c r="L77" i="1" s="1"/>
  <c r="R57" i="1"/>
  <c r="K57" i="1" s="1"/>
  <c r="S57" i="1"/>
  <c r="L57" i="1" s="1"/>
  <c r="R201" i="1"/>
  <c r="K201" i="1" s="1"/>
  <c r="S201" i="1"/>
  <c r="L201" i="1" s="1"/>
  <c r="R33" i="1"/>
  <c r="K33" i="1" s="1"/>
  <c r="S33" i="1"/>
  <c r="L33" i="1" s="1"/>
  <c r="R226" i="1"/>
  <c r="K226" i="1" s="1"/>
  <c r="S226" i="1"/>
  <c r="L226" i="1" s="1"/>
  <c r="R19" i="1"/>
  <c r="K19" i="1" s="1"/>
  <c r="S19" i="1"/>
  <c r="L19" i="1" s="1"/>
  <c r="R144" i="1"/>
  <c r="K144" i="1" s="1"/>
  <c r="S144" i="1"/>
  <c r="L144" i="1" s="1"/>
  <c r="R167" i="1"/>
  <c r="K167" i="1" s="1"/>
  <c r="S167" i="1"/>
  <c r="L167" i="1" s="1"/>
  <c r="R61" i="1"/>
  <c r="K61" i="1" s="1"/>
  <c r="S61" i="1"/>
  <c r="L61" i="1" s="1"/>
  <c r="R203" i="1"/>
  <c r="K203" i="1" s="1"/>
  <c r="S203" i="1"/>
  <c r="L203" i="1" s="1"/>
  <c r="R99" i="1"/>
  <c r="K99" i="1" s="1"/>
  <c r="S99" i="1"/>
  <c r="L99" i="1" s="1"/>
  <c r="R110" i="1"/>
  <c r="K110" i="1" s="1"/>
  <c r="S110" i="1"/>
  <c r="L110" i="1" s="1"/>
  <c r="R100" i="1"/>
  <c r="K100" i="1" s="1"/>
  <c r="S100" i="1"/>
  <c r="L100" i="1" s="1"/>
  <c r="R228" i="1"/>
  <c r="K228" i="1" s="1"/>
  <c r="S228" i="1"/>
  <c r="L228" i="1" s="1"/>
  <c r="R70" i="1"/>
  <c r="K70" i="1" s="1"/>
  <c r="S70" i="1"/>
  <c r="L70" i="1" s="1"/>
  <c r="R13" i="1"/>
  <c r="K13" i="1" s="1"/>
  <c r="S13" i="1"/>
  <c r="L13" i="1" s="1"/>
  <c r="R8" i="1"/>
  <c r="K8" i="1" s="1"/>
  <c r="S8" i="1"/>
  <c r="L8" i="1" s="1"/>
  <c r="R129" i="1"/>
  <c r="K129" i="1" s="1"/>
  <c r="S129" i="1"/>
  <c r="L129" i="1" s="1"/>
  <c r="R238" i="1"/>
  <c r="K238" i="1" s="1"/>
  <c r="S238" i="1"/>
  <c r="L238" i="1" s="1"/>
  <c r="R106" i="1"/>
  <c r="K106" i="1" s="1"/>
  <c r="S106" i="1"/>
  <c r="L106" i="1" s="1"/>
  <c r="R234" i="1"/>
  <c r="K234" i="1" s="1"/>
  <c r="S234" i="1"/>
  <c r="L234" i="1" s="1"/>
  <c r="R75" i="1"/>
  <c r="K75" i="1" s="1"/>
  <c r="S75" i="1"/>
  <c r="L75" i="1" s="1"/>
  <c r="R235" i="1"/>
  <c r="K235" i="1" s="1"/>
  <c r="S235" i="1"/>
  <c r="L235" i="1" s="1"/>
  <c r="R28" i="1"/>
  <c r="K28" i="1" s="1"/>
  <c r="S28" i="1"/>
  <c r="L28" i="1" s="1"/>
  <c r="R220" i="1"/>
  <c r="K220" i="1" s="1"/>
  <c r="S220" i="1"/>
  <c r="L220" i="1" s="1"/>
  <c r="R36" i="1"/>
  <c r="K36" i="1" s="1"/>
  <c r="S36" i="1"/>
  <c r="L36" i="1" s="1"/>
  <c r="R229" i="1"/>
  <c r="K229" i="1" s="1"/>
  <c r="S229" i="1"/>
  <c r="L229" i="1" s="1"/>
  <c r="R163" i="1"/>
  <c r="K163" i="1" s="1"/>
  <c r="S163" i="1"/>
  <c r="L163" i="1" s="1"/>
  <c r="R139" i="1"/>
  <c r="K139" i="1" s="1"/>
  <c r="S139" i="1"/>
  <c r="L139" i="1" s="1"/>
  <c r="R102" i="1"/>
  <c r="K102" i="1" s="1"/>
  <c r="S102" i="1"/>
  <c r="L102" i="1" s="1"/>
  <c r="R130" i="1"/>
  <c r="K130" i="1" s="1"/>
  <c r="S130" i="1"/>
  <c r="L130" i="1" s="1"/>
  <c r="R224" i="1"/>
  <c r="K224" i="1" s="1"/>
  <c r="S224" i="1"/>
  <c r="L224" i="1" s="1"/>
  <c r="R37" i="1"/>
  <c r="K37" i="1" s="1"/>
  <c r="S37" i="1"/>
  <c r="L37" i="1" s="1"/>
  <c r="R155" i="1"/>
  <c r="K155" i="1" s="1"/>
  <c r="S155" i="1"/>
  <c r="L155" i="1" s="1"/>
  <c r="R239" i="1"/>
  <c r="K239" i="1" s="1"/>
  <c r="S239" i="1"/>
  <c r="L239" i="1" s="1"/>
  <c r="R31" i="1"/>
  <c r="K31" i="1" s="1"/>
  <c r="S31" i="1"/>
  <c r="L31" i="1" s="1"/>
  <c r="R120" i="1"/>
  <c r="K120" i="1" s="1"/>
  <c r="S120" i="1"/>
  <c r="L120" i="1" s="1"/>
  <c r="R162" i="1"/>
  <c r="K162" i="1" s="1"/>
  <c r="S162" i="1"/>
  <c r="L162" i="1" s="1"/>
  <c r="R189" i="1"/>
  <c r="K189" i="1" s="1"/>
  <c r="S189" i="1"/>
  <c r="L189" i="1" s="1"/>
  <c r="R95" i="1"/>
  <c r="K95" i="1" s="1"/>
  <c r="S95" i="1"/>
  <c r="L95" i="1" s="1"/>
  <c r="R173" i="1"/>
  <c r="K173" i="1" s="1"/>
  <c r="S173" i="1"/>
  <c r="L173" i="1" s="1"/>
  <c r="R73" i="1"/>
  <c r="K73" i="1" s="1"/>
  <c r="S73" i="1"/>
  <c r="L73" i="1" s="1"/>
  <c r="R217" i="1"/>
  <c r="K217" i="1" s="1"/>
  <c r="S217" i="1"/>
  <c r="L217" i="1" s="1"/>
  <c r="R18" i="1"/>
  <c r="K18" i="1" s="1"/>
  <c r="S18" i="1"/>
  <c r="L18" i="1" s="1"/>
  <c r="R242" i="1"/>
  <c r="K242" i="1" s="1"/>
  <c r="S242" i="1"/>
  <c r="L242" i="1" s="1"/>
  <c r="R51" i="1"/>
  <c r="K51" i="1" s="1"/>
  <c r="S51" i="1"/>
  <c r="L51" i="1" s="1"/>
  <c r="R216" i="1"/>
  <c r="K216" i="1" s="1"/>
  <c r="S216" i="1"/>
  <c r="L216" i="1" s="1"/>
  <c r="R183" i="1"/>
  <c r="K183" i="1" s="1"/>
  <c r="S183" i="1"/>
  <c r="L183" i="1" s="1"/>
  <c r="R165" i="1"/>
  <c r="K165" i="1" s="1"/>
  <c r="S165" i="1"/>
  <c r="L165" i="1" s="1"/>
  <c r="R219" i="1"/>
  <c r="K219" i="1" s="1"/>
  <c r="S219" i="1"/>
  <c r="L219" i="1" s="1"/>
  <c r="R115" i="1"/>
  <c r="K115" i="1" s="1"/>
  <c r="S115" i="1"/>
  <c r="L115" i="1" s="1"/>
  <c r="R206" i="1"/>
  <c r="K206" i="1" s="1"/>
  <c r="S206" i="1"/>
  <c r="L206" i="1" s="1"/>
  <c r="R116" i="1"/>
  <c r="K116" i="1" s="1"/>
  <c r="S116" i="1"/>
  <c r="L116" i="1" s="1"/>
  <c r="R244" i="1"/>
  <c r="K244" i="1" s="1"/>
  <c r="S244" i="1"/>
  <c r="L244" i="1" s="1"/>
  <c r="R190" i="1"/>
  <c r="K190" i="1" s="1"/>
  <c r="S190" i="1"/>
  <c r="L190" i="1" s="1"/>
  <c r="R117" i="1"/>
  <c r="K117" i="1" s="1"/>
  <c r="S117" i="1"/>
  <c r="L117" i="1" s="1"/>
  <c r="R80" i="1"/>
  <c r="K80" i="1" s="1"/>
  <c r="S80" i="1"/>
  <c r="L80" i="1" s="1"/>
  <c r="R145" i="1"/>
  <c r="K145" i="1" s="1"/>
  <c r="S145" i="1"/>
  <c r="L145" i="1" s="1"/>
  <c r="R72" i="1"/>
  <c r="K72" i="1" s="1"/>
  <c r="S72" i="1"/>
  <c r="L72" i="1" s="1"/>
  <c r="R122" i="1"/>
  <c r="K122" i="1" s="1"/>
  <c r="S122" i="1"/>
  <c r="L122" i="1" s="1"/>
  <c r="R5" i="1"/>
  <c r="K5" i="1" s="1"/>
  <c r="S5" i="1"/>
  <c r="L5" i="1" s="1"/>
  <c r="R91" i="1"/>
  <c r="K91" i="1" s="1"/>
  <c r="S91" i="1"/>
  <c r="L91" i="1" s="1"/>
  <c r="R45" i="1"/>
  <c r="K45" i="1" s="1"/>
  <c r="S45" i="1"/>
  <c r="L45" i="1" s="1"/>
  <c r="R44" i="1"/>
  <c r="K44" i="1" s="1"/>
  <c r="S44" i="1"/>
  <c r="L44" i="1" s="1"/>
  <c r="R236" i="1"/>
  <c r="K236" i="1" s="1"/>
  <c r="S236" i="1"/>
  <c r="L236" i="1" s="1"/>
  <c r="M4" i="1"/>
  <c r="AZ41" i="1"/>
  <c r="AZ40" i="1"/>
  <c r="B16" i="7" l="1"/>
  <c r="C18" i="13"/>
  <c r="C18" i="14"/>
  <c r="D19" i="13"/>
  <c r="B19" i="14"/>
  <c r="D19" i="14" s="1"/>
  <c r="B20" i="13"/>
  <c r="F15" i="12"/>
  <c r="A16" i="12"/>
  <c r="B18" i="12"/>
  <c r="G17" i="12"/>
  <c r="B17" i="10"/>
  <c r="G16" i="10"/>
  <c r="A16" i="10"/>
  <c r="F16" i="10" s="1"/>
  <c r="O17" i="8"/>
  <c r="D4" i="7"/>
  <c r="D24" i="1"/>
  <c r="D158" i="1"/>
  <c r="D49" i="1"/>
  <c r="D136" i="1"/>
  <c r="D205" i="1"/>
  <c r="D66" i="1"/>
  <c r="D127" i="1"/>
  <c r="D159" i="1"/>
  <c r="D152" i="1"/>
  <c r="D10" i="1"/>
  <c r="D7" i="1"/>
  <c r="D197" i="1"/>
  <c r="D67" i="1"/>
  <c r="D31" i="1"/>
  <c r="D224" i="1"/>
  <c r="D163" i="1"/>
  <c r="D106" i="1"/>
  <c r="D13" i="1"/>
  <c r="D110" i="1"/>
  <c r="D167" i="1"/>
  <c r="D33" i="1"/>
  <c r="D79" i="1"/>
  <c r="D15" i="1"/>
  <c r="D156" i="1"/>
  <c r="D170" i="1"/>
  <c r="D6" i="1"/>
  <c r="D27" i="1"/>
  <c r="D113" i="1"/>
  <c r="D212" i="1"/>
  <c r="D59" i="1"/>
  <c r="D17" i="1"/>
  <c r="D41" i="1"/>
  <c r="D114" i="1"/>
  <c r="D58" i="1"/>
  <c r="D184" i="1"/>
  <c r="D20" i="1"/>
  <c r="D89" i="1"/>
  <c r="D241" i="1"/>
  <c r="D122" i="1"/>
  <c r="D117" i="1"/>
  <c r="D18" i="1"/>
  <c r="D28" i="1"/>
  <c r="D206" i="1"/>
  <c r="D44" i="1"/>
  <c r="D183" i="1"/>
  <c r="D95" i="1"/>
  <c r="D45" i="1"/>
  <c r="D72" i="1"/>
  <c r="D190" i="1"/>
  <c r="D115" i="1"/>
  <c r="D216" i="1"/>
  <c r="D217" i="1"/>
  <c r="D189" i="1"/>
  <c r="D239" i="1"/>
  <c r="D130" i="1"/>
  <c r="D229" i="1"/>
  <c r="D235" i="1"/>
  <c r="D238" i="1"/>
  <c r="D70" i="1"/>
  <c r="D99" i="1"/>
  <c r="D112" i="1"/>
  <c r="D74" i="1"/>
  <c r="D87" i="1"/>
  <c r="D211" i="1"/>
  <c r="D119" i="1"/>
  <c r="D32" i="1"/>
  <c r="D47" i="1"/>
  <c r="D14" i="1"/>
  <c r="D137" i="1"/>
  <c r="D213" i="1"/>
  <c r="D141" i="1"/>
  <c r="D194" i="1"/>
  <c r="D144" i="1"/>
  <c r="D201" i="1"/>
  <c r="D93" i="1"/>
  <c r="D191" i="1"/>
  <c r="D128" i="1"/>
  <c r="D56" i="1"/>
  <c r="D204" i="1"/>
  <c r="D218" i="1"/>
  <c r="D94" i="1"/>
  <c r="D84" i="1"/>
  <c r="D225" i="1"/>
  <c r="D210" i="1"/>
  <c r="D96" i="1"/>
  <c r="D240" i="1"/>
  <c r="D71" i="1"/>
  <c r="D69" i="1"/>
  <c r="D98" i="1"/>
  <c r="D171" i="1"/>
  <c r="D38" i="1"/>
  <c r="D29" i="1"/>
  <c r="D172" i="1"/>
  <c r="D215" i="1"/>
  <c r="D153" i="1"/>
  <c r="D35" i="1"/>
  <c r="D88" i="1"/>
  <c r="D50" i="1"/>
  <c r="D121" i="1"/>
  <c r="D92" i="1"/>
  <c r="D154" i="1"/>
  <c r="D150" i="1"/>
  <c r="D161" i="1"/>
  <c r="D145" i="1"/>
  <c r="D244" i="1"/>
  <c r="D219" i="1"/>
  <c r="D51" i="1"/>
  <c r="D73" i="1"/>
  <c r="D162" i="1"/>
  <c r="D155" i="1"/>
  <c r="D102" i="1"/>
  <c r="D36" i="1"/>
  <c r="D75" i="1"/>
  <c r="D129" i="1"/>
  <c r="D228" i="1"/>
  <c r="D203" i="1"/>
  <c r="D19" i="1"/>
  <c r="D57" i="1"/>
  <c r="D146" i="1"/>
  <c r="D186" i="1"/>
  <c r="D198" i="1"/>
  <c r="D140" i="1"/>
  <c r="D12" i="1"/>
  <c r="D90" i="1"/>
  <c r="D103" i="1"/>
  <c r="D227" i="1"/>
  <c r="D135" i="1"/>
  <c r="D104" i="1"/>
  <c r="D63" i="1"/>
  <c r="D142" i="1"/>
  <c r="D195" i="1"/>
  <c r="D108" i="1"/>
  <c r="D149" i="1"/>
  <c r="D11" i="1"/>
  <c r="D97" i="1"/>
  <c r="D196" i="1"/>
  <c r="D43" i="1"/>
  <c r="D176" i="1"/>
  <c r="D52" i="1"/>
  <c r="D223" i="1"/>
  <c r="D26" i="1"/>
  <c r="D23" i="1"/>
  <c r="D76" i="1"/>
  <c r="D231" i="1"/>
  <c r="D105" i="1"/>
  <c r="D53" i="1"/>
  <c r="D182" i="1"/>
  <c r="D78" i="1"/>
  <c r="D25" i="1"/>
  <c r="D64" i="1"/>
  <c r="D199" i="1"/>
  <c r="D34" i="1"/>
  <c r="D91" i="1"/>
  <c r="D214" i="1"/>
  <c r="D147" i="1"/>
  <c r="D237" i="1"/>
  <c r="D21" i="1"/>
  <c r="D200" i="1"/>
  <c r="D107" i="1"/>
  <c r="D132" i="1"/>
  <c r="D160" i="1"/>
  <c r="D30" i="1"/>
  <c r="D46" i="1"/>
  <c r="D185" i="1"/>
  <c r="D180" i="1"/>
  <c r="D42" i="1"/>
  <c r="D85" i="1"/>
  <c r="D80" i="1"/>
  <c r="R4" i="1"/>
  <c r="K4" i="1" s="1"/>
  <c r="S4" i="1"/>
  <c r="L4" i="1" s="1"/>
  <c r="D9" i="1"/>
  <c r="D82" i="1"/>
  <c r="D16" i="1"/>
  <c r="D62" i="1"/>
  <c r="D86" i="1"/>
  <c r="D111" i="1"/>
  <c r="D143" i="1"/>
  <c r="D174" i="1"/>
  <c r="D164" i="1"/>
  <c r="D165" i="1"/>
  <c r="D242" i="1"/>
  <c r="D173" i="1"/>
  <c r="D120" i="1"/>
  <c r="D37" i="1"/>
  <c r="D139" i="1"/>
  <c r="D220" i="1"/>
  <c r="D234" i="1"/>
  <c r="D8" i="1"/>
  <c r="D100" i="1"/>
  <c r="D61" i="1"/>
  <c r="D226" i="1"/>
  <c r="D77" i="1"/>
  <c r="D40" i="1"/>
  <c r="D81" i="1"/>
  <c r="D181" i="1"/>
  <c r="D48" i="1"/>
  <c r="D187" i="1"/>
  <c r="D118" i="1"/>
  <c r="D133" i="1"/>
  <c r="D83" i="1"/>
  <c r="D232" i="1"/>
  <c r="D169" i="1"/>
  <c r="D243" i="1"/>
  <c r="D175" i="1"/>
  <c r="D151" i="1"/>
  <c r="D65" i="1"/>
  <c r="D188" i="1"/>
  <c r="D202" i="1"/>
  <c r="D125" i="1"/>
  <c r="D68" i="1"/>
  <c r="D193" i="1"/>
  <c r="D178" i="1"/>
  <c r="D230" i="1"/>
  <c r="D157" i="1"/>
  <c r="D55" i="1"/>
  <c r="D39" i="1"/>
  <c r="D124" i="1"/>
  <c r="D123" i="1"/>
  <c r="D177" i="1"/>
  <c r="D148" i="1"/>
  <c r="D101" i="1"/>
  <c r="D134" i="1"/>
  <c r="D126" i="1"/>
  <c r="D221" i="1"/>
  <c r="D209" i="1"/>
  <c r="D60" i="1"/>
  <c r="D138" i="1"/>
  <c r="D54" i="1"/>
  <c r="D131" i="1"/>
  <c r="D208" i="1"/>
  <c r="D233" i="1"/>
  <c r="D22" i="1"/>
  <c r="D192" i="1"/>
  <c r="D166" i="1"/>
  <c r="D168" i="1"/>
  <c r="D116" i="1"/>
  <c r="D236" i="1"/>
  <c r="D222" i="1"/>
  <c r="D5" i="1"/>
  <c r="D179" i="1"/>
  <c r="D109" i="1"/>
  <c r="B17" i="7" l="1"/>
  <c r="C19" i="13"/>
  <c r="C19" i="14"/>
  <c r="D20" i="13"/>
  <c r="B20" i="14"/>
  <c r="D20" i="14" s="1"/>
  <c r="B21" i="13"/>
  <c r="A17" i="12"/>
  <c r="F16" i="12"/>
  <c r="G18" i="12"/>
  <c r="B19" i="12"/>
  <c r="B18" i="10"/>
  <c r="G17" i="10"/>
  <c r="A17" i="10"/>
  <c r="F17" i="10" s="1"/>
  <c r="P17" i="8"/>
  <c r="D4" i="1"/>
  <c r="B18" i="7" l="1"/>
  <c r="C20" i="13"/>
  <c r="C20" i="14" s="1"/>
  <c r="D21" i="13"/>
  <c r="B21" i="14"/>
  <c r="D21" i="14" s="1"/>
  <c r="B22" i="13"/>
  <c r="B20" i="12"/>
  <c r="G19" i="12"/>
  <c r="A18" i="12"/>
  <c r="F17" i="12"/>
  <c r="B19" i="10"/>
  <c r="G18" i="10"/>
  <c r="A18" i="10"/>
  <c r="F18" i="10" s="1"/>
  <c r="Q17" i="8"/>
  <c r="B19" i="7" l="1"/>
  <c r="C21" i="13"/>
  <c r="C21" i="14" s="1"/>
  <c r="D22" i="13"/>
  <c r="B22" i="14"/>
  <c r="D22" i="14" s="1"/>
  <c r="B23" i="13"/>
  <c r="F18" i="12"/>
  <c r="A19" i="12"/>
  <c r="B21" i="12"/>
  <c r="G20" i="12"/>
  <c r="B20" i="10"/>
  <c r="G19" i="10"/>
  <c r="A19" i="10"/>
  <c r="F19" i="10" s="1"/>
  <c r="R17" i="8"/>
  <c r="B20" i="7" l="1"/>
  <c r="C22" i="13"/>
  <c r="C22" i="14" s="1"/>
  <c r="D23" i="13"/>
  <c r="B23" i="14"/>
  <c r="D23" i="14" s="1"/>
  <c r="B24" i="13"/>
  <c r="G21" i="12"/>
  <c r="B22" i="12"/>
  <c r="A20" i="12"/>
  <c r="F19" i="12"/>
  <c r="B21" i="10"/>
  <c r="G20" i="10"/>
  <c r="A20" i="10"/>
  <c r="F20" i="10" s="1"/>
  <c r="S17" i="8"/>
  <c r="B21" i="7" l="1"/>
  <c r="C23" i="13"/>
  <c r="C23" i="14"/>
  <c r="D24" i="13"/>
  <c r="B24" i="14"/>
  <c r="D24" i="14" s="1"/>
  <c r="B25" i="13"/>
  <c r="A21" i="12"/>
  <c r="F20" i="12"/>
  <c r="B23" i="12"/>
  <c r="G22" i="12"/>
  <c r="B22" i="10"/>
  <c r="G21" i="10"/>
  <c r="A21" i="10"/>
  <c r="F21" i="10" s="1"/>
  <c r="T17" i="8"/>
  <c r="B22" i="7" l="1"/>
  <c r="C24" i="13"/>
  <c r="C24" i="14"/>
  <c r="D25" i="13"/>
  <c r="B25" i="14"/>
  <c r="D25" i="14" s="1"/>
  <c r="B26" i="13"/>
  <c r="B24" i="12"/>
  <c r="G23" i="12"/>
  <c r="A22" i="12"/>
  <c r="F21" i="12"/>
  <c r="B23" i="10"/>
  <c r="G22" i="10"/>
  <c r="A22" i="10"/>
  <c r="F22" i="10" s="1"/>
  <c r="U17" i="8"/>
  <c r="B23" i="7" l="1"/>
  <c r="C25" i="13"/>
  <c r="C25" i="14" s="1"/>
  <c r="D26" i="13"/>
  <c r="B26" i="14"/>
  <c r="D26" i="14" s="1"/>
  <c r="B27" i="13"/>
  <c r="A23" i="12"/>
  <c r="F22" i="12"/>
  <c r="B25" i="12"/>
  <c r="G24" i="12"/>
  <c r="B24" i="10"/>
  <c r="G23" i="10"/>
  <c r="A23" i="10"/>
  <c r="F23" i="10" s="1"/>
  <c r="V17" i="8"/>
  <c r="B24" i="7" l="1"/>
  <c r="C26" i="13"/>
  <c r="C26" i="14"/>
  <c r="D27" i="13"/>
  <c r="B27" i="14"/>
  <c r="D27" i="14" s="1"/>
  <c r="B28" i="13"/>
  <c r="F23" i="12"/>
  <c r="A24" i="12"/>
  <c r="B26" i="12"/>
  <c r="G25" i="12"/>
  <c r="B25" i="10"/>
  <c r="G24" i="10"/>
  <c r="A24" i="10"/>
  <c r="F24" i="10" s="1"/>
  <c r="W17" i="8"/>
  <c r="B25" i="7" l="1"/>
  <c r="C27" i="13"/>
  <c r="C27" i="14" s="1"/>
  <c r="D28" i="13"/>
  <c r="B28" i="14"/>
  <c r="D28" i="14" s="1"/>
  <c r="B29" i="13"/>
  <c r="G26" i="12"/>
  <c r="B27" i="12"/>
  <c r="A25" i="12"/>
  <c r="F24" i="12"/>
  <c r="B26" i="10"/>
  <c r="G25" i="10"/>
  <c r="A25" i="10"/>
  <c r="F25" i="10" s="1"/>
  <c r="X17" i="8"/>
  <c r="B26" i="7" l="1"/>
  <c r="C28" i="13"/>
  <c r="C28" i="14" s="1"/>
  <c r="D29" i="13"/>
  <c r="B29" i="14"/>
  <c r="D29" i="14" s="1"/>
  <c r="B30" i="13"/>
  <c r="F25" i="12"/>
  <c r="A26" i="12"/>
  <c r="B28" i="12"/>
  <c r="G27" i="12"/>
  <c r="B27" i="10"/>
  <c r="G26" i="10"/>
  <c r="A26" i="10"/>
  <c r="F26" i="10" s="1"/>
  <c r="Y17" i="8"/>
  <c r="B27" i="7" l="1"/>
  <c r="C29" i="13"/>
  <c r="C29" i="14" s="1"/>
  <c r="D30" i="13"/>
  <c r="B30" i="14"/>
  <c r="D30" i="14" s="1"/>
  <c r="B31" i="13"/>
  <c r="B29" i="12"/>
  <c r="G28" i="12"/>
  <c r="F26" i="12"/>
  <c r="A27" i="12"/>
  <c r="B28" i="10"/>
  <c r="G27" i="10"/>
  <c r="A27" i="10"/>
  <c r="F27" i="10" s="1"/>
  <c r="Z17" i="8"/>
  <c r="B28" i="7" l="1"/>
  <c r="C30" i="13"/>
  <c r="C30" i="14" s="1"/>
  <c r="D31" i="13"/>
  <c r="B31" i="14"/>
  <c r="D31" i="14" s="1"/>
  <c r="B32" i="13"/>
  <c r="A28" i="12"/>
  <c r="F27" i="12"/>
  <c r="G29" i="12"/>
  <c r="B30" i="12"/>
  <c r="B29" i="10"/>
  <c r="G28" i="10"/>
  <c r="A28" i="10"/>
  <c r="F28" i="10" s="1"/>
  <c r="AA17" i="8"/>
  <c r="B29" i="7" l="1"/>
  <c r="C31" i="13"/>
  <c r="C31" i="14" s="1"/>
  <c r="D32" i="13"/>
  <c r="B32" i="14"/>
  <c r="D32" i="14" s="1"/>
  <c r="B33" i="13"/>
  <c r="B31" i="12"/>
  <c r="G30" i="12"/>
  <c r="A29" i="12"/>
  <c r="F28" i="12"/>
  <c r="B30" i="10"/>
  <c r="G29" i="10"/>
  <c r="A29" i="10"/>
  <c r="F29" i="10" s="1"/>
  <c r="AB17" i="8"/>
  <c r="B30" i="7" l="1"/>
  <c r="C32" i="13"/>
  <c r="C32" i="14"/>
  <c r="D33" i="13"/>
  <c r="B33" i="14"/>
  <c r="D33" i="14" s="1"/>
  <c r="B34" i="13"/>
  <c r="A30" i="12"/>
  <c r="F29" i="12"/>
  <c r="B32" i="12"/>
  <c r="G31" i="12"/>
  <c r="B31" i="10"/>
  <c r="G30" i="10"/>
  <c r="A30" i="10"/>
  <c r="F30" i="10" s="1"/>
  <c r="AC17" i="8"/>
  <c r="B31" i="7" l="1"/>
  <c r="C33" i="13"/>
  <c r="C33" i="14" s="1"/>
  <c r="D34" i="13"/>
  <c r="B34" i="14"/>
  <c r="D34" i="14" s="1"/>
  <c r="B35" i="13"/>
  <c r="B33" i="12"/>
  <c r="G32" i="12"/>
  <c r="A31" i="12"/>
  <c r="F30" i="12"/>
  <c r="B32" i="10"/>
  <c r="G31" i="10"/>
  <c r="A31" i="10"/>
  <c r="F31" i="10" s="1"/>
  <c r="AD17" i="8"/>
  <c r="B32" i="7" l="1"/>
  <c r="C34" i="13"/>
  <c r="C34" i="14" s="1"/>
  <c r="D35" i="13"/>
  <c r="B35" i="14"/>
  <c r="D35" i="14" s="1"/>
  <c r="B36" i="13"/>
  <c r="F31" i="12"/>
  <c r="A32" i="12"/>
  <c r="B34" i="12"/>
  <c r="G33" i="12"/>
  <c r="B33" i="10"/>
  <c r="G32" i="10"/>
  <c r="A32" i="10"/>
  <c r="F32" i="10" s="1"/>
  <c r="AE17" i="8"/>
  <c r="B33" i="7" l="1"/>
  <c r="C35" i="13"/>
  <c r="C35" i="14"/>
  <c r="D36" i="13"/>
  <c r="B36" i="14"/>
  <c r="D36" i="14" s="1"/>
  <c r="B37" i="13"/>
  <c r="A33" i="12"/>
  <c r="F32" i="12"/>
  <c r="G34" i="12"/>
  <c r="B35" i="12"/>
  <c r="B34" i="10"/>
  <c r="G33" i="10"/>
  <c r="A33" i="10"/>
  <c r="F33" i="10" s="1"/>
  <c r="AF17" i="8"/>
  <c r="B34" i="7" l="1"/>
  <c r="C36" i="13"/>
  <c r="C36" i="14" s="1"/>
  <c r="D37" i="13"/>
  <c r="B37" i="14"/>
  <c r="D37" i="14" s="1"/>
  <c r="B38" i="13"/>
  <c r="F33" i="12"/>
  <c r="A34" i="12"/>
  <c r="B36" i="12"/>
  <c r="G35" i="12"/>
  <c r="B35" i="10"/>
  <c r="G34" i="10"/>
  <c r="A34" i="10"/>
  <c r="F34" i="10" s="1"/>
  <c r="AG17" i="8"/>
  <c r="B35" i="7" l="1"/>
  <c r="C37" i="13"/>
  <c r="C37" i="14" s="1"/>
  <c r="D38" i="13"/>
  <c r="B38" i="14"/>
  <c r="D38" i="14" s="1"/>
  <c r="B39" i="13"/>
  <c r="G36" i="12"/>
  <c r="B37" i="12"/>
  <c r="F34" i="12"/>
  <c r="A35" i="12"/>
  <c r="B36" i="10"/>
  <c r="G35" i="10"/>
  <c r="A35" i="10"/>
  <c r="F35" i="10" s="1"/>
  <c r="AH17" i="8"/>
  <c r="B36" i="7" l="1"/>
  <c r="C38" i="13"/>
  <c r="C38" i="14" s="1"/>
  <c r="D39" i="13"/>
  <c r="B39" i="14"/>
  <c r="D39" i="14" s="1"/>
  <c r="B40" i="13"/>
  <c r="A36" i="12"/>
  <c r="F35" i="12"/>
  <c r="G37" i="12"/>
  <c r="B38" i="12"/>
  <c r="B37" i="10"/>
  <c r="G36" i="10"/>
  <c r="A36" i="10"/>
  <c r="F36" i="10" s="1"/>
  <c r="AI17" i="8"/>
  <c r="B37" i="7" l="1"/>
  <c r="C39" i="13"/>
  <c r="C39" i="14" s="1"/>
  <c r="D40" i="13"/>
  <c r="B40" i="14"/>
  <c r="D40" i="14" s="1"/>
  <c r="B41" i="13"/>
  <c r="B39" i="12"/>
  <c r="G38" i="12"/>
  <c r="A37" i="12"/>
  <c r="F36" i="12"/>
  <c r="B38" i="10"/>
  <c r="G37" i="10"/>
  <c r="A37" i="10"/>
  <c r="F37" i="10" s="1"/>
  <c r="AJ17" i="8"/>
  <c r="B38" i="7" l="1"/>
  <c r="C40" i="13"/>
  <c r="C40" i="14" s="1"/>
  <c r="D41" i="13"/>
  <c r="B41" i="14"/>
  <c r="D41" i="14" s="1"/>
  <c r="B42" i="13"/>
  <c r="B40" i="12"/>
  <c r="G39" i="12"/>
  <c r="A38" i="12"/>
  <c r="F37" i="12"/>
  <c r="B39" i="10"/>
  <c r="G38" i="10"/>
  <c r="A38" i="10"/>
  <c r="F38" i="10" s="1"/>
  <c r="AK17" i="8"/>
  <c r="B39" i="7" l="1"/>
  <c r="C41" i="13"/>
  <c r="C41" i="14" s="1"/>
  <c r="D42" i="13"/>
  <c r="B42" i="14"/>
  <c r="D42" i="14" s="1"/>
  <c r="B43" i="13"/>
  <c r="A39" i="12"/>
  <c r="F38" i="12"/>
  <c r="B41" i="12"/>
  <c r="G40" i="12"/>
  <c r="B40" i="10"/>
  <c r="G39" i="10"/>
  <c r="A39" i="10"/>
  <c r="F39" i="10" s="1"/>
  <c r="AL17" i="8"/>
  <c r="B40" i="7" l="1"/>
  <c r="C42" i="13"/>
  <c r="C42" i="14" s="1"/>
  <c r="D43" i="13"/>
  <c r="B43" i="14"/>
  <c r="D43" i="14" s="1"/>
  <c r="B44" i="13"/>
  <c r="F39" i="12"/>
  <c r="A40" i="12"/>
  <c r="B42" i="12"/>
  <c r="G41" i="12"/>
  <c r="B41" i="10"/>
  <c r="G40" i="10"/>
  <c r="A40" i="10"/>
  <c r="F40" i="10" s="1"/>
  <c r="AM17" i="8"/>
  <c r="B41" i="7" l="1"/>
  <c r="C43" i="13"/>
  <c r="C43" i="14" s="1"/>
  <c r="D44" i="13"/>
  <c r="B44" i="14"/>
  <c r="D44" i="14" s="1"/>
  <c r="B45" i="13"/>
  <c r="G42" i="12"/>
  <c r="B43" i="12"/>
  <c r="A41" i="12"/>
  <c r="F40" i="12"/>
  <c r="B42" i="10"/>
  <c r="G41" i="10"/>
  <c r="A41" i="10"/>
  <c r="F41" i="10" s="1"/>
  <c r="AN17" i="8"/>
  <c r="B42" i="7" l="1"/>
  <c r="C44" i="13"/>
  <c r="C44" i="14" s="1"/>
  <c r="D45" i="13"/>
  <c r="B45" i="14"/>
  <c r="D45" i="14" s="1"/>
  <c r="B46" i="13"/>
  <c r="A42" i="12"/>
  <c r="F41" i="12"/>
  <c r="B44" i="12"/>
  <c r="G43" i="12"/>
  <c r="B43" i="10"/>
  <c r="G42" i="10"/>
  <c r="A42" i="10"/>
  <c r="F42" i="10" s="1"/>
  <c r="AO17" i="8"/>
  <c r="B43" i="7" l="1"/>
  <c r="C45" i="13"/>
  <c r="C45" i="14" s="1"/>
  <c r="D46" i="13"/>
  <c r="B46" i="14"/>
  <c r="D46" i="14" s="1"/>
  <c r="B47" i="13"/>
  <c r="B45" i="12"/>
  <c r="G44" i="12"/>
  <c r="F42" i="12"/>
  <c r="A43" i="12"/>
  <c r="B44" i="10"/>
  <c r="G43" i="10"/>
  <c r="A43" i="10"/>
  <c r="F43" i="10" s="1"/>
  <c r="AP17" i="8"/>
  <c r="B44" i="7" l="1"/>
  <c r="C46" i="13"/>
  <c r="C46" i="14" s="1"/>
  <c r="D47" i="13"/>
  <c r="B47" i="14"/>
  <c r="D47" i="14" s="1"/>
  <c r="B48" i="13"/>
  <c r="A44" i="12"/>
  <c r="F43" i="12"/>
  <c r="G45" i="12"/>
  <c r="B46" i="12"/>
  <c r="B45" i="10"/>
  <c r="G44" i="10"/>
  <c r="A44" i="10"/>
  <c r="F44" i="10" s="1"/>
  <c r="AQ17" i="8"/>
  <c r="B45" i="7" l="1"/>
  <c r="C47" i="13"/>
  <c r="C47" i="14" s="1"/>
  <c r="D48" i="13"/>
  <c r="B48" i="14"/>
  <c r="D48" i="14" s="1"/>
  <c r="B49" i="13"/>
  <c r="A45" i="12"/>
  <c r="F44" i="12"/>
  <c r="B47" i="12"/>
  <c r="G46" i="12"/>
  <c r="B46" i="10"/>
  <c r="G45" i="10"/>
  <c r="A45" i="10"/>
  <c r="F45" i="10" s="1"/>
  <c r="AR17" i="8"/>
  <c r="B46" i="7" l="1"/>
  <c r="C48" i="13"/>
  <c r="C48" i="14"/>
  <c r="D49" i="13"/>
  <c r="B49" i="14"/>
  <c r="D49" i="14" s="1"/>
  <c r="B50" i="13"/>
  <c r="B48" i="12"/>
  <c r="G47" i="12"/>
  <c r="A46" i="12"/>
  <c r="F45" i="12"/>
  <c r="B47" i="10"/>
  <c r="G46" i="10"/>
  <c r="A46" i="10"/>
  <c r="F46" i="10" s="1"/>
  <c r="AS17" i="8"/>
  <c r="B47" i="7" l="1"/>
  <c r="C49" i="13"/>
  <c r="C49" i="14" s="1"/>
  <c r="D50" i="13"/>
  <c r="B50" i="14"/>
  <c r="D50" i="14" s="1"/>
  <c r="B51" i="13"/>
  <c r="A47" i="12"/>
  <c r="F46" i="12"/>
  <c r="B49" i="12"/>
  <c r="G48" i="12"/>
  <c r="B48" i="10"/>
  <c r="G47" i="10"/>
  <c r="A47" i="10"/>
  <c r="F47" i="10" s="1"/>
  <c r="AT17" i="8"/>
  <c r="B48" i="7" l="1"/>
  <c r="C50" i="13"/>
  <c r="C50" i="14" s="1"/>
  <c r="D51" i="13"/>
  <c r="B51" i="14"/>
  <c r="D51" i="14" s="1"/>
  <c r="B52" i="13"/>
  <c r="B50" i="12"/>
  <c r="G50" i="12" s="1"/>
  <c r="G49" i="12"/>
  <c r="F47" i="12"/>
  <c r="A48" i="12"/>
  <c r="B49" i="10"/>
  <c r="G48" i="10"/>
  <c r="A48" i="10"/>
  <c r="F48" i="10" s="1"/>
  <c r="AU17" i="8"/>
  <c r="B49" i="7" l="1"/>
  <c r="C51" i="13"/>
  <c r="C51" i="14" s="1"/>
  <c r="D52" i="13"/>
  <c r="B52" i="14"/>
  <c r="D52" i="14" s="1"/>
  <c r="B53" i="13"/>
  <c r="A49" i="12"/>
  <c r="F48" i="12"/>
  <c r="B50" i="10"/>
  <c r="G50" i="10" s="1"/>
  <c r="G49" i="10"/>
  <c r="A49" i="10"/>
  <c r="F49" i="10" s="1"/>
  <c r="AV17" i="8"/>
  <c r="B50" i="7" l="1"/>
  <c r="C52" i="13"/>
  <c r="C52" i="14" s="1"/>
  <c r="D53" i="13"/>
  <c r="B53" i="14"/>
  <c r="D53" i="14" s="1"/>
  <c r="B54" i="13"/>
  <c r="A50" i="12"/>
  <c r="F50" i="12" s="1"/>
  <c r="F49" i="12"/>
  <c r="A50" i="10"/>
  <c r="F50" i="10" s="1"/>
  <c r="AW17" i="8"/>
  <c r="B51" i="7" l="1"/>
  <c r="C53" i="13"/>
  <c r="C53" i="14" s="1"/>
  <c r="D54" i="13"/>
  <c r="B54" i="14"/>
  <c r="D54" i="14" s="1"/>
  <c r="B55" i="13"/>
  <c r="AX17" i="8"/>
  <c r="B52" i="7" l="1"/>
  <c r="C54" i="13"/>
  <c r="C54" i="14" s="1"/>
  <c r="D55" i="13"/>
  <c r="B55" i="14"/>
  <c r="D55" i="14" s="1"/>
  <c r="B56" i="13"/>
  <c r="AY17" i="8"/>
  <c r="B53" i="7" l="1"/>
  <c r="C55" i="13"/>
  <c r="C55" i="14" s="1"/>
  <c r="D56" i="13"/>
  <c r="B56" i="14"/>
  <c r="D56" i="14" s="1"/>
  <c r="B57" i="13"/>
  <c r="AZ17" i="8"/>
  <c r="B54" i="7" l="1"/>
  <c r="C56" i="13"/>
  <c r="C56" i="14" s="1"/>
  <c r="D57" i="13"/>
  <c r="B57" i="14"/>
  <c r="D57" i="14" s="1"/>
  <c r="B58" i="13"/>
  <c r="BA17" i="8"/>
  <c r="B55" i="7" l="1"/>
  <c r="C57" i="13"/>
  <c r="C57" i="14" s="1"/>
  <c r="D58" i="13"/>
  <c r="B58" i="14"/>
  <c r="D58" i="14" s="1"/>
  <c r="B59" i="13"/>
  <c r="BB17" i="8"/>
  <c r="B56" i="7" l="1"/>
  <c r="C58" i="13"/>
  <c r="C58" i="14"/>
  <c r="D59" i="13"/>
  <c r="B59" i="14"/>
  <c r="D59" i="14" s="1"/>
  <c r="B60" i="13"/>
  <c r="BC17" i="8"/>
  <c r="B57" i="7" l="1"/>
  <c r="C59" i="13"/>
  <c r="C59" i="14" s="1"/>
  <c r="D60" i="13"/>
  <c r="B60" i="14"/>
  <c r="D60" i="14" s="1"/>
  <c r="B61" i="13"/>
  <c r="BD17" i="8"/>
  <c r="B58" i="7" l="1"/>
  <c r="C60" i="13"/>
  <c r="C60" i="14"/>
  <c r="D61" i="13"/>
  <c r="B61" i="14"/>
  <c r="D61" i="14" s="1"/>
  <c r="B62" i="13"/>
  <c r="BE17" i="8"/>
  <c r="B59" i="7" l="1"/>
  <c r="C61" i="13"/>
  <c r="C61" i="14" s="1"/>
  <c r="D62" i="13"/>
  <c r="B62" i="14"/>
  <c r="D62" i="14" s="1"/>
  <c r="B63" i="13"/>
  <c r="BF17" i="8"/>
  <c r="B60" i="7" l="1"/>
  <c r="C62" i="13"/>
  <c r="C62" i="14"/>
  <c r="D63" i="13"/>
  <c r="B63" i="14"/>
  <c r="D63" i="14" s="1"/>
  <c r="B64" i="13"/>
  <c r="BG17" i="8"/>
  <c r="B61" i="7" l="1"/>
  <c r="C63" i="13"/>
  <c r="C63" i="14" s="1"/>
  <c r="D64" i="13"/>
  <c r="B64" i="14"/>
  <c r="D64" i="14" s="1"/>
  <c r="B65" i="13"/>
  <c r="BH17" i="8"/>
  <c r="B62" i="7" l="1"/>
  <c r="C64" i="13"/>
  <c r="C64" i="14"/>
  <c r="D65" i="13"/>
  <c r="B65" i="14"/>
  <c r="D65" i="14" s="1"/>
  <c r="B66" i="13"/>
  <c r="BI17" i="8"/>
  <c r="B63" i="7" l="1"/>
  <c r="C65" i="13"/>
  <c r="C65" i="14" s="1"/>
  <c r="D66" i="13"/>
  <c r="B66" i="14"/>
  <c r="D66" i="14" s="1"/>
  <c r="B67" i="13"/>
  <c r="BJ17" i="8"/>
  <c r="B64" i="7" l="1"/>
  <c r="C66" i="13"/>
  <c r="C66" i="14" s="1"/>
  <c r="D67" i="13"/>
  <c r="B67" i="14"/>
  <c r="D67" i="14" s="1"/>
  <c r="B68" i="13"/>
  <c r="BK17" i="8"/>
  <c r="B65" i="7" l="1"/>
  <c r="C67" i="13"/>
  <c r="C67" i="14" s="1"/>
  <c r="D68" i="13"/>
  <c r="B68" i="14"/>
  <c r="D68" i="14" s="1"/>
  <c r="B69" i="13"/>
  <c r="BL17" i="8"/>
  <c r="B66" i="7" l="1"/>
  <c r="C68" i="13"/>
  <c r="C68" i="14" s="1"/>
  <c r="D69" i="13"/>
  <c r="B69" i="14"/>
  <c r="D69" i="14" s="1"/>
  <c r="B70" i="13"/>
  <c r="BM17" i="8"/>
  <c r="B67" i="7" l="1"/>
  <c r="C69" i="13"/>
  <c r="C69" i="14" s="1"/>
  <c r="D70" i="13"/>
  <c r="B70" i="14"/>
  <c r="D70" i="14" s="1"/>
  <c r="B71" i="13"/>
  <c r="BN17" i="8"/>
  <c r="B68" i="7" l="1"/>
  <c r="C70" i="13"/>
  <c r="C70" i="14" s="1"/>
  <c r="D71" i="13"/>
  <c r="B71" i="14"/>
  <c r="D71" i="14" s="1"/>
  <c r="B72" i="13"/>
  <c r="BO17" i="8"/>
  <c r="B69" i="7" l="1"/>
  <c r="C71" i="13"/>
  <c r="C71" i="14" s="1"/>
  <c r="D72" i="13"/>
  <c r="B72" i="14"/>
  <c r="D72" i="14" s="1"/>
  <c r="B73" i="13"/>
  <c r="BP17" i="8"/>
  <c r="B70" i="7" l="1"/>
  <c r="C72" i="13"/>
  <c r="C72" i="14" s="1"/>
  <c r="D73" i="13"/>
  <c r="B73" i="14"/>
  <c r="D73" i="14" s="1"/>
  <c r="B74" i="13"/>
  <c r="BQ17" i="8"/>
  <c r="B71" i="7" l="1"/>
  <c r="C73" i="13"/>
  <c r="C73" i="14" s="1"/>
  <c r="D74" i="13"/>
  <c r="B74" i="14"/>
  <c r="D74" i="14" s="1"/>
  <c r="B75" i="13"/>
  <c r="BR17" i="8"/>
  <c r="B72" i="7" l="1"/>
  <c r="C74" i="13"/>
  <c r="C74" i="14" s="1"/>
  <c r="D75" i="13"/>
  <c r="B75" i="14"/>
  <c r="D75" i="14" s="1"/>
  <c r="B76" i="13"/>
  <c r="BS17" i="8"/>
  <c r="B73" i="7" l="1"/>
  <c r="C75" i="13"/>
  <c r="C75" i="14"/>
  <c r="D76" i="13"/>
  <c r="B76" i="14"/>
  <c r="D76" i="14" s="1"/>
  <c r="B77" i="13"/>
  <c r="BT17" i="8"/>
  <c r="B74" i="7" l="1"/>
  <c r="C76" i="13"/>
  <c r="C76" i="14" s="1"/>
  <c r="D77" i="13"/>
  <c r="B77" i="14"/>
  <c r="D77" i="14" s="1"/>
  <c r="B78" i="13"/>
  <c r="BU17" i="8"/>
  <c r="B75" i="7" l="1"/>
  <c r="C77" i="13"/>
  <c r="C77" i="14"/>
  <c r="D78" i="13"/>
  <c r="B78" i="14"/>
  <c r="D78" i="14" s="1"/>
  <c r="B79" i="13"/>
  <c r="BV17" i="8"/>
  <c r="B76" i="7" l="1"/>
  <c r="C78" i="13"/>
  <c r="C78" i="14" s="1"/>
  <c r="D79" i="13"/>
  <c r="B79" i="14"/>
  <c r="D79" i="14" s="1"/>
  <c r="B80" i="13"/>
  <c r="BW17" i="8"/>
  <c r="B77" i="7" l="1"/>
  <c r="C79" i="13"/>
  <c r="C79" i="14" s="1"/>
  <c r="D80" i="13"/>
  <c r="B80" i="14"/>
  <c r="D80" i="14" s="1"/>
  <c r="B81" i="13"/>
  <c r="BX17" i="8"/>
  <c r="B78" i="7" l="1"/>
  <c r="C80" i="13"/>
  <c r="C80" i="14" s="1"/>
  <c r="D81" i="13"/>
  <c r="B81" i="14"/>
  <c r="D81" i="14" s="1"/>
  <c r="B82" i="13"/>
  <c r="BY17" i="8"/>
  <c r="B79" i="7" l="1"/>
  <c r="C81" i="13"/>
  <c r="C81" i="14" s="1"/>
  <c r="D82" i="13"/>
  <c r="B82" i="14"/>
  <c r="D82" i="14" s="1"/>
  <c r="B83" i="13"/>
  <c r="BZ17" i="8"/>
  <c r="B80" i="7" l="1"/>
  <c r="C82" i="13"/>
  <c r="C82" i="14" s="1"/>
  <c r="D83" i="13"/>
  <c r="B83" i="14"/>
  <c r="D83" i="14" s="1"/>
  <c r="B84" i="13"/>
  <c r="CA17" i="8"/>
  <c r="B81" i="7" l="1"/>
  <c r="C83" i="13"/>
  <c r="C83" i="14" s="1"/>
  <c r="D84" i="13"/>
  <c r="B84" i="14"/>
  <c r="D84" i="14" s="1"/>
  <c r="B85" i="13"/>
  <c r="CB17" i="8"/>
  <c r="B82" i="7" l="1"/>
  <c r="C84" i="13"/>
  <c r="C84" i="14"/>
  <c r="D85" i="13"/>
  <c r="B85" i="14"/>
  <c r="D85" i="14" s="1"/>
  <c r="B86" i="13"/>
  <c r="CC17" i="8"/>
  <c r="B83" i="7" l="1"/>
  <c r="C85" i="13"/>
  <c r="C85" i="14" s="1"/>
  <c r="D86" i="13"/>
  <c r="B86" i="14"/>
  <c r="D86" i="14" s="1"/>
  <c r="B87" i="13"/>
  <c r="CD17" i="8"/>
  <c r="B84" i="7" l="1"/>
  <c r="C86" i="13"/>
  <c r="C86" i="14" s="1"/>
  <c r="D87" i="13"/>
  <c r="B87" i="14"/>
  <c r="D87" i="14" s="1"/>
  <c r="B88" i="13"/>
  <c r="CE17" i="8"/>
  <c r="B85" i="7" l="1"/>
  <c r="C87" i="13"/>
  <c r="C87" i="14" s="1"/>
  <c r="D88" i="13"/>
  <c r="B88" i="14"/>
  <c r="D88" i="14" s="1"/>
  <c r="B89" i="13"/>
  <c r="CF17" i="8"/>
  <c r="B86" i="7" l="1"/>
  <c r="C88" i="13"/>
  <c r="C88" i="14"/>
  <c r="D89" i="13"/>
  <c r="B89" i="14"/>
  <c r="D89" i="14" s="1"/>
  <c r="B90" i="13"/>
  <c r="CG17" i="8"/>
  <c r="B87" i="7" l="1"/>
  <c r="C89" i="13"/>
  <c r="C89" i="14" s="1"/>
  <c r="D90" i="13"/>
  <c r="B90" i="14"/>
  <c r="D90" i="14" s="1"/>
  <c r="B91" i="13"/>
  <c r="CH17" i="8"/>
  <c r="B88" i="7" l="1"/>
  <c r="C90" i="13"/>
  <c r="C90" i="14" s="1"/>
  <c r="D91" i="13"/>
  <c r="B91" i="14"/>
  <c r="D91" i="14" s="1"/>
  <c r="B92" i="13"/>
  <c r="CI17" i="8"/>
  <c r="B89" i="7" l="1"/>
  <c r="C91" i="13"/>
  <c r="C91" i="14" s="1"/>
  <c r="D92" i="13"/>
  <c r="B92" i="14"/>
  <c r="D92" i="14" s="1"/>
  <c r="B93" i="13"/>
  <c r="CJ17" i="8"/>
  <c r="B90" i="7" l="1"/>
  <c r="C92" i="13"/>
  <c r="C92" i="14" s="1"/>
  <c r="D93" i="13"/>
  <c r="B93" i="14"/>
  <c r="D93" i="14" s="1"/>
  <c r="B94" i="13"/>
  <c r="CK17" i="8"/>
  <c r="B91" i="7" l="1"/>
  <c r="C93" i="13"/>
  <c r="C93" i="14" s="1"/>
  <c r="D94" i="13"/>
  <c r="B94" i="14"/>
  <c r="D94" i="14" s="1"/>
  <c r="B95" i="13"/>
  <c r="CL17" i="8"/>
  <c r="B92" i="7" l="1"/>
  <c r="C94" i="13"/>
  <c r="C94" i="14" s="1"/>
  <c r="D95" i="13"/>
  <c r="B95" i="14"/>
  <c r="D95" i="14" s="1"/>
  <c r="B96" i="13"/>
  <c r="CM17" i="8"/>
  <c r="B93" i="7" l="1"/>
  <c r="C95" i="13"/>
  <c r="C95" i="14"/>
  <c r="D96" i="13"/>
  <c r="B96" i="14"/>
  <c r="D96" i="14" s="1"/>
  <c r="B97" i="13"/>
  <c r="CN17" i="8"/>
  <c r="B94" i="7" l="1"/>
  <c r="C96" i="13"/>
  <c r="C96" i="14"/>
  <c r="D97" i="13"/>
  <c r="B97" i="14"/>
  <c r="D97" i="14" s="1"/>
  <c r="B98" i="13"/>
  <c r="CO17" i="8"/>
  <c r="B95" i="7" l="1"/>
  <c r="C97" i="13"/>
  <c r="C97" i="14" s="1"/>
  <c r="D98" i="13"/>
  <c r="B98" i="14"/>
  <c r="D98" i="14" s="1"/>
  <c r="B99" i="13"/>
  <c r="CP17" i="8"/>
  <c r="B96" i="7" l="1"/>
  <c r="C98" i="13"/>
  <c r="C98" i="14"/>
  <c r="D99" i="13"/>
  <c r="B99" i="14"/>
  <c r="D99" i="14" s="1"/>
  <c r="B100" i="13"/>
  <c r="CQ17" i="8"/>
  <c r="B97" i="7" l="1"/>
  <c r="C99" i="13"/>
  <c r="C99" i="14" s="1"/>
  <c r="D100" i="13"/>
  <c r="B100" i="14"/>
  <c r="D100" i="14" s="1"/>
  <c r="B101" i="13"/>
  <c r="CR17" i="8"/>
  <c r="B98" i="7" l="1"/>
  <c r="C100" i="13"/>
  <c r="C100" i="14"/>
  <c r="D101" i="13"/>
  <c r="B101" i="14"/>
  <c r="D101" i="14" s="1"/>
  <c r="B102" i="13"/>
  <c r="CS17" i="8"/>
  <c r="B99" i="7" l="1"/>
  <c r="C101" i="13"/>
  <c r="C101" i="14" s="1"/>
  <c r="D102" i="13"/>
  <c r="B102" i="14"/>
  <c r="D102" i="14" s="1"/>
  <c r="B103" i="13"/>
  <c r="CT17" i="8"/>
  <c r="B100" i="7" l="1"/>
  <c r="C102" i="13"/>
  <c r="C102" i="14"/>
  <c r="D103" i="13"/>
  <c r="B103" i="14"/>
  <c r="D103" i="14" s="1"/>
  <c r="B104" i="13"/>
  <c r="CU17" i="8"/>
  <c r="B101" i="7" l="1"/>
  <c r="C103" i="13"/>
  <c r="C103" i="14"/>
  <c r="D104" i="13"/>
  <c r="B104" i="14"/>
  <c r="D104" i="14" s="1"/>
  <c r="B105" i="13"/>
  <c r="CV17" i="8"/>
  <c r="B102" i="7" l="1"/>
  <c r="C104" i="13"/>
  <c r="C104" i="14" s="1"/>
  <c r="D105" i="13"/>
  <c r="B105" i="14"/>
  <c r="D105" i="14" s="1"/>
  <c r="B106" i="13"/>
  <c r="CW17" i="8"/>
  <c r="B103" i="7" l="1"/>
  <c r="C105" i="13"/>
  <c r="C105" i="14"/>
  <c r="D106" i="13"/>
  <c r="B106" i="14"/>
  <c r="D106" i="14" s="1"/>
  <c r="B107" i="13"/>
  <c r="CX17" i="8"/>
  <c r="B104" i="7" l="1"/>
  <c r="C106" i="13"/>
  <c r="C106" i="14"/>
  <c r="D107" i="13"/>
  <c r="B107" i="14"/>
  <c r="D107" i="14" s="1"/>
  <c r="B108" i="13"/>
  <c r="CY17" i="8"/>
  <c r="B105" i="7" l="1"/>
  <c r="C107" i="13"/>
  <c r="C107" i="14" s="1"/>
  <c r="D108" i="13"/>
  <c r="B108" i="14"/>
  <c r="D108" i="14" s="1"/>
  <c r="B109" i="13"/>
  <c r="CZ17" i="8"/>
  <c r="B106" i="7" l="1"/>
  <c r="C108" i="13"/>
  <c r="C108" i="14" s="1"/>
  <c r="D109" i="13"/>
  <c r="B109" i="14"/>
  <c r="D109" i="14" s="1"/>
  <c r="B110" i="13"/>
  <c r="DA17" i="8"/>
  <c r="B107" i="7" l="1"/>
  <c r="C109" i="13"/>
  <c r="C109" i="14" s="1"/>
  <c r="D110" i="13"/>
  <c r="B110" i="14"/>
  <c r="D110" i="14" s="1"/>
  <c r="B111" i="13"/>
  <c r="DB17" i="8"/>
  <c r="B108" i="7" l="1"/>
  <c r="C110" i="13"/>
  <c r="C110" i="14" s="1"/>
  <c r="D111" i="13"/>
  <c r="B111" i="14"/>
  <c r="D111" i="14" s="1"/>
  <c r="B112" i="13"/>
  <c r="DC17" i="8"/>
  <c r="B109" i="7" l="1"/>
  <c r="C111" i="13"/>
  <c r="C111" i="14"/>
  <c r="D112" i="13"/>
  <c r="B112" i="14"/>
  <c r="D112" i="14" s="1"/>
  <c r="B113" i="13"/>
  <c r="DD17" i="8"/>
  <c r="B110" i="7" l="1"/>
  <c r="C112" i="13"/>
  <c r="C112" i="14" s="1"/>
  <c r="D113" i="13"/>
  <c r="B113" i="14"/>
  <c r="D113" i="14" s="1"/>
  <c r="B114" i="13"/>
  <c r="DE17" i="8"/>
  <c r="B111" i="7" l="1"/>
  <c r="C113" i="13"/>
  <c r="C113" i="14" s="1"/>
  <c r="D114" i="13"/>
  <c r="B114" i="14"/>
  <c r="D114" i="14" s="1"/>
  <c r="B115" i="13"/>
  <c r="DF17" i="8"/>
  <c r="B112" i="7" l="1"/>
  <c r="C114" i="13"/>
  <c r="C114" i="14" s="1"/>
  <c r="D115" i="13"/>
  <c r="B115" i="14"/>
  <c r="D115" i="14" s="1"/>
  <c r="B116" i="13"/>
  <c r="DG17" i="8"/>
  <c r="B113" i="7" l="1"/>
  <c r="C115" i="13"/>
  <c r="C115" i="14" s="1"/>
  <c r="D116" i="13"/>
  <c r="B116" i="14"/>
  <c r="D116" i="14" s="1"/>
  <c r="B117" i="13"/>
  <c r="DH17" i="8"/>
  <c r="B114" i="7" l="1"/>
  <c r="C116" i="13"/>
  <c r="C116" i="14"/>
  <c r="D117" i="13"/>
  <c r="B117" i="14"/>
  <c r="D117" i="14" s="1"/>
  <c r="B118" i="13"/>
  <c r="DI17" i="8"/>
  <c r="B115" i="7" l="1"/>
  <c r="C117" i="13"/>
  <c r="C117" i="14"/>
  <c r="D118" i="13"/>
  <c r="B118" i="14"/>
  <c r="D118" i="14" s="1"/>
  <c r="B119" i="13"/>
  <c r="DJ17" i="8"/>
  <c r="B116" i="7" l="1"/>
  <c r="C118" i="13"/>
  <c r="C118" i="14"/>
  <c r="D119" i="13"/>
  <c r="B119" i="14"/>
  <c r="D119" i="14" s="1"/>
  <c r="B120" i="13"/>
  <c r="DK17" i="8"/>
  <c r="B117" i="7" l="1"/>
  <c r="C119" i="13"/>
  <c r="C119" i="14" s="1"/>
  <c r="D120" i="13"/>
  <c r="B120" i="14"/>
  <c r="D120" i="14" s="1"/>
  <c r="B121" i="13"/>
  <c r="DL17" i="8"/>
  <c r="B118" i="7" l="1"/>
  <c r="C120" i="13"/>
  <c r="C120" i="14"/>
  <c r="D121" i="13"/>
  <c r="B121" i="14"/>
  <c r="D121" i="14" s="1"/>
  <c r="B122" i="13"/>
  <c r="DM17" i="8"/>
  <c r="B119" i="7" l="1"/>
  <c r="C121" i="13"/>
  <c r="C121" i="14"/>
  <c r="D122" i="13"/>
  <c r="B122" i="14"/>
  <c r="D122" i="14" s="1"/>
  <c r="B123" i="13"/>
  <c r="DN17" i="8"/>
  <c r="B120" i="7" l="1"/>
  <c r="C122" i="13"/>
  <c r="C122" i="14" s="1"/>
  <c r="D123" i="13"/>
  <c r="B123" i="14"/>
  <c r="D123" i="14" s="1"/>
  <c r="B124" i="13"/>
  <c r="DO17" i="8"/>
  <c r="B121" i="7" l="1"/>
  <c r="C123" i="13"/>
  <c r="C123" i="14"/>
  <c r="D124" i="13"/>
  <c r="B124" i="14"/>
  <c r="D124" i="14" s="1"/>
  <c r="B125" i="13"/>
  <c r="DP17" i="8"/>
  <c r="B122" i="7" l="1"/>
  <c r="C124" i="13"/>
  <c r="C124" i="14" s="1"/>
  <c r="D125" i="13"/>
  <c r="B125" i="14"/>
  <c r="D125" i="14" s="1"/>
  <c r="B126" i="13"/>
  <c r="DQ17" i="8"/>
  <c r="B123" i="7" l="1"/>
  <c r="C125" i="13"/>
  <c r="C125" i="14"/>
  <c r="D126" i="13"/>
  <c r="B126" i="14"/>
  <c r="D126" i="14" s="1"/>
  <c r="B127" i="13"/>
  <c r="DR17" i="8"/>
  <c r="B124" i="7" l="1"/>
  <c r="C126" i="13"/>
  <c r="C126" i="14" s="1"/>
  <c r="D127" i="13"/>
  <c r="B127" i="14"/>
  <c r="D127" i="14" s="1"/>
  <c r="B128" i="13"/>
  <c r="DS17" i="8"/>
  <c r="B125" i="7" l="1"/>
  <c r="C127" i="13"/>
  <c r="C127" i="14"/>
  <c r="D128" i="13"/>
  <c r="B128" i="14"/>
  <c r="D128" i="14" s="1"/>
  <c r="B129" i="13"/>
  <c r="DT17" i="8"/>
  <c r="B126" i="7" l="1"/>
  <c r="C128" i="13"/>
  <c r="C128" i="14" s="1"/>
  <c r="D129" i="13"/>
  <c r="B129" i="14"/>
  <c r="D129" i="14" s="1"/>
  <c r="B130" i="13"/>
  <c r="DU17" i="8"/>
  <c r="B127" i="7" l="1"/>
  <c r="C129" i="13"/>
  <c r="C129" i="14" s="1"/>
  <c r="D130" i="13"/>
  <c r="B130" i="14"/>
  <c r="D130" i="14" s="1"/>
  <c r="B131" i="13"/>
  <c r="DV17" i="8"/>
  <c r="B128" i="7" l="1"/>
  <c r="C130" i="13"/>
  <c r="C130" i="14" s="1"/>
  <c r="D131" i="13"/>
  <c r="B131" i="14"/>
  <c r="D131" i="14" s="1"/>
  <c r="B132" i="13"/>
  <c r="DW17" i="8"/>
  <c r="B129" i="7" l="1"/>
  <c r="C131" i="13"/>
  <c r="C131" i="14" s="1"/>
  <c r="D132" i="13"/>
  <c r="B132" i="14"/>
  <c r="D132" i="14" s="1"/>
  <c r="B133" i="13"/>
  <c r="DX17" i="8"/>
  <c r="B130" i="7" l="1"/>
  <c r="C132" i="13"/>
  <c r="C132" i="14"/>
  <c r="D133" i="13"/>
  <c r="B133" i="14"/>
  <c r="D133" i="14" s="1"/>
  <c r="B134" i="13"/>
  <c r="DY17" i="8"/>
  <c r="B131" i="7" l="1"/>
  <c r="C133" i="13"/>
  <c r="C133" i="14"/>
  <c r="D134" i="13"/>
  <c r="B134" i="14"/>
  <c r="D134" i="14" s="1"/>
  <c r="B135" i="13"/>
  <c r="DZ17" i="8"/>
  <c r="B132" i="7" l="1"/>
  <c r="C134" i="13"/>
  <c r="C134" i="14" s="1"/>
  <c r="D135" i="13"/>
  <c r="B135" i="14"/>
  <c r="D135" i="14" s="1"/>
  <c r="B136" i="13"/>
  <c r="EA17" i="8"/>
  <c r="B133" i="7" l="1"/>
  <c r="C135" i="13"/>
  <c r="C135" i="14"/>
  <c r="D136" i="13"/>
  <c r="B136" i="14"/>
  <c r="D136" i="14" s="1"/>
  <c r="B137" i="13"/>
  <c r="EB17" i="8"/>
  <c r="B134" i="7" l="1"/>
  <c r="C136" i="13"/>
  <c r="C136" i="14" s="1"/>
  <c r="D137" i="13"/>
  <c r="B137" i="14"/>
  <c r="D137" i="14" s="1"/>
  <c r="B138" i="13"/>
  <c r="EC17" i="8"/>
  <c r="B135" i="7" l="1"/>
  <c r="C137" i="13"/>
  <c r="C137" i="14"/>
  <c r="D138" i="13"/>
  <c r="B138" i="14"/>
  <c r="D138" i="14" s="1"/>
  <c r="B139" i="13"/>
  <c r="ED17" i="8"/>
  <c r="B136" i="7" l="1"/>
  <c r="C138" i="13"/>
  <c r="C138" i="14" s="1"/>
  <c r="D139" i="13"/>
  <c r="B139" i="14"/>
  <c r="D139" i="14" s="1"/>
  <c r="B140" i="13"/>
  <c r="EE17" i="8"/>
  <c r="B137" i="7" l="1"/>
  <c r="C139" i="13"/>
  <c r="C139" i="14"/>
  <c r="D140" i="13"/>
  <c r="B140" i="14"/>
  <c r="D140" i="14" s="1"/>
  <c r="B141" i="13"/>
  <c r="EF17" i="8"/>
  <c r="B138" i="7" l="1"/>
  <c r="C140" i="13"/>
  <c r="C140" i="14"/>
  <c r="D141" i="13"/>
  <c r="B141" i="14"/>
  <c r="D141" i="14" s="1"/>
  <c r="B142" i="13"/>
  <c r="EG17" i="8"/>
  <c r="B139" i="7" l="1"/>
  <c r="C141" i="13"/>
  <c r="C141" i="14" s="1"/>
  <c r="D142" i="13"/>
  <c r="B142" i="14"/>
  <c r="D142" i="14" s="1"/>
  <c r="B143" i="13"/>
  <c r="EH17" i="8"/>
  <c r="B140" i="7" l="1"/>
  <c r="C142" i="13"/>
  <c r="C142" i="14" s="1"/>
  <c r="D143" i="13"/>
  <c r="B143" i="14"/>
  <c r="D143" i="14" s="1"/>
  <c r="B144" i="13"/>
  <c r="EI17" i="8"/>
  <c r="B141" i="7" l="1"/>
  <c r="C143" i="13"/>
  <c r="C143" i="14"/>
  <c r="D144" i="13"/>
  <c r="B144" i="14"/>
  <c r="D144" i="14" s="1"/>
  <c r="B145" i="13"/>
  <c r="EJ17" i="8"/>
  <c r="B142" i="7" l="1"/>
  <c r="C144" i="13"/>
  <c r="C144" i="14" s="1"/>
  <c r="D145" i="13"/>
  <c r="B145" i="14"/>
  <c r="D145" i="14" s="1"/>
  <c r="B146" i="13"/>
  <c r="EK17" i="8"/>
  <c r="B143" i="7" l="1"/>
  <c r="C145" i="13"/>
  <c r="C145" i="14"/>
  <c r="D146" i="13"/>
  <c r="B146" i="14"/>
  <c r="D146" i="14" s="1"/>
  <c r="B147" i="13"/>
  <c r="EL17" i="8"/>
  <c r="B144" i="7" l="1"/>
  <c r="C146" i="13"/>
  <c r="C146" i="14"/>
  <c r="D147" i="13"/>
  <c r="B147" i="14"/>
  <c r="D147" i="14" s="1"/>
  <c r="B148" i="13"/>
  <c r="EM17" i="8"/>
  <c r="B145" i="7" l="1"/>
  <c r="C147" i="13"/>
  <c r="C147" i="14" s="1"/>
  <c r="D148" i="13"/>
  <c r="B148" i="14"/>
  <c r="D148" i="14" s="1"/>
  <c r="B149" i="13"/>
  <c r="EN17" i="8"/>
  <c r="B146" i="7" l="1"/>
  <c r="C148" i="13"/>
  <c r="C148" i="14" s="1"/>
  <c r="D149" i="13"/>
  <c r="B149" i="14"/>
  <c r="D149" i="14" s="1"/>
  <c r="B150" i="13"/>
  <c r="EO17" i="8"/>
  <c r="B147" i="7" l="1"/>
  <c r="C149" i="13"/>
  <c r="C149" i="14"/>
  <c r="D150" i="13"/>
  <c r="B150" i="14"/>
  <c r="D150" i="14" s="1"/>
  <c r="B151" i="13"/>
  <c r="EP17" i="8"/>
  <c r="B148" i="7" l="1"/>
  <c r="C150" i="13"/>
  <c r="C150" i="14"/>
  <c r="D151" i="13"/>
  <c r="B151" i="14"/>
  <c r="D151" i="14" s="1"/>
  <c r="B152" i="13"/>
  <c r="EQ17" i="8"/>
  <c r="B149" i="7" l="1"/>
  <c r="C151" i="13"/>
  <c r="C151" i="14" s="1"/>
  <c r="D152" i="13"/>
  <c r="B152" i="14"/>
  <c r="D152" i="14" s="1"/>
  <c r="B153" i="13"/>
  <c r="ER17" i="8"/>
  <c r="B150" i="7" l="1"/>
  <c r="C152" i="13"/>
  <c r="C152" i="14" s="1"/>
  <c r="D153" i="13"/>
  <c r="B153" i="14"/>
  <c r="D153" i="14" s="1"/>
  <c r="B154" i="13"/>
  <c r="ES17" i="8"/>
  <c r="B151" i="7" l="1"/>
  <c r="C153" i="13"/>
  <c r="C153" i="14" s="1"/>
  <c r="D154" i="13"/>
  <c r="B154" i="14"/>
  <c r="D154" i="14" s="1"/>
  <c r="B155" i="13"/>
  <c r="ET17" i="8"/>
  <c r="B152" i="7" l="1"/>
  <c r="C154" i="13"/>
  <c r="C154" i="14" s="1"/>
  <c r="D155" i="13"/>
  <c r="B155" i="14"/>
  <c r="D155" i="14" s="1"/>
  <c r="B156" i="13"/>
  <c r="EU17" i="8"/>
  <c r="B153" i="7" l="1"/>
  <c r="C155" i="13"/>
  <c r="C155" i="14"/>
  <c r="D156" i="13"/>
  <c r="B156" i="14"/>
  <c r="D156" i="14" s="1"/>
  <c r="B157" i="13"/>
  <c r="EV17" i="8"/>
  <c r="B154" i="7" l="1"/>
  <c r="C156" i="13"/>
  <c r="C156" i="14"/>
  <c r="D157" i="13"/>
  <c r="B157" i="14"/>
  <c r="D157" i="14" s="1"/>
  <c r="B158" i="13"/>
  <c r="EW17" i="8"/>
  <c r="B155" i="7" l="1"/>
  <c r="C157" i="13"/>
  <c r="C157" i="14"/>
  <c r="D158" i="13"/>
  <c r="B158" i="14"/>
  <c r="D158" i="14" s="1"/>
  <c r="B159" i="13"/>
  <c r="EX17" i="8"/>
  <c r="B156" i="7" l="1"/>
  <c r="C158" i="13"/>
  <c r="C158" i="14" s="1"/>
  <c r="D159" i="13"/>
  <c r="B159" i="14"/>
  <c r="D159" i="14" s="1"/>
  <c r="B160" i="13"/>
  <c r="EY17" i="8"/>
  <c r="B157" i="7" l="1"/>
  <c r="C159" i="13"/>
  <c r="C159" i="14"/>
  <c r="D160" i="13"/>
  <c r="B160" i="14"/>
  <c r="D160" i="14" s="1"/>
  <c r="B161" i="13"/>
  <c r="EZ17" i="8"/>
  <c r="B158" i="7" l="1"/>
  <c r="C160" i="13"/>
  <c r="C160" i="14" s="1"/>
  <c r="D161" i="13"/>
  <c r="B161" i="14"/>
  <c r="D161" i="14" s="1"/>
  <c r="B162" i="13"/>
  <c r="FA17" i="8"/>
  <c r="B159" i="7" l="1"/>
  <c r="C161" i="13"/>
  <c r="C161" i="14" s="1"/>
  <c r="D162" i="13"/>
  <c r="B162" i="14"/>
  <c r="D162" i="14" s="1"/>
  <c r="B163" i="13"/>
  <c r="FB17" i="8"/>
  <c r="B160" i="7" l="1"/>
  <c r="C162" i="13"/>
  <c r="C162" i="14"/>
  <c r="D163" i="13"/>
  <c r="B163" i="14"/>
  <c r="D163" i="14" s="1"/>
  <c r="B164" i="13"/>
  <c r="FC17" i="8"/>
  <c r="B161" i="7" l="1"/>
  <c r="C163" i="13"/>
  <c r="C163" i="14" s="1"/>
  <c r="D164" i="13"/>
  <c r="B164" i="14"/>
  <c r="D164" i="14" s="1"/>
  <c r="B165" i="13"/>
  <c r="FD17" i="8"/>
  <c r="B162" i="7" l="1"/>
  <c r="C164" i="13"/>
  <c r="C164" i="14"/>
  <c r="D165" i="13"/>
  <c r="B165" i="14"/>
  <c r="D165" i="14" s="1"/>
  <c r="B166" i="13"/>
  <c r="FE17" i="8"/>
  <c r="B163" i="7" l="1"/>
  <c r="C165" i="13"/>
  <c r="C165" i="14" s="1"/>
  <c r="D166" i="13"/>
  <c r="B166" i="14"/>
  <c r="D166" i="14" s="1"/>
  <c r="B167" i="13"/>
  <c r="FF17" i="8"/>
  <c r="B164" i="7" l="1"/>
  <c r="C166" i="13"/>
  <c r="C166" i="14" s="1"/>
  <c r="D167" i="13"/>
  <c r="B167" i="14"/>
  <c r="D167" i="14" s="1"/>
  <c r="B168" i="13"/>
  <c r="FG17" i="8"/>
  <c r="B165" i="7" l="1"/>
  <c r="C167" i="13"/>
  <c r="C167" i="14"/>
  <c r="D168" i="13"/>
  <c r="B168" i="14"/>
  <c r="D168" i="14" s="1"/>
  <c r="B169" i="13"/>
  <c r="FH17" i="8"/>
  <c r="B166" i="7" l="1"/>
  <c r="C168" i="13"/>
  <c r="C168" i="14"/>
  <c r="D169" i="13"/>
  <c r="B169" i="14"/>
  <c r="D169" i="14" s="1"/>
  <c r="B170" i="13"/>
  <c r="FI17" i="8"/>
  <c r="B167" i="7" l="1"/>
  <c r="C169" i="13"/>
  <c r="C169" i="14" s="1"/>
  <c r="D170" i="13"/>
  <c r="B170" i="14"/>
  <c r="D170" i="14" s="1"/>
  <c r="B171" i="13"/>
  <c r="FJ17" i="8"/>
  <c r="B168" i="7" l="1"/>
  <c r="C170" i="13"/>
  <c r="C170" i="14" s="1"/>
  <c r="D171" i="13"/>
  <c r="B171" i="14"/>
  <c r="D171" i="14" s="1"/>
  <c r="B172" i="13"/>
  <c r="FK17" i="8"/>
  <c r="B169" i="7" l="1"/>
  <c r="C171" i="13"/>
  <c r="C171" i="14"/>
  <c r="D172" i="13"/>
  <c r="B172" i="14"/>
  <c r="D172" i="14" s="1"/>
  <c r="B173" i="13"/>
  <c r="FL17" i="8"/>
  <c r="B170" i="7" l="1"/>
  <c r="C172" i="13"/>
  <c r="C172" i="14"/>
  <c r="D173" i="13"/>
  <c r="B173" i="14"/>
  <c r="D173" i="14" s="1"/>
  <c r="B174" i="13"/>
  <c r="FM17" i="8"/>
  <c r="B171" i="7" l="1"/>
  <c r="C173" i="13"/>
  <c r="C173" i="14" s="1"/>
  <c r="D174" i="13"/>
  <c r="B174" i="14"/>
  <c r="D174" i="14" s="1"/>
  <c r="B175" i="13"/>
  <c r="FN17" i="8"/>
  <c r="B172" i="7" l="1"/>
  <c r="C174" i="13"/>
  <c r="C174" i="14" s="1"/>
  <c r="D175" i="13"/>
  <c r="B175" i="14"/>
  <c r="D175" i="14" s="1"/>
  <c r="B176" i="13"/>
  <c r="FO17" i="8"/>
  <c r="B173" i="7" l="1"/>
  <c r="C175" i="13"/>
  <c r="C175" i="14" s="1"/>
  <c r="D176" i="13"/>
  <c r="B176" i="14"/>
  <c r="D176" i="14" s="1"/>
  <c r="B177" i="13"/>
  <c r="FP17" i="8"/>
  <c r="B174" i="7" l="1"/>
  <c r="C176" i="13"/>
  <c r="C176" i="14" s="1"/>
  <c r="D177" i="13"/>
  <c r="B177" i="14"/>
  <c r="D177" i="14" s="1"/>
  <c r="B178" i="13"/>
  <c r="FQ17" i="8"/>
  <c r="B175" i="7" l="1"/>
  <c r="C177" i="13"/>
  <c r="C177" i="14"/>
  <c r="D178" i="13"/>
  <c r="B178" i="14"/>
  <c r="D178" i="14" s="1"/>
  <c r="B179" i="13"/>
  <c r="FR17" i="8"/>
  <c r="B176" i="7" l="1"/>
  <c r="C178" i="13"/>
  <c r="C178" i="14"/>
  <c r="D179" i="13"/>
  <c r="B179" i="14"/>
  <c r="D179" i="14" s="1"/>
  <c r="B180" i="13"/>
  <c r="FS17" i="8"/>
  <c r="B177" i="7" l="1"/>
  <c r="C179" i="13"/>
  <c r="C179" i="14" s="1"/>
  <c r="D180" i="13"/>
  <c r="B180" i="14"/>
  <c r="D180" i="14" s="1"/>
  <c r="B181" i="13"/>
  <c r="FT17" i="8"/>
  <c r="B178" i="7" l="1"/>
  <c r="C180" i="13"/>
  <c r="C180" i="14" s="1"/>
  <c r="D181" i="13"/>
  <c r="B181" i="14"/>
  <c r="D181" i="14" s="1"/>
  <c r="B182" i="13"/>
  <c r="FU17" i="8"/>
  <c r="B179" i="7" l="1"/>
  <c r="C181" i="13"/>
  <c r="C181" i="14" s="1"/>
  <c r="D182" i="13"/>
  <c r="B182" i="14"/>
  <c r="D182" i="14" s="1"/>
  <c r="B183" i="13"/>
  <c r="FV17" i="8"/>
  <c r="B180" i="7" l="1"/>
  <c r="C182" i="13"/>
  <c r="C182" i="14" s="1"/>
  <c r="D183" i="13"/>
  <c r="B183" i="14"/>
  <c r="D183" i="14" s="1"/>
  <c r="B184" i="13"/>
  <c r="FW17" i="8"/>
  <c r="B181" i="7" l="1"/>
  <c r="C183" i="13"/>
  <c r="C183" i="14"/>
  <c r="D184" i="13"/>
  <c r="B184" i="14"/>
  <c r="D184" i="14" s="1"/>
  <c r="B185" i="13"/>
  <c r="FX17" i="8"/>
  <c r="B182" i="7" l="1"/>
  <c r="C184" i="13"/>
  <c r="C184" i="14"/>
  <c r="D185" i="13"/>
  <c r="B185" i="14"/>
  <c r="D185" i="14" s="1"/>
  <c r="B186" i="13"/>
  <c r="FY17" i="8"/>
  <c r="B183" i="7" l="1"/>
  <c r="C185" i="13"/>
  <c r="C185" i="14"/>
  <c r="D186" i="13"/>
  <c r="B186" i="14"/>
  <c r="D186" i="14" s="1"/>
  <c r="B187" i="13"/>
  <c r="FZ17" i="8"/>
  <c r="B184" i="7" l="1"/>
  <c r="C186" i="13"/>
  <c r="C186" i="14"/>
  <c r="D187" i="13"/>
  <c r="B187" i="14"/>
  <c r="D187" i="14" s="1"/>
  <c r="B188" i="13"/>
  <c r="GA17" i="8"/>
  <c r="B185" i="7" l="1"/>
  <c r="C187" i="13"/>
  <c r="C187" i="14" s="1"/>
  <c r="D188" i="13"/>
  <c r="B188" i="14"/>
  <c r="D188" i="14" s="1"/>
  <c r="B189" i="13"/>
  <c r="GB17" i="8"/>
  <c r="B186" i="7" l="1"/>
  <c r="C188" i="13"/>
  <c r="C188" i="14" s="1"/>
  <c r="D189" i="13"/>
  <c r="B189" i="14"/>
  <c r="D189" i="14" s="1"/>
  <c r="B190" i="13"/>
  <c r="GC17" i="8"/>
  <c r="B187" i="7" l="1"/>
  <c r="C189" i="13"/>
  <c r="C189" i="14"/>
  <c r="D190" i="13"/>
  <c r="B190" i="14"/>
  <c r="D190" i="14" s="1"/>
  <c r="B191" i="13"/>
  <c r="GD17" i="8"/>
  <c r="B188" i="7" l="1"/>
  <c r="C190" i="13"/>
  <c r="C190" i="14" s="1"/>
  <c r="D191" i="13"/>
  <c r="B191" i="14"/>
  <c r="D191" i="14" s="1"/>
  <c r="B192" i="13"/>
  <c r="GE17" i="8"/>
  <c r="B189" i="7" l="1"/>
  <c r="C191" i="13"/>
  <c r="C191" i="14"/>
  <c r="D192" i="13"/>
  <c r="B192" i="14"/>
  <c r="D192" i="14" s="1"/>
  <c r="B193" i="13"/>
  <c r="GF17" i="8"/>
  <c r="B190" i="7" l="1"/>
  <c r="C192" i="13"/>
  <c r="C192" i="14" s="1"/>
  <c r="D193" i="13"/>
  <c r="B193" i="14"/>
  <c r="D193" i="14" s="1"/>
  <c r="B194" i="13"/>
  <c r="GG17" i="8"/>
  <c r="B191" i="7" l="1"/>
  <c r="C193" i="13"/>
  <c r="C193" i="14" s="1"/>
  <c r="D194" i="13"/>
  <c r="B194" i="14"/>
  <c r="D194" i="14" s="1"/>
  <c r="B195" i="13"/>
  <c r="GH17" i="8"/>
  <c r="B192" i="7" l="1"/>
  <c r="C194" i="13"/>
  <c r="C194" i="14"/>
  <c r="D195" i="13"/>
  <c r="B195" i="14"/>
  <c r="D195" i="14" s="1"/>
  <c r="B196" i="13"/>
  <c r="GI17" i="8"/>
  <c r="B193" i="7" l="1"/>
  <c r="C195" i="13"/>
  <c r="C195" i="14"/>
  <c r="D196" i="13"/>
  <c r="B196" i="14"/>
  <c r="D196" i="14" s="1"/>
  <c r="B197" i="13"/>
  <c r="GJ17" i="8"/>
  <c r="B194" i="7" l="1"/>
  <c r="C196" i="13"/>
  <c r="C196" i="14"/>
  <c r="D197" i="13"/>
  <c r="B197" i="14"/>
  <c r="D197" i="14" s="1"/>
  <c r="B198" i="13"/>
  <c r="GK17" i="8"/>
  <c r="B195" i="7" l="1"/>
  <c r="C197" i="13"/>
  <c r="C197" i="14"/>
  <c r="D198" i="13"/>
  <c r="B198" i="14"/>
  <c r="D198" i="14" s="1"/>
  <c r="B199" i="13"/>
  <c r="GL17" i="8"/>
  <c r="B196" i="7" l="1"/>
  <c r="C198" i="13"/>
  <c r="C198" i="14" s="1"/>
  <c r="D199" i="13"/>
  <c r="B199" i="14"/>
  <c r="D199" i="14" s="1"/>
  <c r="B200" i="13"/>
  <c r="GM17" i="8"/>
  <c r="B197" i="7" l="1"/>
  <c r="C199" i="13"/>
  <c r="C199" i="14" s="1"/>
  <c r="D200" i="13"/>
  <c r="B200" i="14"/>
  <c r="D200" i="14" s="1"/>
  <c r="B201" i="13"/>
  <c r="GN17" i="8"/>
  <c r="B198" i="7" l="1"/>
  <c r="C200" i="13"/>
  <c r="C200" i="14" s="1"/>
  <c r="D201" i="13"/>
  <c r="B201" i="14"/>
  <c r="D201" i="14" s="1"/>
  <c r="B202" i="13"/>
  <c r="GO17" i="8"/>
  <c r="B199" i="7" l="1"/>
  <c r="C201" i="13"/>
  <c r="C201" i="14"/>
  <c r="D202" i="13"/>
  <c r="B202" i="14"/>
  <c r="D202" i="14" s="1"/>
  <c r="B203" i="13"/>
  <c r="GP17" i="8"/>
  <c r="B200" i="7" l="1"/>
  <c r="C202" i="13"/>
  <c r="C202" i="14" s="1"/>
  <c r="D203" i="13"/>
  <c r="B203" i="14"/>
  <c r="D203" i="14" s="1"/>
  <c r="B204" i="13"/>
  <c r="GQ17" i="8"/>
  <c r="B201" i="7" l="1"/>
  <c r="C203" i="13"/>
  <c r="C203" i="14"/>
  <c r="D204" i="13"/>
  <c r="B204" i="14"/>
  <c r="D204" i="14" s="1"/>
  <c r="B205" i="13"/>
  <c r="GR17" i="8"/>
  <c r="B202" i="7" l="1"/>
  <c r="C204" i="13"/>
  <c r="C204" i="14" s="1"/>
  <c r="D205" i="13"/>
  <c r="B205" i="14"/>
  <c r="D205" i="14" s="1"/>
  <c r="B206" i="13"/>
  <c r="GS17" i="8"/>
  <c r="B203" i="7" l="1"/>
  <c r="C205" i="13"/>
  <c r="C205" i="14" s="1"/>
  <c r="D206" i="13"/>
  <c r="B206" i="14"/>
  <c r="D206" i="14" s="1"/>
  <c r="B207" i="13"/>
  <c r="GT17" i="8"/>
  <c r="B204" i="7" l="1"/>
  <c r="C206" i="13"/>
  <c r="C206" i="14"/>
  <c r="D207" i="13"/>
  <c r="B207" i="14"/>
  <c r="D207" i="14" s="1"/>
  <c r="B208" i="13"/>
  <c r="GU17" i="8"/>
  <c r="B205" i="7" l="1"/>
  <c r="C207" i="13"/>
  <c r="C207" i="14"/>
  <c r="D208" i="13"/>
  <c r="B208" i="14"/>
  <c r="D208" i="14" s="1"/>
  <c r="B209" i="13"/>
  <c r="GV17" i="8"/>
  <c r="B206" i="7" l="1"/>
  <c r="C208" i="13"/>
  <c r="C208" i="14"/>
  <c r="D209" i="13"/>
  <c r="B209" i="14"/>
  <c r="D209" i="14" s="1"/>
  <c r="B210" i="13"/>
  <c r="GW17" i="8"/>
  <c r="B207" i="7" l="1"/>
  <c r="C209" i="13"/>
  <c r="C209" i="14" s="1"/>
  <c r="D210" i="13"/>
  <c r="B210" i="14"/>
  <c r="D210" i="14" s="1"/>
  <c r="B211" i="13"/>
  <c r="GX17" i="8"/>
  <c r="B208" i="7" l="1"/>
  <c r="C210" i="13"/>
  <c r="C210" i="14" s="1"/>
  <c r="D211" i="13"/>
  <c r="B211" i="14"/>
  <c r="D211" i="14" s="1"/>
  <c r="B212" i="13"/>
  <c r="GY17" i="8"/>
  <c r="B209" i="7" l="1"/>
  <c r="C211" i="13"/>
  <c r="C211" i="14"/>
  <c r="D212" i="13"/>
  <c r="B212" i="14"/>
  <c r="D212" i="14" s="1"/>
  <c r="B213" i="13"/>
  <c r="GZ17" i="8"/>
  <c r="B210" i="7" l="1"/>
  <c r="C212" i="13"/>
  <c r="C212" i="14"/>
  <c r="D213" i="13"/>
  <c r="B213" i="14"/>
  <c r="D213" i="14" s="1"/>
  <c r="B214" i="13"/>
  <c r="HA17" i="8"/>
  <c r="B211" i="7" l="1"/>
  <c r="C213" i="13"/>
  <c r="C213" i="14"/>
  <c r="D214" i="13"/>
  <c r="B214" i="14"/>
  <c r="D214" i="14" s="1"/>
  <c r="B215" i="13"/>
  <c r="HB17" i="8"/>
  <c r="B212" i="7" l="1"/>
  <c r="B213" i="7" s="1"/>
  <c r="B214" i="7" s="1"/>
  <c r="B215" i="7" s="1"/>
  <c r="B216" i="7" s="1"/>
  <c r="B217" i="7" s="1"/>
  <c r="B218" i="7" s="1"/>
  <c r="B219" i="7" s="1"/>
  <c r="B220" i="7" s="1"/>
  <c r="B221" i="7" s="1"/>
  <c r="B222" i="7" s="1"/>
  <c r="B223" i="7" s="1"/>
  <c r="B224" i="7" s="1"/>
  <c r="B225" i="7" s="1"/>
  <c r="B226" i="7" s="1"/>
  <c r="B227" i="7" s="1"/>
  <c r="B228" i="7" s="1"/>
  <c r="B229" i="7" s="1"/>
  <c r="C214" i="13"/>
  <c r="C214" i="14"/>
  <c r="D215" i="13"/>
  <c r="B215" i="14"/>
  <c r="D215" i="14" s="1"/>
  <c r="B216" i="13"/>
  <c r="HC17" i="8"/>
  <c r="E208" i="13" l="1"/>
  <c r="E208" i="14" s="1"/>
  <c r="E212" i="13"/>
  <c r="E212" i="14" s="1"/>
  <c r="E214" i="13"/>
  <c r="E214" i="14" s="1"/>
  <c r="E209" i="13"/>
  <c r="E209" i="14" s="1"/>
  <c r="E207" i="13"/>
  <c r="E207" i="14" s="1"/>
  <c r="E210" i="13"/>
  <c r="E210" i="14" s="1"/>
  <c r="E213" i="13"/>
  <c r="E213" i="14" s="1"/>
  <c r="E206" i="13"/>
  <c r="E206" i="14" s="1"/>
  <c r="E211" i="13"/>
  <c r="E211" i="14" s="1"/>
  <c r="C215" i="13"/>
  <c r="C215" i="14" s="1"/>
  <c r="D216" i="13"/>
  <c r="B216" i="14"/>
  <c r="D216" i="14" s="1"/>
  <c r="B217" i="13"/>
  <c r="E215" i="13"/>
  <c r="E215" i="14" s="1"/>
  <c r="HD17" i="8"/>
  <c r="C216" i="13" l="1"/>
  <c r="C216" i="14"/>
  <c r="D217" i="13"/>
  <c r="B217" i="14"/>
  <c r="D217" i="14" s="1"/>
  <c r="B218" i="13"/>
  <c r="E216" i="13"/>
  <c r="E216" i="14" s="1"/>
  <c r="HE17" i="8"/>
  <c r="C217" i="13" l="1"/>
  <c r="C217" i="14"/>
  <c r="D218" i="13"/>
  <c r="B218" i="14"/>
  <c r="D218" i="14" s="1"/>
  <c r="B219" i="13"/>
  <c r="E217" i="13"/>
  <c r="E217" i="14" s="1"/>
  <c r="HF17" i="8"/>
  <c r="C218" i="13" l="1"/>
  <c r="C218" i="14"/>
  <c r="D219" i="13"/>
  <c r="B219" i="14"/>
  <c r="D219" i="14" s="1"/>
  <c r="B220" i="13"/>
  <c r="E218" i="13"/>
  <c r="E218" i="14" s="1"/>
  <c r="HG17" i="8"/>
  <c r="C219" i="13" l="1"/>
  <c r="C219" i="14"/>
  <c r="D220" i="13"/>
  <c r="B220" i="14"/>
  <c r="D220" i="14" s="1"/>
  <c r="B221" i="13"/>
  <c r="E219" i="13"/>
  <c r="E219" i="14" s="1"/>
  <c r="HH17" i="8"/>
  <c r="C220" i="13" l="1"/>
  <c r="C220" i="14"/>
  <c r="D221" i="13"/>
  <c r="B221" i="14"/>
  <c r="D221" i="14" s="1"/>
  <c r="B222" i="13"/>
  <c r="E220" i="13"/>
  <c r="E220" i="14" s="1"/>
  <c r="HI17" i="8"/>
  <c r="C221" i="13" l="1"/>
  <c r="C221" i="14"/>
  <c r="D222" i="13"/>
  <c r="B222" i="14"/>
  <c r="D222" i="14" s="1"/>
  <c r="B223" i="13"/>
  <c r="E221" i="13"/>
  <c r="E221" i="14" s="1"/>
  <c r="HJ17" i="8"/>
  <c r="C222" i="13" l="1"/>
  <c r="C222" i="14"/>
  <c r="D223" i="13"/>
  <c r="B223" i="14"/>
  <c r="D223" i="14" s="1"/>
  <c r="B224" i="13"/>
  <c r="E222" i="13"/>
  <c r="E222" i="14" s="1"/>
  <c r="HK17" i="8"/>
  <c r="C223" i="13" l="1"/>
  <c r="C223" i="14"/>
  <c r="D224" i="13"/>
  <c r="B224" i="14"/>
  <c r="D224" i="14" s="1"/>
  <c r="B225" i="13"/>
  <c r="E223" i="13"/>
  <c r="E223" i="14" s="1"/>
  <c r="HL17" i="8"/>
  <c r="C224" i="13" l="1"/>
  <c r="C224" i="14"/>
  <c r="D225" i="13"/>
  <c r="B225" i="14"/>
  <c r="D225" i="14" s="1"/>
  <c r="B226" i="13"/>
  <c r="E224" i="13"/>
  <c r="E224" i="14" s="1"/>
  <c r="HM17" i="8"/>
  <c r="C225" i="13" l="1"/>
  <c r="C225" i="14"/>
  <c r="D226" i="13"/>
  <c r="B226" i="14"/>
  <c r="D226" i="14" s="1"/>
  <c r="B227" i="13"/>
  <c r="E225" i="13"/>
  <c r="E225" i="14" s="1"/>
  <c r="HN17" i="8"/>
  <c r="C226" i="13" l="1"/>
  <c r="C226" i="14"/>
  <c r="D227" i="13"/>
  <c r="B227" i="14"/>
  <c r="D227" i="14" s="1"/>
  <c r="B228" i="13"/>
  <c r="E226" i="13"/>
  <c r="E226" i="14" s="1"/>
  <c r="HO17" i="8"/>
  <c r="C227" i="13" l="1"/>
  <c r="C227" i="14"/>
  <c r="D228" i="13"/>
  <c r="B228" i="14"/>
  <c r="D228" i="14" s="1"/>
  <c r="E227" i="13"/>
  <c r="E227" i="14" s="1"/>
  <c r="HP17" i="8"/>
  <c r="C228" i="13" l="1"/>
  <c r="C228" i="14"/>
  <c r="E228" i="13"/>
  <c r="E228" i="14" s="1"/>
  <c r="HQ17" i="8"/>
  <c r="HR17" i="8" l="1"/>
  <c r="HS17" i="8" l="1"/>
  <c r="HT17" i="8" l="1"/>
  <c r="HU17" i="8" l="1"/>
  <c r="HV17" i="8" l="1"/>
  <c r="AN223" i="7" l="1"/>
  <c r="AH222" i="7"/>
  <c r="AN222" i="7"/>
  <c r="AL224" i="7"/>
  <c r="HW17" i="8"/>
  <c r="AN227" i="7"/>
  <c r="AK227" i="7"/>
  <c r="AL227" i="7"/>
  <c r="AH227" i="7"/>
  <c r="AE227" i="7"/>
  <c r="AM221" i="7" l="1"/>
  <c r="AC225" i="7"/>
  <c r="AM220" i="7"/>
  <c r="AD225" i="7"/>
  <c r="AL225" i="7"/>
  <c r="AF224" i="7"/>
  <c r="AI224" i="7"/>
  <c r="AN220" i="7"/>
  <c r="AJ221" i="7"/>
  <c r="AJ225" i="7"/>
  <c r="AN221" i="7"/>
  <c r="AT223" i="7"/>
  <c r="I222" i="14" s="1"/>
  <c r="AV223" i="7"/>
  <c r="G222" i="14" s="1"/>
  <c r="AF227" i="7"/>
  <c r="AD227" i="7"/>
  <c r="AI227" i="7"/>
  <c r="AM225" i="7"/>
  <c r="AK225" i="7"/>
  <c r="AD222" i="7"/>
  <c r="AV222" i="7"/>
  <c r="G221" i="14" s="1"/>
  <c r="AT222" i="7"/>
  <c r="I221" i="14" s="1"/>
  <c r="HX17" i="8"/>
  <c r="AC5" i="7"/>
  <c r="AN5" i="7"/>
  <c r="AG5" i="7"/>
  <c r="AL6" i="7"/>
  <c r="AH7" i="7"/>
  <c r="AE5" i="7"/>
  <c r="AI5" i="7"/>
  <c r="AL5" i="7"/>
  <c r="AM5" i="7"/>
  <c r="AG6" i="7"/>
  <c r="AH5" i="7"/>
  <c r="AD6" i="7"/>
  <c r="AE6" i="7"/>
  <c r="AH6" i="7"/>
  <c r="AJ5" i="7"/>
  <c r="AF6" i="7"/>
  <c r="AJ6" i="7"/>
  <c r="AI7" i="7"/>
  <c r="AJ7" i="7"/>
  <c r="AE7" i="7"/>
  <c r="AC6" i="7"/>
  <c r="AM6" i="7"/>
  <c r="AI6" i="7"/>
  <c r="AF5" i="7"/>
  <c r="AD5" i="7"/>
  <c r="AN7" i="7"/>
  <c r="AM8" i="7"/>
  <c r="AK5" i="7"/>
  <c r="AD10" i="7"/>
  <c r="AK6" i="7"/>
  <c r="AK8" i="7"/>
  <c r="AL7" i="7"/>
  <c r="AC7" i="7"/>
  <c r="AG7" i="7"/>
  <c r="AI8" i="7"/>
  <c r="AD8" i="7"/>
  <c r="AM7" i="7"/>
  <c r="AF8" i="7"/>
  <c r="AN6" i="7"/>
  <c r="AC8" i="7"/>
  <c r="AJ8" i="7"/>
  <c r="AK9" i="7"/>
  <c r="AD7" i="7"/>
  <c r="AK7" i="7"/>
  <c r="AH8" i="7"/>
  <c r="AN9" i="7"/>
  <c r="AN8" i="7"/>
  <c r="AG9" i="7"/>
  <c r="AN10" i="7"/>
  <c r="AC9" i="7"/>
  <c r="AH9" i="7"/>
  <c r="AI9" i="7"/>
  <c r="AE8" i="7"/>
  <c r="AF9" i="7"/>
  <c r="AG10" i="7"/>
  <c r="AG8" i="7"/>
  <c r="AL9" i="7"/>
  <c r="AH10" i="7"/>
  <c r="AE10" i="7"/>
  <c r="AM9" i="7"/>
  <c r="AL8" i="7"/>
  <c r="AC10" i="7"/>
  <c r="AJ9" i="7"/>
  <c r="AI10" i="7"/>
  <c r="AF7" i="7"/>
  <c r="AJ10" i="7"/>
  <c r="AM10" i="7"/>
  <c r="AK11" i="7"/>
  <c r="AF10" i="7"/>
  <c r="AG11" i="7"/>
  <c r="AK10" i="7"/>
  <c r="AM11" i="7"/>
  <c r="AN11" i="7"/>
  <c r="AH11" i="7"/>
  <c r="AD12" i="7"/>
  <c r="AD9" i="7"/>
  <c r="AE9" i="7"/>
  <c r="AF14" i="7"/>
  <c r="AG13" i="7"/>
  <c r="AL11" i="7"/>
  <c r="AF13" i="7"/>
  <c r="AL12" i="7"/>
  <c r="AE12" i="7"/>
  <c r="AM12" i="7"/>
  <c r="AC11" i="7"/>
  <c r="AI12" i="7"/>
  <c r="AD11" i="7"/>
  <c r="AH12" i="7"/>
  <c r="AH13" i="7"/>
  <c r="AL10" i="7"/>
  <c r="AL13" i="7"/>
  <c r="AJ13" i="7"/>
  <c r="AN12" i="7"/>
  <c r="AI11" i="7"/>
  <c r="AF11" i="7"/>
  <c r="AD13" i="7"/>
  <c r="AJ11" i="7"/>
  <c r="AE13" i="7"/>
  <c r="AN13" i="7"/>
  <c r="AG14" i="7"/>
  <c r="AG12" i="7"/>
  <c r="AM14" i="7"/>
  <c r="AK12" i="7"/>
  <c r="AF12" i="7"/>
  <c r="AC12" i="7"/>
  <c r="AI13" i="7"/>
  <c r="AE11" i="7"/>
  <c r="AM13" i="7"/>
  <c r="AC14" i="7"/>
  <c r="AC13" i="7"/>
  <c r="AK13" i="7"/>
  <c r="AJ14" i="7"/>
  <c r="AE14" i="7"/>
  <c r="AH14" i="7"/>
  <c r="AH15" i="7"/>
  <c r="AM15" i="7"/>
  <c r="AC15" i="7"/>
  <c r="AL16" i="7"/>
  <c r="AK15" i="7"/>
  <c r="AG15" i="7"/>
  <c r="AL14" i="7"/>
  <c r="AJ12" i="7"/>
  <c r="AJ15" i="7"/>
  <c r="AF16" i="7"/>
  <c r="AI15" i="7"/>
  <c r="AL15" i="7"/>
  <c r="AD15" i="7"/>
  <c r="AK14" i="7"/>
  <c r="AN15" i="7"/>
  <c r="AI14" i="7"/>
  <c r="AD14" i="7"/>
  <c r="AN14" i="7"/>
  <c r="AF15" i="7"/>
  <c r="AH16" i="7"/>
  <c r="AE15" i="7"/>
  <c r="AN16" i="7"/>
  <c r="AH17" i="7"/>
  <c r="AI17" i="7"/>
  <c r="AD17" i="7"/>
  <c r="AD16" i="7"/>
  <c r="AJ16" i="7"/>
  <c r="AL17" i="7"/>
  <c r="AC16" i="7"/>
  <c r="AC17" i="7"/>
  <c r="AK16" i="7"/>
  <c r="AF18" i="7"/>
  <c r="AK18" i="7"/>
  <c r="AG16" i="7"/>
  <c r="AI16" i="7"/>
  <c r="AL18" i="7"/>
  <c r="AM18" i="7"/>
  <c r="AG18" i="7"/>
  <c r="AE16" i="7"/>
  <c r="AE17" i="7"/>
  <c r="AE18" i="7"/>
  <c r="AJ17" i="7"/>
  <c r="AF17" i="7"/>
  <c r="AD19" i="7"/>
  <c r="AN18" i="7"/>
  <c r="AH19" i="7"/>
  <c r="AH18" i="7"/>
  <c r="AN17" i="7"/>
  <c r="AC19" i="7"/>
  <c r="AG17" i="7"/>
  <c r="AF19" i="7"/>
  <c r="AI18" i="7"/>
  <c r="AJ18" i="7"/>
  <c r="AK17" i="7"/>
  <c r="AD18" i="7"/>
  <c r="AI19" i="7"/>
  <c r="AI20" i="7"/>
  <c r="AJ20" i="7"/>
  <c r="AJ19" i="7"/>
  <c r="AK19" i="7"/>
  <c r="AN19" i="7"/>
  <c r="AC20" i="7"/>
  <c r="AL19" i="7"/>
  <c r="AK21" i="7"/>
  <c r="AM16" i="7"/>
  <c r="AH20" i="7"/>
  <c r="AC18" i="7"/>
  <c r="AG20" i="7"/>
  <c r="AL20" i="7"/>
  <c r="AM17" i="7"/>
  <c r="AL22" i="7"/>
  <c r="AG19" i="7"/>
  <c r="AE20" i="7"/>
  <c r="AM21" i="7"/>
  <c r="AN21" i="7"/>
  <c r="AD20" i="7"/>
  <c r="AM20" i="7"/>
  <c r="AE19" i="7"/>
  <c r="AE21" i="7"/>
  <c r="AF21" i="7"/>
  <c r="AJ21" i="7"/>
  <c r="AN20" i="7"/>
  <c r="AM19" i="7"/>
  <c r="AH21" i="7"/>
  <c r="AC21" i="7"/>
  <c r="AF20" i="7"/>
  <c r="AF22" i="7"/>
  <c r="AI21" i="7"/>
  <c r="AC22" i="7"/>
  <c r="AL21" i="7"/>
  <c r="AD21" i="7"/>
  <c r="AK20" i="7"/>
  <c r="AE22" i="7"/>
  <c r="AN22" i="7"/>
  <c r="AI22" i="7"/>
  <c r="AK22" i="7"/>
  <c r="AJ22" i="7"/>
  <c r="AH22" i="7"/>
  <c r="AI23" i="7"/>
  <c r="AL23" i="7"/>
  <c r="AM22" i="7"/>
  <c r="AG22" i="7"/>
  <c r="AK25" i="7"/>
  <c r="AG21" i="7"/>
  <c r="AM24" i="7"/>
  <c r="AJ24" i="7"/>
  <c r="AE23" i="7"/>
  <c r="AM23" i="7"/>
  <c r="AC23" i="7"/>
  <c r="AD22" i="7"/>
  <c r="AG24" i="7"/>
  <c r="AD23" i="7"/>
  <c r="AJ23" i="7"/>
  <c r="AF23" i="7"/>
  <c r="AC24" i="7"/>
  <c r="AE24" i="7"/>
  <c r="AD25" i="7"/>
  <c r="AG23" i="7"/>
  <c r="AH24" i="7"/>
  <c r="AK23" i="7"/>
  <c r="AH23" i="7"/>
  <c r="AN25" i="7"/>
  <c r="AF24" i="7"/>
  <c r="AK24" i="7"/>
  <c r="AD24" i="7"/>
  <c r="AL24" i="7"/>
  <c r="AN23" i="7"/>
  <c r="AI24" i="7"/>
  <c r="AF25" i="7"/>
  <c r="AL25" i="7"/>
  <c r="AG26" i="7"/>
  <c r="AE26" i="7"/>
  <c r="AN24" i="7"/>
  <c r="AM25" i="7"/>
  <c r="AG25" i="7"/>
  <c r="AC26" i="7"/>
  <c r="AK26" i="7"/>
  <c r="AC25" i="7"/>
  <c r="AD26" i="7"/>
  <c r="AH25" i="7"/>
  <c r="AI25" i="7"/>
  <c r="AJ26" i="7"/>
  <c r="AI26" i="7"/>
  <c r="AE25" i="7"/>
  <c r="AI28" i="7"/>
  <c r="AD27" i="7"/>
  <c r="AF26" i="7"/>
  <c r="AN26" i="7"/>
  <c r="AL26" i="7"/>
  <c r="AJ27" i="7"/>
  <c r="AM26" i="7"/>
  <c r="AJ25" i="7"/>
  <c r="AH26" i="7"/>
  <c r="AN28" i="7"/>
  <c r="AE28" i="7"/>
  <c r="AL28" i="7"/>
  <c r="AI27" i="7"/>
  <c r="AL27" i="7"/>
  <c r="AG27" i="7"/>
  <c r="AC28" i="7"/>
  <c r="AK27" i="7"/>
  <c r="AK28" i="7"/>
  <c r="AD28" i="7"/>
  <c r="AF29" i="7"/>
  <c r="AN30" i="7"/>
  <c r="AE29" i="7"/>
  <c r="AH27" i="7"/>
  <c r="AF28" i="7"/>
  <c r="AM27" i="7"/>
  <c r="AH28" i="7"/>
  <c r="AG28" i="7"/>
  <c r="AE27" i="7"/>
  <c r="AM28" i="7"/>
  <c r="AK29" i="7"/>
  <c r="AG29" i="7"/>
  <c r="AC27" i="7"/>
  <c r="AF27" i="7"/>
  <c r="AN27" i="7"/>
  <c r="AD29" i="7"/>
  <c r="AK30" i="7"/>
  <c r="AN29" i="7"/>
  <c r="AH29" i="7"/>
  <c r="AL29" i="7"/>
  <c r="AI30" i="7"/>
  <c r="AH30" i="7"/>
  <c r="AJ29" i="7"/>
  <c r="AG30" i="7"/>
  <c r="AJ28" i="7"/>
  <c r="AM29" i="7"/>
  <c r="AM30" i="7"/>
  <c r="AI29" i="7"/>
  <c r="AD30" i="7"/>
  <c r="AC29" i="7"/>
  <c r="AL30" i="7"/>
  <c r="AC30" i="7"/>
  <c r="AH31" i="7"/>
  <c r="AM31" i="7"/>
  <c r="AI31" i="7"/>
  <c r="AJ31" i="7"/>
  <c r="AE30" i="7"/>
  <c r="AF30" i="7"/>
  <c r="AJ30" i="7"/>
  <c r="AN31" i="7"/>
  <c r="AE31" i="7"/>
  <c r="AG31" i="7"/>
  <c r="AC31" i="7"/>
  <c r="AN32" i="7"/>
  <c r="AF31" i="7"/>
  <c r="AD31" i="7"/>
  <c r="AK31" i="7"/>
  <c r="AC32" i="7"/>
  <c r="AH32" i="7"/>
  <c r="AL33" i="7"/>
  <c r="AN33" i="7"/>
  <c r="AI33" i="7"/>
  <c r="AH33" i="7"/>
  <c r="AG32" i="7"/>
  <c r="AJ32" i="7"/>
  <c r="AD32" i="7"/>
  <c r="AE32" i="7"/>
  <c r="AL31" i="7"/>
  <c r="AM32" i="7"/>
  <c r="AF32" i="7"/>
  <c r="AK32" i="7"/>
  <c r="AH34" i="7"/>
  <c r="AN34" i="7"/>
  <c r="AM33" i="7"/>
  <c r="AC33" i="7"/>
  <c r="AI34" i="7"/>
  <c r="AL32" i="7"/>
  <c r="AD33" i="7"/>
  <c r="AL34" i="7"/>
  <c r="AF33" i="7"/>
  <c r="AI32" i="7"/>
  <c r="AG33" i="7"/>
  <c r="AE34" i="7"/>
  <c r="AH35" i="7"/>
  <c r="AJ34" i="7"/>
  <c r="AF34" i="7"/>
  <c r="AM36" i="7"/>
  <c r="AI35" i="7"/>
  <c r="AE33" i="7"/>
  <c r="AJ35" i="7"/>
  <c r="AG34" i="7"/>
  <c r="AM34" i="7"/>
  <c r="AK33" i="7"/>
  <c r="AC34" i="7"/>
  <c r="AJ33" i="7"/>
  <c r="AN35" i="7"/>
  <c r="AD36" i="7"/>
  <c r="AK34" i="7"/>
  <c r="AG35" i="7"/>
  <c r="AD34" i="7"/>
  <c r="AJ36" i="7"/>
  <c r="AE37" i="7"/>
  <c r="AC35" i="7"/>
  <c r="AL35" i="7"/>
  <c r="AK35" i="7"/>
  <c r="AL36" i="7"/>
  <c r="AG37" i="7"/>
  <c r="AD35" i="7"/>
  <c r="AF36" i="7"/>
  <c r="AN37" i="7"/>
  <c r="AH37" i="7"/>
  <c r="AH36" i="7"/>
  <c r="AC36" i="7"/>
  <c r="AE35" i="7"/>
  <c r="AK36" i="7"/>
  <c r="AF35" i="7"/>
  <c r="AM37" i="7"/>
  <c r="AC37" i="7"/>
  <c r="AI36" i="7"/>
  <c r="AM35" i="7"/>
  <c r="AJ37" i="7"/>
  <c r="AN36" i="7"/>
  <c r="AD37" i="7"/>
  <c r="AK37" i="7"/>
  <c r="AG36" i="7"/>
  <c r="AI38" i="7"/>
  <c r="AC38" i="7"/>
  <c r="AM38" i="7"/>
  <c r="AG38" i="7"/>
  <c r="AE36" i="7"/>
  <c r="AH38" i="7"/>
  <c r="AE38" i="7"/>
  <c r="AM39" i="7"/>
  <c r="AL37" i="7"/>
  <c r="AI37" i="7"/>
  <c r="AD38" i="7"/>
  <c r="AJ38" i="7"/>
  <c r="AF37" i="7"/>
  <c r="AN39" i="7"/>
  <c r="AH39" i="7"/>
  <c r="AD40" i="7"/>
  <c r="AM40" i="7"/>
  <c r="AN40" i="7"/>
  <c r="AL38" i="7"/>
  <c r="AG39" i="7"/>
  <c r="AD39" i="7"/>
  <c r="AK38" i="7"/>
  <c r="AL39" i="7"/>
  <c r="AJ39" i="7"/>
  <c r="AI39" i="7"/>
  <c r="AF39" i="7"/>
  <c r="AN38" i="7"/>
  <c r="AK39" i="7"/>
  <c r="AK41" i="7"/>
  <c r="AC41" i="7"/>
  <c r="AE39" i="7"/>
  <c r="AF40" i="7"/>
  <c r="AH41" i="7"/>
  <c r="AL40" i="7"/>
  <c r="AF38" i="7"/>
  <c r="AK40" i="7"/>
  <c r="AE40" i="7"/>
  <c r="AJ40" i="7"/>
  <c r="AE41" i="7"/>
  <c r="AI40" i="7"/>
  <c r="AG40" i="7"/>
  <c r="AI41" i="7"/>
  <c r="AC39" i="7"/>
  <c r="AC40" i="7"/>
  <c r="AC42" i="7"/>
  <c r="AG41" i="7"/>
  <c r="AI42" i="7"/>
  <c r="AN41" i="7"/>
  <c r="AE42" i="7"/>
  <c r="AL41" i="7"/>
  <c r="AK42" i="7"/>
  <c r="AJ42" i="7"/>
  <c r="AH40" i="7"/>
  <c r="AM42" i="7"/>
  <c r="AF41" i="7"/>
  <c r="AG42" i="7"/>
  <c r="AL42" i="7"/>
  <c r="AH42" i="7"/>
  <c r="AJ41" i="7"/>
  <c r="AD43" i="7"/>
  <c r="AD42" i="7"/>
  <c r="AN43" i="7"/>
  <c r="AM41" i="7"/>
  <c r="AF42" i="7"/>
  <c r="AG43" i="7"/>
  <c r="AN42" i="7"/>
  <c r="AI43" i="7"/>
  <c r="AH43" i="7"/>
  <c r="AM43" i="7"/>
  <c r="AK44" i="7"/>
  <c r="AF44" i="7"/>
  <c r="AD44" i="7"/>
  <c r="AL43" i="7"/>
  <c r="AK43" i="7"/>
  <c r="AF43" i="7"/>
  <c r="AD41" i="7"/>
  <c r="AC44" i="7"/>
  <c r="AL44" i="7"/>
  <c r="AC43" i="7"/>
  <c r="AJ43" i="7"/>
  <c r="AC45" i="7"/>
  <c r="AN44" i="7"/>
  <c r="AG44" i="7"/>
  <c r="AE43" i="7"/>
  <c r="AK45" i="7"/>
  <c r="AI44" i="7"/>
  <c r="AH44" i="7"/>
  <c r="AJ44" i="7"/>
  <c r="AI46" i="7"/>
  <c r="AE45" i="7"/>
  <c r="AH45" i="7"/>
  <c r="AG45" i="7"/>
  <c r="AM45" i="7"/>
  <c r="AD45" i="7"/>
  <c r="AC47" i="7"/>
  <c r="AN47" i="7"/>
  <c r="AI45" i="7"/>
  <c r="AK46" i="7"/>
  <c r="AL45" i="7"/>
  <c r="AE44" i="7"/>
  <c r="AM44" i="7"/>
  <c r="AE46" i="7"/>
  <c r="AN45" i="7"/>
  <c r="AD46" i="7"/>
  <c r="AN46" i="7"/>
  <c r="AF45" i="7"/>
  <c r="AJ45" i="7"/>
  <c r="AH46" i="7"/>
  <c r="AL46" i="7"/>
  <c r="AJ47" i="7"/>
  <c r="AF46" i="7"/>
  <c r="AK47" i="7"/>
  <c r="AG46" i="7"/>
  <c r="AI47" i="7"/>
  <c r="AM47" i="7"/>
  <c r="AF47" i="7"/>
  <c r="AM46" i="7"/>
  <c r="AJ46" i="7"/>
  <c r="AG47" i="7"/>
  <c r="AC46" i="7"/>
  <c r="AH47" i="7"/>
  <c r="AL47" i="7"/>
  <c r="AM48" i="7"/>
  <c r="AG48" i="7"/>
  <c r="AI49" i="7"/>
  <c r="AC48" i="7"/>
  <c r="AM49" i="7"/>
  <c r="AL49" i="7"/>
  <c r="AL48" i="7"/>
  <c r="AK49" i="7"/>
  <c r="AD47" i="7"/>
  <c r="AH48" i="7"/>
  <c r="AE51" i="7"/>
  <c r="AF49" i="7"/>
  <c r="AG49" i="7"/>
  <c r="AE47" i="7"/>
  <c r="AF48" i="7"/>
  <c r="AJ49" i="7"/>
  <c r="AD48" i="7"/>
  <c r="AE49" i="7"/>
  <c r="AD49" i="7"/>
  <c r="AM50" i="7"/>
  <c r="AI50" i="7"/>
  <c r="AI48" i="7"/>
  <c r="AN48" i="7"/>
  <c r="AE50" i="7"/>
  <c r="AK51" i="7"/>
  <c r="AD51" i="7"/>
  <c r="AK48" i="7"/>
  <c r="AC49" i="7"/>
  <c r="AN51" i="7"/>
  <c r="AJ48" i="7"/>
  <c r="AD50" i="7"/>
  <c r="AN49" i="7"/>
  <c r="AH49" i="7"/>
  <c r="AF50" i="7"/>
  <c r="AC50" i="7"/>
  <c r="AN50" i="7"/>
  <c r="AF52" i="7"/>
  <c r="AM51" i="7"/>
  <c r="AG50" i="7"/>
  <c r="AL51" i="7"/>
  <c r="AF51" i="7"/>
  <c r="AC51" i="7"/>
  <c r="AH52" i="7"/>
  <c r="AI51" i="7"/>
  <c r="AH51" i="7"/>
  <c r="AG52" i="7"/>
  <c r="AN52" i="7"/>
  <c r="AM52" i="7"/>
  <c r="AH50" i="7"/>
  <c r="AK50" i="7"/>
  <c r="AJ51" i="7"/>
  <c r="AE48" i="7"/>
  <c r="AJ50" i="7"/>
  <c r="AG51" i="7"/>
  <c r="AL53" i="7"/>
  <c r="AL52" i="7"/>
  <c r="AI53" i="7"/>
  <c r="AI52" i="7"/>
  <c r="AL50" i="7"/>
  <c r="AC52" i="7"/>
  <c r="AE52" i="7"/>
  <c r="AK52" i="7"/>
  <c r="AH53" i="7"/>
  <c r="AG53" i="7"/>
  <c r="AH54" i="7"/>
  <c r="AE53" i="7"/>
  <c r="AD52" i="7"/>
  <c r="AJ53" i="7"/>
  <c r="AF54" i="7"/>
  <c r="AJ52" i="7"/>
  <c r="AD53" i="7"/>
  <c r="AM54" i="7"/>
  <c r="AN54" i="7"/>
  <c r="AL54" i="7"/>
  <c r="AE54" i="7"/>
  <c r="AF53" i="7"/>
  <c r="AC54" i="7"/>
  <c r="AM53" i="7"/>
  <c r="AD54" i="7"/>
  <c r="AE55" i="7"/>
  <c r="AL56" i="7"/>
  <c r="AK55" i="7"/>
  <c r="AG54" i="7"/>
  <c r="AJ55" i="7"/>
  <c r="AE56" i="7"/>
  <c r="AK53" i="7"/>
  <c r="AN55" i="7"/>
  <c r="AG55" i="7"/>
  <c r="AJ54" i="7"/>
  <c r="AK54" i="7"/>
  <c r="AN56" i="7"/>
  <c r="AF55" i="7"/>
  <c r="AC56" i="7"/>
  <c r="AL55" i="7"/>
  <c r="AC53" i="7"/>
  <c r="AN53" i="7"/>
  <c r="AD56" i="7"/>
  <c r="AD55" i="7"/>
  <c r="AM55" i="7"/>
  <c r="AI55" i="7"/>
  <c r="AC55" i="7"/>
  <c r="AI56" i="7"/>
  <c r="AF56" i="7"/>
  <c r="AM56" i="7"/>
  <c r="AH55" i="7"/>
  <c r="AJ56" i="7"/>
  <c r="AG56" i="7"/>
  <c r="AD57" i="7"/>
  <c r="AD58" i="7"/>
  <c r="AI54" i="7"/>
  <c r="AC57" i="7"/>
  <c r="AK56" i="7"/>
  <c r="AK57" i="7"/>
  <c r="AH58" i="7"/>
  <c r="AM58" i="7"/>
  <c r="AK58" i="7"/>
  <c r="AM57" i="7"/>
  <c r="AH57" i="7"/>
  <c r="AH56" i="7"/>
  <c r="AG58" i="7"/>
  <c r="AG57" i="7"/>
  <c r="AL57" i="7"/>
  <c r="AJ57" i="7"/>
  <c r="AE57" i="7"/>
  <c r="AI58" i="7"/>
  <c r="AF57" i="7"/>
  <c r="AN57" i="7"/>
  <c r="AE58" i="7"/>
  <c r="AD59" i="7"/>
  <c r="AH59" i="7"/>
  <c r="AK59" i="7"/>
  <c r="AG60" i="7"/>
  <c r="AN58" i="7"/>
  <c r="AJ59" i="7"/>
  <c r="AM59" i="7"/>
  <c r="AI57" i="7"/>
  <c r="AN60" i="7"/>
  <c r="AL58" i="7"/>
  <c r="AJ58" i="7"/>
  <c r="AC58" i="7"/>
  <c r="AH60" i="7"/>
  <c r="AL59" i="7"/>
  <c r="AC59" i="7"/>
  <c r="AI60" i="7"/>
  <c r="AE59" i="7"/>
  <c r="AJ60" i="7"/>
  <c r="AM60" i="7"/>
  <c r="AL60" i="7"/>
  <c r="AG59" i="7"/>
  <c r="AF58" i="7"/>
  <c r="AN59" i="7"/>
  <c r="AD60" i="7"/>
  <c r="AE60" i="7"/>
  <c r="AC60" i="7"/>
  <c r="AF59" i="7"/>
  <c r="AI59" i="7"/>
  <c r="AC62" i="7"/>
  <c r="AH61" i="7"/>
  <c r="AF61" i="7"/>
  <c r="AG61" i="7"/>
  <c r="AI61" i="7"/>
  <c r="AF60" i="7"/>
  <c r="AN61" i="7"/>
  <c r="AM61" i="7"/>
  <c r="AK61" i="7"/>
  <c r="AK62" i="7"/>
  <c r="AC61" i="7"/>
  <c r="AJ61" i="7"/>
  <c r="AL61" i="7"/>
  <c r="AG62" i="7"/>
  <c r="AE61" i="7"/>
  <c r="AJ62" i="7"/>
  <c r="AD62" i="7"/>
  <c r="AK60" i="7"/>
  <c r="AN62" i="7"/>
  <c r="AE62" i="7"/>
  <c r="AF64" i="7"/>
  <c r="AH63" i="7"/>
  <c r="AD61" i="7"/>
  <c r="AC63" i="7"/>
  <c r="AM62" i="7"/>
  <c r="AH62" i="7"/>
  <c r="AN63" i="7"/>
  <c r="AM63" i="7"/>
  <c r="AD63" i="7"/>
  <c r="AL63" i="7"/>
  <c r="AF63" i="7"/>
  <c r="AL62" i="7"/>
  <c r="AG63" i="7"/>
  <c r="AE64" i="7"/>
  <c r="AL64" i="7"/>
  <c r="AK63" i="7"/>
  <c r="AE63" i="7"/>
  <c r="AN64" i="7"/>
  <c r="AF62" i="7"/>
  <c r="AI62" i="7"/>
  <c r="AJ63" i="7"/>
  <c r="AI63" i="7"/>
  <c r="AD64" i="7"/>
  <c r="AL66" i="7"/>
  <c r="AF65" i="7"/>
  <c r="AC64" i="7"/>
  <c r="AG64" i="7"/>
  <c r="AM64" i="7"/>
  <c r="AJ65" i="7"/>
  <c r="AC66" i="7"/>
  <c r="AG65" i="7"/>
  <c r="AD65" i="7"/>
  <c r="AH64" i="7"/>
  <c r="AJ64" i="7"/>
  <c r="AK64" i="7"/>
  <c r="AI64" i="7"/>
  <c r="AK66" i="7"/>
  <c r="AI65" i="7"/>
  <c r="AM65" i="7"/>
  <c r="AH65" i="7"/>
  <c r="AE65" i="7"/>
  <c r="AL65" i="7"/>
  <c r="AH66" i="7"/>
  <c r="AC65" i="7"/>
  <c r="AI66" i="7"/>
  <c r="AN66" i="7"/>
  <c r="AE66" i="7"/>
  <c r="AJ66" i="7"/>
  <c r="AG68" i="7"/>
  <c r="AE68" i="7"/>
  <c r="AN65" i="7"/>
  <c r="AE67" i="7"/>
  <c r="AD68" i="7"/>
  <c r="AH67" i="7"/>
  <c r="AN67" i="7"/>
  <c r="AL67" i="7"/>
  <c r="AK67" i="7"/>
  <c r="AD66" i="7"/>
  <c r="AM67" i="7"/>
  <c r="AF66" i="7"/>
  <c r="AF68" i="7"/>
  <c r="AC67" i="7"/>
  <c r="AG67" i="7"/>
  <c r="AI67" i="7"/>
  <c r="AJ68" i="7"/>
  <c r="AK65" i="7"/>
  <c r="AF67" i="7"/>
  <c r="AG66" i="7"/>
  <c r="AL68" i="7"/>
  <c r="AG69" i="7"/>
  <c r="AJ69" i="7"/>
  <c r="AM66" i="7"/>
  <c r="AD67" i="7"/>
  <c r="AG71" i="7"/>
  <c r="AJ67" i="7"/>
  <c r="AG70" i="7"/>
  <c r="AD70" i="7"/>
  <c r="AL69" i="7"/>
  <c r="AI69" i="7"/>
  <c r="AI68" i="7"/>
  <c r="AD69" i="7"/>
  <c r="AH68" i="7"/>
  <c r="AM68" i="7"/>
  <c r="AI70" i="7"/>
  <c r="AJ70" i="7"/>
  <c r="AN68" i="7"/>
  <c r="AM69" i="7"/>
  <c r="AC68" i="7"/>
  <c r="AK69" i="7"/>
  <c r="AC70" i="7"/>
  <c r="AG72" i="7"/>
  <c r="AH70" i="7"/>
  <c r="AJ71" i="7"/>
  <c r="AF70" i="7"/>
  <c r="AM70" i="7"/>
  <c r="AL70" i="7"/>
  <c r="AE69" i="7"/>
  <c r="AI71" i="7"/>
  <c r="AH69" i="7"/>
  <c r="AH71" i="7"/>
  <c r="AC69" i="7"/>
  <c r="AK68" i="7"/>
  <c r="AF69" i="7"/>
  <c r="AC71" i="7"/>
  <c r="AN69" i="7"/>
  <c r="AN70" i="7"/>
  <c r="AE70" i="7"/>
  <c r="AE71" i="7"/>
  <c r="AK70" i="7"/>
  <c r="AH72" i="7"/>
  <c r="AD71" i="7"/>
  <c r="AI72" i="7"/>
  <c r="AC72" i="7"/>
  <c r="AD73" i="7"/>
  <c r="AN72" i="7"/>
  <c r="AM71" i="7"/>
  <c r="AK71" i="7"/>
  <c r="AC73" i="7"/>
  <c r="AL72" i="7"/>
  <c r="AF72" i="7"/>
  <c r="AM72" i="7"/>
  <c r="AN71" i="7"/>
  <c r="AE72" i="7"/>
  <c r="AL71" i="7"/>
  <c r="AH73" i="7"/>
  <c r="AJ72" i="7"/>
  <c r="AD72" i="7"/>
  <c r="AC74" i="7"/>
  <c r="AG73" i="7"/>
  <c r="AM74" i="7"/>
  <c r="AI73" i="7"/>
  <c r="AF71" i="7"/>
  <c r="AG74" i="7"/>
  <c r="AK74" i="7"/>
  <c r="AF73" i="7"/>
  <c r="AJ73" i="7"/>
  <c r="AK72" i="7"/>
  <c r="AF74" i="7"/>
  <c r="AK73" i="7"/>
  <c r="AC75" i="7"/>
  <c r="AL75" i="7"/>
  <c r="AL74" i="7"/>
  <c r="AN73" i="7"/>
  <c r="AI74" i="7"/>
  <c r="AH74" i="7"/>
  <c r="AJ74" i="7"/>
  <c r="AD74" i="7"/>
  <c r="AE73" i="7"/>
  <c r="AM73" i="7"/>
  <c r="AD75" i="7"/>
  <c r="AF75" i="7"/>
  <c r="AL73" i="7"/>
  <c r="AE74" i="7"/>
  <c r="AN75" i="7"/>
  <c r="AM75" i="7"/>
  <c r="AM77" i="7"/>
  <c r="AN74" i="7"/>
  <c r="AH76" i="7"/>
  <c r="AE75" i="7"/>
  <c r="AD76" i="7"/>
  <c r="AJ75" i="7"/>
  <c r="AF78" i="7"/>
  <c r="AH75" i="7"/>
  <c r="AK77" i="7"/>
  <c r="AK75" i="7"/>
  <c r="AL77" i="7"/>
  <c r="AH77" i="7"/>
  <c r="AD77" i="7"/>
  <c r="AG75" i="7"/>
  <c r="AC77" i="7"/>
  <c r="AJ76" i="7"/>
  <c r="AD79" i="7"/>
  <c r="AI75" i="7"/>
  <c r="AE77" i="7"/>
  <c r="AC78" i="7"/>
  <c r="AN77" i="7"/>
  <c r="AG76" i="7"/>
  <c r="AI76" i="7"/>
  <c r="AG77" i="7"/>
  <c r="AL76" i="7"/>
  <c r="AI77" i="7"/>
  <c r="AJ77" i="7"/>
  <c r="AN76" i="7"/>
  <c r="AE78" i="7"/>
  <c r="AG78" i="7"/>
  <c r="AF77" i="7"/>
  <c r="AC76" i="7"/>
  <c r="AM76" i="7"/>
  <c r="AC79" i="7"/>
  <c r="AK76" i="7"/>
  <c r="AF76" i="7"/>
  <c r="AL78" i="7"/>
  <c r="AK78" i="7"/>
  <c r="AG79" i="7"/>
  <c r="AM78" i="7"/>
  <c r="AI78" i="7"/>
  <c r="AM79" i="7"/>
  <c r="AD81" i="7"/>
  <c r="AI79" i="7"/>
  <c r="AN79" i="7"/>
  <c r="AJ79" i="7"/>
  <c r="AJ78" i="7"/>
  <c r="AF79" i="7"/>
  <c r="AK79" i="7"/>
  <c r="AE79" i="7"/>
  <c r="AE76" i="7"/>
  <c r="AN78" i="7"/>
  <c r="AH78" i="7"/>
  <c r="AL80" i="7"/>
  <c r="AG81" i="7"/>
  <c r="AK80" i="7"/>
  <c r="AL81" i="7"/>
  <c r="AF81" i="7"/>
  <c r="AL79" i="7"/>
  <c r="AM81" i="7"/>
  <c r="AH79" i="7"/>
  <c r="AH81" i="7"/>
  <c r="AI80" i="7"/>
  <c r="AI81" i="7"/>
  <c r="AE80" i="7"/>
  <c r="AC81" i="7"/>
  <c r="AC80" i="7"/>
  <c r="AE81" i="7"/>
  <c r="AF80" i="7"/>
  <c r="AJ80" i="7"/>
  <c r="AD78" i="7"/>
  <c r="AM80" i="7"/>
  <c r="AH80" i="7"/>
  <c r="AD80" i="7"/>
  <c r="AI82" i="7"/>
  <c r="AL82" i="7"/>
  <c r="AJ81" i="7"/>
  <c r="AG80" i="7"/>
  <c r="AK82" i="7"/>
  <c r="AN80" i="7"/>
  <c r="AC82" i="7"/>
  <c r="AF82" i="7"/>
  <c r="AD82" i="7"/>
  <c r="AK81" i="7"/>
  <c r="AN81" i="7"/>
  <c r="AM82" i="7"/>
  <c r="AN83" i="7"/>
  <c r="AE82" i="7"/>
  <c r="AJ84" i="7"/>
  <c r="AE83" i="7"/>
  <c r="AH83" i="7"/>
  <c r="AJ82" i="7"/>
  <c r="AL83" i="7"/>
  <c r="AG82" i="7"/>
  <c r="AM83" i="7"/>
  <c r="AF84" i="7"/>
  <c r="AD83" i="7"/>
  <c r="AF83" i="7"/>
  <c r="AE84" i="7"/>
  <c r="AK84" i="7"/>
  <c r="AJ83" i="7"/>
  <c r="AI83" i="7"/>
  <c r="AH82" i="7"/>
  <c r="AN82" i="7"/>
  <c r="AL85" i="7"/>
  <c r="AD85" i="7"/>
  <c r="AG83" i="7"/>
  <c r="AN84" i="7"/>
  <c r="AI84" i="7"/>
  <c r="AK86" i="7"/>
  <c r="AD84" i="7"/>
  <c r="AK83" i="7"/>
  <c r="AG85" i="7"/>
  <c r="AM84" i="7"/>
  <c r="AM86" i="7"/>
  <c r="AF85" i="7"/>
  <c r="AC83" i="7"/>
  <c r="AG84" i="7"/>
  <c r="AK85" i="7"/>
  <c r="AL84" i="7"/>
  <c r="AE86" i="7"/>
  <c r="AJ86" i="7"/>
  <c r="AC85" i="7"/>
  <c r="AD86" i="7"/>
  <c r="AC84" i="7"/>
  <c r="AH84" i="7"/>
  <c r="AH85" i="7"/>
  <c r="AF86" i="7"/>
  <c r="AL86" i="7"/>
  <c r="AI85" i="7"/>
  <c r="AE85" i="7"/>
  <c r="AN86" i="7"/>
  <c r="AN85" i="7"/>
  <c r="AL87" i="7"/>
  <c r="AM87" i="7"/>
  <c r="AH86" i="7"/>
  <c r="AM85" i="7"/>
  <c r="AJ85" i="7"/>
  <c r="AH87" i="7"/>
  <c r="AI87" i="7"/>
  <c r="AF88" i="7"/>
  <c r="AC86" i="7"/>
  <c r="AI86" i="7"/>
  <c r="AC88" i="7"/>
  <c r="AJ88" i="7"/>
  <c r="AC87" i="7"/>
  <c r="AI88" i="7"/>
  <c r="AG86" i="7"/>
  <c r="AJ87" i="7"/>
  <c r="AN87" i="7"/>
  <c r="AJ89" i="7"/>
  <c r="AG87" i="7"/>
  <c r="AK87" i="7"/>
  <c r="AF87" i="7"/>
  <c r="AD87" i="7"/>
  <c r="AI89" i="7"/>
  <c r="AD88" i="7"/>
  <c r="AL89" i="7"/>
  <c r="AL88" i="7"/>
  <c r="AD90" i="7"/>
  <c r="AE87" i="7"/>
  <c r="AH88" i="7"/>
  <c r="AH89" i="7"/>
  <c r="AN89" i="7"/>
  <c r="AN88" i="7"/>
  <c r="AE89" i="7"/>
  <c r="AD89" i="7"/>
  <c r="AG88" i="7"/>
  <c r="AK88" i="7"/>
  <c r="AD91" i="7"/>
  <c r="AE88" i="7"/>
  <c r="AM88" i="7"/>
  <c r="AN91" i="7"/>
  <c r="AC89" i="7"/>
  <c r="AL91" i="7"/>
  <c r="AK89" i="7"/>
  <c r="AM91" i="7"/>
  <c r="AG90" i="7"/>
  <c r="AC90" i="7"/>
  <c r="AH90" i="7"/>
  <c r="AF89" i="7"/>
  <c r="AL90" i="7"/>
  <c r="AG89" i="7"/>
  <c r="AH91" i="7"/>
  <c r="AI91" i="7"/>
  <c r="AM89" i="7"/>
  <c r="AJ90" i="7"/>
  <c r="AF90" i="7"/>
  <c r="AE91" i="7"/>
  <c r="AC92" i="7"/>
  <c r="AJ91" i="7"/>
  <c r="AK90" i="7"/>
  <c r="AI90" i="7"/>
  <c r="AE90" i="7"/>
  <c r="AC91" i="7"/>
  <c r="AM90" i="7"/>
  <c r="AG91" i="7"/>
  <c r="AF91" i="7"/>
  <c r="AN92" i="7"/>
  <c r="AH92" i="7"/>
  <c r="AI92" i="7"/>
  <c r="AK91" i="7"/>
  <c r="AK92" i="7"/>
  <c r="AC93" i="7"/>
  <c r="AM93" i="7"/>
  <c r="AG92" i="7"/>
  <c r="AJ92" i="7"/>
  <c r="AN90" i="7"/>
  <c r="AM94" i="7"/>
  <c r="AK93" i="7"/>
  <c r="AM92" i="7"/>
  <c r="AI93" i="7"/>
  <c r="AD93" i="7"/>
  <c r="AG93" i="7"/>
  <c r="AC94" i="7"/>
  <c r="AJ93" i="7"/>
  <c r="AD92" i="7"/>
  <c r="AK94" i="7"/>
  <c r="AN93" i="7"/>
  <c r="AG94" i="7"/>
  <c r="AK95" i="7"/>
  <c r="AD95" i="7"/>
  <c r="AM95" i="7"/>
  <c r="AL92" i="7"/>
  <c r="AE96" i="7"/>
  <c r="AE93" i="7"/>
  <c r="AF92" i="7"/>
  <c r="AE92" i="7"/>
  <c r="AN94" i="7"/>
  <c r="AE95" i="7"/>
  <c r="AH93" i="7"/>
  <c r="AL96" i="7"/>
  <c r="AJ94" i="7"/>
  <c r="AE94" i="7"/>
  <c r="AH95" i="7"/>
  <c r="AC95" i="7"/>
  <c r="AI94" i="7"/>
  <c r="AL95" i="7"/>
  <c r="AF93" i="7"/>
  <c r="AF96" i="7"/>
  <c r="AN95" i="7"/>
  <c r="AH94" i="7"/>
  <c r="AL93" i="7"/>
  <c r="AL94" i="7"/>
  <c r="AD94" i="7"/>
  <c r="AF95" i="7"/>
  <c r="AF94" i="7"/>
  <c r="AC96" i="7"/>
  <c r="AI95" i="7"/>
  <c r="AJ96" i="7"/>
  <c r="AJ95" i="7"/>
  <c r="AD96" i="7"/>
  <c r="AK96" i="7"/>
  <c r="AM97" i="7"/>
  <c r="AH96" i="7"/>
  <c r="AF97" i="7"/>
  <c r="AG96" i="7"/>
  <c r="AE98" i="7"/>
  <c r="AG95" i="7"/>
  <c r="AJ97" i="7"/>
  <c r="AN97" i="7"/>
  <c r="AC97" i="7"/>
  <c r="AI97" i="7"/>
  <c r="AM96" i="7"/>
  <c r="AH100" i="7"/>
  <c r="AD97" i="7"/>
  <c r="AN99" i="7"/>
  <c r="AG97" i="7"/>
  <c r="AK97" i="7"/>
  <c r="AI96" i="7"/>
  <c r="AE97" i="7"/>
  <c r="AL98" i="7"/>
  <c r="AL97" i="7"/>
  <c r="AN96" i="7"/>
  <c r="AI99" i="7"/>
  <c r="AE99" i="7"/>
  <c r="AN98" i="7"/>
  <c r="AK99" i="7"/>
  <c r="AH97" i="7"/>
  <c r="AM98" i="7"/>
  <c r="AF98" i="7"/>
  <c r="AJ99" i="7"/>
  <c r="AD100" i="7"/>
  <c r="AC99" i="7"/>
  <c r="AI98" i="7"/>
  <c r="AH98" i="7"/>
  <c r="AL99" i="7"/>
  <c r="AF100" i="7"/>
  <c r="AC98" i="7"/>
  <c r="AD98" i="7"/>
  <c r="AM99" i="7"/>
  <c r="AJ98" i="7"/>
  <c r="AJ100" i="7"/>
  <c r="AH99" i="7"/>
  <c r="AG99" i="7"/>
  <c r="AG98" i="7"/>
  <c r="AK100" i="7"/>
  <c r="AM100" i="7"/>
  <c r="AG100" i="7"/>
  <c r="AG101" i="7"/>
  <c r="AL100" i="7"/>
  <c r="AK98" i="7"/>
  <c r="AF99" i="7"/>
  <c r="AI100" i="7"/>
  <c r="AC100" i="7"/>
  <c r="AE100" i="7"/>
  <c r="AH102" i="7"/>
  <c r="AK101" i="7"/>
  <c r="AE101" i="7"/>
  <c r="AC102" i="7"/>
  <c r="AH101" i="7"/>
  <c r="AF101" i="7"/>
  <c r="AF104" i="7"/>
  <c r="AN102" i="7"/>
  <c r="AF102" i="7"/>
  <c r="AD101" i="7"/>
  <c r="AJ101" i="7"/>
  <c r="AM102" i="7"/>
  <c r="AE102" i="7"/>
  <c r="AN101" i="7"/>
  <c r="AM103" i="7"/>
  <c r="AL101" i="7"/>
  <c r="AM101" i="7"/>
  <c r="AC103" i="7"/>
  <c r="AK102" i="7"/>
  <c r="AL103" i="7"/>
  <c r="AD99" i="7"/>
  <c r="AN100" i="7"/>
  <c r="AI102" i="7"/>
  <c r="AC101" i="7"/>
  <c r="AG102" i="7"/>
  <c r="AJ103" i="7"/>
  <c r="AL104" i="7"/>
  <c r="AD102" i="7"/>
  <c r="AI103" i="7"/>
  <c r="AH103" i="7"/>
  <c r="AI101" i="7"/>
  <c r="AG103" i="7"/>
  <c r="AL102" i="7"/>
  <c r="AF103" i="7"/>
  <c r="AK104" i="7"/>
  <c r="AJ102" i="7"/>
  <c r="AE103" i="7"/>
  <c r="AH104" i="7"/>
  <c r="AD104" i="7"/>
  <c r="AM104" i="7"/>
  <c r="AK103" i="7"/>
  <c r="AC104" i="7"/>
  <c r="AN104" i="7"/>
  <c r="AD103" i="7"/>
  <c r="AE104" i="7"/>
  <c r="AN103" i="7"/>
  <c r="AJ104" i="7"/>
  <c r="AD105" i="7"/>
  <c r="AG104" i="7"/>
  <c r="AJ105" i="7"/>
  <c r="AK105" i="7"/>
  <c r="AI104" i="7"/>
  <c r="AG105" i="7"/>
  <c r="AC105" i="7"/>
  <c r="AI105" i="7"/>
  <c r="AN105" i="7"/>
  <c r="AF105" i="7"/>
  <c r="AH105" i="7"/>
  <c r="AE105" i="7"/>
  <c r="AL105" i="7"/>
  <c r="AE107" i="7"/>
  <c r="AJ106" i="7"/>
  <c r="AH106" i="7"/>
  <c r="AG106" i="7"/>
  <c r="AE106" i="7"/>
  <c r="AI107" i="7"/>
  <c r="AN106" i="7"/>
  <c r="AC106" i="7"/>
  <c r="AM106" i="7"/>
  <c r="AN107" i="7"/>
  <c r="AF106" i="7"/>
  <c r="AD106" i="7"/>
  <c r="AJ107" i="7"/>
  <c r="AD107" i="7"/>
  <c r="AM107" i="7"/>
  <c r="AM105" i="7"/>
  <c r="AK106" i="7"/>
  <c r="AE108" i="7"/>
  <c r="AC107" i="7"/>
  <c r="AG107" i="7"/>
  <c r="AI106" i="7"/>
  <c r="AM108" i="7"/>
  <c r="AC108" i="7"/>
  <c r="AF107" i="7"/>
  <c r="AL107" i="7"/>
  <c r="AD108" i="7"/>
  <c r="AL106" i="7"/>
  <c r="AK110" i="7"/>
  <c r="AK108" i="7"/>
  <c r="AL109" i="7"/>
  <c r="AK107" i="7"/>
  <c r="AH108" i="7"/>
  <c r="AH109" i="7"/>
  <c r="AH110" i="7"/>
  <c r="AH107" i="7"/>
  <c r="AG109" i="7"/>
  <c r="AG108" i="7"/>
  <c r="AJ109" i="7"/>
  <c r="AJ108" i="7"/>
  <c r="AK109" i="7"/>
  <c r="AI108" i="7"/>
  <c r="AF108" i="7"/>
  <c r="AL108" i="7"/>
  <c r="AN109" i="7"/>
  <c r="AI109" i="7"/>
  <c r="AN108" i="7"/>
  <c r="AM109" i="7"/>
  <c r="AJ111" i="7"/>
  <c r="AN111" i="7"/>
  <c r="AE110" i="7"/>
  <c r="AI110" i="7"/>
  <c r="AC109" i="7"/>
  <c r="AI111" i="7"/>
  <c r="AN110" i="7"/>
  <c r="AC111" i="7"/>
  <c r="AL110" i="7"/>
  <c r="AE111" i="7"/>
  <c r="AK111" i="7"/>
  <c r="AG110" i="7"/>
  <c r="AM110" i="7"/>
  <c r="AH111" i="7"/>
  <c r="AC110" i="7"/>
  <c r="AE109" i="7"/>
  <c r="AF109" i="7"/>
  <c r="AD109" i="7"/>
  <c r="AF111" i="7"/>
  <c r="AM111" i="7"/>
  <c r="AG111" i="7"/>
  <c r="AH113" i="7"/>
  <c r="AJ110" i="7"/>
  <c r="AD111" i="7"/>
  <c r="AM114" i="7"/>
  <c r="AM112" i="7"/>
  <c r="AG112" i="7"/>
  <c r="AI112" i="7"/>
  <c r="AF110" i="7"/>
  <c r="AE112" i="7"/>
  <c r="AD110" i="7"/>
  <c r="AK112" i="7"/>
  <c r="AL111" i="7"/>
  <c r="AJ112" i="7"/>
  <c r="AC112" i="7"/>
  <c r="AN113" i="7"/>
  <c r="AF114" i="7"/>
  <c r="AD112" i="7"/>
  <c r="AI113" i="7"/>
  <c r="AH112" i="7"/>
  <c r="AC113" i="7"/>
  <c r="AJ113" i="7"/>
  <c r="AG113" i="7"/>
  <c r="AN112" i="7"/>
  <c r="AD113" i="7"/>
  <c r="AF112" i="7"/>
  <c r="AM113" i="7"/>
  <c r="AL113" i="7"/>
  <c r="AI114" i="7"/>
  <c r="AF113" i="7"/>
  <c r="AE114" i="7"/>
  <c r="AK113" i="7"/>
  <c r="AL114" i="7"/>
  <c r="AG114" i="7"/>
  <c r="AH114" i="7"/>
  <c r="AE113" i="7"/>
  <c r="AJ114" i="7"/>
  <c r="AL112" i="7"/>
  <c r="AC114" i="7"/>
  <c r="AD115" i="7"/>
  <c r="AK114" i="7"/>
  <c r="AJ115" i="7"/>
  <c r="AM115" i="7"/>
  <c r="AG115" i="7"/>
  <c r="AN114" i="7"/>
  <c r="AL115" i="7"/>
  <c r="AG116" i="7"/>
  <c r="AI115" i="7"/>
  <c r="AC115" i="7"/>
  <c r="AM116" i="7"/>
  <c r="AJ116" i="7"/>
  <c r="AD114" i="7"/>
  <c r="AL116" i="7"/>
  <c r="AN115" i="7"/>
  <c r="AI116" i="7"/>
  <c r="AH115" i="7"/>
  <c r="AD117" i="7"/>
  <c r="AH116" i="7"/>
  <c r="AM117" i="7"/>
  <c r="AF116" i="7"/>
  <c r="AE116" i="7"/>
  <c r="AF115" i="7"/>
  <c r="AC116" i="7"/>
  <c r="AN117" i="7"/>
  <c r="AC117" i="7"/>
  <c r="AE115" i="7"/>
  <c r="AD116" i="7"/>
  <c r="AG117" i="7"/>
  <c r="AF118" i="7"/>
  <c r="AK116" i="7"/>
  <c r="AE117" i="7"/>
  <c r="AL117" i="7"/>
  <c r="AC118" i="7"/>
  <c r="AH117" i="7"/>
  <c r="AK115" i="7"/>
  <c r="AN116" i="7"/>
  <c r="AI117" i="7"/>
  <c r="AN118" i="7"/>
  <c r="AK117" i="7"/>
  <c r="AE118" i="7"/>
  <c r="AG118" i="7"/>
  <c r="AL118" i="7"/>
  <c r="AK118" i="7"/>
  <c r="AJ117" i="7"/>
  <c r="AI119" i="7"/>
  <c r="AD118" i="7"/>
  <c r="AI118" i="7"/>
  <c r="AF117" i="7"/>
  <c r="AJ119" i="7"/>
  <c r="AL119" i="7"/>
  <c r="AF119" i="7"/>
  <c r="AC119" i="7"/>
  <c r="AD120" i="7"/>
  <c r="AJ118" i="7"/>
  <c r="AH118" i="7"/>
  <c r="AH119" i="7"/>
  <c r="AE119" i="7"/>
  <c r="AK120" i="7"/>
  <c r="AH120" i="7"/>
  <c r="AF120" i="7"/>
  <c r="AN119" i="7"/>
  <c r="AJ120" i="7"/>
  <c r="AD119" i="7"/>
  <c r="AK119" i="7"/>
  <c r="AM119" i="7"/>
  <c r="AG119" i="7"/>
  <c r="AE120" i="7"/>
  <c r="AN120" i="7"/>
  <c r="AM118" i="7"/>
  <c r="AI120" i="7"/>
  <c r="AG120" i="7"/>
  <c r="AM121" i="7"/>
  <c r="AF121" i="7"/>
  <c r="AJ123" i="7"/>
  <c r="AC121" i="7"/>
  <c r="AH121" i="7"/>
  <c r="AI123" i="7"/>
  <c r="AM120" i="7"/>
  <c r="AN121" i="7"/>
  <c r="AK121" i="7"/>
  <c r="AJ121" i="7"/>
  <c r="AG121" i="7"/>
  <c r="AC120" i="7"/>
  <c r="AN122" i="7"/>
  <c r="AE122" i="7"/>
  <c r="AL121" i="7"/>
  <c r="AI121" i="7"/>
  <c r="AL120" i="7"/>
  <c r="AD121" i="7"/>
  <c r="AE121" i="7"/>
  <c r="AF122" i="7"/>
  <c r="AE123" i="7"/>
  <c r="AG123" i="7"/>
  <c r="AM125" i="7"/>
  <c r="AM123" i="7"/>
  <c r="AN123" i="7"/>
  <c r="AI122" i="7"/>
  <c r="AM124" i="7"/>
  <c r="AC123" i="7"/>
  <c r="AI124" i="7"/>
  <c r="AH124" i="7"/>
  <c r="AF124" i="7"/>
  <c r="AK122" i="7"/>
  <c r="AD123" i="7"/>
  <c r="AJ122" i="7"/>
  <c r="AC122" i="7"/>
  <c r="AM122" i="7"/>
  <c r="AF123" i="7"/>
  <c r="AG122" i="7"/>
  <c r="AJ124" i="7"/>
  <c r="AF125" i="7"/>
  <c r="AL125" i="7"/>
  <c r="AG125" i="7"/>
  <c r="AK125" i="7"/>
  <c r="AD122" i="7"/>
  <c r="AD124" i="7"/>
  <c r="AL122" i="7"/>
  <c r="AI125" i="7"/>
  <c r="AK123" i="7"/>
  <c r="AG124" i="7"/>
  <c r="AL123" i="7"/>
  <c r="AL124" i="7"/>
  <c r="AH123" i="7"/>
  <c r="AC124" i="7"/>
  <c r="AH122" i="7"/>
  <c r="AE125" i="7"/>
  <c r="AJ127" i="7"/>
  <c r="AJ125" i="7"/>
  <c r="AC125" i="7"/>
  <c r="AK124" i="7"/>
  <c r="AG126" i="7"/>
  <c r="AH125" i="7"/>
  <c r="AN124" i="7"/>
  <c r="AG127" i="7"/>
  <c r="AE124" i="7"/>
  <c r="AN125" i="7"/>
  <c r="AI127" i="7"/>
  <c r="AJ126" i="7"/>
  <c r="AF127" i="7"/>
  <c r="AN127" i="7"/>
  <c r="AN126" i="7"/>
  <c r="AM126" i="7"/>
  <c r="AH127" i="7"/>
  <c r="AD125" i="7"/>
  <c r="AE126" i="7"/>
  <c r="AK127" i="7"/>
  <c r="AK126" i="7"/>
  <c r="AF126" i="7"/>
  <c r="AM127" i="7"/>
  <c r="AL127" i="7"/>
  <c r="AD127" i="7"/>
  <c r="AL126" i="7"/>
  <c r="AE128" i="7"/>
  <c r="AJ128" i="7"/>
  <c r="AC127" i="7"/>
  <c r="AH126" i="7"/>
  <c r="AD126" i="7"/>
  <c r="AC129" i="7"/>
  <c r="AG128" i="7"/>
  <c r="AC126" i="7"/>
  <c r="AI126" i="7"/>
  <c r="AL130" i="7"/>
  <c r="AN128" i="7"/>
  <c r="AD128" i="7"/>
  <c r="AC128" i="7"/>
  <c r="AE127" i="7"/>
  <c r="AL129" i="7"/>
  <c r="AH128" i="7"/>
  <c r="AF131" i="7"/>
  <c r="AK129" i="7"/>
  <c r="AF130" i="7"/>
  <c r="AI128" i="7"/>
  <c r="AN129" i="7"/>
  <c r="AM128" i="7"/>
  <c r="AJ129" i="7"/>
  <c r="AK128" i="7"/>
  <c r="AN130" i="7"/>
  <c r="AM129" i="7"/>
  <c r="AG129" i="7"/>
  <c r="AH131" i="7"/>
  <c r="AH129" i="7"/>
  <c r="AD131" i="7"/>
  <c r="AF129" i="7"/>
  <c r="AE129" i="7"/>
  <c r="AJ130" i="7"/>
  <c r="AD129" i="7"/>
  <c r="AC131" i="7"/>
  <c r="AC130" i="7"/>
  <c r="AM130" i="7"/>
  <c r="AD130" i="7"/>
  <c r="AF128" i="7"/>
  <c r="AI131" i="7"/>
  <c r="AN131" i="7"/>
  <c r="AM131" i="7"/>
  <c r="AK130" i="7"/>
  <c r="AJ131" i="7"/>
  <c r="AG130" i="7"/>
  <c r="AE131" i="7"/>
  <c r="AI129" i="7"/>
  <c r="AH130" i="7"/>
  <c r="AE130" i="7"/>
  <c r="AG131" i="7"/>
  <c r="AJ132" i="7"/>
  <c r="AI130" i="7"/>
  <c r="AL128" i="7"/>
  <c r="AK131" i="7"/>
  <c r="AL132" i="7"/>
  <c r="AL131" i="7"/>
  <c r="AJ133" i="7"/>
  <c r="AE133" i="7"/>
  <c r="AD132" i="7"/>
  <c r="AG132" i="7"/>
  <c r="AM132" i="7"/>
  <c r="AE132" i="7"/>
  <c r="AH132" i="7"/>
  <c r="AN133" i="7"/>
  <c r="AD133" i="7"/>
  <c r="AC132" i="7"/>
  <c r="AI132" i="7"/>
  <c r="AC133" i="7"/>
  <c r="AL133" i="7"/>
  <c r="AI133" i="7"/>
  <c r="AK134" i="7"/>
  <c r="AH133" i="7"/>
  <c r="AC134" i="7"/>
  <c r="AG134" i="7"/>
  <c r="AM133" i="7"/>
  <c r="AK132" i="7"/>
  <c r="AF134" i="7"/>
  <c r="AN134" i="7"/>
  <c r="AM134" i="7"/>
  <c r="AK133" i="7"/>
  <c r="AF132" i="7"/>
  <c r="AG133" i="7"/>
  <c r="AE137" i="7"/>
  <c r="AF133" i="7"/>
  <c r="AN132" i="7"/>
  <c r="AD135" i="7"/>
  <c r="AI135" i="7"/>
  <c r="AM135" i="7"/>
  <c r="AJ134" i="7"/>
  <c r="AC137" i="7"/>
  <c r="AH135" i="7"/>
  <c r="AK135" i="7"/>
  <c r="AF135" i="7"/>
  <c r="AE135" i="7"/>
  <c r="AL135" i="7"/>
  <c r="AI134" i="7"/>
  <c r="AD134" i="7"/>
  <c r="AN135" i="7"/>
  <c r="AJ135" i="7"/>
  <c r="AF137" i="7"/>
  <c r="AC135" i="7"/>
  <c r="AL136" i="7"/>
  <c r="AM136" i="7"/>
  <c r="AE134" i="7"/>
  <c r="AN136" i="7"/>
  <c r="AF136" i="7"/>
  <c r="AL134" i="7"/>
  <c r="AE136" i="7"/>
  <c r="AG135" i="7"/>
  <c r="AH137" i="7"/>
  <c r="AM137" i="7"/>
  <c r="AF138" i="7"/>
  <c r="AG136" i="7"/>
  <c r="AL137" i="7"/>
  <c r="AK137" i="7"/>
  <c r="AH134" i="7"/>
  <c r="AE138" i="7"/>
  <c r="AN137" i="7"/>
  <c r="AC138" i="7"/>
  <c r="AK136" i="7"/>
  <c r="AI138" i="7"/>
  <c r="AJ137" i="7"/>
  <c r="AD137" i="7"/>
  <c r="AD136" i="7"/>
  <c r="AK138" i="7"/>
  <c r="AN138" i="7"/>
  <c r="AC136" i="7"/>
  <c r="AM138" i="7"/>
  <c r="AL138" i="7"/>
  <c r="AD138" i="7"/>
  <c r="AJ136" i="7"/>
  <c r="AG137" i="7"/>
  <c r="AH136" i="7"/>
  <c r="AI137" i="7"/>
  <c r="AH138" i="7"/>
  <c r="AI136" i="7"/>
  <c r="AJ138" i="7"/>
  <c r="AM139" i="7"/>
  <c r="AE139" i="7"/>
  <c r="AG139" i="7"/>
  <c r="AF139" i="7"/>
  <c r="AK139" i="7"/>
  <c r="AI140" i="7"/>
  <c r="AG138" i="7"/>
  <c r="AI139" i="7"/>
  <c r="AD140" i="7"/>
  <c r="AJ140" i="7"/>
  <c r="AM140" i="7"/>
  <c r="AJ139" i="7"/>
  <c r="AC139" i="7"/>
  <c r="AD139" i="7"/>
  <c r="AN141" i="7"/>
  <c r="AG140" i="7"/>
  <c r="AJ141" i="7"/>
  <c r="AL139" i="7"/>
  <c r="AH139" i="7"/>
  <c r="AN140" i="7"/>
  <c r="AH140" i="7"/>
  <c r="AK141" i="7"/>
  <c r="AE140" i="7"/>
  <c r="AK140" i="7"/>
  <c r="AN139" i="7"/>
  <c r="AE141" i="7"/>
  <c r="AF141" i="7"/>
  <c r="AJ142" i="7"/>
  <c r="AI141" i="7"/>
  <c r="AD141" i="7"/>
  <c r="AL141" i="7"/>
  <c r="AL140" i="7"/>
  <c r="AM141" i="7"/>
  <c r="AD143" i="7"/>
  <c r="AG142" i="7"/>
  <c r="AF140" i="7"/>
  <c r="AJ143" i="7"/>
  <c r="AH141" i="7"/>
  <c r="AG141" i="7"/>
  <c r="AI142" i="7"/>
  <c r="AH143" i="7"/>
  <c r="AI144" i="7"/>
  <c r="AF142" i="7"/>
  <c r="AN142" i="7"/>
  <c r="AC140" i="7"/>
  <c r="AE143" i="7"/>
  <c r="AG143" i="7"/>
  <c r="AH142" i="7"/>
  <c r="AM142" i="7"/>
  <c r="AF143" i="7"/>
  <c r="AL142" i="7"/>
  <c r="AC141" i="7"/>
  <c r="AC143" i="7"/>
  <c r="AK142" i="7"/>
  <c r="AD142" i="7"/>
  <c r="AC142" i="7"/>
  <c r="AJ144" i="7"/>
  <c r="AH144" i="7"/>
  <c r="AK144" i="7"/>
  <c r="AF144" i="7"/>
  <c r="AC144" i="7"/>
  <c r="AE142" i="7"/>
  <c r="AN144" i="7"/>
  <c r="AL143" i="7"/>
  <c r="AG144" i="7"/>
  <c r="AH146" i="7"/>
  <c r="AE144" i="7"/>
  <c r="AI143" i="7"/>
  <c r="AM143" i="7"/>
  <c r="AL144" i="7"/>
  <c r="AM144" i="7"/>
  <c r="AN145" i="7"/>
  <c r="AN143" i="7"/>
  <c r="AD145" i="7"/>
  <c r="AK143" i="7"/>
  <c r="AM145" i="7"/>
  <c r="AJ146" i="7"/>
  <c r="AG146" i="7"/>
  <c r="AJ145" i="7"/>
  <c r="AD144" i="7"/>
  <c r="AC145" i="7"/>
  <c r="AM146" i="7"/>
  <c r="AN146" i="7"/>
  <c r="AF145" i="7"/>
  <c r="AG145" i="7"/>
  <c r="AH145" i="7"/>
  <c r="AL145" i="7"/>
  <c r="AI145" i="7"/>
  <c r="AK145" i="7"/>
  <c r="AM147" i="7"/>
  <c r="AE145" i="7"/>
  <c r="AI147" i="7"/>
  <c r="AC147" i="7"/>
  <c r="AE148" i="7"/>
  <c r="AL147" i="7"/>
  <c r="AI148" i="7"/>
  <c r="AL148" i="7"/>
  <c r="AK146" i="7"/>
  <c r="AL146" i="7"/>
  <c r="AK147" i="7"/>
  <c r="AE147" i="7"/>
  <c r="AD146" i="7"/>
  <c r="AK148" i="7"/>
  <c r="AI146" i="7"/>
  <c r="AF146" i="7"/>
  <c r="AC146" i="7"/>
  <c r="AG150" i="7"/>
  <c r="AN148" i="7"/>
  <c r="AH147" i="7"/>
  <c r="AD147" i="7"/>
  <c r="AH148" i="7"/>
  <c r="AJ147" i="7"/>
  <c r="AM148" i="7"/>
  <c r="AF147" i="7"/>
  <c r="AD148" i="7"/>
  <c r="AC148" i="7"/>
  <c r="AF149" i="7"/>
  <c r="AF148" i="7"/>
  <c r="AG147" i="7"/>
  <c r="AN147" i="7"/>
  <c r="AE146" i="7"/>
  <c r="AJ148" i="7"/>
  <c r="AL150" i="7"/>
  <c r="AN149" i="7"/>
  <c r="AL149" i="7"/>
  <c r="AI149" i="7"/>
  <c r="AD149" i="7"/>
  <c r="AG149" i="7"/>
  <c r="AM149" i="7"/>
  <c r="AE149" i="7"/>
  <c r="AG148" i="7"/>
  <c r="AH149" i="7"/>
  <c r="AK149" i="7"/>
  <c r="AC149" i="7"/>
  <c r="AJ149" i="7"/>
  <c r="AF150" i="7"/>
  <c r="AK151" i="7"/>
  <c r="AH151" i="7"/>
  <c r="AM150" i="7"/>
  <c r="AH150" i="7"/>
  <c r="AC150" i="7"/>
  <c r="AJ150" i="7"/>
  <c r="AI150" i="7"/>
  <c r="AC151" i="7"/>
  <c r="AN150" i="7"/>
  <c r="AL151" i="7"/>
  <c r="AE150" i="7"/>
  <c r="AK150" i="7"/>
  <c r="AJ151" i="7"/>
  <c r="AG151" i="7"/>
  <c r="AJ152" i="7"/>
  <c r="AH152" i="7"/>
  <c r="AL152" i="7"/>
  <c r="AD152" i="7"/>
  <c r="AF151" i="7"/>
  <c r="AD150" i="7"/>
  <c r="AM151" i="7"/>
  <c r="AN152" i="7"/>
  <c r="AG152" i="7"/>
  <c r="AD151" i="7"/>
  <c r="AC152" i="7"/>
  <c r="AN151" i="7"/>
  <c r="AD153" i="7"/>
  <c r="AM152" i="7"/>
  <c r="AE151" i="7"/>
  <c r="AF152" i="7"/>
  <c r="AI152" i="7"/>
  <c r="AH153" i="7"/>
  <c r="AI151" i="7"/>
  <c r="AE152" i="7"/>
  <c r="AK152" i="7"/>
  <c r="AE153" i="7"/>
  <c r="AD155" i="7"/>
  <c r="AK155" i="7"/>
  <c r="AK153" i="7"/>
  <c r="AJ155" i="7"/>
  <c r="AG153" i="7"/>
  <c r="AJ153" i="7"/>
  <c r="AI153" i="7"/>
  <c r="AF153" i="7"/>
  <c r="AC153" i="7"/>
  <c r="AM154" i="7"/>
  <c r="AL153" i="7"/>
  <c r="AK156" i="7"/>
  <c r="AN153" i="7"/>
  <c r="AG154" i="7"/>
  <c r="AH155" i="7"/>
  <c r="AH154" i="7"/>
  <c r="AN154" i="7"/>
  <c r="AI154" i="7"/>
  <c r="AE154" i="7"/>
  <c r="AJ154" i="7"/>
  <c r="AN155" i="7"/>
  <c r="AL154" i="7"/>
  <c r="AM153" i="7"/>
  <c r="AD154" i="7"/>
  <c r="AF154" i="7"/>
  <c r="AC154" i="7"/>
  <c r="AF155" i="7"/>
  <c r="AC155" i="7"/>
  <c r="AE155" i="7"/>
  <c r="AL155" i="7"/>
  <c r="AI156" i="7"/>
  <c r="AI155" i="7"/>
  <c r="AM155" i="7"/>
  <c r="AG155" i="7"/>
  <c r="AH157" i="7"/>
  <c r="AD157" i="7"/>
  <c r="AK154" i="7"/>
  <c r="AI157" i="7"/>
  <c r="AL156" i="7"/>
  <c r="AN156" i="7"/>
  <c r="AJ156" i="7"/>
  <c r="AG157" i="7"/>
  <c r="AD156" i="7"/>
  <c r="AE156" i="7"/>
  <c r="AF156" i="7"/>
  <c r="AM156" i="7"/>
  <c r="AF157" i="7"/>
  <c r="AE157" i="7"/>
  <c r="AC156" i="7"/>
  <c r="AH158" i="7"/>
  <c r="AE158" i="7"/>
  <c r="AC157" i="7"/>
  <c r="AH159" i="7"/>
  <c r="AJ158" i="7"/>
  <c r="AL158" i="7"/>
  <c r="AL157" i="7"/>
  <c r="AH156" i="7"/>
  <c r="AK157" i="7"/>
  <c r="AD158" i="7"/>
  <c r="AJ159" i="7"/>
  <c r="AF158" i="7"/>
  <c r="AM157" i="7"/>
  <c r="AM158" i="7"/>
  <c r="AJ157" i="7"/>
  <c r="AC158" i="7"/>
  <c r="AN157" i="7"/>
  <c r="AG156" i="7"/>
  <c r="AG160" i="7"/>
  <c r="AK159" i="7"/>
  <c r="AF159" i="7"/>
  <c r="AK160" i="7"/>
  <c r="AG158" i="7"/>
  <c r="AM159" i="7"/>
  <c r="AI159" i="7"/>
  <c r="AD159" i="7"/>
  <c r="AN158" i="7"/>
  <c r="AN160" i="7"/>
  <c r="AI158" i="7"/>
  <c r="AM160" i="7"/>
  <c r="AN159" i="7"/>
  <c r="AE159" i="7"/>
  <c r="AL159" i="7"/>
  <c r="AK158" i="7"/>
  <c r="AG159" i="7"/>
  <c r="AC159" i="7"/>
  <c r="AG161" i="7"/>
  <c r="AI160" i="7"/>
  <c r="AH160" i="7"/>
  <c r="AJ163" i="7"/>
  <c r="AE160" i="7"/>
  <c r="AD161" i="7"/>
  <c r="AC161" i="7"/>
  <c r="AC162" i="7"/>
  <c r="AL160" i="7"/>
  <c r="AJ162" i="7"/>
  <c r="AD160" i="7"/>
  <c r="AG162" i="7"/>
  <c r="AF160" i="7"/>
  <c r="AC160" i="7"/>
  <c r="AG163" i="7"/>
  <c r="AE162" i="7"/>
  <c r="AF161" i="7"/>
  <c r="AF162" i="7"/>
  <c r="AL161" i="7"/>
  <c r="AJ160" i="7"/>
  <c r="AJ165" i="7"/>
  <c r="AJ161" i="7"/>
  <c r="AH161" i="7"/>
  <c r="AM161" i="7"/>
  <c r="AI161" i="7"/>
  <c r="AN162" i="7"/>
  <c r="AK161" i="7"/>
  <c r="AD162" i="7"/>
  <c r="AH162" i="7"/>
  <c r="AN161" i="7"/>
  <c r="AM162" i="7"/>
  <c r="AE161" i="7"/>
  <c r="AK162" i="7"/>
  <c r="AF163" i="7"/>
  <c r="AL164" i="7"/>
  <c r="AL162" i="7"/>
  <c r="AI165" i="7"/>
  <c r="AI162" i="7"/>
  <c r="AC163" i="7"/>
  <c r="AG165" i="7"/>
  <c r="AD165" i="7"/>
  <c r="AI163" i="7"/>
  <c r="AM163" i="7"/>
  <c r="AN164" i="7"/>
  <c r="AN163" i="7"/>
  <c r="AH163" i="7"/>
  <c r="AL165" i="7"/>
  <c r="AM164" i="7"/>
  <c r="AJ164" i="7"/>
  <c r="AG164" i="7"/>
  <c r="AD163" i="7"/>
  <c r="AL163" i="7"/>
  <c r="AH164" i="7"/>
  <c r="AE163" i="7"/>
  <c r="AH165" i="7"/>
  <c r="AK165" i="7"/>
  <c r="AI164" i="7"/>
  <c r="AE165" i="7"/>
  <c r="AF164" i="7"/>
  <c r="AC165" i="7"/>
  <c r="AG166" i="7"/>
  <c r="AN165" i="7"/>
  <c r="AF165" i="7"/>
  <c r="AL166" i="7"/>
  <c r="AD166" i="7"/>
  <c r="AC164" i="7"/>
  <c r="AK163" i="7"/>
  <c r="AN166" i="7"/>
  <c r="AE164" i="7"/>
  <c r="AM165" i="7"/>
  <c r="AD164" i="7"/>
  <c r="AM167" i="7"/>
  <c r="AD167" i="7"/>
  <c r="AG167" i="7"/>
  <c r="AM166" i="7"/>
  <c r="AK164" i="7"/>
  <c r="AK166" i="7"/>
  <c r="AE166" i="7"/>
  <c r="AF166" i="7"/>
  <c r="AH166" i="7"/>
  <c r="AJ166" i="7"/>
  <c r="AD168" i="7"/>
  <c r="AH169" i="7"/>
  <c r="AI166" i="7"/>
  <c r="AN168" i="7"/>
  <c r="AJ168" i="7"/>
  <c r="AJ169" i="7"/>
  <c r="AL167" i="7"/>
  <c r="AL168" i="7"/>
  <c r="AE167" i="7"/>
  <c r="AN167" i="7"/>
  <c r="AK168" i="7"/>
  <c r="AK167" i="7"/>
  <c r="AI167" i="7"/>
  <c r="AH167" i="7"/>
  <c r="AC169" i="7"/>
  <c r="AI169" i="7"/>
  <c r="AD169" i="7"/>
  <c r="AC168" i="7"/>
  <c r="AN169" i="7"/>
  <c r="AC167" i="7"/>
  <c r="AJ167" i="7"/>
  <c r="AG168" i="7"/>
  <c r="AG169" i="7"/>
  <c r="AF168" i="7"/>
  <c r="AK170" i="7"/>
  <c r="AC166" i="7"/>
  <c r="AK169" i="7"/>
  <c r="AF167" i="7"/>
  <c r="AE169" i="7"/>
  <c r="AJ170" i="7"/>
  <c r="AH170" i="7"/>
  <c r="AH168" i="7"/>
  <c r="AE170" i="7"/>
  <c r="AM168" i="7"/>
  <c r="AF169" i="7"/>
  <c r="AF170" i="7"/>
  <c r="AE168" i="7"/>
  <c r="AL170" i="7"/>
  <c r="AI168" i="7"/>
  <c r="AM169" i="7"/>
  <c r="AD170" i="7"/>
  <c r="AI170" i="7"/>
  <c r="AJ172" i="7"/>
  <c r="AC170" i="7"/>
  <c r="AC172" i="7"/>
  <c r="AM171" i="7"/>
  <c r="AN170" i="7"/>
  <c r="AF173" i="7"/>
  <c r="AF172" i="7"/>
  <c r="AL169" i="7"/>
  <c r="AD171" i="7"/>
  <c r="AM172" i="7"/>
  <c r="AG170" i="7"/>
  <c r="AK171" i="7"/>
  <c r="AI173" i="7"/>
  <c r="AF171" i="7"/>
  <c r="AG171" i="7"/>
  <c r="AL173" i="7"/>
  <c r="AM170" i="7"/>
  <c r="AI171" i="7"/>
  <c r="AC171" i="7"/>
  <c r="AL171" i="7"/>
  <c r="AJ171" i="7"/>
  <c r="AC173" i="7"/>
  <c r="AN172" i="7"/>
  <c r="AE171" i="7"/>
  <c r="AF174" i="7"/>
  <c r="AL172" i="7"/>
  <c r="AM173" i="7"/>
  <c r="AN173" i="7"/>
  <c r="AH171" i="7"/>
  <c r="AN171" i="7"/>
  <c r="AJ173" i="7"/>
  <c r="AG172" i="7"/>
  <c r="AE172" i="7"/>
  <c r="AI172" i="7"/>
  <c r="AG173" i="7"/>
  <c r="AD173" i="7"/>
  <c r="AK172" i="7"/>
  <c r="AJ174" i="7"/>
  <c r="AF175" i="7"/>
  <c r="AI174" i="7"/>
  <c r="AL175" i="7"/>
  <c r="AI175" i="7"/>
  <c r="AD172" i="7"/>
  <c r="AC174" i="7"/>
  <c r="AE173" i="7"/>
  <c r="AE174" i="7"/>
  <c r="AK173" i="7"/>
  <c r="AH173" i="7"/>
  <c r="AH174" i="7"/>
  <c r="AH172" i="7"/>
  <c r="AD175" i="7"/>
  <c r="AD174" i="7"/>
  <c r="AN175" i="7"/>
  <c r="AJ176" i="7"/>
  <c r="AG174" i="7"/>
  <c r="AJ175" i="7"/>
  <c r="AL174" i="7"/>
  <c r="AM175" i="7"/>
  <c r="AH175" i="7"/>
  <c r="AM174" i="7"/>
  <c r="AF176" i="7"/>
  <c r="AG175" i="7"/>
  <c r="AN174" i="7"/>
  <c r="AH176" i="7"/>
  <c r="AK175" i="7"/>
  <c r="AM177" i="7"/>
  <c r="AE176" i="7"/>
  <c r="AK176" i="7"/>
  <c r="AN176" i="7"/>
  <c r="AK174" i="7"/>
  <c r="AL176" i="7"/>
  <c r="AE177" i="7"/>
  <c r="AM176" i="7"/>
  <c r="AC175" i="7"/>
  <c r="AD176" i="7"/>
  <c r="AC176" i="7"/>
  <c r="AE178" i="7"/>
  <c r="AG177" i="7"/>
  <c r="AJ178" i="7"/>
  <c r="AI176" i="7"/>
  <c r="AG176" i="7"/>
  <c r="AL177" i="7"/>
  <c r="AK177" i="7"/>
  <c r="AN177" i="7"/>
  <c r="AF177" i="7"/>
  <c r="AE175" i="7"/>
  <c r="AJ177" i="7"/>
  <c r="AG180" i="7"/>
  <c r="AJ179" i="7"/>
  <c r="AI177" i="7"/>
  <c r="AC178" i="7"/>
  <c r="AK178" i="7"/>
  <c r="AD177" i="7"/>
  <c r="AH178" i="7"/>
  <c r="AE179" i="7"/>
  <c r="AM178" i="7"/>
  <c r="AG178" i="7"/>
  <c r="AL179" i="7"/>
  <c r="AI179" i="7"/>
  <c r="AG181" i="7"/>
  <c r="AF180" i="7"/>
  <c r="AM179" i="7"/>
  <c r="AN179" i="7"/>
  <c r="AN178" i="7"/>
  <c r="AD179" i="7"/>
  <c r="AM180" i="7"/>
  <c r="AD180" i="7"/>
  <c r="AK179" i="7"/>
  <c r="AH177" i="7"/>
  <c r="AF179" i="7"/>
  <c r="AF178" i="7"/>
  <c r="AL178" i="7"/>
  <c r="AI178" i="7"/>
  <c r="AC177" i="7"/>
  <c r="AC179" i="7"/>
  <c r="AC180" i="7"/>
  <c r="AL180" i="7"/>
  <c r="AJ180" i="7"/>
  <c r="AD178" i="7"/>
  <c r="AE180" i="7"/>
  <c r="AG179" i="7"/>
  <c r="AL182" i="7"/>
  <c r="AC181" i="7"/>
  <c r="AG182" i="7"/>
  <c r="AN181" i="7"/>
  <c r="AH179" i="7"/>
  <c r="AD182" i="7"/>
  <c r="AH180" i="7"/>
  <c r="AK180" i="7"/>
  <c r="AJ181" i="7"/>
  <c r="AH182" i="7"/>
  <c r="AH181" i="7"/>
  <c r="AN180" i="7"/>
  <c r="AD181" i="7"/>
  <c r="AL181" i="7"/>
  <c r="AF182" i="7"/>
  <c r="AM181" i="7"/>
  <c r="AE183" i="7"/>
  <c r="AK183" i="7"/>
  <c r="AI182" i="7"/>
  <c r="AC182" i="7"/>
  <c r="AN182" i="7"/>
  <c r="AK181" i="7"/>
  <c r="AI181" i="7"/>
  <c r="AE181" i="7"/>
  <c r="AI180" i="7"/>
  <c r="AK182" i="7"/>
  <c r="AM183" i="7"/>
  <c r="AC183" i="7"/>
  <c r="AE182" i="7"/>
  <c r="AF181" i="7"/>
  <c r="AN183" i="7"/>
  <c r="AG183" i="7"/>
  <c r="AD183" i="7"/>
  <c r="AJ182" i="7"/>
  <c r="AH183" i="7"/>
  <c r="AJ183" i="7"/>
  <c r="AM184" i="7"/>
  <c r="AM182" i="7"/>
  <c r="AF183" i="7"/>
  <c r="AF184" i="7"/>
  <c r="AD184" i="7"/>
  <c r="AI183" i="7"/>
  <c r="AC184" i="7"/>
  <c r="AK184" i="7"/>
  <c r="AN184" i="7"/>
  <c r="AI184" i="7"/>
  <c r="AC185" i="7"/>
  <c r="AL184" i="7"/>
  <c r="AD186" i="7"/>
  <c r="AL185" i="7"/>
  <c r="AC186" i="7"/>
  <c r="AD185" i="7"/>
  <c r="AE185" i="7"/>
  <c r="AN185" i="7"/>
  <c r="AJ184" i="7"/>
  <c r="AI185" i="7"/>
  <c r="AE184" i="7"/>
  <c r="AJ185" i="7"/>
  <c r="AG187" i="7"/>
  <c r="AL183" i="7"/>
  <c r="AH184" i="7"/>
  <c r="AG185" i="7"/>
  <c r="AF185" i="7"/>
  <c r="AC189" i="7"/>
  <c r="AM185" i="7"/>
  <c r="AJ186" i="7"/>
  <c r="AK185" i="7"/>
  <c r="AI187" i="7"/>
  <c r="AH185" i="7"/>
  <c r="AD187" i="7"/>
  <c r="AD189" i="7"/>
  <c r="AG184" i="7"/>
  <c r="AF186" i="7"/>
  <c r="AL186" i="7"/>
  <c r="AE186" i="7"/>
  <c r="AN187" i="7"/>
  <c r="AK186" i="7"/>
  <c r="AF187" i="7"/>
  <c r="AE188" i="7"/>
  <c r="AC188" i="7"/>
  <c r="AH187" i="7"/>
  <c r="AG186" i="7"/>
  <c r="AE187" i="7"/>
  <c r="AC187" i="7"/>
  <c r="AI186" i="7"/>
  <c r="AM186" i="7"/>
  <c r="AK187" i="7"/>
  <c r="AL189" i="7"/>
  <c r="AL187" i="7"/>
  <c r="AJ187" i="7"/>
  <c r="AN188" i="7"/>
  <c r="AG188" i="7"/>
  <c r="AN186" i="7"/>
  <c r="AM188" i="7"/>
  <c r="AI188" i="7"/>
  <c r="AH188" i="7"/>
  <c r="AK189" i="7"/>
  <c r="AH189" i="7"/>
  <c r="AL188" i="7"/>
  <c r="AF189" i="7"/>
  <c r="AJ188" i="7"/>
  <c r="AH186" i="7"/>
  <c r="AK188" i="7"/>
  <c r="AG189" i="7"/>
  <c r="AF188" i="7"/>
  <c r="AM189" i="7"/>
  <c r="AD188" i="7"/>
  <c r="AM187" i="7"/>
  <c r="AE189" i="7"/>
  <c r="AI189" i="7"/>
  <c r="AJ189" i="7"/>
  <c r="AK190" i="7"/>
  <c r="AF190" i="7"/>
  <c r="AC190" i="7"/>
  <c r="AN190" i="7"/>
  <c r="AE190" i="7"/>
  <c r="AG190" i="7"/>
  <c r="AC191" i="7"/>
  <c r="AN189" i="7"/>
  <c r="AL190" i="7"/>
  <c r="AM191" i="7"/>
  <c r="AJ190" i="7"/>
  <c r="AD191" i="7"/>
  <c r="AH190" i="7"/>
  <c r="AF191" i="7"/>
  <c r="AJ191" i="7"/>
  <c r="AM190" i="7"/>
  <c r="AI190" i="7"/>
  <c r="AD190" i="7"/>
  <c r="AK192" i="7"/>
  <c r="AM193" i="7"/>
  <c r="AC192" i="7"/>
  <c r="AJ192" i="7"/>
  <c r="AL192" i="7"/>
  <c r="AL191" i="7"/>
  <c r="AF193" i="7"/>
  <c r="AG194" i="7"/>
  <c r="AF192" i="7"/>
  <c r="AH192" i="7"/>
  <c r="AH193" i="7"/>
  <c r="AG191" i="7"/>
  <c r="AC193" i="7"/>
  <c r="AD192" i="7"/>
  <c r="AE192" i="7"/>
  <c r="AG193" i="7"/>
  <c r="AH191" i="7"/>
  <c r="AN193" i="7"/>
  <c r="AN192" i="7"/>
  <c r="AE191" i="7"/>
  <c r="AN195" i="7"/>
  <c r="AK193" i="7"/>
  <c r="AI192" i="7"/>
  <c r="AI191" i="7"/>
  <c r="AD194" i="7"/>
  <c r="AN191" i="7"/>
  <c r="AJ193" i="7"/>
  <c r="AJ194" i="7"/>
  <c r="AL193" i="7"/>
  <c r="AM194" i="7"/>
  <c r="AG195" i="7"/>
  <c r="AC194" i="7"/>
  <c r="AL194" i="7"/>
  <c r="AK194" i="7"/>
  <c r="AE193" i="7"/>
  <c r="AI195" i="7"/>
  <c r="AD193" i="7"/>
  <c r="AE194" i="7"/>
  <c r="AM192" i="7"/>
  <c r="AK191" i="7"/>
  <c r="AI194" i="7"/>
  <c r="AN194" i="7"/>
  <c r="AL195" i="7"/>
  <c r="AK195" i="7"/>
  <c r="AG192" i="7"/>
  <c r="AI193" i="7"/>
  <c r="AF194" i="7"/>
  <c r="AF195" i="7"/>
  <c r="AM195" i="7"/>
  <c r="AJ195" i="7"/>
  <c r="AE196" i="7"/>
  <c r="AI196" i="7"/>
  <c r="AN196" i="7"/>
  <c r="AE197" i="7"/>
  <c r="AC196" i="7"/>
  <c r="AK196" i="7"/>
  <c r="AC195" i="7"/>
  <c r="AJ196" i="7"/>
  <c r="AI198" i="7"/>
  <c r="AG197" i="7"/>
  <c r="AE195" i="7"/>
  <c r="AK197" i="7"/>
  <c r="AD195" i="7"/>
  <c r="AH197" i="7"/>
  <c r="AH195" i="7"/>
  <c r="AM196" i="7"/>
  <c r="AL196" i="7"/>
  <c r="AD198" i="7"/>
  <c r="AH194" i="7"/>
  <c r="AH196" i="7"/>
  <c r="AE198" i="7"/>
  <c r="AN198" i="7"/>
  <c r="AC198" i="7"/>
  <c r="AG196" i="7"/>
  <c r="AN197" i="7"/>
  <c r="AC199" i="7"/>
  <c r="AH200" i="7"/>
  <c r="AJ198" i="7"/>
  <c r="AL197" i="7"/>
  <c r="AC197" i="7"/>
  <c r="AF196" i="7"/>
  <c r="AI197" i="7"/>
  <c r="AF198" i="7"/>
  <c r="AD197" i="7"/>
  <c r="AF199" i="7"/>
  <c r="AD196" i="7"/>
  <c r="AF197" i="7"/>
  <c r="AJ197" i="7"/>
  <c r="AK198" i="7"/>
  <c r="AD200" i="7"/>
  <c r="AC200" i="7"/>
  <c r="AF200" i="7"/>
  <c r="AN199" i="7"/>
  <c r="AK199" i="7"/>
  <c r="AJ200" i="7"/>
  <c r="AM198" i="7"/>
  <c r="AL199" i="7"/>
  <c r="AM197" i="7"/>
  <c r="AM199" i="7"/>
  <c r="AH198" i="7"/>
  <c r="AL198" i="7"/>
  <c r="AM200" i="7"/>
  <c r="AG199" i="7"/>
  <c r="AG198" i="7"/>
  <c r="AJ201" i="7"/>
  <c r="AE199" i="7"/>
  <c r="AN201" i="7"/>
  <c r="AJ199" i="7"/>
  <c r="AD199" i="7"/>
  <c r="AK200" i="7"/>
  <c r="AI199" i="7"/>
  <c r="AL201" i="7"/>
  <c r="AC201" i="7"/>
  <c r="AH202" i="7"/>
  <c r="AN200" i="7"/>
  <c r="AE201" i="7"/>
  <c r="AH199" i="7"/>
  <c r="AD201" i="7"/>
  <c r="AH201" i="7"/>
  <c r="AG200" i="7"/>
  <c r="AE200" i="7"/>
  <c r="AI200" i="7"/>
  <c r="AJ202" i="7"/>
  <c r="AK203" i="7"/>
  <c r="AI201" i="7"/>
  <c r="AC202" i="7"/>
  <c r="AM202" i="7"/>
  <c r="AF202" i="7"/>
  <c r="AN202" i="7"/>
  <c r="AK202" i="7"/>
  <c r="AM201" i="7"/>
  <c r="AK201" i="7"/>
  <c r="AF201" i="7"/>
  <c r="AL200" i="7"/>
  <c r="AJ203" i="7"/>
  <c r="AH204" i="7"/>
  <c r="AD202" i="7"/>
  <c r="AF204" i="7"/>
  <c r="AL202" i="7"/>
  <c r="AG203" i="7"/>
  <c r="AM203" i="7"/>
  <c r="AK204" i="7"/>
  <c r="AG201" i="7"/>
  <c r="AC203" i="7"/>
  <c r="AL203" i="7"/>
  <c r="AJ204" i="7"/>
  <c r="AD203" i="7"/>
  <c r="AE203" i="7"/>
  <c r="AI202" i="7"/>
  <c r="AE202" i="7"/>
  <c r="AG202" i="7"/>
  <c r="AD204" i="7"/>
  <c r="AI205" i="7"/>
  <c r="AM204" i="7"/>
  <c r="AI203" i="7"/>
  <c r="AN203" i="7"/>
  <c r="AF203" i="7"/>
  <c r="AL204" i="7"/>
  <c r="AM205" i="7"/>
  <c r="AI204" i="7"/>
  <c r="AE204" i="7"/>
  <c r="AC205" i="7"/>
  <c r="AC204" i="7"/>
  <c r="AH203" i="7"/>
  <c r="AH205" i="7"/>
  <c r="AG205" i="7"/>
  <c r="AK205" i="7"/>
  <c r="AD205" i="7"/>
  <c r="AF205" i="7"/>
  <c r="AN205" i="7"/>
  <c r="AJ205" i="7"/>
  <c r="AE206" i="7"/>
  <c r="AG204" i="7"/>
  <c r="AC206" i="7"/>
  <c r="AJ206" i="7"/>
  <c r="AK206" i="7"/>
  <c r="AJ207" i="7"/>
  <c r="AI207" i="7"/>
  <c r="AN206" i="7"/>
  <c r="AL205" i="7"/>
  <c r="AE205" i="7"/>
  <c r="AC208" i="7"/>
  <c r="AN204" i="7"/>
  <c r="AD206" i="7"/>
  <c r="AJ208" i="7"/>
  <c r="AL206" i="7"/>
  <c r="AH207" i="7"/>
  <c r="AC207" i="7"/>
  <c r="AG207" i="7"/>
  <c r="AM206" i="7"/>
  <c r="AH206" i="7"/>
  <c r="AD207" i="7"/>
  <c r="AF206" i="7"/>
  <c r="AE207" i="7"/>
  <c r="AE208" i="7"/>
  <c r="AH209" i="7"/>
  <c r="AI206" i="7"/>
  <c r="AG208" i="7"/>
  <c r="AM207" i="7"/>
  <c r="AG206" i="7"/>
  <c r="AN208" i="7"/>
  <c r="AK207" i="7"/>
  <c r="AF208" i="7"/>
  <c r="AM208" i="7"/>
  <c r="AC209" i="7"/>
  <c r="AK208" i="7"/>
  <c r="AD208" i="7"/>
  <c r="AI208" i="7"/>
  <c r="AF207" i="7"/>
  <c r="AL208" i="7"/>
  <c r="AN209" i="7"/>
  <c r="AH208" i="7"/>
  <c r="AN207" i="7"/>
  <c r="AC210" i="7"/>
  <c r="AD209" i="7"/>
  <c r="AJ209" i="7"/>
  <c r="AF209" i="7"/>
  <c r="AE209" i="7"/>
  <c r="AJ210" i="7"/>
  <c r="AI209" i="7"/>
  <c r="AL207" i="7"/>
  <c r="AF210" i="7"/>
  <c r="AM209" i="7"/>
  <c r="AH210" i="7"/>
  <c r="AK209" i="7"/>
  <c r="AG209" i="7"/>
  <c r="AE212" i="7"/>
  <c r="AM211" i="7"/>
  <c r="AK210" i="7"/>
  <c r="AG210" i="7"/>
  <c r="AJ211" i="7"/>
  <c r="AL210" i="7"/>
  <c r="AM210" i="7"/>
  <c r="AE211" i="7"/>
  <c r="AL209" i="7"/>
  <c r="AH211" i="7"/>
  <c r="AN210" i="7"/>
  <c r="AK212" i="7"/>
  <c r="AD212" i="7"/>
  <c r="AL212" i="7"/>
  <c r="AF212" i="7"/>
  <c r="AG211" i="7"/>
  <c r="AN212" i="7"/>
  <c r="AJ212" i="7"/>
  <c r="AG212" i="7"/>
  <c r="AI211" i="7"/>
  <c r="AH212" i="7"/>
  <c r="AN211" i="7"/>
  <c r="AI210" i="7"/>
  <c r="AC211" i="7"/>
  <c r="AK211" i="7"/>
  <c r="AF211" i="7"/>
  <c r="AD210" i="7"/>
  <c r="AL211" i="7"/>
  <c r="AD211" i="7"/>
  <c r="AC212" i="7"/>
  <c r="AE210" i="7"/>
  <c r="AM214" i="7"/>
  <c r="AK213" i="7"/>
  <c r="AJ214" i="7"/>
  <c r="AI213" i="7"/>
  <c r="AF213" i="7"/>
  <c r="AM212" i="7"/>
  <c r="AK214" i="7"/>
  <c r="AJ213" i="7"/>
  <c r="AE214" i="7"/>
  <c r="AG214" i="7"/>
  <c r="AI212" i="7"/>
  <c r="AM213" i="7"/>
  <c r="AD214" i="7"/>
  <c r="AN213" i="7"/>
  <c r="AH213" i="7"/>
  <c r="AC213" i="7"/>
  <c r="AL213" i="7"/>
  <c r="AD213" i="7"/>
  <c r="AH214" i="7"/>
  <c r="AE213" i="7"/>
  <c r="AN215" i="7"/>
  <c r="AF214" i="7"/>
  <c r="AC214" i="7"/>
  <c r="AJ215" i="7"/>
  <c r="AD215" i="7"/>
  <c r="AG213" i="7"/>
  <c r="AL214" i="7"/>
  <c r="AK215" i="7"/>
  <c r="AK216" i="7"/>
  <c r="AN214" i="7"/>
  <c r="AI214" i="7"/>
  <c r="AM215" i="7"/>
  <c r="AI215" i="7"/>
  <c r="AL215" i="7"/>
  <c r="AJ216" i="7"/>
  <c r="AI216" i="7"/>
  <c r="AC215" i="7"/>
  <c r="AF216" i="7"/>
  <c r="AG215" i="7"/>
  <c r="AG216" i="7"/>
  <c r="AF217" i="7"/>
  <c r="AF215" i="7"/>
  <c r="AE215" i="7"/>
  <c r="AJ217" i="7"/>
  <c r="AL217" i="7"/>
  <c r="AH215" i="7"/>
  <c r="AE216" i="7"/>
  <c r="AD219" i="7"/>
  <c r="AK217" i="7"/>
  <c r="AM217" i="7"/>
  <c r="AD216" i="7"/>
  <c r="AC217" i="7"/>
  <c r="AN217" i="7"/>
  <c r="AG217" i="7"/>
  <c r="AI217" i="7"/>
  <c r="AL216" i="7"/>
  <c r="AD217" i="7"/>
  <c r="AM216" i="7"/>
  <c r="AH217" i="7"/>
  <c r="AH216" i="7"/>
  <c r="AC216" i="7"/>
  <c r="AN216" i="7"/>
  <c r="AD220" i="7"/>
  <c r="AF218" i="7"/>
  <c r="AL220" i="7"/>
  <c r="AG218" i="7"/>
  <c r="AF219" i="7"/>
  <c r="AD218" i="7"/>
  <c r="AI218" i="7"/>
  <c r="AJ218" i="7"/>
  <c r="AJ219" i="7"/>
  <c r="AN218" i="7"/>
  <c r="AE218" i="7"/>
  <c r="AE217" i="7"/>
  <c r="AH219" i="7"/>
  <c r="AN219" i="7"/>
  <c r="AC218" i="7"/>
  <c r="AK218" i="7"/>
  <c r="AG219" i="7"/>
  <c r="AF220" i="7"/>
  <c r="AG220" i="7"/>
  <c r="AM219" i="7"/>
  <c r="AM218" i="7"/>
  <c r="AL218" i="7"/>
  <c r="AI219" i="7"/>
  <c r="AC220" i="7"/>
  <c r="AK219" i="7"/>
  <c r="AL219" i="7"/>
  <c r="AN226" i="7"/>
  <c r="AG226" i="7"/>
  <c r="AJ220" i="7"/>
  <c r="AM223" i="7"/>
  <c r="AJ226" i="7"/>
  <c r="AG221" i="7"/>
  <c r="AK221" i="7"/>
  <c r="AM222" i="7"/>
  <c r="AD223" i="7"/>
  <c r="AG222" i="7"/>
  <c r="AM226" i="7"/>
  <c r="AE226" i="7"/>
  <c r="AN225" i="7"/>
  <c r="AK223" i="7"/>
  <c r="AH218" i="7"/>
  <c r="AH221" i="7"/>
  <c r="AL221" i="7"/>
  <c r="AD221" i="7"/>
  <c r="AF223" i="7"/>
  <c r="AL223" i="7"/>
  <c r="AG224" i="7"/>
  <c r="AH223" i="7"/>
  <c r="AL226" i="7"/>
  <c r="AE219" i="7"/>
  <c r="AC219" i="7"/>
  <c r="AL222" i="7"/>
  <c r="AH224" i="7"/>
  <c r="AE220" i="7"/>
  <c r="AE221" i="7"/>
  <c r="AK220" i="7"/>
  <c r="AK224" i="7"/>
  <c r="AF221" i="7"/>
  <c r="AG223" i="7"/>
  <c r="AI226" i="7"/>
  <c r="AC226" i="7"/>
  <c r="AH220" i="7"/>
  <c r="AC221" i="7"/>
  <c r="AF226" i="7"/>
  <c r="AK226" i="7"/>
  <c r="AI223" i="7"/>
  <c r="AH226" i="7"/>
  <c r="AD226" i="7"/>
  <c r="AI221" i="7"/>
  <c r="AD224" i="7"/>
  <c r="AF225" i="7"/>
  <c r="AI220" i="7"/>
  <c r="AF222" i="7"/>
  <c r="AC227" i="7"/>
  <c r="AJ227" i="7"/>
  <c r="AK222" i="7"/>
  <c r="AG225" i="7"/>
  <c r="AE222" i="7"/>
  <c r="AI222" i="7"/>
  <c r="AE223" i="7"/>
  <c r="AC223" i="7"/>
  <c r="AG227" i="7"/>
  <c r="AM227" i="7"/>
  <c r="AM224" i="7"/>
  <c r="AH225" i="7"/>
  <c r="AC224" i="7"/>
  <c r="AJ224" i="7"/>
  <c r="AJ223" i="7"/>
  <c r="AJ222" i="7"/>
  <c r="AC222" i="7"/>
  <c r="AI225" i="7"/>
  <c r="AE225" i="7"/>
  <c r="AN224" i="7"/>
  <c r="AE224" i="7"/>
  <c r="AT227" i="7"/>
  <c r="I226" i="14" s="1"/>
  <c r="AV227" i="7"/>
  <c r="G226" i="14" s="1"/>
  <c r="AN228" i="7"/>
  <c r="AK228" i="7"/>
  <c r="AJ228" i="7"/>
  <c r="AF228" i="7"/>
  <c r="AM228" i="7"/>
  <c r="AI228" i="7"/>
  <c r="AL228" i="7"/>
  <c r="AG228" i="7"/>
  <c r="AH228" i="7"/>
  <c r="AE228" i="7"/>
  <c r="AC228" i="7"/>
  <c r="AD228" i="7"/>
  <c r="AO225" i="7" l="1"/>
  <c r="H224" i="13" s="1"/>
  <c r="AQ227" i="7"/>
  <c r="F226" i="13" s="1"/>
  <c r="AU227" i="7"/>
  <c r="F226" i="14" s="1"/>
  <c r="J226" i="14" s="1"/>
  <c r="AR224" i="7"/>
  <c r="G223" i="13" s="1"/>
  <c r="AS227" i="7"/>
  <c r="H226" i="14" s="1"/>
  <c r="AO227" i="7"/>
  <c r="H226" i="13" s="1"/>
  <c r="AP227" i="7"/>
  <c r="I226" i="13" s="1"/>
  <c r="AS224" i="7"/>
  <c r="H223" i="14" s="1"/>
  <c r="AR227" i="7"/>
  <c r="G226" i="13" s="1"/>
  <c r="AR222" i="7"/>
  <c r="G221" i="13" s="1"/>
  <c r="AP222" i="7"/>
  <c r="I221" i="13" s="1"/>
  <c r="AU225" i="7"/>
  <c r="F224" i="14" s="1"/>
  <c r="AS225" i="7"/>
  <c r="H224" i="14" s="1"/>
  <c r="AO221" i="7"/>
  <c r="H220" i="13" s="1"/>
  <c r="AQ221" i="7"/>
  <c r="F220" i="13" s="1"/>
  <c r="AV225" i="7"/>
  <c r="G224" i="14" s="1"/>
  <c r="AT225" i="7"/>
  <c r="I224" i="14" s="1"/>
  <c r="AP219" i="7"/>
  <c r="I218" i="13" s="1"/>
  <c r="AR219" i="7"/>
  <c r="G218" i="13" s="1"/>
  <c r="AQ218" i="7"/>
  <c r="F217" i="13" s="1"/>
  <c r="AO218" i="7"/>
  <c r="H217" i="13" s="1"/>
  <c r="AR218" i="7"/>
  <c r="G217" i="13" s="1"/>
  <c r="AP218" i="7"/>
  <c r="I217" i="13" s="1"/>
  <c r="AQ216" i="7"/>
  <c r="F215" i="13" s="1"/>
  <c r="AO216" i="7"/>
  <c r="H215" i="13" s="1"/>
  <c r="AV217" i="7"/>
  <c r="G216" i="14" s="1"/>
  <c r="AT217" i="7"/>
  <c r="I216" i="14" s="1"/>
  <c r="AO215" i="7"/>
  <c r="H214" i="13" s="1"/>
  <c r="AQ215" i="7"/>
  <c r="F214" i="13" s="1"/>
  <c r="AV215" i="7"/>
  <c r="G214" i="14" s="1"/>
  <c r="AT215" i="7"/>
  <c r="I214" i="14" s="1"/>
  <c r="AU213" i="7"/>
  <c r="F212" i="14" s="1"/>
  <c r="AS213" i="7"/>
  <c r="H212" i="14" s="1"/>
  <c r="AR211" i="7"/>
  <c r="G210" i="13" s="1"/>
  <c r="AP211" i="7"/>
  <c r="I210" i="13" s="1"/>
  <c r="AS210" i="7"/>
  <c r="H209" i="14" s="1"/>
  <c r="AU210" i="7"/>
  <c r="F209" i="14" s="1"/>
  <c r="AO210" i="7"/>
  <c r="H209" i="13" s="1"/>
  <c r="AQ210" i="7"/>
  <c r="F209" i="13" s="1"/>
  <c r="AO208" i="7"/>
  <c r="H207" i="13" s="1"/>
  <c r="AQ208" i="7"/>
  <c r="F207" i="13" s="1"/>
  <c r="AQ206" i="7"/>
  <c r="F205" i="13" s="1"/>
  <c r="AO206" i="7"/>
  <c r="H205" i="13" s="1"/>
  <c r="AO202" i="7"/>
  <c r="H201" i="13" s="1"/>
  <c r="AQ202" i="7"/>
  <c r="F201" i="13" s="1"/>
  <c r="AR193" i="7"/>
  <c r="G192" i="13" s="1"/>
  <c r="AP193" i="7"/>
  <c r="I192" i="13" s="1"/>
  <c r="AV189" i="7"/>
  <c r="G188" i="14" s="1"/>
  <c r="AT189" i="7"/>
  <c r="I188" i="14" s="1"/>
  <c r="AP188" i="7"/>
  <c r="I187" i="13" s="1"/>
  <c r="AR188" i="7"/>
  <c r="G187" i="13" s="1"/>
  <c r="AS185" i="7"/>
  <c r="H184" i="14" s="1"/>
  <c r="AU185" i="7"/>
  <c r="F184" i="14" s="1"/>
  <c r="AO185" i="7"/>
  <c r="H184" i="13" s="1"/>
  <c r="AQ185" i="7"/>
  <c r="F184" i="13" s="1"/>
  <c r="AU183" i="7"/>
  <c r="F182" i="14" s="1"/>
  <c r="AS183" i="7"/>
  <c r="H182" i="14" s="1"/>
  <c r="AV183" i="7"/>
  <c r="G182" i="14" s="1"/>
  <c r="AT183" i="7"/>
  <c r="I182" i="14" s="1"/>
  <c r="AR181" i="7"/>
  <c r="G180" i="13" s="1"/>
  <c r="AP181" i="7"/>
  <c r="I180" i="13" s="1"/>
  <c r="AS182" i="7"/>
  <c r="H181" i="14" s="1"/>
  <c r="AU182" i="7"/>
  <c r="F181" i="14" s="1"/>
  <c r="AT178" i="7"/>
  <c r="I177" i="14" s="1"/>
  <c r="AV178" i="7"/>
  <c r="G177" i="14" s="1"/>
  <c r="AR176" i="7"/>
  <c r="G175" i="13" s="1"/>
  <c r="AP176" i="7"/>
  <c r="I175" i="13" s="1"/>
  <c r="AP174" i="7"/>
  <c r="I173" i="13" s="1"/>
  <c r="AR174" i="7"/>
  <c r="G173" i="13" s="1"/>
  <c r="AR170" i="7"/>
  <c r="G169" i="13" s="1"/>
  <c r="AP170" i="7"/>
  <c r="I169" i="13" s="1"/>
  <c r="AQ166" i="7"/>
  <c r="F165" i="13" s="1"/>
  <c r="AO166" i="7"/>
  <c r="H165" i="13" s="1"/>
  <c r="AO168" i="7"/>
  <c r="H167" i="13" s="1"/>
  <c r="AQ168" i="7"/>
  <c r="F167" i="13" s="1"/>
  <c r="AT167" i="7"/>
  <c r="I166" i="14" s="1"/>
  <c r="AV167" i="7"/>
  <c r="G166" i="14" s="1"/>
  <c r="AU164" i="7"/>
  <c r="F163" i="14" s="1"/>
  <c r="AS164" i="7"/>
  <c r="H163" i="14" s="1"/>
  <c r="AT159" i="7"/>
  <c r="I158" i="14" s="1"/>
  <c r="AV159" i="7"/>
  <c r="G158" i="14" s="1"/>
  <c r="AT156" i="7"/>
  <c r="I155" i="14" s="1"/>
  <c r="AV156" i="7"/>
  <c r="G155" i="14" s="1"/>
  <c r="AP155" i="7"/>
  <c r="I154" i="13" s="1"/>
  <c r="AR155" i="7"/>
  <c r="G154" i="13" s="1"/>
  <c r="AU153" i="7"/>
  <c r="F152" i="14" s="1"/>
  <c r="AS153" i="7"/>
  <c r="H152" i="14" s="1"/>
  <c r="AT149" i="7"/>
  <c r="I148" i="14" s="1"/>
  <c r="AV149" i="7"/>
  <c r="G148" i="14" s="1"/>
  <c r="AO148" i="7"/>
  <c r="H147" i="13" s="1"/>
  <c r="AQ148" i="7"/>
  <c r="F147" i="13" s="1"/>
  <c r="AT148" i="7"/>
  <c r="I147" i="14" s="1"/>
  <c r="AV148" i="7"/>
  <c r="G147" i="14" s="1"/>
  <c r="AR147" i="7"/>
  <c r="G146" i="13" s="1"/>
  <c r="AP147" i="7"/>
  <c r="I146" i="13" s="1"/>
  <c r="AS145" i="7"/>
  <c r="H144" i="14" s="1"/>
  <c r="AU145" i="7"/>
  <c r="F144" i="14" s="1"/>
  <c r="AR143" i="7"/>
  <c r="G142" i="13" s="1"/>
  <c r="AP143" i="7"/>
  <c r="I142" i="13" s="1"/>
  <c r="AS144" i="7"/>
  <c r="H143" i="14" s="1"/>
  <c r="AU144" i="7"/>
  <c r="F143" i="14" s="1"/>
  <c r="AQ141" i="7"/>
  <c r="F140" i="13" s="1"/>
  <c r="AO141" i="7"/>
  <c r="H140" i="13" s="1"/>
  <c r="AT142" i="7"/>
  <c r="I141" i="14" s="1"/>
  <c r="AV142" i="7"/>
  <c r="G141" i="14" s="1"/>
  <c r="AU140" i="7"/>
  <c r="F139" i="14" s="1"/>
  <c r="AS140" i="7"/>
  <c r="H139" i="14" s="1"/>
  <c r="AT140" i="7"/>
  <c r="I139" i="14" s="1"/>
  <c r="AV140" i="7"/>
  <c r="G139" i="14" s="1"/>
  <c r="AS139" i="7"/>
  <c r="H138" i="14" s="1"/>
  <c r="AU139" i="7"/>
  <c r="F138" i="14" s="1"/>
  <c r="AO135" i="7"/>
  <c r="H134" i="13" s="1"/>
  <c r="AQ135" i="7"/>
  <c r="F134" i="13" s="1"/>
  <c r="AU135" i="7"/>
  <c r="F134" i="14" s="1"/>
  <c r="AS135" i="7"/>
  <c r="H134" i="14" s="1"/>
  <c r="AV132" i="7"/>
  <c r="G131" i="14" s="1"/>
  <c r="AT132" i="7"/>
  <c r="I131" i="14" s="1"/>
  <c r="AU134" i="7"/>
  <c r="F133" i="14" s="1"/>
  <c r="AS134" i="7"/>
  <c r="H133" i="14" s="1"/>
  <c r="AT129" i="7"/>
  <c r="I128" i="14" s="1"/>
  <c r="AV129" i="7"/>
  <c r="G128" i="14" s="1"/>
  <c r="AQ128" i="7"/>
  <c r="F127" i="13" s="1"/>
  <c r="AO128" i="7"/>
  <c r="H127" i="13" s="1"/>
  <c r="AT126" i="7"/>
  <c r="I125" i="14" s="1"/>
  <c r="AV126" i="7"/>
  <c r="G125" i="14" s="1"/>
  <c r="AT124" i="7"/>
  <c r="I123" i="14" s="1"/>
  <c r="AV124" i="7"/>
  <c r="G123" i="14" s="1"/>
  <c r="AR123" i="7"/>
  <c r="G122" i="13" s="1"/>
  <c r="AP123" i="7"/>
  <c r="I122" i="13" s="1"/>
  <c r="AT119" i="7"/>
  <c r="I118" i="14" s="1"/>
  <c r="AV119" i="7"/>
  <c r="G118" i="14" s="1"/>
  <c r="AR119" i="7"/>
  <c r="G118" i="13" s="1"/>
  <c r="AP119" i="7"/>
  <c r="I118" i="13" s="1"/>
  <c r="AP117" i="7"/>
  <c r="I116" i="13" s="1"/>
  <c r="AR117" i="7"/>
  <c r="G116" i="13" s="1"/>
  <c r="AU118" i="7"/>
  <c r="F117" i="14" s="1"/>
  <c r="AS118" i="7"/>
  <c r="H117" i="14" s="1"/>
  <c r="AT114" i="7"/>
  <c r="I113" i="14" s="1"/>
  <c r="AV114" i="7"/>
  <c r="G113" i="14" s="1"/>
  <c r="AP114" i="7"/>
  <c r="I113" i="13" s="1"/>
  <c r="AR114" i="7"/>
  <c r="G113" i="13" s="1"/>
  <c r="AQ113" i="7"/>
  <c r="F112" i="13" s="1"/>
  <c r="AO113" i="7"/>
  <c r="H112" i="13" s="1"/>
  <c r="AS109" i="7"/>
  <c r="H108" i="14" s="1"/>
  <c r="AU109" i="7"/>
  <c r="F108" i="14" s="1"/>
  <c r="AU107" i="7"/>
  <c r="F106" i="14" s="1"/>
  <c r="AS107" i="7"/>
  <c r="H106" i="14" s="1"/>
  <c r="AO106" i="7"/>
  <c r="H105" i="13" s="1"/>
  <c r="AQ106" i="7"/>
  <c r="F105" i="13" s="1"/>
  <c r="AR104" i="7"/>
  <c r="G103" i="13" s="1"/>
  <c r="AP104" i="7"/>
  <c r="I103" i="13" s="1"/>
  <c r="AO102" i="7"/>
  <c r="H101" i="13" s="1"/>
  <c r="AQ102" i="7"/>
  <c r="F101" i="13" s="1"/>
  <c r="AP96" i="7"/>
  <c r="I95" i="13" s="1"/>
  <c r="AR96" i="7"/>
  <c r="G95" i="13" s="1"/>
  <c r="AQ97" i="7"/>
  <c r="F96" i="13" s="1"/>
  <c r="AO97" i="7"/>
  <c r="H96" i="13" s="1"/>
  <c r="AU95" i="7"/>
  <c r="F94" i="14" s="1"/>
  <c r="AS95" i="7"/>
  <c r="H94" i="14" s="1"/>
  <c r="AS91" i="7"/>
  <c r="H90" i="14" s="1"/>
  <c r="AU91" i="7"/>
  <c r="F90" i="14" s="1"/>
  <c r="AQ92" i="7"/>
  <c r="F91" i="13" s="1"/>
  <c r="AO92" i="7"/>
  <c r="H91" i="13" s="1"/>
  <c r="AO89" i="7"/>
  <c r="H88" i="13" s="1"/>
  <c r="AQ89" i="7"/>
  <c r="F88" i="13" s="1"/>
  <c r="AV87" i="7"/>
  <c r="G86" i="14" s="1"/>
  <c r="AT87" i="7"/>
  <c r="I86" i="14" s="1"/>
  <c r="AQ86" i="7"/>
  <c r="F85" i="13" s="1"/>
  <c r="AO86" i="7"/>
  <c r="H85" i="13" s="1"/>
  <c r="AP83" i="7"/>
  <c r="I82" i="13" s="1"/>
  <c r="AR83" i="7"/>
  <c r="G82" i="13" s="1"/>
  <c r="AQ72" i="7"/>
  <c r="F71" i="13" s="1"/>
  <c r="AO72" i="7"/>
  <c r="H71" i="13" s="1"/>
  <c r="AT69" i="7"/>
  <c r="I68" i="14" s="1"/>
  <c r="AV69" i="7"/>
  <c r="G68" i="14" s="1"/>
  <c r="AS65" i="7"/>
  <c r="H64" i="14" s="1"/>
  <c r="AU65" i="7"/>
  <c r="F64" i="14" s="1"/>
  <c r="AU64" i="7"/>
  <c r="F63" i="14" s="1"/>
  <c r="AS64" i="7"/>
  <c r="H63" i="14" s="1"/>
  <c r="AR61" i="7"/>
  <c r="G60" i="13" s="1"/>
  <c r="AP61" i="7"/>
  <c r="I60" i="13" s="1"/>
  <c r="AV60" i="7"/>
  <c r="G59" i="14" s="1"/>
  <c r="AT60" i="7"/>
  <c r="I59" i="14" s="1"/>
  <c r="AT54" i="7"/>
  <c r="I53" i="14" s="1"/>
  <c r="AV54" i="7"/>
  <c r="G53" i="14" s="1"/>
  <c r="AR53" i="7"/>
  <c r="G52" i="13" s="1"/>
  <c r="AP53" i="7"/>
  <c r="I52" i="13" s="1"/>
  <c r="AU51" i="7"/>
  <c r="F50" i="14" s="1"/>
  <c r="AS51" i="7"/>
  <c r="H50" i="14" s="1"/>
  <c r="AU43" i="7"/>
  <c r="F42" i="14" s="1"/>
  <c r="AS43" i="7"/>
  <c r="H42" i="14" s="1"/>
  <c r="AR43" i="7"/>
  <c r="AP43" i="7"/>
  <c r="I42" i="13" s="1"/>
  <c r="AQ39" i="7"/>
  <c r="AO39" i="7"/>
  <c r="H38" i="13" s="1"/>
  <c r="AU38" i="7"/>
  <c r="F37" i="14" s="1"/>
  <c r="AS38" i="7"/>
  <c r="H37" i="14" s="1"/>
  <c r="AT38" i="7"/>
  <c r="I37" i="14" s="1"/>
  <c r="AV38" i="7"/>
  <c r="G37" i="14" s="1"/>
  <c r="AT35" i="7"/>
  <c r="I34" i="14" s="1"/>
  <c r="AV35" i="7"/>
  <c r="G34" i="14" s="1"/>
  <c r="AR35" i="7"/>
  <c r="AP35" i="7"/>
  <c r="I34" i="13" s="1"/>
  <c r="AU33" i="7"/>
  <c r="F32" i="14" s="1"/>
  <c r="AS33" i="7"/>
  <c r="H32" i="14" s="1"/>
  <c r="AU30" i="7"/>
  <c r="F29" i="14" s="1"/>
  <c r="AS30" i="7"/>
  <c r="H29" i="14" s="1"/>
  <c r="AO29" i="7"/>
  <c r="H28" i="13" s="1"/>
  <c r="AQ29" i="7"/>
  <c r="AS27" i="7"/>
  <c r="H26" i="14" s="1"/>
  <c r="AU27" i="7"/>
  <c r="F26" i="14" s="1"/>
  <c r="AP28" i="7"/>
  <c r="I27" i="13" s="1"/>
  <c r="AR28" i="7"/>
  <c r="AS25" i="7"/>
  <c r="H24" i="14" s="1"/>
  <c r="AU25" i="7"/>
  <c r="F24" i="14" s="1"/>
  <c r="AQ22" i="7"/>
  <c r="F21" i="13" s="1"/>
  <c r="AO22" i="7"/>
  <c r="H21" i="13" s="1"/>
  <c r="AP20" i="7"/>
  <c r="I19" i="13" s="1"/>
  <c r="AR20" i="7"/>
  <c r="G19" i="13" s="1"/>
  <c r="AO19" i="7"/>
  <c r="H18" i="13" s="1"/>
  <c r="AQ19" i="7"/>
  <c r="F18" i="13" s="1"/>
  <c r="AT13" i="7"/>
  <c r="I12" i="14" s="1"/>
  <c r="AV13" i="7"/>
  <c r="G12" i="14" s="1"/>
  <c r="AR8" i="7"/>
  <c r="G7" i="13" s="1"/>
  <c r="AP8" i="7"/>
  <c r="I7" i="13" s="1"/>
  <c r="AQ225" i="7"/>
  <c r="F224" i="13" s="1"/>
  <c r="AO224" i="7"/>
  <c r="H223" i="13" s="1"/>
  <c r="AQ224" i="7"/>
  <c r="AT219" i="7"/>
  <c r="I218" i="14" s="1"/>
  <c r="AV219" i="7"/>
  <c r="G218" i="14" s="1"/>
  <c r="AQ217" i="7"/>
  <c r="F216" i="13" s="1"/>
  <c r="AO217" i="7"/>
  <c r="H216" i="13" s="1"/>
  <c r="AP216" i="7"/>
  <c r="I215" i="13" s="1"/>
  <c r="AR216" i="7"/>
  <c r="G215" i="13" s="1"/>
  <c r="AR213" i="7"/>
  <c r="G212" i="13" s="1"/>
  <c r="AP213" i="7"/>
  <c r="I212" i="13" s="1"/>
  <c r="AV210" i="7"/>
  <c r="G209" i="14" s="1"/>
  <c r="AT210" i="7"/>
  <c r="I209" i="14" s="1"/>
  <c r="AT207" i="7"/>
  <c r="I206" i="14" s="1"/>
  <c r="AV207" i="7"/>
  <c r="G206" i="14" s="1"/>
  <c r="AO209" i="7"/>
  <c r="H208" i="13" s="1"/>
  <c r="AQ209" i="7"/>
  <c r="F208" i="13" s="1"/>
  <c r="AP206" i="7"/>
  <c r="I205" i="13" s="1"/>
  <c r="AR206" i="7"/>
  <c r="G205" i="13" s="1"/>
  <c r="AS203" i="7"/>
  <c r="H202" i="14" s="1"/>
  <c r="AU203" i="7"/>
  <c r="F202" i="14" s="1"/>
  <c r="AP202" i="7"/>
  <c r="I201" i="13" s="1"/>
  <c r="AR202" i="7"/>
  <c r="G201" i="13" s="1"/>
  <c r="AU201" i="7"/>
  <c r="F200" i="14" s="1"/>
  <c r="AS201" i="7"/>
  <c r="H200" i="14" s="1"/>
  <c r="AR201" i="7"/>
  <c r="G200" i="13" s="1"/>
  <c r="AP201" i="7"/>
  <c r="I200" i="13" s="1"/>
  <c r="AV199" i="7"/>
  <c r="G198" i="14" s="1"/>
  <c r="AT199" i="7"/>
  <c r="I198" i="14" s="1"/>
  <c r="AU199" i="7"/>
  <c r="F198" i="14" s="1"/>
  <c r="AS199" i="7"/>
  <c r="H198" i="14" s="1"/>
  <c r="AV196" i="7"/>
  <c r="G195" i="14" s="1"/>
  <c r="AT196" i="7"/>
  <c r="I195" i="14" s="1"/>
  <c r="AV195" i="7"/>
  <c r="G194" i="14" s="1"/>
  <c r="AT195" i="7"/>
  <c r="I194" i="14" s="1"/>
  <c r="AQ193" i="7"/>
  <c r="F192" i="13" s="1"/>
  <c r="AO193" i="7"/>
  <c r="H192" i="13" s="1"/>
  <c r="AO191" i="7"/>
  <c r="H190" i="13" s="1"/>
  <c r="AQ191" i="7"/>
  <c r="F190" i="13" s="1"/>
  <c r="AR189" i="7"/>
  <c r="G188" i="13" s="1"/>
  <c r="AP189" i="7"/>
  <c r="I188" i="13" s="1"/>
  <c r="AS187" i="7"/>
  <c r="H186" i="14" s="1"/>
  <c r="AU187" i="7"/>
  <c r="F186" i="14" s="1"/>
  <c r="AT185" i="7"/>
  <c r="I184" i="14" s="1"/>
  <c r="AV185" i="7"/>
  <c r="G184" i="14" s="1"/>
  <c r="AP184" i="7"/>
  <c r="I183" i="13" s="1"/>
  <c r="AR184" i="7"/>
  <c r="G183" i="13" s="1"/>
  <c r="AU181" i="7"/>
  <c r="F180" i="14" s="1"/>
  <c r="AS181" i="7"/>
  <c r="H180" i="14" s="1"/>
  <c r="AU178" i="7"/>
  <c r="F177" i="14" s="1"/>
  <c r="AS178" i="7"/>
  <c r="H177" i="14" s="1"/>
  <c r="AT179" i="7"/>
  <c r="I178" i="14" s="1"/>
  <c r="AV179" i="7"/>
  <c r="G178" i="14" s="1"/>
  <c r="AT174" i="7"/>
  <c r="I173" i="14" s="1"/>
  <c r="AV174" i="7"/>
  <c r="G173" i="14" s="1"/>
  <c r="AU175" i="7"/>
  <c r="F174" i="14" s="1"/>
  <c r="AS175" i="7"/>
  <c r="H174" i="14" s="1"/>
  <c r="AV172" i="7"/>
  <c r="G171" i="14" s="1"/>
  <c r="AT172" i="7"/>
  <c r="I171" i="14" s="1"/>
  <c r="AS172" i="7"/>
  <c r="H171" i="14" s="1"/>
  <c r="AU172" i="7"/>
  <c r="F171" i="14" s="1"/>
  <c r="AO164" i="7"/>
  <c r="H163" i="13" s="1"/>
  <c r="AQ164" i="7"/>
  <c r="F163" i="13" s="1"/>
  <c r="AR163" i="7"/>
  <c r="G162" i="13" s="1"/>
  <c r="AP163" i="7"/>
  <c r="I162" i="13" s="1"/>
  <c r="AU163" i="7"/>
  <c r="F162" i="14" s="1"/>
  <c r="AS163" i="7"/>
  <c r="H162" i="14" s="1"/>
  <c r="AT162" i="7"/>
  <c r="I161" i="14" s="1"/>
  <c r="AV162" i="7"/>
  <c r="G161" i="14" s="1"/>
  <c r="AS162" i="7"/>
  <c r="H161" i="14" s="1"/>
  <c r="AU162" i="7"/>
  <c r="F161" i="14" s="1"/>
  <c r="AP160" i="7"/>
  <c r="I159" i="13" s="1"/>
  <c r="AR160" i="7"/>
  <c r="G159" i="13" s="1"/>
  <c r="AS157" i="7"/>
  <c r="H156" i="14" s="1"/>
  <c r="AU157" i="7"/>
  <c r="F156" i="14" s="1"/>
  <c r="AR156" i="7"/>
  <c r="G155" i="13" s="1"/>
  <c r="AP156" i="7"/>
  <c r="I155" i="13" s="1"/>
  <c r="AP153" i="7"/>
  <c r="I152" i="13" s="1"/>
  <c r="AR153" i="7"/>
  <c r="G152" i="13" s="1"/>
  <c r="AS151" i="7"/>
  <c r="H150" i="14" s="1"/>
  <c r="AU151" i="7"/>
  <c r="F150" i="14" s="1"/>
  <c r="AV146" i="7"/>
  <c r="G145" i="14" s="1"/>
  <c r="AT146" i="7"/>
  <c r="I145" i="14" s="1"/>
  <c r="AS142" i="7"/>
  <c r="H141" i="14" s="1"/>
  <c r="AU142" i="7"/>
  <c r="F141" i="14" s="1"/>
  <c r="AS141" i="7"/>
  <c r="H140" i="14" s="1"/>
  <c r="AU141" i="7"/>
  <c r="F140" i="14" s="1"/>
  <c r="AU137" i="7"/>
  <c r="F136" i="14" s="1"/>
  <c r="AS137" i="7"/>
  <c r="H136" i="14" s="1"/>
  <c r="AS133" i="7"/>
  <c r="H132" i="14" s="1"/>
  <c r="AU133" i="7"/>
  <c r="F132" i="14" s="1"/>
  <c r="AO133" i="7"/>
  <c r="H132" i="13" s="1"/>
  <c r="AQ133" i="7"/>
  <c r="F132" i="13" s="1"/>
  <c r="AR130" i="7"/>
  <c r="G129" i="13" s="1"/>
  <c r="AP130" i="7"/>
  <c r="I129" i="13" s="1"/>
  <c r="AO130" i="7"/>
  <c r="H129" i="13" s="1"/>
  <c r="AQ130" i="7"/>
  <c r="F129" i="13" s="1"/>
  <c r="AP128" i="7"/>
  <c r="I127" i="13" s="1"/>
  <c r="AR128" i="7"/>
  <c r="G127" i="13" s="1"/>
  <c r="AU126" i="7"/>
  <c r="AS126" i="7"/>
  <c r="H125" i="14" s="1"/>
  <c r="AT127" i="7"/>
  <c r="I126" i="14" s="1"/>
  <c r="AV127" i="7"/>
  <c r="G126" i="14" s="1"/>
  <c r="AO124" i="7"/>
  <c r="H123" i="13" s="1"/>
  <c r="AQ124" i="7"/>
  <c r="F123" i="13" s="1"/>
  <c r="AS123" i="7"/>
  <c r="H122" i="14" s="1"/>
  <c r="AU123" i="7"/>
  <c r="F122" i="14" s="1"/>
  <c r="AR124" i="7"/>
  <c r="G123" i="13" s="1"/>
  <c r="AP124" i="7"/>
  <c r="I123" i="13" s="1"/>
  <c r="AV122" i="7"/>
  <c r="G121" i="14" s="1"/>
  <c r="AT122" i="7"/>
  <c r="I121" i="14" s="1"/>
  <c r="AT120" i="7"/>
  <c r="I119" i="14" s="1"/>
  <c r="AV120" i="7"/>
  <c r="G119" i="14" s="1"/>
  <c r="AU120" i="7"/>
  <c r="F119" i="14" s="1"/>
  <c r="AS120" i="7"/>
  <c r="H119" i="14" s="1"/>
  <c r="AO119" i="7"/>
  <c r="H118" i="13" s="1"/>
  <c r="AQ119" i="7"/>
  <c r="F118" i="13" s="1"/>
  <c r="AV116" i="7"/>
  <c r="G115" i="14" s="1"/>
  <c r="AT116" i="7"/>
  <c r="I115" i="14" s="1"/>
  <c r="AU116" i="7"/>
  <c r="F115" i="14" s="1"/>
  <c r="AS116" i="7"/>
  <c r="H115" i="14" s="1"/>
  <c r="AQ111" i="7"/>
  <c r="F110" i="13" s="1"/>
  <c r="AO111" i="7"/>
  <c r="H110" i="13" s="1"/>
  <c r="AQ108" i="7"/>
  <c r="F107" i="13" s="1"/>
  <c r="AO108" i="7"/>
  <c r="H107" i="13" s="1"/>
  <c r="AV106" i="7"/>
  <c r="G105" i="14" s="1"/>
  <c r="AT106" i="7"/>
  <c r="I105" i="14" s="1"/>
  <c r="AV104" i="7"/>
  <c r="G103" i="14" s="1"/>
  <c r="AT104" i="7"/>
  <c r="I103" i="14" s="1"/>
  <c r="AP98" i="7"/>
  <c r="I97" i="13" s="1"/>
  <c r="AR98" i="7"/>
  <c r="G97" i="13" s="1"/>
  <c r="AT98" i="7"/>
  <c r="I97" i="14" s="1"/>
  <c r="AV98" i="7"/>
  <c r="G97" i="14" s="1"/>
  <c r="AT97" i="7"/>
  <c r="I96" i="14" s="1"/>
  <c r="AV97" i="7"/>
  <c r="G96" i="14" s="1"/>
  <c r="AR94" i="7"/>
  <c r="G93" i="13" s="1"/>
  <c r="AP94" i="7"/>
  <c r="I93" i="13" s="1"/>
  <c r="AT94" i="7"/>
  <c r="I93" i="14" s="1"/>
  <c r="AV94" i="7"/>
  <c r="G93" i="14" s="1"/>
  <c r="AU89" i="7"/>
  <c r="F88" i="14" s="1"/>
  <c r="AS89" i="7"/>
  <c r="H88" i="14" s="1"/>
  <c r="AT91" i="7"/>
  <c r="I90" i="14" s="1"/>
  <c r="AV91" i="7"/>
  <c r="G90" i="14" s="1"/>
  <c r="AT88" i="7"/>
  <c r="I87" i="14" s="1"/>
  <c r="AV88" i="7"/>
  <c r="G87" i="14" s="1"/>
  <c r="AU88" i="7"/>
  <c r="F87" i="14" s="1"/>
  <c r="AS88" i="7"/>
  <c r="H87" i="14" s="1"/>
  <c r="AT85" i="7"/>
  <c r="I84" i="14" s="1"/>
  <c r="AV85" i="7"/>
  <c r="G84" i="14" s="1"/>
  <c r="AQ84" i="7"/>
  <c r="F83" i="13" s="1"/>
  <c r="AO84" i="7"/>
  <c r="H83" i="13" s="1"/>
  <c r="AQ83" i="7"/>
  <c r="AO83" i="7"/>
  <c r="H82" i="13" s="1"/>
  <c r="AP84" i="7"/>
  <c r="I83" i="13" s="1"/>
  <c r="AR84" i="7"/>
  <c r="G83" i="13" s="1"/>
  <c r="AT81" i="7"/>
  <c r="I80" i="14" s="1"/>
  <c r="AV81" i="7"/>
  <c r="G80" i="14" s="1"/>
  <c r="AS80" i="7"/>
  <c r="H79" i="14" s="1"/>
  <c r="AU80" i="7"/>
  <c r="F79" i="14" s="1"/>
  <c r="AV79" i="7"/>
  <c r="G78" i="14" s="1"/>
  <c r="AT79" i="7"/>
  <c r="I78" i="14" s="1"/>
  <c r="AV77" i="7"/>
  <c r="G76" i="14" s="1"/>
  <c r="AT77" i="7"/>
  <c r="I76" i="14" s="1"/>
  <c r="AP74" i="7"/>
  <c r="I73" i="13" s="1"/>
  <c r="AR74" i="7"/>
  <c r="G73" i="13" s="1"/>
  <c r="AO74" i="7"/>
  <c r="H73" i="13" s="1"/>
  <c r="AQ74" i="7"/>
  <c r="F73" i="13" s="1"/>
  <c r="AU72" i="7"/>
  <c r="F71" i="14" s="1"/>
  <c r="AS72" i="7"/>
  <c r="H71" i="14" s="1"/>
  <c r="AR72" i="7"/>
  <c r="G71" i="13" s="1"/>
  <c r="AP72" i="7"/>
  <c r="I71" i="13" s="1"/>
  <c r="AQ71" i="7"/>
  <c r="F70" i="13" s="1"/>
  <c r="AO71" i="7"/>
  <c r="H70" i="13" s="1"/>
  <c r="AO68" i="7"/>
  <c r="H67" i="13" s="1"/>
  <c r="AQ68" i="7"/>
  <c r="F67" i="13" s="1"/>
  <c r="AP68" i="7"/>
  <c r="I67" i="13" s="1"/>
  <c r="AR68" i="7"/>
  <c r="G67" i="13" s="1"/>
  <c r="AR67" i="7"/>
  <c r="G66" i="13" s="1"/>
  <c r="AP67" i="7"/>
  <c r="I66" i="13" s="1"/>
  <c r="AR60" i="7"/>
  <c r="G59" i="13" s="1"/>
  <c r="AP60" i="7"/>
  <c r="I59" i="13" s="1"/>
  <c r="AP57" i="7"/>
  <c r="I56" i="13" s="1"/>
  <c r="AR57" i="7"/>
  <c r="G56" i="13" s="1"/>
  <c r="AV53" i="7"/>
  <c r="G52" i="14" s="1"/>
  <c r="AT53" i="7"/>
  <c r="I52" i="14" s="1"/>
  <c r="AT49" i="7"/>
  <c r="I48" i="14" s="1"/>
  <c r="AV49" i="7"/>
  <c r="G48" i="14" s="1"/>
  <c r="AR47" i="7"/>
  <c r="AP47" i="7"/>
  <c r="I46" i="13" s="1"/>
  <c r="AS45" i="7"/>
  <c r="H44" i="14" s="1"/>
  <c r="AU45" i="7"/>
  <c r="F44" i="14" s="1"/>
  <c r="AT44" i="7"/>
  <c r="I43" i="14" s="1"/>
  <c r="AV44" i="7"/>
  <c r="G43" i="14" s="1"/>
  <c r="AT42" i="7"/>
  <c r="I41" i="14" s="1"/>
  <c r="AV42" i="7"/>
  <c r="G41" i="14" s="1"/>
  <c r="AR41" i="7"/>
  <c r="AP41" i="7"/>
  <c r="I40" i="13" s="1"/>
  <c r="AU39" i="7"/>
  <c r="F38" i="14" s="1"/>
  <c r="AS39" i="7"/>
  <c r="H38" i="14" s="1"/>
  <c r="AT40" i="7"/>
  <c r="I39" i="14" s="1"/>
  <c r="AV40" i="7"/>
  <c r="G39" i="14" s="1"/>
  <c r="AR37" i="7"/>
  <c r="AP37" i="7"/>
  <c r="I36" i="13" s="1"/>
  <c r="AO38" i="7"/>
  <c r="H37" i="13" s="1"/>
  <c r="AQ38" i="7"/>
  <c r="AR36" i="7"/>
  <c r="AP36" i="7"/>
  <c r="I35" i="13" s="1"/>
  <c r="AQ35" i="7"/>
  <c r="AO35" i="7"/>
  <c r="H34" i="13" s="1"/>
  <c r="AU31" i="7"/>
  <c r="F30" i="14" s="1"/>
  <c r="AS31" i="7"/>
  <c r="H30" i="14" s="1"/>
  <c r="AR30" i="7"/>
  <c r="AP30" i="7"/>
  <c r="I29" i="13" s="1"/>
  <c r="AO27" i="7"/>
  <c r="H26" i="13" s="1"/>
  <c r="AQ27" i="7"/>
  <c r="AS28" i="7"/>
  <c r="H27" i="14" s="1"/>
  <c r="AU28" i="7"/>
  <c r="F27" i="14" s="1"/>
  <c r="AO28" i="7"/>
  <c r="H27" i="13" s="1"/>
  <c r="AQ28" i="7"/>
  <c r="AQ26" i="7"/>
  <c r="AO26" i="7"/>
  <c r="H25" i="13" s="1"/>
  <c r="AP24" i="7"/>
  <c r="I23" i="13" s="1"/>
  <c r="AR24" i="7"/>
  <c r="AR21" i="7"/>
  <c r="G20" i="13" s="1"/>
  <c r="AP21" i="7"/>
  <c r="I20" i="13" s="1"/>
  <c r="AS21" i="7"/>
  <c r="H20" i="14" s="1"/>
  <c r="AU21" i="7"/>
  <c r="F20" i="14" s="1"/>
  <c r="AP19" i="7"/>
  <c r="I18" i="13" s="1"/>
  <c r="AR19" i="7"/>
  <c r="G18" i="13" s="1"/>
  <c r="AT17" i="7"/>
  <c r="I16" i="14" s="1"/>
  <c r="AV17" i="7"/>
  <c r="G16" i="14" s="1"/>
  <c r="AU18" i="7"/>
  <c r="F17" i="14" s="1"/>
  <c r="AS18" i="7"/>
  <c r="H17" i="14" s="1"/>
  <c r="AP17" i="7"/>
  <c r="I16" i="13" s="1"/>
  <c r="AR17" i="7"/>
  <c r="G16" i="13" s="1"/>
  <c r="AR14" i="7"/>
  <c r="G13" i="13" s="1"/>
  <c r="AP14" i="7"/>
  <c r="I13" i="13" s="1"/>
  <c r="AR13" i="7"/>
  <c r="G12" i="13" s="1"/>
  <c r="AP13" i="7"/>
  <c r="I12" i="13" s="1"/>
  <c r="AQ9" i="7"/>
  <c r="F8" i="13" s="1"/>
  <c r="AO9" i="7"/>
  <c r="H8" i="13" s="1"/>
  <c r="AT7" i="7"/>
  <c r="I6" i="14" s="1"/>
  <c r="AV7" i="7"/>
  <c r="G6" i="14" s="1"/>
  <c r="AP7" i="7"/>
  <c r="I6" i="13" s="1"/>
  <c r="AR7" i="7"/>
  <c r="G6" i="13" s="1"/>
  <c r="AT5" i="7"/>
  <c r="I4" i="14" s="1"/>
  <c r="AV5" i="7"/>
  <c r="G4" i="14" s="1"/>
  <c r="AR221" i="7"/>
  <c r="G220" i="13" s="1"/>
  <c r="AP221" i="7"/>
  <c r="I220" i="13" s="1"/>
  <c r="AO226" i="7"/>
  <c r="H225" i="13" s="1"/>
  <c r="AQ226" i="7"/>
  <c r="F225" i="13" s="1"/>
  <c r="AU223" i="7"/>
  <c r="AS223" i="7"/>
  <c r="H222" i="14" s="1"/>
  <c r="AU219" i="7"/>
  <c r="F218" i="14" s="1"/>
  <c r="AS219" i="7"/>
  <c r="H218" i="14" s="1"/>
  <c r="AR212" i="7"/>
  <c r="G211" i="13" s="1"/>
  <c r="AP212" i="7"/>
  <c r="I211" i="13" s="1"/>
  <c r="AU211" i="7"/>
  <c r="F210" i="14" s="1"/>
  <c r="AS211" i="7"/>
  <c r="H210" i="14" s="1"/>
  <c r="AR209" i="7"/>
  <c r="G208" i="13" s="1"/>
  <c r="AP209" i="7"/>
  <c r="I208" i="13" s="1"/>
  <c r="AO207" i="7"/>
  <c r="H206" i="13" s="1"/>
  <c r="AQ207" i="7"/>
  <c r="F206" i="13" s="1"/>
  <c r="AT203" i="7"/>
  <c r="I202" i="14" s="1"/>
  <c r="AV203" i="7"/>
  <c r="G202" i="14" s="1"/>
  <c r="AS200" i="7"/>
  <c r="H199" i="14" s="1"/>
  <c r="AU200" i="7"/>
  <c r="F199" i="14" s="1"/>
  <c r="AQ199" i="7"/>
  <c r="F198" i="13" s="1"/>
  <c r="AO199" i="7"/>
  <c r="H198" i="13" s="1"/>
  <c r="AR196" i="7"/>
  <c r="G195" i="13" s="1"/>
  <c r="AP196" i="7"/>
  <c r="I195" i="13" s="1"/>
  <c r="AP195" i="7"/>
  <c r="I194" i="13" s="1"/>
  <c r="AR195" i="7"/>
  <c r="G194" i="13" s="1"/>
  <c r="AU191" i="7"/>
  <c r="F190" i="14" s="1"/>
  <c r="AS191" i="7"/>
  <c r="H190" i="14" s="1"/>
  <c r="AT186" i="7"/>
  <c r="I185" i="14" s="1"/>
  <c r="AV186" i="7"/>
  <c r="G185" i="14" s="1"/>
  <c r="AR186" i="7"/>
  <c r="G185" i="13" s="1"/>
  <c r="AP186" i="7"/>
  <c r="I185" i="13" s="1"/>
  <c r="AV184" i="7"/>
  <c r="G183" i="14" s="1"/>
  <c r="AT184" i="7"/>
  <c r="I183" i="14" s="1"/>
  <c r="AT182" i="7"/>
  <c r="I181" i="14" s="1"/>
  <c r="AV182" i="7"/>
  <c r="G181" i="14" s="1"/>
  <c r="AS179" i="7"/>
  <c r="H178" i="14" s="1"/>
  <c r="AU179" i="7"/>
  <c r="AT171" i="7"/>
  <c r="I170" i="14" s="1"/>
  <c r="AV171" i="7"/>
  <c r="G170" i="14" s="1"/>
  <c r="AO173" i="7"/>
  <c r="H172" i="13" s="1"/>
  <c r="AQ173" i="7"/>
  <c r="F172" i="13" s="1"/>
  <c r="AU171" i="7"/>
  <c r="F170" i="14" s="1"/>
  <c r="AS171" i="7"/>
  <c r="H170" i="14" s="1"/>
  <c r="AU173" i="7"/>
  <c r="F172" i="14" s="1"/>
  <c r="AS173" i="7"/>
  <c r="H172" i="14" s="1"/>
  <c r="AS168" i="7"/>
  <c r="H167" i="14" s="1"/>
  <c r="AU168" i="7"/>
  <c r="F167" i="14" s="1"/>
  <c r="AP169" i="7"/>
  <c r="I168" i="13" s="1"/>
  <c r="AR169" i="7"/>
  <c r="G168" i="13" s="1"/>
  <c r="AP164" i="7"/>
  <c r="I163" i="13" s="1"/>
  <c r="AR164" i="7"/>
  <c r="G163" i="13" s="1"/>
  <c r="AR161" i="7"/>
  <c r="G160" i="13" s="1"/>
  <c r="AP161" i="7"/>
  <c r="I160" i="13" s="1"/>
  <c r="AS161" i="7"/>
  <c r="H160" i="14" s="1"/>
  <c r="AU161" i="7"/>
  <c r="F160" i="14" s="1"/>
  <c r="AR158" i="7"/>
  <c r="G157" i="13" s="1"/>
  <c r="AP158" i="7"/>
  <c r="I157" i="13" s="1"/>
  <c r="AU159" i="7"/>
  <c r="F158" i="14" s="1"/>
  <c r="AS159" i="7"/>
  <c r="H158" i="14" s="1"/>
  <c r="AP157" i="7"/>
  <c r="I156" i="13" s="1"/>
  <c r="AR157" i="7"/>
  <c r="G156" i="13" s="1"/>
  <c r="AT151" i="7"/>
  <c r="I150" i="14" s="1"/>
  <c r="AV151" i="7"/>
  <c r="G150" i="14" s="1"/>
  <c r="AS147" i="7"/>
  <c r="H146" i="14" s="1"/>
  <c r="AU147" i="7"/>
  <c r="F146" i="14" s="1"/>
  <c r="AO146" i="7"/>
  <c r="H145" i="13" s="1"/>
  <c r="AQ146" i="7"/>
  <c r="F145" i="13" s="1"/>
  <c r="AU143" i="7"/>
  <c r="F142" i="14" s="1"/>
  <c r="AS143" i="7"/>
  <c r="H142" i="14" s="1"/>
  <c r="AR144" i="7"/>
  <c r="G143" i="13" s="1"/>
  <c r="AP144" i="7"/>
  <c r="I143" i="13" s="1"/>
  <c r="AR132" i="7"/>
  <c r="G131" i="13" s="1"/>
  <c r="AP132" i="7"/>
  <c r="I131" i="13" s="1"/>
  <c r="AQ131" i="7"/>
  <c r="F130" i="13" s="1"/>
  <c r="AO131" i="7"/>
  <c r="H130" i="13" s="1"/>
  <c r="AS130" i="7"/>
  <c r="H129" i="14" s="1"/>
  <c r="AU130" i="7"/>
  <c r="F129" i="14" s="1"/>
  <c r="AT128" i="7"/>
  <c r="I127" i="14" s="1"/>
  <c r="AV128" i="7"/>
  <c r="G127" i="14" s="1"/>
  <c r="AQ127" i="7"/>
  <c r="F126" i="13" s="1"/>
  <c r="AO127" i="7"/>
  <c r="H126" i="13" s="1"/>
  <c r="AU127" i="7"/>
  <c r="F126" i="14" s="1"/>
  <c r="AS127" i="7"/>
  <c r="H126" i="14" s="1"/>
  <c r="AO123" i="7"/>
  <c r="H122" i="13" s="1"/>
  <c r="AQ123" i="7"/>
  <c r="F122" i="13" s="1"/>
  <c r="AU122" i="7"/>
  <c r="AS122" i="7"/>
  <c r="H121" i="14" s="1"/>
  <c r="AO120" i="7"/>
  <c r="H119" i="13" s="1"/>
  <c r="AQ120" i="7"/>
  <c r="F119" i="13" s="1"/>
  <c r="AO121" i="7"/>
  <c r="H120" i="13" s="1"/>
  <c r="AQ121" i="7"/>
  <c r="F120" i="13" s="1"/>
  <c r="AS119" i="7"/>
  <c r="H118" i="14" s="1"/>
  <c r="AU119" i="7"/>
  <c r="AR113" i="7"/>
  <c r="G112" i="13" s="1"/>
  <c r="AP113" i="7"/>
  <c r="I112" i="13" s="1"/>
  <c r="AQ110" i="7"/>
  <c r="F109" i="13" s="1"/>
  <c r="AO110" i="7"/>
  <c r="H109" i="13" s="1"/>
  <c r="AT110" i="7"/>
  <c r="I109" i="14" s="1"/>
  <c r="AV110" i="7"/>
  <c r="G109" i="14" s="1"/>
  <c r="AT108" i="7"/>
  <c r="I107" i="14" s="1"/>
  <c r="AV108" i="7"/>
  <c r="G107" i="14" s="1"/>
  <c r="AP107" i="7"/>
  <c r="I106" i="13" s="1"/>
  <c r="AR107" i="7"/>
  <c r="G106" i="13" s="1"/>
  <c r="AQ104" i="7"/>
  <c r="F103" i="13" s="1"/>
  <c r="AO104" i="7"/>
  <c r="H103" i="13" s="1"/>
  <c r="AS103" i="7"/>
  <c r="H102" i="14" s="1"/>
  <c r="AU103" i="7"/>
  <c r="F102" i="14" s="1"/>
  <c r="AO103" i="7"/>
  <c r="H102" i="13" s="1"/>
  <c r="AQ103" i="7"/>
  <c r="F102" i="13" s="1"/>
  <c r="AO99" i="7"/>
  <c r="H98" i="13" s="1"/>
  <c r="AQ99" i="7"/>
  <c r="F98" i="13" s="1"/>
  <c r="AO95" i="7"/>
  <c r="H94" i="13" s="1"/>
  <c r="AQ95" i="7"/>
  <c r="F94" i="13" s="1"/>
  <c r="AR93" i="7"/>
  <c r="G92" i="13" s="1"/>
  <c r="AP93" i="7"/>
  <c r="I92" i="13" s="1"/>
  <c r="AO93" i="7"/>
  <c r="H92" i="13" s="1"/>
  <c r="AQ93" i="7"/>
  <c r="F92" i="13" s="1"/>
  <c r="AS90" i="7"/>
  <c r="H89" i="14" s="1"/>
  <c r="AU90" i="7"/>
  <c r="F89" i="14" s="1"/>
  <c r="AT89" i="7"/>
  <c r="I88" i="14" s="1"/>
  <c r="AV89" i="7"/>
  <c r="G88" i="14" s="1"/>
  <c r="AR89" i="7"/>
  <c r="G88" i="13" s="1"/>
  <c r="AP89" i="7"/>
  <c r="I88" i="13" s="1"/>
  <c r="AP87" i="7"/>
  <c r="I86" i="13" s="1"/>
  <c r="AR87" i="7"/>
  <c r="G86" i="13" s="1"/>
  <c r="AT86" i="7"/>
  <c r="I85" i="14" s="1"/>
  <c r="AV86" i="7"/>
  <c r="G85" i="14" s="1"/>
  <c r="AU85" i="7"/>
  <c r="F84" i="14" s="1"/>
  <c r="AS85" i="7"/>
  <c r="H84" i="14" s="1"/>
  <c r="AV84" i="7"/>
  <c r="G83" i="14" s="1"/>
  <c r="AT84" i="7"/>
  <c r="I83" i="14" s="1"/>
  <c r="AT78" i="7"/>
  <c r="I77" i="14" s="1"/>
  <c r="AV78" i="7"/>
  <c r="G77" i="14" s="1"/>
  <c r="AP79" i="7"/>
  <c r="I78" i="13" s="1"/>
  <c r="AR79" i="7"/>
  <c r="G78" i="13" s="1"/>
  <c r="AS76" i="7"/>
  <c r="H75" i="14" s="1"/>
  <c r="AU76" i="7"/>
  <c r="F75" i="14" s="1"/>
  <c r="AT76" i="7"/>
  <c r="I75" i="14" s="1"/>
  <c r="AV76" i="7"/>
  <c r="G75" i="14" s="1"/>
  <c r="AQ78" i="7"/>
  <c r="F77" i="13" s="1"/>
  <c r="AO78" i="7"/>
  <c r="H77" i="13" s="1"/>
  <c r="AS75" i="7"/>
  <c r="H74" i="14" s="1"/>
  <c r="AU75" i="7"/>
  <c r="F74" i="14" s="1"/>
  <c r="AV73" i="7"/>
  <c r="G72" i="14" s="1"/>
  <c r="AT73" i="7"/>
  <c r="I72" i="14" s="1"/>
  <c r="AU73" i="7"/>
  <c r="F72" i="14" s="1"/>
  <c r="AS73" i="7"/>
  <c r="H72" i="14" s="1"/>
  <c r="AS69" i="7"/>
  <c r="H68" i="14" s="1"/>
  <c r="AU69" i="7"/>
  <c r="F68" i="14" s="1"/>
  <c r="AR69" i="7"/>
  <c r="G68" i="13" s="1"/>
  <c r="AP69" i="7"/>
  <c r="I68" i="13" s="1"/>
  <c r="AT67" i="7"/>
  <c r="I66" i="14" s="1"/>
  <c r="AV67" i="7"/>
  <c r="G66" i="14" s="1"/>
  <c r="AT63" i="7"/>
  <c r="I62" i="14" s="1"/>
  <c r="AV63" i="7"/>
  <c r="G62" i="14" s="1"/>
  <c r="AT62" i="7"/>
  <c r="I61" i="14" s="1"/>
  <c r="AV62" i="7"/>
  <c r="G61" i="14" s="1"/>
  <c r="AQ61" i="7"/>
  <c r="F60" i="13" s="1"/>
  <c r="AO61" i="7"/>
  <c r="H60" i="13" s="1"/>
  <c r="AU61" i="7"/>
  <c r="F60" i="14" s="1"/>
  <c r="AS61" i="7"/>
  <c r="H60" i="14" s="1"/>
  <c r="AT59" i="7"/>
  <c r="I58" i="14" s="1"/>
  <c r="AV59" i="7"/>
  <c r="G58" i="14" s="1"/>
  <c r="AQ59" i="7"/>
  <c r="F58" i="13" s="1"/>
  <c r="AO59" i="7"/>
  <c r="H58" i="13" s="1"/>
  <c r="AT57" i="7"/>
  <c r="I56" i="14" s="1"/>
  <c r="AV57" i="7"/>
  <c r="G56" i="14" s="1"/>
  <c r="AO57" i="7"/>
  <c r="H56" i="13" s="1"/>
  <c r="AQ57" i="7"/>
  <c r="F56" i="13" s="1"/>
  <c r="AU56" i="7"/>
  <c r="F55" i="14" s="1"/>
  <c r="AS56" i="7"/>
  <c r="H55" i="14" s="1"/>
  <c r="AQ53" i="7"/>
  <c r="F52" i="13" s="1"/>
  <c r="AO53" i="7"/>
  <c r="H52" i="13" s="1"/>
  <c r="AT55" i="7"/>
  <c r="I54" i="14" s="1"/>
  <c r="AV55" i="7"/>
  <c r="G54" i="14" s="1"/>
  <c r="AV52" i="7"/>
  <c r="G51" i="14" s="1"/>
  <c r="AT52" i="7"/>
  <c r="I51" i="14" s="1"/>
  <c r="AV48" i="7"/>
  <c r="G47" i="14" s="1"/>
  <c r="AT48" i="7"/>
  <c r="I47" i="14" s="1"/>
  <c r="AS48" i="7"/>
  <c r="H47" i="14" s="1"/>
  <c r="AU48" i="7"/>
  <c r="F47" i="14" s="1"/>
  <c r="AV46" i="7"/>
  <c r="G45" i="14" s="1"/>
  <c r="AT46" i="7"/>
  <c r="I45" i="14" s="1"/>
  <c r="AP45" i="7"/>
  <c r="I44" i="13" s="1"/>
  <c r="AR45" i="7"/>
  <c r="AR46" i="7"/>
  <c r="AP46" i="7"/>
  <c r="I45" i="13" s="1"/>
  <c r="AO45" i="7"/>
  <c r="H44" i="13" s="1"/>
  <c r="AQ45" i="7"/>
  <c r="AR39" i="7"/>
  <c r="AP39" i="7"/>
  <c r="I38" i="13" s="1"/>
  <c r="AR38" i="7"/>
  <c r="AP38" i="7"/>
  <c r="I37" i="13" s="1"/>
  <c r="AO37" i="7"/>
  <c r="H36" i="13" s="1"/>
  <c r="AQ37" i="7"/>
  <c r="AT37" i="7"/>
  <c r="I36" i="14" s="1"/>
  <c r="AV37" i="7"/>
  <c r="G36" i="14" s="1"/>
  <c r="AQ34" i="7"/>
  <c r="AO34" i="7"/>
  <c r="H33" i="13" s="1"/>
  <c r="AS34" i="7"/>
  <c r="H33" i="14" s="1"/>
  <c r="AU34" i="7"/>
  <c r="F33" i="14" s="1"/>
  <c r="AS32" i="7"/>
  <c r="H31" i="14" s="1"/>
  <c r="AU32" i="7"/>
  <c r="F31" i="14" s="1"/>
  <c r="AP33" i="7"/>
  <c r="I32" i="13" s="1"/>
  <c r="AR33" i="7"/>
  <c r="AV32" i="7"/>
  <c r="G31" i="14" s="1"/>
  <c r="AT32" i="7"/>
  <c r="I31" i="14" s="1"/>
  <c r="AP29" i="7"/>
  <c r="I28" i="13" s="1"/>
  <c r="AR29" i="7"/>
  <c r="AP26" i="7"/>
  <c r="I25" i="13" s="1"/>
  <c r="AR26" i="7"/>
  <c r="AT23" i="7"/>
  <c r="I22" i="14" s="1"/>
  <c r="AV23" i="7"/>
  <c r="G22" i="14" s="1"/>
  <c r="AP22" i="7"/>
  <c r="I21" i="13" s="1"/>
  <c r="AR22" i="7"/>
  <c r="G21" i="13" s="1"/>
  <c r="AU22" i="7"/>
  <c r="F21" i="14" s="1"/>
  <c r="AS22" i="7"/>
  <c r="H21" i="14" s="1"/>
  <c r="AT15" i="7"/>
  <c r="I14" i="14" s="1"/>
  <c r="AV15" i="7"/>
  <c r="G14" i="14" s="1"/>
  <c r="AO12" i="7"/>
  <c r="H11" i="13" s="1"/>
  <c r="AQ12" i="7"/>
  <c r="F11" i="13" s="1"/>
  <c r="AU13" i="7"/>
  <c r="AS13" i="7"/>
  <c r="H12" i="14" s="1"/>
  <c r="AV11" i="7"/>
  <c r="G10" i="14" s="1"/>
  <c r="AT11" i="7"/>
  <c r="I10" i="14" s="1"/>
  <c r="AS7" i="7"/>
  <c r="AU7" i="7"/>
  <c r="AV10" i="7"/>
  <c r="G9" i="14" s="1"/>
  <c r="AT10" i="7"/>
  <c r="I9" i="14" s="1"/>
  <c r="AO7" i="7"/>
  <c r="H6" i="13" s="1"/>
  <c r="AQ7" i="7"/>
  <c r="F6" i="13" s="1"/>
  <c r="AO5" i="7"/>
  <c r="H4" i="13" s="1"/>
  <c r="AQ5" i="7"/>
  <c r="F4" i="13" s="1"/>
  <c r="AU224" i="7"/>
  <c r="F223" i="14" s="1"/>
  <c r="AT224" i="7"/>
  <c r="I223" i="14" s="1"/>
  <c r="AV224" i="7"/>
  <c r="G223" i="14" s="1"/>
  <c r="AP226" i="7"/>
  <c r="I225" i="13" s="1"/>
  <c r="AR226" i="7"/>
  <c r="G225" i="13" s="1"/>
  <c r="AS215" i="7"/>
  <c r="H214" i="14" s="1"/>
  <c r="AU215" i="7"/>
  <c r="F214" i="14" s="1"/>
  <c r="AT212" i="7"/>
  <c r="I211" i="14" s="1"/>
  <c r="AV212" i="7"/>
  <c r="G211" i="14" s="1"/>
  <c r="AT209" i="7"/>
  <c r="I208" i="14" s="1"/>
  <c r="AV209" i="7"/>
  <c r="G208" i="14" s="1"/>
  <c r="AU208" i="7"/>
  <c r="F207" i="14" s="1"/>
  <c r="AS208" i="7"/>
  <c r="H207" i="14" s="1"/>
  <c r="AV206" i="7"/>
  <c r="G205" i="14" s="1"/>
  <c r="AT206" i="7"/>
  <c r="I205" i="14" s="1"/>
  <c r="AQ204" i="7"/>
  <c r="F203" i="13" s="1"/>
  <c r="AO204" i="7"/>
  <c r="H203" i="13" s="1"/>
  <c r="AR203" i="7"/>
  <c r="G202" i="13" s="1"/>
  <c r="AP203" i="7"/>
  <c r="I202" i="13" s="1"/>
  <c r="AT200" i="7"/>
  <c r="I199" i="14" s="1"/>
  <c r="AV200" i="7"/>
  <c r="G199" i="14" s="1"/>
  <c r="AV201" i="7"/>
  <c r="G200" i="14" s="1"/>
  <c r="AT201" i="7"/>
  <c r="I200" i="14" s="1"/>
  <c r="AO200" i="7"/>
  <c r="H199" i="13" s="1"/>
  <c r="AQ200" i="7"/>
  <c r="F199" i="13" s="1"/>
  <c r="AS198" i="7"/>
  <c r="H197" i="14" s="1"/>
  <c r="AU198" i="7"/>
  <c r="F197" i="14" s="1"/>
  <c r="AT197" i="7"/>
  <c r="I196" i="14" s="1"/>
  <c r="AV197" i="7"/>
  <c r="G196" i="14" s="1"/>
  <c r="AR198" i="7"/>
  <c r="G197" i="13" s="1"/>
  <c r="AP198" i="7"/>
  <c r="I197" i="13" s="1"/>
  <c r="AT192" i="7"/>
  <c r="I191" i="14" s="1"/>
  <c r="AV192" i="7"/>
  <c r="G191" i="14" s="1"/>
  <c r="AQ192" i="7"/>
  <c r="F191" i="13" s="1"/>
  <c r="AO192" i="7"/>
  <c r="H191" i="13" s="1"/>
  <c r="AS189" i="7"/>
  <c r="H188" i="14" s="1"/>
  <c r="AU189" i="7"/>
  <c r="F188" i="14" s="1"/>
  <c r="AO187" i="7"/>
  <c r="H186" i="13" s="1"/>
  <c r="AQ187" i="7"/>
  <c r="F186" i="13" s="1"/>
  <c r="AT187" i="7"/>
  <c r="I186" i="14" s="1"/>
  <c r="AV187" i="7"/>
  <c r="G186" i="14" s="1"/>
  <c r="AP187" i="7"/>
  <c r="I186" i="13" s="1"/>
  <c r="AR187" i="7"/>
  <c r="G186" i="13" s="1"/>
  <c r="AQ183" i="7"/>
  <c r="F182" i="13" s="1"/>
  <c r="AO183" i="7"/>
  <c r="H182" i="13" s="1"/>
  <c r="AQ182" i="7"/>
  <c r="F181" i="13" s="1"/>
  <c r="AO182" i="7"/>
  <c r="H181" i="13" s="1"/>
  <c r="AT180" i="7"/>
  <c r="I179" i="14" s="1"/>
  <c r="AV180" i="7"/>
  <c r="G179" i="14" s="1"/>
  <c r="AT181" i="7"/>
  <c r="I180" i="14" s="1"/>
  <c r="AV181" i="7"/>
  <c r="G180" i="14" s="1"/>
  <c r="AS180" i="7"/>
  <c r="H179" i="14" s="1"/>
  <c r="AU180" i="7"/>
  <c r="F179" i="14" s="1"/>
  <c r="AU177" i="7"/>
  <c r="F176" i="14" s="1"/>
  <c r="AS177" i="7"/>
  <c r="H176" i="14" s="1"/>
  <c r="AT176" i="7"/>
  <c r="I175" i="14" s="1"/>
  <c r="AV176" i="7"/>
  <c r="G175" i="14" s="1"/>
  <c r="AS176" i="7"/>
  <c r="H175" i="14" s="1"/>
  <c r="AU176" i="7"/>
  <c r="F175" i="14" s="1"/>
  <c r="AV175" i="7"/>
  <c r="G174" i="14" s="1"/>
  <c r="AT175" i="7"/>
  <c r="I174" i="14" s="1"/>
  <c r="AR173" i="7"/>
  <c r="G172" i="13" s="1"/>
  <c r="AP173" i="7"/>
  <c r="I172" i="13" s="1"/>
  <c r="AT170" i="7"/>
  <c r="I169" i="14" s="1"/>
  <c r="AV170" i="7"/>
  <c r="G169" i="14" s="1"/>
  <c r="AR168" i="7"/>
  <c r="G167" i="13" s="1"/>
  <c r="AP168" i="7"/>
  <c r="I167" i="13" s="1"/>
  <c r="AO169" i="7"/>
  <c r="H168" i="13" s="1"/>
  <c r="AQ169" i="7"/>
  <c r="F168" i="13" s="1"/>
  <c r="AQ162" i="7"/>
  <c r="F161" i="13" s="1"/>
  <c r="AO162" i="7"/>
  <c r="H161" i="13" s="1"/>
  <c r="AO159" i="7"/>
  <c r="H158" i="13" s="1"/>
  <c r="AQ159" i="7"/>
  <c r="F158" i="13" s="1"/>
  <c r="AT160" i="7"/>
  <c r="I159" i="14" s="1"/>
  <c r="AV160" i="7"/>
  <c r="G159" i="14" s="1"/>
  <c r="AU158" i="7"/>
  <c r="F157" i="14" s="1"/>
  <c r="AS158" i="7"/>
  <c r="H157" i="14" s="1"/>
  <c r="AU156" i="7"/>
  <c r="AS156" i="7"/>
  <c r="H155" i="14" s="1"/>
  <c r="AT155" i="7"/>
  <c r="I154" i="14" s="1"/>
  <c r="AV155" i="7"/>
  <c r="G154" i="14" s="1"/>
  <c r="AT153" i="7"/>
  <c r="I152" i="14" s="1"/>
  <c r="AV153" i="7"/>
  <c r="G152" i="14" s="1"/>
  <c r="AP151" i="7"/>
  <c r="I150" i="13" s="1"/>
  <c r="AR151" i="7"/>
  <c r="G150" i="13" s="1"/>
  <c r="AO152" i="7"/>
  <c r="H151" i="13" s="1"/>
  <c r="AQ152" i="7"/>
  <c r="F151" i="13" s="1"/>
  <c r="AT150" i="7"/>
  <c r="I149" i="14" s="1"/>
  <c r="AV150" i="7"/>
  <c r="G149" i="14" s="1"/>
  <c r="AS146" i="7"/>
  <c r="H145" i="14" s="1"/>
  <c r="AU146" i="7"/>
  <c r="F145" i="14" s="1"/>
  <c r="AO145" i="7"/>
  <c r="H144" i="13" s="1"/>
  <c r="AQ145" i="7"/>
  <c r="F144" i="13" s="1"/>
  <c r="AT143" i="7"/>
  <c r="I142" i="14" s="1"/>
  <c r="AV143" i="7"/>
  <c r="G142" i="14" s="1"/>
  <c r="AT139" i="7"/>
  <c r="I138" i="14" s="1"/>
  <c r="AV139" i="7"/>
  <c r="G138" i="14" s="1"/>
  <c r="AU136" i="7"/>
  <c r="F135" i="14" s="1"/>
  <c r="AS136" i="7"/>
  <c r="H135" i="14" s="1"/>
  <c r="AT135" i="7"/>
  <c r="I134" i="14" s="1"/>
  <c r="AV135" i="7"/>
  <c r="G134" i="14" s="1"/>
  <c r="AQ137" i="7"/>
  <c r="F136" i="13" s="1"/>
  <c r="AO137" i="7"/>
  <c r="H136" i="13" s="1"/>
  <c r="AQ132" i="7"/>
  <c r="F131" i="13" s="1"/>
  <c r="AO132" i="7"/>
  <c r="H131" i="13" s="1"/>
  <c r="AO122" i="7"/>
  <c r="H121" i="13" s="1"/>
  <c r="AQ122" i="7"/>
  <c r="F121" i="13" s="1"/>
  <c r="AS112" i="7"/>
  <c r="H111" i="14" s="1"/>
  <c r="AU112" i="7"/>
  <c r="F111" i="14" s="1"/>
  <c r="AR111" i="7"/>
  <c r="G110" i="13" s="1"/>
  <c r="AP111" i="7"/>
  <c r="I110" i="13" s="1"/>
  <c r="AP109" i="7"/>
  <c r="I108" i="13" s="1"/>
  <c r="AR109" i="7"/>
  <c r="G108" i="13" s="1"/>
  <c r="AR106" i="7"/>
  <c r="G105" i="13" s="1"/>
  <c r="AP106" i="7"/>
  <c r="I105" i="13" s="1"/>
  <c r="AU105" i="7"/>
  <c r="F104" i="14" s="1"/>
  <c r="AS105" i="7"/>
  <c r="H104" i="14" s="1"/>
  <c r="AS102" i="7"/>
  <c r="H101" i="14" s="1"/>
  <c r="AU102" i="7"/>
  <c r="F101" i="14" s="1"/>
  <c r="AR99" i="7"/>
  <c r="G98" i="13" s="1"/>
  <c r="AP99" i="7"/>
  <c r="I98" i="13" s="1"/>
  <c r="AT99" i="7"/>
  <c r="I98" i="14" s="1"/>
  <c r="AV99" i="7"/>
  <c r="G98" i="14" s="1"/>
  <c r="AU92" i="7"/>
  <c r="F91" i="14" s="1"/>
  <c r="AS92" i="7"/>
  <c r="H91" i="14" s="1"/>
  <c r="AT93" i="7"/>
  <c r="I92" i="14" s="1"/>
  <c r="AV93" i="7"/>
  <c r="G92" i="14" s="1"/>
  <c r="AO91" i="7"/>
  <c r="H90" i="13" s="1"/>
  <c r="AQ91" i="7"/>
  <c r="F90" i="13" s="1"/>
  <c r="AQ90" i="7"/>
  <c r="F89" i="13" s="1"/>
  <c r="AO90" i="7"/>
  <c r="H89" i="13" s="1"/>
  <c r="AP88" i="7"/>
  <c r="I87" i="13" s="1"/>
  <c r="AR88" i="7"/>
  <c r="G87" i="13" s="1"/>
  <c r="AQ85" i="7"/>
  <c r="F84" i="13" s="1"/>
  <c r="AO85" i="7"/>
  <c r="H84" i="13" s="1"/>
  <c r="AP82" i="7"/>
  <c r="I81" i="13" s="1"/>
  <c r="AR82" i="7"/>
  <c r="G81" i="13" s="1"/>
  <c r="AQ80" i="7"/>
  <c r="F79" i="13" s="1"/>
  <c r="AO80" i="7"/>
  <c r="H79" i="13" s="1"/>
  <c r="AO73" i="7"/>
  <c r="H72" i="13" s="1"/>
  <c r="AQ73" i="7"/>
  <c r="F72" i="13" s="1"/>
  <c r="AU70" i="7"/>
  <c r="F69" i="14" s="1"/>
  <c r="AS70" i="7"/>
  <c r="H69" i="14" s="1"/>
  <c r="AT68" i="7"/>
  <c r="I67" i="14" s="1"/>
  <c r="AV68" i="7"/>
  <c r="G67" i="14" s="1"/>
  <c r="AQ67" i="7"/>
  <c r="F66" i="13" s="1"/>
  <c r="AO67" i="7"/>
  <c r="H66" i="13" s="1"/>
  <c r="AV66" i="7"/>
  <c r="G65" i="14" s="1"/>
  <c r="AT66" i="7"/>
  <c r="I65" i="14" s="1"/>
  <c r="AP65" i="7"/>
  <c r="I64" i="13" s="1"/>
  <c r="AR65" i="7"/>
  <c r="G64" i="13" s="1"/>
  <c r="AQ66" i="7"/>
  <c r="F65" i="13" s="1"/>
  <c r="AO66" i="7"/>
  <c r="H65" i="13" s="1"/>
  <c r="AR63" i="7"/>
  <c r="G62" i="13" s="1"/>
  <c r="AP63" i="7"/>
  <c r="I62" i="13" s="1"/>
  <c r="AU58" i="7"/>
  <c r="F57" i="14" s="1"/>
  <c r="AS58" i="7"/>
  <c r="H57" i="14" s="1"/>
  <c r="AS57" i="7"/>
  <c r="H56" i="14" s="1"/>
  <c r="AU57" i="7"/>
  <c r="F56" i="14" s="1"/>
  <c r="AP54" i="7"/>
  <c r="I53" i="13" s="1"/>
  <c r="AR54" i="7"/>
  <c r="G53" i="13" s="1"/>
  <c r="AP56" i="7"/>
  <c r="I55" i="13" s="1"/>
  <c r="AR56" i="7"/>
  <c r="G55" i="13" s="1"/>
  <c r="AR48" i="7"/>
  <c r="AP48" i="7"/>
  <c r="I47" i="13" s="1"/>
  <c r="AO46" i="7"/>
  <c r="H45" i="13" s="1"/>
  <c r="AQ46" i="7"/>
  <c r="AT47" i="7"/>
  <c r="I46" i="14" s="1"/>
  <c r="AV47" i="7"/>
  <c r="G46" i="14" s="1"/>
  <c r="AS42" i="7"/>
  <c r="H41" i="14" s="1"/>
  <c r="AU42" i="7"/>
  <c r="F41" i="14" s="1"/>
  <c r="AT41" i="7"/>
  <c r="I40" i="14" s="1"/>
  <c r="AV41" i="7"/>
  <c r="G40" i="14" s="1"/>
  <c r="AR40" i="7"/>
  <c r="AP40" i="7"/>
  <c r="I39" i="13" s="1"/>
  <c r="AU40" i="7"/>
  <c r="F39" i="14" s="1"/>
  <c r="AS40" i="7"/>
  <c r="H39" i="14" s="1"/>
  <c r="AU36" i="7"/>
  <c r="F35" i="14" s="1"/>
  <c r="AS36" i="7"/>
  <c r="H35" i="14" s="1"/>
  <c r="AV33" i="7"/>
  <c r="G32" i="14" s="1"/>
  <c r="AT33" i="7"/>
  <c r="I32" i="14" s="1"/>
  <c r="AQ31" i="7"/>
  <c r="AO31" i="7"/>
  <c r="H30" i="13" s="1"/>
  <c r="AR31" i="7"/>
  <c r="AP31" i="7"/>
  <c r="I30" i="13" s="1"/>
  <c r="AV22" i="7"/>
  <c r="G21" i="14" s="1"/>
  <c r="AT22" i="7"/>
  <c r="I21" i="14" s="1"/>
  <c r="AS20" i="7"/>
  <c r="H19" i="14" s="1"/>
  <c r="AU20" i="7"/>
  <c r="F19" i="14" s="1"/>
  <c r="AQ20" i="7"/>
  <c r="F19" i="13" s="1"/>
  <c r="AO20" i="7"/>
  <c r="H19" i="13" s="1"/>
  <c r="AO17" i="7"/>
  <c r="H16" i="13" s="1"/>
  <c r="AQ17" i="7"/>
  <c r="F16" i="13" s="1"/>
  <c r="AV16" i="7"/>
  <c r="G15" i="14" s="1"/>
  <c r="AT16" i="7"/>
  <c r="I15" i="14" s="1"/>
  <c r="AU12" i="7"/>
  <c r="F11" i="14" s="1"/>
  <c r="AS12" i="7"/>
  <c r="H11" i="14" s="1"/>
  <c r="AP10" i="7"/>
  <c r="I9" i="13" s="1"/>
  <c r="AR10" i="7"/>
  <c r="G9" i="13" s="1"/>
  <c r="AO8" i="7"/>
  <c r="H7" i="13" s="1"/>
  <c r="AQ8" i="7"/>
  <c r="F7" i="13" s="1"/>
  <c r="AS5" i="7"/>
  <c r="H4" i="14" s="1"/>
  <c r="AU5" i="7"/>
  <c r="F4" i="14" s="1"/>
  <c r="AS6" i="7"/>
  <c r="H5" i="14" s="1"/>
  <c r="AU6" i="7"/>
  <c r="F5" i="14" s="1"/>
  <c r="AP225" i="7"/>
  <c r="I224" i="13" s="1"/>
  <c r="AR225" i="7"/>
  <c r="G224" i="13" s="1"/>
  <c r="AO219" i="7"/>
  <c r="H218" i="13" s="1"/>
  <c r="AQ219" i="7"/>
  <c r="AT226" i="7"/>
  <c r="I225" i="14" s="1"/>
  <c r="AV226" i="7"/>
  <c r="G225" i="14" s="1"/>
  <c r="AU217" i="7"/>
  <c r="F216" i="14" s="1"/>
  <c r="AS217" i="7"/>
  <c r="H216" i="14" s="1"/>
  <c r="AR215" i="7"/>
  <c r="G214" i="13" s="1"/>
  <c r="AP215" i="7"/>
  <c r="I214" i="13" s="1"/>
  <c r="AO211" i="7"/>
  <c r="H210" i="13" s="1"/>
  <c r="AQ211" i="7"/>
  <c r="F210" i="13" s="1"/>
  <c r="AR207" i="7"/>
  <c r="G206" i="13" s="1"/>
  <c r="AP207" i="7"/>
  <c r="I206" i="13" s="1"/>
  <c r="AT205" i="7"/>
  <c r="I204" i="14" s="1"/>
  <c r="AV205" i="7"/>
  <c r="G204" i="14" s="1"/>
  <c r="AO205" i="7"/>
  <c r="H204" i="13" s="1"/>
  <c r="AQ205" i="7"/>
  <c r="F204" i="13" s="1"/>
  <c r="AS204" i="7"/>
  <c r="H203" i="14" s="1"/>
  <c r="AU204" i="7"/>
  <c r="F203" i="14" s="1"/>
  <c r="AP200" i="7"/>
  <c r="I199" i="13" s="1"/>
  <c r="AR200" i="7"/>
  <c r="G199" i="13" s="1"/>
  <c r="AR197" i="7"/>
  <c r="G196" i="13" s="1"/>
  <c r="AP197" i="7"/>
  <c r="I196" i="13" s="1"/>
  <c r="AT194" i="7"/>
  <c r="I193" i="14" s="1"/>
  <c r="AV194" i="7"/>
  <c r="G193" i="14" s="1"/>
  <c r="AT191" i="7"/>
  <c r="I190" i="14" s="1"/>
  <c r="AV191" i="7"/>
  <c r="G190" i="14" s="1"/>
  <c r="AT193" i="7"/>
  <c r="I192" i="14" s="1"/>
  <c r="AV193" i="7"/>
  <c r="G192" i="14" s="1"/>
  <c r="AT190" i="7"/>
  <c r="I189" i="14" s="1"/>
  <c r="AV190" i="7"/>
  <c r="G189" i="14" s="1"/>
  <c r="AT188" i="7"/>
  <c r="I187" i="14" s="1"/>
  <c r="AV188" i="7"/>
  <c r="G187" i="14" s="1"/>
  <c r="AO186" i="7"/>
  <c r="H185" i="13" s="1"/>
  <c r="AQ186" i="7"/>
  <c r="F185" i="13" s="1"/>
  <c r="AQ184" i="7"/>
  <c r="F183" i="13" s="1"/>
  <c r="AO184" i="7"/>
  <c r="H183" i="13" s="1"/>
  <c r="AR182" i="7"/>
  <c r="G181" i="13" s="1"/>
  <c r="AP182" i="7"/>
  <c r="I181" i="13" s="1"/>
  <c r="AO180" i="7"/>
  <c r="H179" i="13" s="1"/>
  <c r="AQ180" i="7"/>
  <c r="F179" i="13" s="1"/>
  <c r="AT177" i="7"/>
  <c r="I176" i="14" s="1"/>
  <c r="AV177" i="7"/>
  <c r="G176" i="14" s="1"/>
  <c r="AO176" i="7"/>
  <c r="H175" i="13" s="1"/>
  <c r="AQ176" i="7"/>
  <c r="F175" i="13" s="1"/>
  <c r="AO174" i="7"/>
  <c r="H173" i="13" s="1"/>
  <c r="AQ174" i="7"/>
  <c r="AT173" i="7"/>
  <c r="I172" i="14" s="1"/>
  <c r="AV173" i="7"/>
  <c r="G172" i="14" s="1"/>
  <c r="AS166" i="7"/>
  <c r="H165" i="14" s="1"/>
  <c r="AU166" i="7"/>
  <c r="F165" i="14" s="1"/>
  <c r="AS165" i="7"/>
  <c r="H164" i="14" s="1"/>
  <c r="AU165" i="7"/>
  <c r="F164" i="14" s="1"/>
  <c r="AQ163" i="7"/>
  <c r="F162" i="13" s="1"/>
  <c r="AO163" i="7"/>
  <c r="H162" i="13" s="1"/>
  <c r="AQ161" i="7"/>
  <c r="AO161" i="7"/>
  <c r="H160" i="13" s="1"/>
  <c r="AV158" i="7"/>
  <c r="G157" i="14" s="1"/>
  <c r="AT158" i="7"/>
  <c r="I157" i="14" s="1"/>
  <c r="AO157" i="7"/>
  <c r="H156" i="13" s="1"/>
  <c r="AQ157" i="7"/>
  <c r="F156" i="13" s="1"/>
  <c r="AO155" i="7"/>
  <c r="H154" i="13" s="1"/>
  <c r="AQ155" i="7"/>
  <c r="AQ151" i="7"/>
  <c r="F150" i="13" s="1"/>
  <c r="AO151" i="7"/>
  <c r="H150" i="13" s="1"/>
  <c r="AU150" i="7"/>
  <c r="F149" i="14" s="1"/>
  <c r="AS150" i="7"/>
  <c r="H149" i="14" s="1"/>
  <c r="AT147" i="7"/>
  <c r="I146" i="14" s="1"/>
  <c r="AV147" i="7"/>
  <c r="G146" i="14" s="1"/>
  <c r="AR146" i="7"/>
  <c r="G145" i="13" s="1"/>
  <c r="AP146" i="7"/>
  <c r="I145" i="13" s="1"/>
  <c r="AR148" i="7"/>
  <c r="G147" i="13" s="1"/>
  <c r="AP148" i="7"/>
  <c r="I147" i="13" s="1"/>
  <c r="AR145" i="7"/>
  <c r="G144" i="13" s="1"/>
  <c r="AP145" i="7"/>
  <c r="I144" i="13" s="1"/>
  <c r="AT145" i="7"/>
  <c r="I144" i="14" s="1"/>
  <c r="AV145" i="7"/>
  <c r="G144" i="14" s="1"/>
  <c r="AQ142" i="7"/>
  <c r="F141" i="13" s="1"/>
  <c r="AO142" i="7"/>
  <c r="H141" i="13" s="1"/>
  <c r="AR142" i="7"/>
  <c r="G141" i="13" s="1"/>
  <c r="AP142" i="7"/>
  <c r="I141" i="13" s="1"/>
  <c r="AP139" i="7"/>
  <c r="I138" i="13" s="1"/>
  <c r="AR139" i="7"/>
  <c r="G138" i="13" s="1"/>
  <c r="AP138" i="7"/>
  <c r="I137" i="13" s="1"/>
  <c r="AR138" i="7"/>
  <c r="G137" i="13" s="1"/>
  <c r="AV136" i="7"/>
  <c r="G135" i="14" s="1"/>
  <c r="AT136" i="7"/>
  <c r="I135" i="14" s="1"/>
  <c r="AS132" i="7"/>
  <c r="H131" i="14" s="1"/>
  <c r="AU132" i="7"/>
  <c r="F131" i="14" s="1"/>
  <c r="AQ134" i="7"/>
  <c r="F133" i="13" s="1"/>
  <c r="AO134" i="7"/>
  <c r="H133" i="13" s="1"/>
  <c r="AV131" i="7"/>
  <c r="G130" i="14" s="1"/>
  <c r="AT131" i="7"/>
  <c r="I130" i="14" s="1"/>
  <c r="AT130" i="7"/>
  <c r="I129" i="14" s="1"/>
  <c r="AV130" i="7"/>
  <c r="G129" i="14" s="1"/>
  <c r="AS131" i="7"/>
  <c r="H130" i="14" s="1"/>
  <c r="AU131" i="7"/>
  <c r="F130" i="14" s="1"/>
  <c r="AP126" i="7"/>
  <c r="I125" i="13" s="1"/>
  <c r="AR126" i="7"/>
  <c r="G125" i="13" s="1"/>
  <c r="AR127" i="7"/>
  <c r="G126" i="13" s="1"/>
  <c r="AP127" i="7"/>
  <c r="I126" i="13" s="1"/>
  <c r="AQ125" i="7"/>
  <c r="F124" i="13" s="1"/>
  <c r="AO125" i="7"/>
  <c r="H124" i="13" s="1"/>
  <c r="AP122" i="7"/>
  <c r="I121" i="13" s="1"/>
  <c r="AR122" i="7"/>
  <c r="G121" i="13" s="1"/>
  <c r="AU121" i="7"/>
  <c r="F120" i="14" s="1"/>
  <c r="AS121" i="7"/>
  <c r="H120" i="14" s="1"/>
  <c r="AQ118" i="7"/>
  <c r="F117" i="13" s="1"/>
  <c r="AO118" i="7"/>
  <c r="H117" i="13" s="1"/>
  <c r="AQ117" i="7"/>
  <c r="F116" i="13" s="1"/>
  <c r="AO117" i="7"/>
  <c r="H116" i="13" s="1"/>
  <c r="AO115" i="7"/>
  <c r="H114" i="13" s="1"/>
  <c r="AQ115" i="7"/>
  <c r="F114" i="13" s="1"/>
  <c r="AU114" i="7"/>
  <c r="AS114" i="7"/>
  <c r="H113" i="14" s="1"/>
  <c r="AU110" i="7"/>
  <c r="AS110" i="7"/>
  <c r="H109" i="14" s="1"/>
  <c r="AQ109" i="7"/>
  <c r="F108" i="13" s="1"/>
  <c r="AO109" i="7"/>
  <c r="H108" i="13" s="1"/>
  <c r="AV109" i="7"/>
  <c r="G108" i="14" s="1"/>
  <c r="AT109" i="7"/>
  <c r="I108" i="14" s="1"/>
  <c r="AT105" i="7"/>
  <c r="I104" i="14" s="1"/>
  <c r="AV105" i="7"/>
  <c r="G104" i="14" s="1"/>
  <c r="AO101" i="7"/>
  <c r="H100" i="13" s="1"/>
  <c r="AQ101" i="7"/>
  <c r="F100" i="13" s="1"/>
  <c r="AT102" i="7"/>
  <c r="I101" i="14" s="1"/>
  <c r="AV102" i="7"/>
  <c r="G101" i="14" s="1"/>
  <c r="AT96" i="7"/>
  <c r="I95" i="14" s="1"/>
  <c r="AV96" i="7"/>
  <c r="G95" i="14" s="1"/>
  <c r="AS87" i="7"/>
  <c r="H86" i="14" s="1"/>
  <c r="AU87" i="7"/>
  <c r="F86" i="14" s="1"/>
  <c r="AQ87" i="7"/>
  <c r="F86" i="13" s="1"/>
  <c r="AO87" i="7"/>
  <c r="H86" i="13" s="1"/>
  <c r="AR85" i="7"/>
  <c r="G84" i="13" s="1"/>
  <c r="AP85" i="7"/>
  <c r="I84" i="13" s="1"/>
  <c r="AU83" i="7"/>
  <c r="F82" i="14" s="1"/>
  <c r="AS83" i="7"/>
  <c r="H82" i="14" s="1"/>
  <c r="AU82" i="7"/>
  <c r="F81" i="14" s="1"/>
  <c r="AS82" i="7"/>
  <c r="H81" i="14" s="1"/>
  <c r="AQ81" i="7"/>
  <c r="F80" i="13" s="1"/>
  <c r="AO81" i="7"/>
  <c r="H80" i="13" s="1"/>
  <c r="AU81" i="7"/>
  <c r="AS81" i="7"/>
  <c r="H80" i="14" s="1"/>
  <c r="AO79" i="7"/>
  <c r="H78" i="13" s="1"/>
  <c r="AQ79" i="7"/>
  <c r="F78" i="13" s="1"/>
  <c r="AR77" i="7"/>
  <c r="G76" i="13" s="1"/>
  <c r="AP77" i="7"/>
  <c r="I76" i="13" s="1"/>
  <c r="AP75" i="7"/>
  <c r="I74" i="13" s="1"/>
  <c r="AR75" i="7"/>
  <c r="G74" i="13" s="1"/>
  <c r="AV74" i="7"/>
  <c r="G73" i="14" s="1"/>
  <c r="AT74" i="7"/>
  <c r="I73" i="14" s="1"/>
  <c r="AO69" i="7"/>
  <c r="H68" i="13" s="1"/>
  <c r="AQ69" i="7"/>
  <c r="F68" i="13" s="1"/>
  <c r="AU68" i="7"/>
  <c r="F67" i="14" s="1"/>
  <c r="AS68" i="7"/>
  <c r="H67" i="14" s="1"/>
  <c r="AR66" i="7"/>
  <c r="G65" i="13" s="1"/>
  <c r="AP66" i="7"/>
  <c r="I65" i="13" s="1"/>
  <c r="AO62" i="7"/>
  <c r="H61" i="13" s="1"/>
  <c r="AQ62" i="7"/>
  <c r="F61" i="13" s="1"/>
  <c r="AT58" i="7"/>
  <c r="I57" i="14" s="1"/>
  <c r="AV58" i="7"/>
  <c r="G57" i="14" s="1"/>
  <c r="AP58" i="7"/>
  <c r="I57" i="13" s="1"/>
  <c r="AR58" i="7"/>
  <c r="G57" i="13" s="1"/>
  <c r="AQ55" i="7"/>
  <c r="F54" i="13" s="1"/>
  <c r="AO55" i="7"/>
  <c r="H54" i="13" s="1"/>
  <c r="AQ56" i="7"/>
  <c r="AO56" i="7"/>
  <c r="H55" i="13" s="1"/>
  <c r="AQ54" i="7"/>
  <c r="F53" i="13" s="1"/>
  <c r="AO54" i="7"/>
  <c r="H53" i="13" s="1"/>
  <c r="AS54" i="7"/>
  <c r="H53" i="14" s="1"/>
  <c r="AU54" i="7"/>
  <c r="F53" i="14" s="1"/>
  <c r="AU52" i="7"/>
  <c r="F51" i="14" s="1"/>
  <c r="AS52" i="7"/>
  <c r="H51" i="14" s="1"/>
  <c r="AT51" i="7"/>
  <c r="I50" i="14" s="1"/>
  <c r="AV51" i="7"/>
  <c r="G50" i="14" s="1"/>
  <c r="AP50" i="7"/>
  <c r="I49" i="13" s="1"/>
  <c r="AR50" i="7"/>
  <c r="G49" i="13" s="1"/>
  <c r="AU46" i="7"/>
  <c r="F45" i="14" s="1"/>
  <c r="AS46" i="7"/>
  <c r="H45" i="14" s="1"/>
  <c r="AT45" i="7"/>
  <c r="I44" i="14" s="1"/>
  <c r="AV45" i="7"/>
  <c r="G44" i="14" s="1"/>
  <c r="AQ47" i="7"/>
  <c r="AO47" i="7"/>
  <c r="H46" i="13" s="1"/>
  <c r="AO43" i="7"/>
  <c r="H42" i="13" s="1"/>
  <c r="AQ43" i="7"/>
  <c r="AS44" i="7"/>
  <c r="H43" i="14" s="1"/>
  <c r="AU44" i="7"/>
  <c r="F43" i="14" s="1"/>
  <c r="AS41" i="7"/>
  <c r="H40" i="14" s="1"/>
  <c r="AU41" i="7"/>
  <c r="F40" i="14" s="1"/>
  <c r="AR42" i="7"/>
  <c r="AP42" i="7"/>
  <c r="I41" i="13" s="1"/>
  <c r="AS35" i="7"/>
  <c r="H34" i="14" s="1"/>
  <c r="AU35" i="7"/>
  <c r="F34" i="14" s="1"/>
  <c r="J34" i="14" s="1"/>
  <c r="AP34" i="7"/>
  <c r="I33" i="13" s="1"/>
  <c r="AR34" i="7"/>
  <c r="AV29" i="7"/>
  <c r="G28" i="14" s="1"/>
  <c r="AT29" i="7"/>
  <c r="I28" i="14" s="1"/>
  <c r="AV30" i="7"/>
  <c r="G29" i="14" s="1"/>
  <c r="AT30" i="7"/>
  <c r="I29" i="14" s="1"/>
  <c r="AR27" i="7"/>
  <c r="AP27" i="7"/>
  <c r="I26" i="13" s="1"/>
  <c r="AR25" i="7"/>
  <c r="G24" i="13" s="1"/>
  <c r="AP25" i="7"/>
  <c r="I24" i="13" s="1"/>
  <c r="AV24" i="7"/>
  <c r="G23" i="14" s="1"/>
  <c r="AT24" i="7"/>
  <c r="I23" i="14" s="1"/>
  <c r="AQ23" i="7"/>
  <c r="F22" i="13" s="1"/>
  <c r="AO23" i="7"/>
  <c r="H22" i="13" s="1"/>
  <c r="AO21" i="7"/>
  <c r="H20" i="13" s="1"/>
  <c r="AQ21" i="7"/>
  <c r="F20" i="13" s="1"/>
  <c r="AV19" i="7"/>
  <c r="G18" i="14" s="1"/>
  <c r="AT19" i="7"/>
  <c r="I18" i="14" s="1"/>
  <c r="AV18" i="7"/>
  <c r="G17" i="14" s="1"/>
  <c r="AT18" i="7"/>
  <c r="I17" i="14" s="1"/>
  <c r="AO16" i="7"/>
  <c r="H15" i="13" s="1"/>
  <c r="AQ16" i="7"/>
  <c r="F15" i="13" s="1"/>
  <c r="AU11" i="7"/>
  <c r="F10" i="14" s="1"/>
  <c r="AS11" i="7"/>
  <c r="H10" i="14" s="1"/>
  <c r="AT8" i="7"/>
  <c r="I7" i="14" s="1"/>
  <c r="AV8" i="7"/>
  <c r="G7" i="14" s="1"/>
  <c r="AT6" i="7"/>
  <c r="I5" i="14" s="1"/>
  <c r="AV6" i="7"/>
  <c r="G5" i="14" s="1"/>
  <c r="AP6" i="7"/>
  <c r="I5" i="13" s="1"/>
  <c r="AR6" i="7"/>
  <c r="G5" i="13" s="1"/>
  <c r="AP5" i="7"/>
  <c r="I4" i="13" s="1"/>
  <c r="AR5" i="7"/>
  <c r="G4" i="13" s="1"/>
  <c r="AP224" i="7"/>
  <c r="I223" i="13" s="1"/>
  <c r="AV221" i="7"/>
  <c r="G220" i="14" s="1"/>
  <c r="AT221" i="7"/>
  <c r="I220" i="14" s="1"/>
  <c r="AQ222" i="7"/>
  <c r="F221" i="13" s="1"/>
  <c r="AO222" i="7"/>
  <c r="H221" i="13" s="1"/>
  <c r="AR223" i="7"/>
  <c r="G222" i="13" s="1"/>
  <c r="AP223" i="7"/>
  <c r="I222" i="13" s="1"/>
  <c r="AS221" i="7"/>
  <c r="H220" i="14" s="1"/>
  <c r="AU221" i="7"/>
  <c r="F220" i="14" s="1"/>
  <c r="AS220" i="7"/>
  <c r="H219" i="14" s="1"/>
  <c r="AU220" i="7"/>
  <c r="F219" i="14" s="1"/>
  <c r="AV218" i="7"/>
  <c r="G217" i="14" s="1"/>
  <c r="AT218" i="7"/>
  <c r="I217" i="14" s="1"/>
  <c r="AS218" i="7"/>
  <c r="H217" i="14" s="1"/>
  <c r="AU218" i="7"/>
  <c r="F217" i="14" s="1"/>
  <c r="AQ213" i="7"/>
  <c r="AO213" i="7"/>
  <c r="H212" i="13" s="1"/>
  <c r="AR210" i="7"/>
  <c r="G209" i="13" s="1"/>
  <c r="AP210" i="7"/>
  <c r="I209" i="13" s="1"/>
  <c r="AU212" i="7"/>
  <c r="F211" i="14" s="1"/>
  <c r="AS212" i="7"/>
  <c r="H211" i="14" s="1"/>
  <c r="AS209" i="7"/>
  <c r="H208" i="14" s="1"/>
  <c r="AU209" i="7"/>
  <c r="AU207" i="7"/>
  <c r="F206" i="14" s="1"/>
  <c r="AS207" i="7"/>
  <c r="H206" i="14" s="1"/>
  <c r="AT208" i="7"/>
  <c r="I207" i="14" s="1"/>
  <c r="AV208" i="7"/>
  <c r="G207" i="14" s="1"/>
  <c r="AU206" i="7"/>
  <c r="F205" i="14" s="1"/>
  <c r="AS206" i="7"/>
  <c r="H205" i="14" s="1"/>
  <c r="AS205" i="7"/>
  <c r="H204" i="14" s="1"/>
  <c r="AU205" i="7"/>
  <c r="F204" i="14" s="1"/>
  <c r="AR205" i="7"/>
  <c r="G204" i="13" s="1"/>
  <c r="AP205" i="7"/>
  <c r="I204" i="13" s="1"/>
  <c r="AT202" i="7"/>
  <c r="I201" i="14" s="1"/>
  <c r="AV202" i="7"/>
  <c r="G201" i="14" s="1"/>
  <c r="AQ201" i="7"/>
  <c r="AO201" i="7"/>
  <c r="H200" i="13" s="1"/>
  <c r="AU196" i="7"/>
  <c r="F195" i="14" s="1"/>
  <c r="AS196" i="7"/>
  <c r="H195" i="14" s="1"/>
  <c r="AO198" i="7"/>
  <c r="H197" i="13" s="1"/>
  <c r="AQ198" i="7"/>
  <c r="F197" i="13" s="1"/>
  <c r="AO195" i="7"/>
  <c r="H194" i="13" s="1"/>
  <c r="AQ195" i="7"/>
  <c r="F194" i="13" s="1"/>
  <c r="AR194" i="7"/>
  <c r="G193" i="13" s="1"/>
  <c r="AP194" i="7"/>
  <c r="I193" i="13" s="1"/>
  <c r="AU192" i="7"/>
  <c r="AS192" i="7"/>
  <c r="H191" i="14" s="1"/>
  <c r="AQ190" i="7"/>
  <c r="F189" i="13" s="1"/>
  <c r="AO190" i="7"/>
  <c r="H189" i="13" s="1"/>
  <c r="AP183" i="7"/>
  <c r="I182" i="13" s="1"/>
  <c r="AR183" i="7"/>
  <c r="G182" i="13" s="1"/>
  <c r="AQ181" i="7"/>
  <c r="F180" i="13" s="1"/>
  <c r="AO181" i="7"/>
  <c r="H180" i="13" s="1"/>
  <c r="AO179" i="7"/>
  <c r="H178" i="13" s="1"/>
  <c r="AQ179" i="7"/>
  <c r="F178" i="13" s="1"/>
  <c r="AR179" i="7"/>
  <c r="G178" i="13" s="1"/>
  <c r="AP179" i="7"/>
  <c r="I178" i="13" s="1"/>
  <c r="AQ178" i="7"/>
  <c r="F177" i="13" s="1"/>
  <c r="AO178" i="7"/>
  <c r="H177" i="13" s="1"/>
  <c r="AO171" i="7"/>
  <c r="H170" i="13" s="1"/>
  <c r="AQ171" i="7"/>
  <c r="F170" i="13" s="1"/>
  <c r="AQ172" i="7"/>
  <c r="F171" i="13" s="1"/>
  <c r="AO172" i="7"/>
  <c r="H171" i="13" s="1"/>
  <c r="AR167" i="7"/>
  <c r="G166" i="13" s="1"/>
  <c r="AP167" i="7"/>
  <c r="I166" i="13" s="1"/>
  <c r="AT165" i="7"/>
  <c r="I164" i="14" s="1"/>
  <c r="AV165" i="7"/>
  <c r="G164" i="14" s="1"/>
  <c r="AR162" i="7"/>
  <c r="G161" i="13" s="1"/>
  <c r="AP162" i="7"/>
  <c r="I161" i="13" s="1"/>
  <c r="AT161" i="7"/>
  <c r="I160" i="14" s="1"/>
  <c r="AV161" i="7"/>
  <c r="G160" i="14" s="1"/>
  <c r="AO160" i="7"/>
  <c r="H159" i="13" s="1"/>
  <c r="AQ160" i="7"/>
  <c r="AS155" i="7"/>
  <c r="H154" i="14" s="1"/>
  <c r="AU155" i="7"/>
  <c r="AR152" i="7"/>
  <c r="G151" i="13" s="1"/>
  <c r="AP152" i="7"/>
  <c r="I151" i="13" s="1"/>
  <c r="AP150" i="7"/>
  <c r="I149" i="13" s="1"/>
  <c r="AR150" i="7"/>
  <c r="G149" i="13" s="1"/>
  <c r="AT144" i="7"/>
  <c r="I143" i="14" s="1"/>
  <c r="AV144" i="7"/>
  <c r="G143" i="14" s="1"/>
  <c r="AT141" i="7"/>
  <c r="I140" i="14" s="1"/>
  <c r="AV141" i="7"/>
  <c r="G140" i="14" s="1"/>
  <c r="AR136" i="7"/>
  <c r="G135" i="13" s="1"/>
  <c r="AP136" i="7"/>
  <c r="I135" i="13" s="1"/>
  <c r="AS138" i="7"/>
  <c r="H137" i="14" s="1"/>
  <c r="AU138" i="7"/>
  <c r="F137" i="14" s="1"/>
  <c r="AR134" i="7"/>
  <c r="G133" i="13" s="1"/>
  <c r="AP134" i="7"/>
  <c r="I133" i="13" s="1"/>
  <c r="AT133" i="7"/>
  <c r="I132" i="14" s="1"/>
  <c r="AV133" i="7"/>
  <c r="G132" i="14" s="1"/>
  <c r="AP131" i="7"/>
  <c r="I130" i="13" s="1"/>
  <c r="AR131" i="7"/>
  <c r="G130" i="13" s="1"/>
  <c r="AQ126" i="7"/>
  <c r="AO126" i="7"/>
  <c r="H125" i="13" s="1"/>
  <c r="AT125" i="7"/>
  <c r="I124" i="14" s="1"/>
  <c r="AV125" i="7"/>
  <c r="G124" i="14" s="1"/>
  <c r="AT123" i="7"/>
  <c r="I122" i="14" s="1"/>
  <c r="AV123" i="7"/>
  <c r="G122" i="14" s="1"/>
  <c r="AU117" i="7"/>
  <c r="F116" i="14" s="1"/>
  <c r="AS117" i="7"/>
  <c r="H116" i="14" s="1"/>
  <c r="AV117" i="7"/>
  <c r="G116" i="14" s="1"/>
  <c r="AT117" i="7"/>
  <c r="I116" i="14" s="1"/>
  <c r="AP115" i="7"/>
  <c r="I114" i="13" s="1"/>
  <c r="AR115" i="7"/>
  <c r="G114" i="13" s="1"/>
  <c r="AT112" i="7"/>
  <c r="I111" i="14" s="1"/>
  <c r="AV112" i="7"/>
  <c r="G111" i="14" s="1"/>
  <c r="AV113" i="7"/>
  <c r="G112" i="14" s="1"/>
  <c r="AT113" i="7"/>
  <c r="I112" i="14" s="1"/>
  <c r="AR112" i="7"/>
  <c r="G111" i="13" s="1"/>
  <c r="AP112" i="7"/>
  <c r="I111" i="13" s="1"/>
  <c r="AR110" i="7"/>
  <c r="G109" i="13" s="1"/>
  <c r="AP110" i="7"/>
  <c r="I109" i="13" s="1"/>
  <c r="AO107" i="7"/>
  <c r="H106" i="13" s="1"/>
  <c r="AQ107" i="7"/>
  <c r="F106" i="13" s="1"/>
  <c r="AU106" i="7"/>
  <c r="F105" i="14" s="1"/>
  <c r="AS106" i="7"/>
  <c r="H105" i="14" s="1"/>
  <c r="AR105" i="7"/>
  <c r="G104" i="13" s="1"/>
  <c r="AP105" i="7"/>
  <c r="I104" i="13" s="1"/>
  <c r="AP101" i="7"/>
  <c r="I100" i="13" s="1"/>
  <c r="AR101" i="7"/>
  <c r="G100" i="13" s="1"/>
  <c r="AP102" i="7"/>
  <c r="I101" i="13" s="1"/>
  <c r="AR102" i="7"/>
  <c r="G101" i="13" s="1"/>
  <c r="AU104" i="7"/>
  <c r="F103" i="14" s="1"/>
  <c r="AS104" i="7"/>
  <c r="H103" i="14" s="1"/>
  <c r="AQ100" i="7"/>
  <c r="F99" i="13" s="1"/>
  <c r="AO100" i="7"/>
  <c r="H99" i="13" s="1"/>
  <c r="AO98" i="7"/>
  <c r="H97" i="13" s="1"/>
  <c r="AQ98" i="7"/>
  <c r="F97" i="13" s="1"/>
  <c r="AU98" i="7"/>
  <c r="F97" i="14" s="1"/>
  <c r="AS98" i="7"/>
  <c r="H97" i="14" s="1"/>
  <c r="AP95" i="7"/>
  <c r="I94" i="13" s="1"/>
  <c r="AR95" i="7"/>
  <c r="G94" i="13" s="1"/>
  <c r="AV95" i="7"/>
  <c r="G94" i="14" s="1"/>
  <c r="AT95" i="7"/>
  <c r="I94" i="14" s="1"/>
  <c r="AR92" i="7"/>
  <c r="G91" i="13" s="1"/>
  <c r="AP92" i="7"/>
  <c r="I91" i="13" s="1"/>
  <c r="AR90" i="7"/>
  <c r="G89" i="13" s="1"/>
  <c r="AP90" i="7"/>
  <c r="I89" i="13" s="1"/>
  <c r="AP91" i="7"/>
  <c r="I90" i="13" s="1"/>
  <c r="AR91" i="7"/>
  <c r="G90" i="13" s="1"/>
  <c r="AO82" i="7"/>
  <c r="H81" i="13" s="1"/>
  <c r="AQ82" i="7"/>
  <c r="AR78" i="7"/>
  <c r="G77" i="13" s="1"/>
  <c r="AP78" i="7"/>
  <c r="I77" i="13" s="1"/>
  <c r="AQ75" i="7"/>
  <c r="F74" i="13" s="1"/>
  <c r="AO75" i="7"/>
  <c r="H74" i="13" s="1"/>
  <c r="AU71" i="7"/>
  <c r="F70" i="14" s="1"/>
  <c r="AS71" i="7"/>
  <c r="H70" i="14" s="1"/>
  <c r="AP70" i="7"/>
  <c r="I69" i="13" s="1"/>
  <c r="AR70" i="7"/>
  <c r="G69" i="13" s="1"/>
  <c r="AU66" i="7"/>
  <c r="F65" i="14" s="1"/>
  <c r="AS66" i="7"/>
  <c r="H65" i="14" s="1"/>
  <c r="AO65" i="7"/>
  <c r="H64" i="13" s="1"/>
  <c r="AQ65" i="7"/>
  <c r="F64" i="13" s="1"/>
  <c r="AP64" i="7"/>
  <c r="I63" i="13" s="1"/>
  <c r="AR64" i="7"/>
  <c r="G63" i="13" s="1"/>
  <c r="AP62" i="7"/>
  <c r="I61" i="13" s="1"/>
  <c r="AR62" i="7"/>
  <c r="G61" i="13" s="1"/>
  <c r="AO63" i="7"/>
  <c r="H62" i="13" s="1"/>
  <c r="AQ63" i="7"/>
  <c r="F62" i="13" s="1"/>
  <c r="AR59" i="7"/>
  <c r="G58" i="13" s="1"/>
  <c r="AP59" i="7"/>
  <c r="I58" i="13" s="1"/>
  <c r="AO58" i="7"/>
  <c r="H57" i="13" s="1"/>
  <c r="AQ58" i="7"/>
  <c r="F57" i="13" s="1"/>
  <c r="AP55" i="7"/>
  <c r="I54" i="13" s="1"/>
  <c r="AR55" i="7"/>
  <c r="G54" i="13" s="1"/>
  <c r="AS55" i="7"/>
  <c r="H54" i="14" s="1"/>
  <c r="AU55" i="7"/>
  <c r="F54" i="14" s="1"/>
  <c r="AS53" i="7"/>
  <c r="H52" i="14" s="1"/>
  <c r="AU53" i="7"/>
  <c r="F52" i="14" s="1"/>
  <c r="AQ52" i="7"/>
  <c r="F51" i="13" s="1"/>
  <c r="AO52" i="7"/>
  <c r="H51" i="13" s="1"/>
  <c r="AR51" i="7"/>
  <c r="G50" i="13" s="1"/>
  <c r="AP51" i="7"/>
  <c r="I50" i="13" s="1"/>
  <c r="AT50" i="7"/>
  <c r="I49" i="14" s="1"/>
  <c r="AV50" i="7"/>
  <c r="G49" i="14" s="1"/>
  <c r="AQ49" i="7"/>
  <c r="AO49" i="7"/>
  <c r="H48" i="13" s="1"/>
  <c r="AU49" i="7"/>
  <c r="F48" i="14" s="1"/>
  <c r="AS49" i="7"/>
  <c r="H48" i="14" s="1"/>
  <c r="AQ48" i="7"/>
  <c r="AO48" i="7"/>
  <c r="H47" i="13" s="1"/>
  <c r="AP44" i="7"/>
  <c r="I43" i="13" s="1"/>
  <c r="AR44" i="7"/>
  <c r="AV43" i="7"/>
  <c r="G42" i="14" s="1"/>
  <c r="AT43" i="7"/>
  <c r="I42" i="14" s="1"/>
  <c r="AQ41" i="7"/>
  <c r="AO41" i="7"/>
  <c r="H40" i="13" s="1"/>
  <c r="AT39" i="7"/>
  <c r="I38" i="14" s="1"/>
  <c r="AV39" i="7"/>
  <c r="G38" i="14" s="1"/>
  <c r="AQ33" i="7"/>
  <c r="AO33" i="7"/>
  <c r="H32" i="13" s="1"/>
  <c r="AU29" i="7"/>
  <c r="F28" i="14" s="1"/>
  <c r="AS29" i="7"/>
  <c r="H28" i="14" s="1"/>
  <c r="AT26" i="7"/>
  <c r="I25" i="14" s="1"/>
  <c r="AV26" i="7"/>
  <c r="G25" i="14" s="1"/>
  <c r="AP18" i="7"/>
  <c r="I17" i="13" s="1"/>
  <c r="AR18" i="7"/>
  <c r="G17" i="13" s="1"/>
  <c r="AO13" i="7"/>
  <c r="H12" i="13" s="1"/>
  <c r="AQ13" i="7"/>
  <c r="F12" i="13" s="1"/>
  <c r="AR11" i="7"/>
  <c r="G10" i="13" s="1"/>
  <c r="AP11" i="7"/>
  <c r="I10" i="13" s="1"/>
  <c r="AP12" i="7"/>
  <c r="I11" i="13" s="1"/>
  <c r="AR12" i="7"/>
  <c r="G11" i="13" s="1"/>
  <c r="AU14" i="7"/>
  <c r="F13" i="14" s="1"/>
  <c r="AS14" i="7"/>
  <c r="H13" i="14" s="1"/>
  <c r="AO10" i="7"/>
  <c r="H9" i="13" s="1"/>
  <c r="AQ10" i="7"/>
  <c r="F9" i="13" s="1"/>
  <c r="AS9" i="7"/>
  <c r="H8" i="14" s="1"/>
  <c r="AU9" i="7"/>
  <c r="F8" i="14" s="1"/>
  <c r="AT9" i="7"/>
  <c r="I8" i="14" s="1"/>
  <c r="AV9" i="7"/>
  <c r="G8" i="14" s="1"/>
  <c r="AU8" i="7"/>
  <c r="AS8" i="7"/>
  <c r="H7" i="14" s="1"/>
  <c r="AQ223" i="7"/>
  <c r="F222" i="13" s="1"/>
  <c r="AO223" i="7"/>
  <c r="H222" i="13" s="1"/>
  <c r="AS222" i="7"/>
  <c r="H221" i="14" s="1"/>
  <c r="AU222" i="7"/>
  <c r="AR217" i="7"/>
  <c r="G216" i="13" s="1"/>
  <c r="AP217" i="7"/>
  <c r="I216" i="13" s="1"/>
  <c r="AR214" i="7"/>
  <c r="G213" i="13" s="1"/>
  <c r="AP214" i="7"/>
  <c r="I213" i="13" s="1"/>
  <c r="AO214" i="7"/>
  <c r="H213" i="13" s="1"/>
  <c r="AQ214" i="7"/>
  <c r="F213" i="13" s="1"/>
  <c r="AQ212" i="7"/>
  <c r="F211" i="13" s="1"/>
  <c r="AO212" i="7"/>
  <c r="H211" i="13" s="1"/>
  <c r="AT211" i="7"/>
  <c r="I210" i="14" s="1"/>
  <c r="AV211" i="7"/>
  <c r="G210" i="14" s="1"/>
  <c r="AR208" i="7"/>
  <c r="G207" i="13" s="1"/>
  <c r="AP208" i="7"/>
  <c r="I207" i="13" s="1"/>
  <c r="AR204" i="7"/>
  <c r="G203" i="13" s="1"/>
  <c r="AP204" i="7"/>
  <c r="I203" i="13" s="1"/>
  <c r="AO203" i="7"/>
  <c r="H202" i="13" s="1"/>
  <c r="AQ203" i="7"/>
  <c r="AS202" i="7"/>
  <c r="H201" i="14" s="1"/>
  <c r="AU202" i="7"/>
  <c r="F201" i="14" s="1"/>
  <c r="AQ197" i="7"/>
  <c r="F196" i="13" s="1"/>
  <c r="AO197" i="7"/>
  <c r="H196" i="13" s="1"/>
  <c r="AT198" i="7"/>
  <c r="I197" i="14" s="1"/>
  <c r="AV198" i="7"/>
  <c r="G197" i="14" s="1"/>
  <c r="AS195" i="7"/>
  <c r="H194" i="14" s="1"/>
  <c r="AU195" i="7"/>
  <c r="AO194" i="7"/>
  <c r="H193" i="13" s="1"/>
  <c r="AQ194" i="7"/>
  <c r="AP191" i="7"/>
  <c r="I190" i="13" s="1"/>
  <c r="AR191" i="7"/>
  <c r="G190" i="13" s="1"/>
  <c r="AS190" i="7"/>
  <c r="H189" i="14" s="1"/>
  <c r="AU190" i="7"/>
  <c r="F189" i="14" s="1"/>
  <c r="AS188" i="7"/>
  <c r="H187" i="14" s="1"/>
  <c r="AU188" i="7"/>
  <c r="F187" i="14" s="1"/>
  <c r="AS186" i="7"/>
  <c r="H185" i="14" s="1"/>
  <c r="AU186" i="7"/>
  <c r="AR180" i="7"/>
  <c r="G179" i="13" s="1"/>
  <c r="AP180" i="7"/>
  <c r="I179" i="13" s="1"/>
  <c r="AO177" i="7"/>
  <c r="H176" i="13" s="1"/>
  <c r="AQ177" i="7"/>
  <c r="F176" i="13" s="1"/>
  <c r="AR177" i="7"/>
  <c r="G176" i="13" s="1"/>
  <c r="AP177" i="7"/>
  <c r="I176" i="13" s="1"/>
  <c r="AO175" i="7"/>
  <c r="H174" i="13" s="1"/>
  <c r="AQ175" i="7"/>
  <c r="F174" i="13" s="1"/>
  <c r="AR175" i="7"/>
  <c r="G174" i="13" s="1"/>
  <c r="AP175" i="7"/>
  <c r="I174" i="13" s="1"/>
  <c r="AR172" i="7"/>
  <c r="G171" i="13" s="1"/>
  <c r="AP172" i="7"/>
  <c r="I171" i="13" s="1"/>
  <c r="AP171" i="7"/>
  <c r="I170" i="13" s="1"/>
  <c r="AR171" i="7"/>
  <c r="G170" i="13" s="1"/>
  <c r="AQ170" i="7"/>
  <c r="F169" i="13" s="1"/>
  <c r="AO170" i="7"/>
  <c r="H169" i="13" s="1"/>
  <c r="AU170" i="7"/>
  <c r="AS170" i="7"/>
  <c r="H169" i="14" s="1"/>
  <c r="AS167" i="7"/>
  <c r="H166" i="14" s="1"/>
  <c r="AU167" i="7"/>
  <c r="AO167" i="7"/>
  <c r="H166" i="13" s="1"/>
  <c r="AQ167" i="7"/>
  <c r="F166" i="13" s="1"/>
  <c r="AT168" i="7"/>
  <c r="I167" i="14" s="1"/>
  <c r="AV168" i="7"/>
  <c r="G167" i="14" s="1"/>
  <c r="AT163" i="7"/>
  <c r="I162" i="14" s="1"/>
  <c r="AV163" i="7"/>
  <c r="G162" i="14" s="1"/>
  <c r="AR165" i="7"/>
  <c r="G164" i="13" s="1"/>
  <c r="AP165" i="7"/>
  <c r="I164" i="13" s="1"/>
  <c r="AS160" i="7"/>
  <c r="H159" i="14" s="1"/>
  <c r="AU160" i="7"/>
  <c r="AR159" i="7"/>
  <c r="G158" i="13" s="1"/>
  <c r="AP159" i="7"/>
  <c r="I158" i="13" s="1"/>
  <c r="AV157" i="7"/>
  <c r="G156" i="14" s="1"/>
  <c r="AT157" i="7"/>
  <c r="I156" i="14" s="1"/>
  <c r="AQ154" i="7"/>
  <c r="F153" i="13" s="1"/>
  <c r="AO154" i="7"/>
  <c r="H153" i="13" s="1"/>
  <c r="AP154" i="7"/>
  <c r="I153" i="13" s="1"/>
  <c r="AR154" i="7"/>
  <c r="G153" i="13" s="1"/>
  <c r="AS152" i="7"/>
  <c r="H151" i="14" s="1"/>
  <c r="AU152" i="7"/>
  <c r="F151" i="14" s="1"/>
  <c r="AT152" i="7"/>
  <c r="I151" i="14" s="1"/>
  <c r="AV152" i="7"/>
  <c r="G151" i="14" s="1"/>
  <c r="AO149" i="7"/>
  <c r="H148" i="13" s="1"/>
  <c r="AQ149" i="7"/>
  <c r="F148" i="13" s="1"/>
  <c r="AP149" i="7"/>
  <c r="I148" i="13" s="1"/>
  <c r="AR149" i="7"/>
  <c r="G148" i="13" s="1"/>
  <c r="AS148" i="7"/>
  <c r="H147" i="14" s="1"/>
  <c r="AU148" i="7"/>
  <c r="AR140" i="7"/>
  <c r="G139" i="13" s="1"/>
  <c r="AP140" i="7"/>
  <c r="I139" i="13" s="1"/>
  <c r="AQ136" i="7"/>
  <c r="F135" i="13" s="1"/>
  <c r="AO136" i="7"/>
  <c r="H135" i="13" s="1"/>
  <c r="AQ138" i="7"/>
  <c r="AO138" i="7"/>
  <c r="H137" i="13" s="1"/>
  <c r="AR135" i="7"/>
  <c r="G134" i="13" s="1"/>
  <c r="AP135" i="7"/>
  <c r="I134" i="13" s="1"/>
  <c r="AR129" i="7"/>
  <c r="G128" i="13" s="1"/>
  <c r="AP129" i="7"/>
  <c r="I128" i="13" s="1"/>
  <c r="AS128" i="7"/>
  <c r="H127" i="14" s="1"/>
  <c r="AU128" i="7"/>
  <c r="F127" i="14" s="1"/>
  <c r="AS129" i="7"/>
  <c r="H128" i="14" s="1"/>
  <c r="AU129" i="7"/>
  <c r="F128" i="14" s="1"/>
  <c r="J128" i="14" s="1"/>
  <c r="AS125" i="7"/>
  <c r="H124" i="14" s="1"/>
  <c r="AU125" i="7"/>
  <c r="F124" i="14" s="1"/>
  <c r="AP121" i="7"/>
  <c r="I120" i="13" s="1"/>
  <c r="AR121" i="7"/>
  <c r="G120" i="13" s="1"/>
  <c r="AT121" i="7"/>
  <c r="I120" i="14" s="1"/>
  <c r="AV121" i="7"/>
  <c r="G120" i="14" s="1"/>
  <c r="AP118" i="7"/>
  <c r="I117" i="13" s="1"/>
  <c r="AR118" i="7"/>
  <c r="G117" i="13" s="1"/>
  <c r="AQ116" i="7"/>
  <c r="F115" i="13" s="1"/>
  <c r="AO116" i="7"/>
  <c r="H115" i="13" s="1"/>
  <c r="AR116" i="7"/>
  <c r="G115" i="13" s="1"/>
  <c r="AP116" i="7"/>
  <c r="I115" i="13" s="1"/>
  <c r="AO114" i="7"/>
  <c r="H113" i="13" s="1"/>
  <c r="AQ114" i="7"/>
  <c r="AQ112" i="7"/>
  <c r="F111" i="13" s="1"/>
  <c r="AO112" i="7"/>
  <c r="H111" i="13" s="1"/>
  <c r="AS111" i="7"/>
  <c r="H110" i="14" s="1"/>
  <c r="AU111" i="7"/>
  <c r="F110" i="14" s="1"/>
  <c r="AS108" i="7"/>
  <c r="H107" i="14" s="1"/>
  <c r="AU108" i="7"/>
  <c r="F107" i="14" s="1"/>
  <c r="AT107" i="7"/>
  <c r="I106" i="14" s="1"/>
  <c r="AV107" i="7"/>
  <c r="G106" i="14" s="1"/>
  <c r="AQ105" i="7"/>
  <c r="F104" i="13" s="1"/>
  <c r="AO105" i="7"/>
  <c r="H104" i="13" s="1"/>
  <c r="AT103" i="7"/>
  <c r="I102" i="14" s="1"/>
  <c r="AV103" i="7"/>
  <c r="G102" i="14" s="1"/>
  <c r="AT100" i="7"/>
  <c r="I99" i="14" s="1"/>
  <c r="AV100" i="7"/>
  <c r="G99" i="14" s="1"/>
  <c r="AV101" i="7"/>
  <c r="G100" i="14" s="1"/>
  <c r="AT101" i="7"/>
  <c r="I100" i="14" s="1"/>
  <c r="AS101" i="7"/>
  <c r="H100" i="14" s="1"/>
  <c r="AU101" i="7"/>
  <c r="F100" i="14" s="1"/>
  <c r="AR100" i="7"/>
  <c r="G99" i="13" s="1"/>
  <c r="AP100" i="7"/>
  <c r="I99" i="13" s="1"/>
  <c r="AS100" i="7"/>
  <c r="H99" i="14" s="1"/>
  <c r="AU100" i="7"/>
  <c r="F99" i="14" s="1"/>
  <c r="AU97" i="7"/>
  <c r="F96" i="14" s="1"/>
  <c r="AS97" i="7"/>
  <c r="H96" i="14" s="1"/>
  <c r="AQ96" i="7"/>
  <c r="AO96" i="7"/>
  <c r="H95" i="13" s="1"/>
  <c r="AS96" i="7"/>
  <c r="H95" i="14" s="1"/>
  <c r="AU96" i="7"/>
  <c r="F95" i="14" s="1"/>
  <c r="AV90" i="7"/>
  <c r="G89" i="14" s="1"/>
  <c r="AT90" i="7"/>
  <c r="I89" i="14" s="1"/>
  <c r="AO88" i="7"/>
  <c r="H87" i="13" s="1"/>
  <c r="AQ88" i="7"/>
  <c r="F87" i="13" s="1"/>
  <c r="AS86" i="7"/>
  <c r="H85" i="14" s="1"/>
  <c r="AU86" i="7"/>
  <c r="F85" i="14" s="1"/>
  <c r="AV82" i="7"/>
  <c r="G81" i="14" s="1"/>
  <c r="AT82" i="7"/>
  <c r="I81" i="14" s="1"/>
  <c r="AU84" i="7"/>
  <c r="AS84" i="7"/>
  <c r="H83" i="14" s="1"/>
  <c r="AT80" i="7"/>
  <c r="I79" i="14" s="1"/>
  <c r="AV80" i="7"/>
  <c r="G79" i="14" s="1"/>
  <c r="AP81" i="7"/>
  <c r="I80" i="13" s="1"/>
  <c r="AR81" i="7"/>
  <c r="G80" i="13" s="1"/>
  <c r="AU79" i="7"/>
  <c r="F78" i="14" s="1"/>
  <c r="AS79" i="7"/>
  <c r="H78" i="14" s="1"/>
  <c r="AQ76" i="7"/>
  <c r="F75" i="13" s="1"/>
  <c r="AO76" i="7"/>
  <c r="H75" i="13" s="1"/>
  <c r="AP73" i="7"/>
  <c r="I72" i="13" s="1"/>
  <c r="AR73" i="7"/>
  <c r="G72" i="13" s="1"/>
  <c r="AV72" i="7"/>
  <c r="G71" i="14" s="1"/>
  <c r="AT72" i="7"/>
  <c r="I71" i="14" s="1"/>
  <c r="AU67" i="7"/>
  <c r="F66" i="14" s="1"/>
  <c r="AS67" i="7"/>
  <c r="H66" i="14" s="1"/>
  <c r="AT65" i="7"/>
  <c r="I64" i="14" s="1"/>
  <c r="AV65" i="7"/>
  <c r="G64" i="14" s="1"/>
  <c r="AS62" i="7"/>
  <c r="H61" i="14" s="1"/>
  <c r="AU62" i="7"/>
  <c r="F61" i="14" s="1"/>
  <c r="AS63" i="7"/>
  <c r="H62" i="14" s="1"/>
  <c r="AU63" i="7"/>
  <c r="AT61" i="7"/>
  <c r="I60" i="14" s="1"/>
  <c r="AV61" i="7"/>
  <c r="G60" i="14" s="1"/>
  <c r="AS59" i="7"/>
  <c r="H58" i="14" s="1"/>
  <c r="AU59" i="7"/>
  <c r="F58" i="14" s="1"/>
  <c r="AT56" i="7"/>
  <c r="I55" i="14" s="1"/>
  <c r="AV56" i="7"/>
  <c r="G55" i="14" s="1"/>
  <c r="AO50" i="7"/>
  <c r="H49" i="13" s="1"/>
  <c r="AQ50" i="7"/>
  <c r="F49" i="13" s="1"/>
  <c r="AP49" i="7"/>
  <c r="I48" i="13" s="1"/>
  <c r="AR49" i="7"/>
  <c r="AQ44" i="7"/>
  <c r="AO44" i="7"/>
  <c r="H43" i="13" s="1"/>
  <c r="AQ42" i="7"/>
  <c r="AO42" i="7"/>
  <c r="H41" i="13" s="1"/>
  <c r="AS37" i="7"/>
  <c r="H36" i="14" s="1"/>
  <c r="AU37" i="7"/>
  <c r="F36" i="14" s="1"/>
  <c r="AV36" i="7"/>
  <c r="G35" i="14" s="1"/>
  <c r="AT36" i="7"/>
  <c r="I35" i="14" s="1"/>
  <c r="AQ32" i="7"/>
  <c r="AO32" i="7"/>
  <c r="H31" i="13" s="1"/>
  <c r="AV31" i="7"/>
  <c r="G30" i="14" s="1"/>
  <c r="AT31" i="7"/>
  <c r="I30" i="14" s="1"/>
  <c r="AO30" i="7"/>
  <c r="H29" i="13" s="1"/>
  <c r="AQ30" i="7"/>
  <c r="AU26" i="7"/>
  <c r="F25" i="14" s="1"/>
  <c r="AS26" i="7"/>
  <c r="H25" i="14" s="1"/>
  <c r="AU24" i="7"/>
  <c r="F23" i="14" s="1"/>
  <c r="AS24" i="7"/>
  <c r="H23" i="14" s="1"/>
  <c r="AO24" i="7"/>
  <c r="H23" i="13" s="1"/>
  <c r="AQ24" i="7"/>
  <c r="F23" i="13" s="1"/>
  <c r="AR23" i="7"/>
  <c r="G22" i="13" s="1"/>
  <c r="AP23" i="7"/>
  <c r="I22" i="13" s="1"/>
  <c r="AT21" i="7"/>
  <c r="I20" i="14" s="1"/>
  <c r="AV21" i="7"/>
  <c r="G20" i="14" s="1"/>
  <c r="AQ18" i="7"/>
  <c r="F17" i="13" s="1"/>
  <c r="AO18" i="7"/>
  <c r="H17" i="13" s="1"/>
  <c r="AU19" i="7"/>
  <c r="F18" i="14" s="1"/>
  <c r="AS19" i="7"/>
  <c r="H18" i="14" s="1"/>
  <c r="AS17" i="7"/>
  <c r="H16" i="14" s="1"/>
  <c r="AU17" i="7"/>
  <c r="F16" i="14" s="1"/>
  <c r="AR16" i="7"/>
  <c r="G15" i="13" s="1"/>
  <c r="AP16" i="7"/>
  <c r="I15" i="13" s="1"/>
  <c r="AU15" i="7"/>
  <c r="F14" i="14" s="1"/>
  <c r="AS15" i="7"/>
  <c r="H14" i="14" s="1"/>
  <c r="AP15" i="7"/>
  <c r="I14" i="13" s="1"/>
  <c r="AR15" i="7"/>
  <c r="G14" i="13" s="1"/>
  <c r="AO15" i="7"/>
  <c r="H14" i="13" s="1"/>
  <c r="AQ15" i="7"/>
  <c r="F14" i="13" s="1"/>
  <c r="AQ14" i="7"/>
  <c r="AO14" i="7"/>
  <c r="H13" i="13" s="1"/>
  <c r="AT12" i="7"/>
  <c r="I11" i="14" s="1"/>
  <c r="AV12" i="7"/>
  <c r="G11" i="14" s="1"/>
  <c r="AQ11" i="7"/>
  <c r="F10" i="13" s="1"/>
  <c r="AO11" i="7"/>
  <c r="H10" i="13" s="1"/>
  <c r="AS10" i="7"/>
  <c r="H9" i="14" s="1"/>
  <c r="AU10" i="7"/>
  <c r="AO6" i="7"/>
  <c r="H5" i="13" s="1"/>
  <c r="AQ6" i="7"/>
  <c r="F5" i="13" s="1"/>
  <c r="AP220" i="7"/>
  <c r="I219" i="13" s="1"/>
  <c r="AR220" i="7"/>
  <c r="G219" i="13" s="1"/>
  <c r="AS226" i="7"/>
  <c r="H225" i="14" s="1"/>
  <c r="AU226" i="7"/>
  <c r="AQ220" i="7"/>
  <c r="F219" i="13" s="1"/>
  <c r="AO220" i="7"/>
  <c r="H219" i="13" s="1"/>
  <c r="AV216" i="7"/>
  <c r="G215" i="14" s="1"/>
  <c r="AT216" i="7"/>
  <c r="I215" i="14" s="1"/>
  <c r="AU216" i="7"/>
  <c r="F215" i="14" s="1"/>
  <c r="AS216" i="7"/>
  <c r="H215" i="14" s="1"/>
  <c r="AT214" i="7"/>
  <c r="I213" i="14" s="1"/>
  <c r="AV214" i="7"/>
  <c r="G213" i="14" s="1"/>
  <c r="AS214" i="7"/>
  <c r="H213" i="14" s="1"/>
  <c r="AU214" i="7"/>
  <c r="F213" i="14" s="1"/>
  <c r="AT213" i="7"/>
  <c r="I212" i="14" s="1"/>
  <c r="AV213" i="7"/>
  <c r="G212" i="14" s="1"/>
  <c r="AT204" i="7"/>
  <c r="I203" i="14" s="1"/>
  <c r="AV204" i="7"/>
  <c r="G203" i="14" s="1"/>
  <c r="AP199" i="7"/>
  <c r="I198" i="13" s="1"/>
  <c r="AR199" i="7"/>
  <c r="G198" i="13" s="1"/>
  <c r="AU197" i="7"/>
  <c r="F196" i="14" s="1"/>
  <c r="AS197" i="7"/>
  <c r="H196" i="14" s="1"/>
  <c r="AQ196" i="7"/>
  <c r="F195" i="13" s="1"/>
  <c r="AO196" i="7"/>
  <c r="H195" i="13" s="1"/>
  <c r="AS194" i="7"/>
  <c r="H193" i="14" s="1"/>
  <c r="AU194" i="7"/>
  <c r="F193" i="14" s="1"/>
  <c r="AR192" i="7"/>
  <c r="G191" i="13" s="1"/>
  <c r="AP192" i="7"/>
  <c r="I191" i="13" s="1"/>
  <c r="AU193" i="7"/>
  <c r="AS193" i="7"/>
  <c r="H192" i="14" s="1"/>
  <c r="AP190" i="7"/>
  <c r="I189" i="13" s="1"/>
  <c r="AR190" i="7"/>
  <c r="G189" i="13" s="1"/>
  <c r="AO188" i="7"/>
  <c r="H187" i="13" s="1"/>
  <c r="AQ188" i="7"/>
  <c r="AO189" i="7"/>
  <c r="H188" i="13" s="1"/>
  <c r="AQ189" i="7"/>
  <c r="F188" i="13" s="1"/>
  <c r="AR185" i="7"/>
  <c r="G184" i="13" s="1"/>
  <c r="AP185" i="7"/>
  <c r="I184" i="13" s="1"/>
  <c r="AS184" i="7"/>
  <c r="H183" i="14" s="1"/>
  <c r="AU184" i="7"/>
  <c r="F183" i="14" s="1"/>
  <c r="AR178" i="7"/>
  <c r="G177" i="13" s="1"/>
  <c r="AP178" i="7"/>
  <c r="I177" i="13" s="1"/>
  <c r="AS174" i="7"/>
  <c r="H173" i="14" s="1"/>
  <c r="AU174" i="7"/>
  <c r="F173" i="14" s="1"/>
  <c r="AS169" i="7"/>
  <c r="H168" i="14" s="1"/>
  <c r="AU169" i="7"/>
  <c r="F168" i="14" s="1"/>
  <c r="AT169" i="7"/>
  <c r="I168" i="14" s="1"/>
  <c r="AV169" i="7"/>
  <c r="G168" i="14" s="1"/>
  <c r="AR166" i="7"/>
  <c r="G165" i="13" s="1"/>
  <c r="AP166" i="7"/>
  <c r="I165" i="13" s="1"/>
  <c r="AT166" i="7"/>
  <c r="I165" i="14" s="1"/>
  <c r="AV166" i="7"/>
  <c r="G165" i="14" s="1"/>
  <c r="AO165" i="7"/>
  <c r="H164" i="13" s="1"/>
  <c r="AQ165" i="7"/>
  <c r="F164" i="13" s="1"/>
  <c r="AV164" i="7"/>
  <c r="G163" i="14" s="1"/>
  <c r="AT164" i="7"/>
  <c r="I163" i="14" s="1"/>
  <c r="AO158" i="7"/>
  <c r="H157" i="13" s="1"/>
  <c r="AQ158" i="7"/>
  <c r="F157" i="13" s="1"/>
  <c r="AO156" i="7"/>
  <c r="H155" i="13" s="1"/>
  <c r="AQ156" i="7"/>
  <c r="AU154" i="7"/>
  <c r="F153" i="14" s="1"/>
  <c r="AS154" i="7"/>
  <c r="H153" i="14" s="1"/>
  <c r="AT154" i="7"/>
  <c r="I153" i="14" s="1"/>
  <c r="AV154" i="7"/>
  <c r="G153" i="14" s="1"/>
  <c r="AO153" i="7"/>
  <c r="H152" i="13" s="1"/>
  <c r="AQ153" i="7"/>
  <c r="AO150" i="7"/>
  <c r="H149" i="13" s="1"/>
  <c r="AQ150" i="7"/>
  <c r="F149" i="13" s="1"/>
  <c r="AU149" i="7"/>
  <c r="F148" i="14" s="1"/>
  <c r="J148" i="14" s="1"/>
  <c r="AS149" i="7"/>
  <c r="H148" i="14" s="1"/>
  <c r="AQ147" i="7"/>
  <c r="F146" i="13" s="1"/>
  <c r="AO147" i="7"/>
  <c r="H146" i="13" s="1"/>
  <c r="AQ144" i="7"/>
  <c r="AO144" i="7"/>
  <c r="H143" i="13" s="1"/>
  <c r="AO143" i="7"/>
  <c r="H142" i="13" s="1"/>
  <c r="AQ143" i="7"/>
  <c r="AQ140" i="7"/>
  <c r="F139" i="13" s="1"/>
  <c r="AO140" i="7"/>
  <c r="H139" i="13" s="1"/>
  <c r="AR141" i="7"/>
  <c r="G140" i="13" s="1"/>
  <c r="AP141" i="7"/>
  <c r="I140" i="13" s="1"/>
  <c r="AQ139" i="7"/>
  <c r="AO139" i="7"/>
  <c r="H138" i="13" s="1"/>
  <c r="AR137" i="7"/>
  <c r="G136" i="13" s="1"/>
  <c r="AP137" i="7"/>
  <c r="I136" i="13" s="1"/>
  <c r="AV138" i="7"/>
  <c r="G137" i="14" s="1"/>
  <c r="AT138" i="7"/>
  <c r="I137" i="14" s="1"/>
  <c r="AT137" i="7"/>
  <c r="I136" i="14" s="1"/>
  <c r="AV137" i="7"/>
  <c r="G136" i="14" s="1"/>
  <c r="AV134" i="7"/>
  <c r="G133" i="14" s="1"/>
  <c r="AT134" i="7"/>
  <c r="I133" i="14" s="1"/>
  <c r="AR133" i="7"/>
  <c r="G132" i="13" s="1"/>
  <c r="AP133" i="7"/>
  <c r="I132" i="13" s="1"/>
  <c r="AQ129" i="7"/>
  <c r="F128" i="13" s="1"/>
  <c r="AO129" i="7"/>
  <c r="H128" i="13" s="1"/>
  <c r="AP125" i="7"/>
  <c r="I124" i="13" s="1"/>
  <c r="AR125" i="7"/>
  <c r="G124" i="13" s="1"/>
  <c r="AU124" i="7"/>
  <c r="AS124" i="7"/>
  <c r="H123" i="14" s="1"/>
  <c r="AR120" i="7"/>
  <c r="G119" i="13" s="1"/>
  <c r="AP120" i="7"/>
  <c r="I119" i="13" s="1"/>
  <c r="AT118" i="7"/>
  <c r="I117" i="14" s="1"/>
  <c r="AV118" i="7"/>
  <c r="G117" i="14" s="1"/>
  <c r="AS115" i="7"/>
  <c r="H114" i="14" s="1"/>
  <c r="AU115" i="7"/>
  <c r="F114" i="14" s="1"/>
  <c r="AT115" i="7"/>
  <c r="I114" i="14" s="1"/>
  <c r="AV115" i="7"/>
  <c r="G114" i="14" s="1"/>
  <c r="AS113" i="7"/>
  <c r="H112" i="14" s="1"/>
  <c r="AU113" i="7"/>
  <c r="AV111" i="7"/>
  <c r="G110" i="14" s="1"/>
  <c r="AT111" i="7"/>
  <c r="I110" i="14" s="1"/>
  <c r="AR108" i="7"/>
  <c r="G107" i="13" s="1"/>
  <c r="AP108" i="7"/>
  <c r="I107" i="13" s="1"/>
  <c r="AR103" i="7"/>
  <c r="G102" i="13" s="1"/>
  <c r="AP103" i="7"/>
  <c r="I102" i="13" s="1"/>
  <c r="AU99" i="7"/>
  <c r="AS99" i="7"/>
  <c r="H98" i="14" s="1"/>
  <c r="AR97" i="7"/>
  <c r="G96" i="13" s="1"/>
  <c r="AP97" i="7"/>
  <c r="I96" i="13" s="1"/>
  <c r="AU94" i="7"/>
  <c r="F93" i="14" s="1"/>
  <c r="AS94" i="7"/>
  <c r="H93" i="14" s="1"/>
  <c r="AU93" i="7"/>
  <c r="F92" i="14" s="1"/>
  <c r="AS93" i="7"/>
  <c r="H92" i="14" s="1"/>
  <c r="AO94" i="7"/>
  <c r="H93" i="13" s="1"/>
  <c r="AQ94" i="7"/>
  <c r="F93" i="13" s="1"/>
  <c r="J93" i="13" s="1"/>
  <c r="AT92" i="7"/>
  <c r="I91" i="14" s="1"/>
  <c r="AV92" i="7"/>
  <c r="G91" i="14" s="1"/>
  <c r="AP86" i="7"/>
  <c r="I85" i="13" s="1"/>
  <c r="AR86" i="7"/>
  <c r="G85" i="13" s="1"/>
  <c r="AT83" i="7"/>
  <c r="I82" i="14" s="1"/>
  <c r="AV83" i="7"/>
  <c r="G82" i="14" s="1"/>
  <c r="AR80" i="7"/>
  <c r="G79" i="13" s="1"/>
  <c r="AP80" i="7"/>
  <c r="I79" i="13" s="1"/>
  <c r="AU77" i="7"/>
  <c r="AS77" i="7"/>
  <c r="H76" i="14" s="1"/>
  <c r="AP76" i="7"/>
  <c r="I75" i="13" s="1"/>
  <c r="AR76" i="7"/>
  <c r="G75" i="13" s="1"/>
  <c r="AQ77" i="7"/>
  <c r="F76" i="13" s="1"/>
  <c r="AO77" i="7"/>
  <c r="H76" i="13" s="1"/>
  <c r="AS78" i="7"/>
  <c r="H77" i="14" s="1"/>
  <c r="AU78" i="7"/>
  <c r="F77" i="14" s="1"/>
  <c r="AT75" i="7"/>
  <c r="I74" i="14" s="1"/>
  <c r="AV75" i="7"/>
  <c r="G74" i="14" s="1"/>
  <c r="AU74" i="7"/>
  <c r="F73" i="14" s="1"/>
  <c r="AS74" i="7"/>
  <c r="H73" i="14" s="1"/>
  <c r="AV71" i="7"/>
  <c r="G70" i="14" s="1"/>
  <c r="AT71" i="7"/>
  <c r="I70" i="14" s="1"/>
  <c r="AV70" i="7"/>
  <c r="G69" i="14" s="1"/>
  <c r="AT70" i="7"/>
  <c r="I69" i="14" s="1"/>
  <c r="AP71" i="7"/>
  <c r="I70" i="13" s="1"/>
  <c r="AR71" i="7"/>
  <c r="G70" i="13" s="1"/>
  <c r="AO70" i="7"/>
  <c r="H69" i="13" s="1"/>
  <c r="AQ70" i="7"/>
  <c r="F69" i="13" s="1"/>
  <c r="AO64" i="7"/>
  <c r="H63" i="13" s="1"/>
  <c r="AQ64" i="7"/>
  <c r="F63" i="13" s="1"/>
  <c r="AT64" i="7"/>
  <c r="I63" i="14" s="1"/>
  <c r="AV64" i="7"/>
  <c r="G63" i="14" s="1"/>
  <c r="J63" i="14" s="1"/>
  <c r="AU60" i="7"/>
  <c r="F59" i="14" s="1"/>
  <c r="AS60" i="7"/>
  <c r="H59" i="14" s="1"/>
  <c r="AQ60" i="7"/>
  <c r="AO60" i="7"/>
  <c r="H59" i="13" s="1"/>
  <c r="AR52" i="7"/>
  <c r="G51" i="13" s="1"/>
  <c r="AP52" i="7"/>
  <c r="I51" i="13" s="1"/>
  <c r="AQ51" i="7"/>
  <c r="F50" i="13" s="1"/>
  <c r="AO51" i="7"/>
  <c r="H50" i="13" s="1"/>
  <c r="AS50" i="7"/>
  <c r="H49" i="14" s="1"/>
  <c r="AU50" i="7"/>
  <c r="F49" i="14" s="1"/>
  <c r="AS47" i="7"/>
  <c r="H46" i="14" s="1"/>
  <c r="AU47" i="7"/>
  <c r="AO40" i="7"/>
  <c r="H39" i="13" s="1"/>
  <c r="AQ40" i="7"/>
  <c r="AQ36" i="7"/>
  <c r="AO36" i="7"/>
  <c r="H35" i="13" s="1"/>
  <c r="AR32" i="7"/>
  <c r="AP32" i="7"/>
  <c r="I31" i="13" s="1"/>
  <c r="AT34" i="7"/>
  <c r="I33" i="14" s="1"/>
  <c r="AV34" i="7"/>
  <c r="G33" i="14" s="1"/>
  <c r="AT27" i="7"/>
  <c r="I26" i="14" s="1"/>
  <c r="AV27" i="7"/>
  <c r="G26" i="14" s="1"/>
  <c r="AT28" i="7"/>
  <c r="I27" i="14" s="1"/>
  <c r="AV28" i="7"/>
  <c r="G27" i="14" s="1"/>
  <c r="AQ25" i="7"/>
  <c r="F24" i="13" s="1"/>
  <c r="AO25" i="7"/>
  <c r="H24" i="13" s="1"/>
  <c r="AT25" i="7"/>
  <c r="I24" i="14" s="1"/>
  <c r="AV25" i="7"/>
  <c r="G24" i="14" s="1"/>
  <c r="AS23" i="7"/>
  <c r="H22" i="14" s="1"/>
  <c r="AU23" i="7"/>
  <c r="F22" i="14" s="1"/>
  <c r="AT20" i="7"/>
  <c r="I19" i="14" s="1"/>
  <c r="AV20" i="7"/>
  <c r="G19" i="14" s="1"/>
  <c r="AT14" i="7"/>
  <c r="I13" i="14" s="1"/>
  <c r="AV14" i="7"/>
  <c r="G13" i="14" s="1"/>
  <c r="AS16" i="7"/>
  <c r="H15" i="14" s="1"/>
  <c r="AU16" i="7"/>
  <c r="F15" i="14" s="1"/>
  <c r="AR9" i="7"/>
  <c r="G8" i="13" s="1"/>
  <c r="AP9" i="7"/>
  <c r="I8" i="13" s="1"/>
  <c r="AT220" i="7"/>
  <c r="I219" i="14" s="1"/>
  <c r="AV220" i="7"/>
  <c r="G219" i="14" s="1"/>
  <c r="AQ228" i="7"/>
  <c r="F227" i="13" s="1"/>
  <c r="AR228" i="7"/>
  <c r="G227" i="13" s="1"/>
  <c r="F227" i="7"/>
  <c r="AT228" i="7"/>
  <c r="I227" i="14" s="1"/>
  <c r="AV228" i="7"/>
  <c r="G227" i="14" s="1"/>
  <c r="AU228" i="7"/>
  <c r="F227" i="14" s="1"/>
  <c r="AS228" i="7"/>
  <c r="H227" i="14" s="1"/>
  <c r="AP228" i="7"/>
  <c r="I227" i="13" s="1"/>
  <c r="AO228" i="7"/>
  <c r="H227" i="13" s="1"/>
  <c r="AN229" i="7"/>
  <c r="AM229" i="7"/>
  <c r="AK229" i="7"/>
  <c r="AJ229" i="7"/>
  <c r="AG229" i="7"/>
  <c r="AF229" i="7"/>
  <c r="AI229" i="7"/>
  <c r="AH229" i="7"/>
  <c r="AE229" i="7"/>
  <c r="AL229" i="7"/>
  <c r="AD229" i="7"/>
  <c r="AC229" i="7"/>
  <c r="J141" i="14" l="1"/>
  <c r="J39" i="14"/>
  <c r="J20" i="13"/>
  <c r="J60" i="13"/>
  <c r="J14" i="14"/>
  <c r="H12" i="10"/>
  <c r="H11" i="10"/>
  <c r="H32" i="10"/>
  <c r="H31" i="10"/>
  <c r="J58" i="14"/>
  <c r="I5" i="10"/>
  <c r="I6" i="10"/>
  <c r="H13" i="10"/>
  <c r="H14" i="10"/>
  <c r="I32" i="10"/>
  <c r="I31" i="10"/>
  <c r="H5" i="10"/>
  <c r="H6" i="10"/>
  <c r="I37" i="10"/>
  <c r="I38" i="10"/>
  <c r="H16" i="10"/>
  <c r="H15" i="10"/>
  <c r="I29" i="10"/>
  <c r="I30" i="10"/>
  <c r="I24" i="10"/>
  <c r="I23" i="10"/>
  <c r="I49" i="10"/>
  <c r="I50" i="10"/>
  <c r="I36" i="10"/>
  <c r="I35" i="10"/>
  <c r="H45" i="10"/>
  <c r="H46" i="10"/>
  <c r="I48" i="10"/>
  <c r="I47" i="10"/>
  <c r="I17" i="10"/>
  <c r="I18" i="10"/>
  <c r="H41" i="10"/>
  <c r="H42" i="10"/>
  <c r="H28" i="10"/>
  <c r="H27" i="10"/>
  <c r="H48" i="10"/>
  <c r="H47" i="10"/>
  <c r="H20" i="10"/>
  <c r="H19" i="10"/>
  <c r="H33" i="10"/>
  <c r="H34" i="10"/>
  <c r="H4" i="10"/>
  <c r="H3" i="10"/>
  <c r="I12" i="10"/>
  <c r="I11" i="10"/>
  <c r="I33" i="10"/>
  <c r="I34" i="10"/>
  <c r="I45" i="10"/>
  <c r="I46" i="10"/>
  <c r="I8" i="10"/>
  <c r="I7" i="10"/>
  <c r="H8" i="10"/>
  <c r="H7" i="10"/>
  <c r="I16" i="10"/>
  <c r="I15" i="10"/>
  <c r="H49" i="10"/>
  <c r="H50" i="10"/>
  <c r="I20" i="10"/>
  <c r="I19" i="10"/>
  <c r="I44" i="10"/>
  <c r="I43" i="10"/>
  <c r="I25" i="10"/>
  <c r="I26" i="10"/>
  <c r="H40" i="10"/>
  <c r="H39" i="10"/>
  <c r="H25" i="10"/>
  <c r="H26" i="10"/>
  <c r="I40" i="10"/>
  <c r="I39" i="10"/>
  <c r="I13" i="10"/>
  <c r="I14" i="10"/>
  <c r="I9" i="10"/>
  <c r="I10" i="10"/>
  <c r="I41" i="10"/>
  <c r="I42" i="10"/>
  <c r="I21" i="10"/>
  <c r="I22" i="10"/>
  <c r="H29" i="10"/>
  <c r="H30" i="10"/>
  <c r="I4" i="10"/>
  <c r="I3" i="10"/>
  <c r="H24" i="10"/>
  <c r="H23" i="10"/>
  <c r="H36" i="10"/>
  <c r="H35" i="10"/>
  <c r="H17" i="10"/>
  <c r="H18" i="10"/>
  <c r="H37" i="10"/>
  <c r="H38" i="10"/>
  <c r="H44" i="10"/>
  <c r="H43" i="10"/>
  <c r="I28" i="10"/>
  <c r="I27" i="10"/>
  <c r="H21" i="10"/>
  <c r="H22" i="10"/>
  <c r="H9" i="10"/>
  <c r="H10" i="10"/>
  <c r="J53" i="13"/>
  <c r="N53" i="13" s="1"/>
  <c r="J19" i="13"/>
  <c r="G26" i="13"/>
  <c r="F30" i="13"/>
  <c r="G39" i="13"/>
  <c r="G42" i="13"/>
  <c r="G35" i="13"/>
  <c r="G48" i="13"/>
  <c r="G41" i="13"/>
  <c r="G47" i="13"/>
  <c r="G32" i="13"/>
  <c r="F44" i="13"/>
  <c r="F37" i="13"/>
  <c r="F40" i="13"/>
  <c r="F25" i="13"/>
  <c r="G29" i="13"/>
  <c r="G40" i="13"/>
  <c r="G46" i="13"/>
  <c r="G27" i="13"/>
  <c r="F47" i="13"/>
  <c r="F29" i="13"/>
  <c r="G25" i="13"/>
  <c r="F36" i="13"/>
  <c r="F27" i="13"/>
  <c r="F39" i="13"/>
  <c r="F26" i="13"/>
  <c r="F31" i="13"/>
  <c r="G38" i="13"/>
  <c r="G31" i="13"/>
  <c r="F48" i="13"/>
  <c r="G33" i="13"/>
  <c r="G45" i="13"/>
  <c r="G36" i="13"/>
  <c r="F33" i="13"/>
  <c r="G43" i="13"/>
  <c r="G30" i="13"/>
  <c r="G28" i="13"/>
  <c r="G44" i="13"/>
  <c r="G34" i="13"/>
  <c r="F38" i="13"/>
  <c r="F43" i="13"/>
  <c r="F35" i="13"/>
  <c r="F41" i="13"/>
  <c r="F32" i="13"/>
  <c r="F42" i="13"/>
  <c r="F45" i="13"/>
  <c r="G37" i="13"/>
  <c r="F34" i="13"/>
  <c r="F28" i="13"/>
  <c r="J195" i="14"/>
  <c r="J53" i="14"/>
  <c r="J188" i="13"/>
  <c r="N188" i="13" s="1"/>
  <c r="J211" i="13"/>
  <c r="N211" i="13" s="1"/>
  <c r="J92" i="14"/>
  <c r="J158" i="14"/>
  <c r="J145" i="14"/>
  <c r="J66" i="13"/>
  <c r="M66" i="13" s="1"/>
  <c r="J157" i="13"/>
  <c r="N157" i="13" s="1"/>
  <c r="J193" i="14"/>
  <c r="J10" i="14"/>
  <c r="J78" i="14"/>
  <c r="J103" i="14"/>
  <c r="J52" i="14"/>
  <c r="J64" i="13"/>
  <c r="N64" i="13" s="1"/>
  <c r="J9" i="13"/>
  <c r="M9" i="13" s="1"/>
  <c r="J199" i="14"/>
  <c r="J162" i="13"/>
  <c r="M162" i="13" s="1"/>
  <c r="J49" i="13"/>
  <c r="M49" i="13" s="1"/>
  <c r="J166" i="13"/>
  <c r="M166" i="13" s="1"/>
  <c r="J187" i="14"/>
  <c r="J51" i="14"/>
  <c r="J131" i="13"/>
  <c r="M131" i="13" s="1"/>
  <c r="J196" i="13"/>
  <c r="N196" i="13" s="1"/>
  <c r="J218" i="14"/>
  <c r="J143" i="14"/>
  <c r="J57" i="13"/>
  <c r="M57" i="13" s="1"/>
  <c r="J108" i="13"/>
  <c r="N108" i="13" s="1"/>
  <c r="J211" i="14"/>
  <c r="J67" i="14"/>
  <c r="J149" i="14"/>
  <c r="J10" i="13"/>
  <c r="M10" i="13" s="1"/>
  <c r="J22" i="14"/>
  <c r="J107" i="14"/>
  <c r="J6" i="13"/>
  <c r="M6" i="13" s="1"/>
  <c r="J146" i="13"/>
  <c r="M146" i="13" s="1"/>
  <c r="J169" i="13"/>
  <c r="M169" i="13" s="1"/>
  <c r="J59" i="14"/>
  <c r="J77" i="14"/>
  <c r="J74" i="13"/>
  <c r="N74" i="13" s="1"/>
  <c r="J135" i="13"/>
  <c r="M135" i="13" s="1"/>
  <c r="J217" i="14"/>
  <c r="J201" i="14"/>
  <c r="J118" i="13"/>
  <c r="N118" i="13" s="1"/>
  <c r="J93" i="14"/>
  <c r="J48" i="14"/>
  <c r="J180" i="13"/>
  <c r="M180" i="13" s="1"/>
  <c r="J41" i="14"/>
  <c r="J28" i="14"/>
  <c r="J16" i="13"/>
  <c r="N16" i="13" s="1"/>
  <c r="J223" i="14"/>
  <c r="J62" i="13"/>
  <c r="M62" i="13" s="1"/>
  <c r="J97" i="13"/>
  <c r="M97" i="13" s="1"/>
  <c r="J153" i="13"/>
  <c r="M153" i="13" s="1"/>
  <c r="J130" i="14"/>
  <c r="J131" i="14"/>
  <c r="J73" i="14"/>
  <c r="J25" i="14"/>
  <c r="J156" i="13"/>
  <c r="N156" i="13" s="1"/>
  <c r="J192" i="13"/>
  <c r="N192" i="13" s="1"/>
  <c r="J164" i="13"/>
  <c r="N164" i="13" s="1"/>
  <c r="J36" i="14"/>
  <c r="J207" i="14"/>
  <c r="J86" i="13"/>
  <c r="M86" i="13" s="1"/>
  <c r="J97" i="14"/>
  <c r="J86" i="14"/>
  <c r="J61" i="14"/>
  <c r="J123" i="13"/>
  <c r="M123" i="13" s="1"/>
  <c r="J65" i="14"/>
  <c r="J214" i="14"/>
  <c r="J84" i="14"/>
  <c r="J103" i="13"/>
  <c r="N103" i="13" s="1"/>
  <c r="J177" i="14"/>
  <c r="J87" i="14"/>
  <c r="J75" i="14"/>
  <c r="J47" i="14"/>
  <c r="J217" i="13"/>
  <c r="M217" i="13" s="1"/>
  <c r="J188" i="14"/>
  <c r="J69" i="13"/>
  <c r="N69" i="13" s="1"/>
  <c r="J167" i="14"/>
  <c r="J92" i="13"/>
  <c r="M92" i="13" s="1"/>
  <c r="J122" i="13"/>
  <c r="M122" i="13" s="1"/>
  <c r="J205" i="14"/>
  <c r="J4" i="14"/>
  <c r="J16" i="14"/>
  <c r="J85" i="14"/>
  <c r="J106" i="13"/>
  <c r="N106" i="13" s="1"/>
  <c r="J183" i="13"/>
  <c r="M183" i="13" s="1"/>
  <c r="J224" i="14"/>
  <c r="J149" i="13"/>
  <c r="M149" i="13" s="1"/>
  <c r="J173" i="14"/>
  <c r="J79" i="14"/>
  <c r="J127" i="14"/>
  <c r="J54" i="14"/>
  <c r="J197" i="13"/>
  <c r="N197" i="13" s="1"/>
  <c r="J56" i="13"/>
  <c r="M56" i="13" s="1"/>
  <c r="J96" i="14"/>
  <c r="J206" i="14"/>
  <c r="J78" i="13"/>
  <c r="N78" i="13" s="1"/>
  <c r="J99" i="14"/>
  <c r="J76" i="13"/>
  <c r="N76" i="13" s="1"/>
  <c r="J17" i="13"/>
  <c r="M17" i="13" s="1"/>
  <c r="J168" i="13"/>
  <c r="N168" i="13" s="1"/>
  <c r="J124" i="14"/>
  <c r="J216" i="14"/>
  <c r="J171" i="14"/>
  <c r="J66" i="14"/>
  <c r="J221" i="13"/>
  <c r="M221" i="13" s="1"/>
  <c r="J175" i="13"/>
  <c r="M175" i="13" s="1"/>
  <c r="J52" i="13"/>
  <c r="M52" i="13" s="1"/>
  <c r="J49" i="14"/>
  <c r="J213" i="14"/>
  <c r="J14" i="13"/>
  <c r="M14" i="13" s="1"/>
  <c r="J194" i="13"/>
  <c r="M194" i="13" s="1"/>
  <c r="J24" i="13"/>
  <c r="N24" i="13" s="1"/>
  <c r="J43" i="14"/>
  <c r="J210" i="13"/>
  <c r="N210" i="13" s="1"/>
  <c r="J126" i="14"/>
  <c r="J18" i="14"/>
  <c r="J56" i="14"/>
  <c r="J186" i="13"/>
  <c r="M186" i="13" s="1"/>
  <c r="J151" i="14"/>
  <c r="J67" i="13"/>
  <c r="M67" i="13" s="1"/>
  <c r="J75" i="13"/>
  <c r="M75" i="13" s="1"/>
  <c r="J13" i="14"/>
  <c r="J99" i="13"/>
  <c r="M99" i="13" s="1"/>
  <c r="J171" i="13"/>
  <c r="M171" i="13" s="1"/>
  <c r="J61" i="13"/>
  <c r="N61" i="13" s="1"/>
  <c r="J5" i="14"/>
  <c r="J19" i="14"/>
  <c r="J72" i="13"/>
  <c r="M72" i="13" s="1"/>
  <c r="J144" i="13"/>
  <c r="N144" i="13" s="1"/>
  <c r="J179" i="14"/>
  <c r="J38" i="14"/>
  <c r="J83" i="13"/>
  <c r="M83" i="13" s="1"/>
  <c r="J198" i="14"/>
  <c r="J216" i="13"/>
  <c r="M216" i="13" s="1"/>
  <c r="J24" i="14"/>
  <c r="J138" i="14"/>
  <c r="J181" i="14"/>
  <c r="J184" i="13"/>
  <c r="M184" i="13" s="1"/>
  <c r="J209" i="13"/>
  <c r="M209" i="13" s="1"/>
  <c r="J220" i="13"/>
  <c r="N220" i="13" s="1"/>
  <c r="J226" i="13"/>
  <c r="M226" i="13" s="1"/>
  <c r="J178" i="13"/>
  <c r="M178" i="13" s="1"/>
  <c r="J73" i="13"/>
  <c r="M73" i="13" s="1"/>
  <c r="J161" i="14"/>
  <c r="J227" i="14"/>
  <c r="J182" i="14"/>
  <c r="J114" i="14"/>
  <c r="J157" i="14"/>
  <c r="F223" i="7"/>
  <c r="F222" i="14"/>
  <c r="J222" i="14" s="1"/>
  <c r="F222" i="7"/>
  <c r="F221" i="14"/>
  <c r="J221" i="14" s="1"/>
  <c r="J219" i="14"/>
  <c r="J225" i="13"/>
  <c r="E224" i="7"/>
  <c r="F223" i="13"/>
  <c r="J223" i="13" s="1"/>
  <c r="J219" i="13"/>
  <c r="E219" i="7"/>
  <c r="F218" i="13"/>
  <c r="J218" i="13" s="1"/>
  <c r="J227" i="13"/>
  <c r="F226" i="7"/>
  <c r="F225" i="14"/>
  <c r="J225" i="14" s="1"/>
  <c r="J220" i="14"/>
  <c r="J224" i="13"/>
  <c r="J222" i="13"/>
  <c r="E153" i="7"/>
  <c r="F152" i="13"/>
  <c r="J152" i="13" s="1"/>
  <c r="E188" i="7"/>
  <c r="F187" i="13"/>
  <c r="J187" i="13" s="1"/>
  <c r="E82" i="7"/>
  <c r="F81" i="13"/>
  <c r="J81" i="13" s="1"/>
  <c r="J137" i="14"/>
  <c r="J204" i="14"/>
  <c r="F209" i="7"/>
  <c r="F208" i="14"/>
  <c r="J208" i="14" s="1"/>
  <c r="J82" i="14"/>
  <c r="J150" i="13"/>
  <c r="E161" i="7"/>
  <c r="F160" i="13"/>
  <c r="J160" i="13" s="1"/>
  <c r="M19" i="13"/>
  <c r="N19" i="13"/>
  <c r="J69" i="14"/>
  <c r="J84" i="13"/>
  <c r="J136" i="13"/>
  <c r="F156" i="7"/>
  <c r="F155" i="14"/>
  <c r="J155" i="14" s="1"/>
  <c r="J161" i="13"/>
  <c r="J176" i="14"/>
  <c r="J181" i="13"/>
  <c r="J74" i="14"/>
  <c r="J89" i="14"/>
  <c r="J98" i="13"/>
  <c r="J160" i="14"/>
  <c r="J206" i="13"/>
  <c r="G23" i="13"/>
  <c r="J23" i="13" s="1"/>
  <c r="J44" i="14"/>
  <c r="J140" i="14"/>
  <c r="J163" i="13"/>
  <c r="J190" i="13"/>
  <c r="J7" i="13"/>
  <c r="J21" i="13"/>
  <c r="J85" i="13"/>
  <c r="J117" i="14"/>
  <c r="J165" i="13"/>
  <c r="J212" i="14"/>
  <c r="J215" i="13"/>
  <c r="F192" i="7"/>
  <c r="F191" i="14"/>
  <c r="J191" i="14" s="1"/>
  <c r="J5" i="13"/>
  <c r="J110" i="14"/>
  <c r="F148" i="7"/>
  <c r="F147" i="14"/>
  <c r="J147" i="14" s="1"/>
  <c r="J174" i="13"/>
  <c r="F186" i="7"/>
  <c r="F185" i="14"/>
  <c r="J185" i="14" s="1"/>
  <c r="E194" i="7"/>
  <c r="F193" i="13"/>
  <c r="J193" i="13" s="1"/>
  <c r="J63" i="13"/>
  <c r="J170" i="13"/>
  <c r="J22" i="13"/>
  <c r="E47" i="7"/>
  <c r="F46" i="13"/>
  <c r="E56" i="7"/>
  <c r="F55" i="13"/>
  <c r="J55" i="13" s="1"/>
  <c r="F81" i="7"/>
  <c r="F80" i="14"/>
  <c r="J80" i="14" s="1"/>
  <c r="J116" i="13"/>
  <c r="J124" i="13"/>
  <c r="J141" i="13"/>
  <c r="J11" i="14"/>
  <c r="J57" i="14"/>
  <c r="J91" i="14"/>
  <c r="J104" i="14"/>
  <c r="J182" i="13"/>
  <c r="J11" i="13"/>
  <c r="J68" i="14"/>
  <c r="J102" i="13"/>
  <c r="F119" i="7"/>
  <c r="F118" i="14"/>
  <c r="J118" i="14" s="1"/>
  <c r="J129" i="14"/>
  <c r="F179" i="7"/>
  <c r="F178" i="14"/>
  <c r="J178" i="14" s="1"/>
  <c r="J132" i="13"/>
  <c r="J202" i="14"/>
  <c r="J29" i="14"/>
  <c r="J42" i="14"/>
  <c r="J94" i="14"/>
  <c r="J112" i="13"/>
  <c r="J133" i="14"/>
  <c r="J140" i="13"/>
  <c r="J152" i="14"/>
  <c r="J163" i="14"/>
  <c r="F124" i="7"/>
  <c r="F123" i="14"/>
  <c r="J123" i="14" s="1"/>
  <c r="E144" i="7"/>
  <c r="F143" i="13"/>
  <c r="J143" i="13" s="1"/>
  <c r="F122" i="7"/>
  <c r="F121" i="14"/>
  <c r="J121" i="14" s="1"/>
  <c r="F47" i="7"/>
  <c r="F46" i="14"/>
  <c r="J46" i="14" s="1"/>
  <c r="J195" i="13"/>
  <c r="J215" i="14"/>
  <c r="E14" i="7"/>
  <c r="F13" i="13"/>
  <c r="J13" i="13" s="1"/>
  <c r="J15" i="13"/>
  <c r="J115" i="13"/>
  <c r="J51" i="13"/>
  <c r="J70" i="14"/>
  <c r="J105" i="14"/>
  <c r="J116" i="14"/>
  <c r="E201" i="7"/>
  <c r="F200" i="13"/>
  <c r="J200" i="13" s="1"/>
  <c r="J40" i="14"/>
  <c r="J100" i="13"/>
  <c r="J164" i="14"/>
  <c r="J121" i="13"/>
  <c r="J197" i="14"/>
  <c r="J58" i="13"/>
  <c r="J77" i="13"/>
  <c r="J142" i="14"/>
  <c r="J172" i="14"/>
  <c r="J198" i="13"/>
  <c r="J70" i="13"/>
  <c r="J88" i="14"/>
  <c r="J107" i="13"/>
  <c r="F126" i="7"/>
  <c r="F125" i="14"/>
  <c r="J125" i="14" s="1"/>
  <c r="J18" i="13"/>
  <c r="J88" i="13"/>
  <c r="J105" i="13"/>
  <c r="J184" i="14"/>
  <c r="J201" i="13"/>
  <c r="J209" i="14"/>
  <c r="J214" i="13"/>
  <c r="E174" i="7"/>
  <c r="F173" i="13"/>
  <c r="J173" i="13" s="1"/>
  <c r="E60" i="7"/>
  <c r="F59" i="13"/>
  <c r="J59" i="13" s="1"/>
  <c r="J168" i="14"/>
  <c r="F10" i="7"/>
  <c r="F9" i="14"/>
  <c r="J9" i="14" s="1"/>
  <c r="F63" i="7"/>
  <c r="F62" i="14"/>
  <c r="J62" i="14" s="1"/>
  <c r="J100" i="14"/>
  <c r="F160" i="7"/>
  <c r="F159" i="14"/>
  <c r="J159" i="14" s="1"/>
  <c r="F195" i="7"/>
  <c r="F194" i="14"/>
  <c r="J194" i="14" s="1"/>
  <c r="E203" i="7"/>
  <c r="F202" i="13"/>
  <c r="J202" i="13" s="1"/>
  <c r="J8" i="14"/>
  <c r="J111" i="14"/>
  <c r="F155" i="7"/>
  <c r="F154" i="14"/>
  <c r="J154" i="14" s="1"/>
  <c r="J23" i="14"/>
  <c r="J54" i="13"/>
  <c r="J80" i="13"/>
  <c r="F110" i="7"/>
  <c r="F109" i="14"/>
  <c r="J109" i="14" s="1"/>
  <c r="J117" i="13"/>
  <c r="J15" i="14"/>
  <c r="J35" i="14"/>
  <c r="J79" i="13"/>
  <c r="J89" i="13"/>
  <c r="J135" i="14"/>
  <c r="J191" i="13"/>
  <c r="F7" i="7"/>
  <c r="F6" i="14"/>
  <c r="J6" i="14" s="1"/>
  <c r="J31" i="14"/>
  <c r="J102" i="14"/>
  <c r="J120" i="13"/>
  <c r="J145" i="13"/>
  <c r="J20" i="14"/>
  <c r="J122" i="14"/>
  <c r="J132" i="14"/>
  <c r="J156" i="14"/>
  <c r="J186" i="14"/>
  <c r="J32" i="14"/>
  <c r="J37" i="14"/>
  <c r="J50" i="14"/>
  <c r="J71" i="13"/>
  <c r="J96" i="13"/>
  <c r="F84" i="7"/>
  <c r="F83" i="14"/>
  <c r="J83" i="14" s="1"/>
  <c r="F8" i="7"/>
  <c r="F7" i="14"/>
  <c r="J7" i="14" s="1"/>
  <c r="E126" i="7"/>
  <c r="F125" i="13"/>
  <c r="J125" i="13" s="1"/>
  <c r="E155" i="7"/>
  <c r="F154" i="13"/>
  <c r="J154" i="13" s="1"/>
  <c r="F77" i="7"/>
  <c r="F76" i="14"/>
  <c r="J76" i="14" s="1"/>
  <c r="J128" i="13"/>
  <c r="J139" i="13"/>
  <c r="J153" i="14"/>
  <c r="F193" i="7"/>
  <c r="F192" i="14"/>
  <c r="J192" i="14" s="1"/>
  <c r="J196" i="14"/>
  <c r="E96" i="7"/>
  <c r="F95" i="13"/>
  <c r="J95" i="13" s="1"/>
  <c r="J104" i="13"/>
  <c r="J111" i="13"/>
  <c r="E138" i="7"/>
  <c r="F137" i="13"/>
  <c r="J137" i="13" s="1"/>
  <c r="J177" i="13"/>
  <c r="J165" i="14"/>
  <c r="J185" i="13"/>
  <c r="J203" i="14"/>
  <c r="J90" i="13"/>
  <c r="J158" i="13"/>
  <c r="J175" i="14"/>
  <c r="J199" i="13"/>
  <c r="J55" i="14"/>
  <c r="J72" i="14"/>
  <c r="J130" i="13"/>
  <c r="J170" i="14"/>
  <c r="J190" i="14"/>
  <c r="J210" i="14"/>
  <c r="J30" i="14"/>
  <c r="J110" i="13"/>
  <c r="J119" i="14"/>
  <c r="J162" i="14"/>
  <c r="J26" i="14"/>
  <c r="J147" i="13"/>
  <c r="J167" i="13"/>
  <c r="F13" i="7"/>
  <c r="F12" i="14"/>
  <c r="J12" i="14" s="1"/>
  <c r="N60" i="13"/>
  <c r="M60" i="13"/>
  <c r="M93" i="13"/>
  <c r="N93" i="13"/>
  <c r="F113" i="7"/>
  <c r="F112" i="14"/>
  <c r="J112" i="14" s="1"/>
  <c r="E143" i="7"/>
  <c r="F142" i="13"/>
  <c r="J142" i="13" s="1"/>
  <c r="E156" i="7"/>
  <c r="F155" i="13"/>
  <c r="J155" i="13" s="1"/>
  <c r="J87" i="13"/>
  <c r="E114" i="7"/>
  <c r="F113" i="13"/>
  <c r="J113" i="13" s="1"/>
  <c r="J148" i="13"/>
  <c r="F167" i="7"/>
  <c r="F166" i="14"/>
  <c r="J166" i="14" s="1"/>
  <c r="J176" i="13"/>
  <c r="J189" i="14"/>
  <c r="J213" i="13"/>
  <c r="J12" i="13"/>
  <c r="E160" i="7"/>
  <c r="F159" i="13"/>
  <c r="J159" i="13" s="1"/>
  <c r="J45" i="14"/>
  <c r="J81" i="14"/>
  <c r="F114" i="7"/>
  <c r="F113" i="14"/>
  <c r="J113" i="14" s="1"/>
  <c r="J120" i="14"/>
  <c r="J133" i="13"/>
  <c r="J65" i="13"/>
  <c r="J203" i="13"/>
  <c r="J4" i="13"/>
  <c r="J33" i="14"/>
  <c r="J94" i="13"/>
  <c r="J119" i="13"/>
  <c r="J146" i="14"/>
  <c r="J172" i="13"/>
  <c r="J27" i="14"/>
  <c r="J129" i="13"/>
  <c r="J150" i="14"/>
  <c r="J208" i="13"/>
  <c r="J91" i="13"/>
  <c r="J106" i="14"/>
  <c r="J127" i="13"/>
  <c r="J134" i="14"/>
  <c r="J139" i="14"/>
  <c r="J205" i="13"/>
  <c r="E139" i="7"/>
  <c r="F138" i="13"/>
  <c r="J138" i="13" s="1"/>
  <c r="F170" i="7"/>
  <c r="F169" i="14"/>
  <c r="J169" i="14" s="1"/>
  <c r="J50" i="13"/>
  <c r="F99" i="7"/>
  <c r="F98" i="14"/>
  <c r="J98" i="14" s="1"/>
  <c r="J189" i="13"/>
  <c r="E213" i="7"/>
  <c r="F212" i="13"/>
  <c r="J212" i="13" s="1"/>
  <c r="N20" i="13"/>
  <c r="M20" i="13"/>
  <c r="J68" i="13"/>
  <c r="J95" i="14"/>
  <c r="J114" i="13"/>
  <c r="J179" i="13"/>
  <c r="J204" i="13"/>
  <c r="J101" i="14"/>
  <c r="J151" i="13"/>
  <c r="J21" i="14"/>
  <c r="J60" i="14"/>
  <c r="J109" i="13"/>
  <c r="J126" i="13"/>
  <c r="J183" i="14"/>
  <c r="J8" i="13"/>
  <c r="J17" i="14"/>
  <c r="J71" i="14"/>
  <c r="E83" i="7"/>
  <c r="F82" i="13"/>
  <c r="J82" i="13" s="1"/>
  <c r="J115" i="14"/>
  <c r="J136" i="14"/>
  <c r="J174" i="14"/>
  <c r="J180" i="14"/>
  <c r="J200" i="14"/>
  <c r="J64" i="14"/>
  <c r="J90" i="14"/>
  <c r="J101" i="13"/>
  <c r="J108" i="14"/>
  <c r="J134" i="13"/>
  <c r="J144" i="14"/>
  <c r="J207" i="13"/>
  <c r="K7" i="12"/>
  <c r="K8" i="12"/>
  <c r="K23" i="12"/>
  <c r="K24" i="12"/>
  <c r="H5" i="12"/>
  <c r="H6" i="12"/>
  <c r="I29" i="12"/>
  <c r="I30" i="12"/>
  <c r="F35" i="7"/>
  <c r="H37" i="12"/>
  <c r="H38" i="12"/>
  <c r="H11" i="12"/>
  <c r="H12" i="12"/>
  <c r="J35" i="12"/>
  <c r="J36" i="12"/>
  <c r="H3" i="12"/>
  <c r="H4" i="12"/>
  <c r="J23" i="12"/>
  <c r="J24" i="12"/>
  <c r="K47" i="12"/>
  <c r="K48" i="12"/>
  <c r="I37" i="12"/>
  <c r="I38" i="12"/>
  <c r="H13" i="12"/>
  <c r="H14" i="12"/>
  <c r="I21" i="12"/>
  <c r="I22" i="12"/>
  <c r="J15" i="12"/>
  <c r="J16" i="12"/>
  <c r="I45" i="12"/>
  <c r="I46" i="12"/>
  <c r="J37" i="12"/>
  <c r="J38" i="12"/>
  <c r="K31" i="12"/>
  <c r="K32" i="12"/>
  <c r="J45" i="12"/>
  <c r="J46" i="12"/>
  <c r="K37" i="12"/>
  <c r="K38" i="12"/>
  <c r="K21" i="12"/>
  <c r="K22" i="12"/>
  <c r="K45" i="12"/>
  <c r="K46" i="12"/>
  <c r="I17" i="12"/>
  <c r="I18" i="12"/>
  <c r="I35" i="12"/>
  <c r="I36" i="12"/>
  <c r="I9" i="12"/>
  <c r="I10" i="12"/>
  <c r="J19" i="12"/>
  <c r="J20" i="12"/>
  <c r="K39" i="12"/>
  <c r="K40" i="12"/>
  <c r="I19" i="12"/>
  <c r="I20" i="12"/>
  <c r="I27" i="12"/>
  <c r="I28" i="12"/>
  <c r="J7" i="12"/>
  <c r="J8" i="12"/>
  <c r="I33" i="12"/>
  <c r="I34" i="12"/>
  <c r="K49" i="12"/>
  <c r="K50" i="12"/>
  <c r="I13" i="12"/>
  <c r="I14" i="12"/>
  <c r="I41" i="12"/>
  <c r="I42" i="12"/>
  <c r="J17" i="12"/>
  <c r="J18" i="12"/>
  <c r="H27" i="12"/>
  <c r="H28" i="12"/>
  <c r="K43" i="12"/>
  <c r="K44" i="12"/>
  <c r="K33" i="12"/>
  <c r="K34" i="12"/>
  <c r="I43" i="12"/>
  <c r="I44" i="12"/>
  <c r="K17" i="12"/>
  <c r="K18" i="12"/>
  <c r="K35" i="12"/>
  <c r="K36" i="12"/>
  <c r="K9" i="12"/>
  <c r="K10" i="12"/>
  <c r="H19" i="12"/>
  <c r="H20" i="12"/>
  <c r="I39" i="12"/>
  <c r="I40" i="12"/>
  <c r="K19" i="12"/>
  <c r="K20" i="12"/>
  <c r="K3" i="12"/>
  <c r="K4" i="12"/>
  <c r="K15" i="12"/>
  <c r="K16" i="12"/>
  <c r="K25" i="12"/>
  <c r="K26" i="12"/>
  <c r="H49" i="12"/>
  <c r="H50" i="12"/>
  <c r="K11" i="12"/>
  <c r="K12" i="12"/>
  <c r="J39" i="12"/>
  <c r="J40" i="12"/>
  <c r="K13" i="12"/>
  <c r="K14" i="12"/>
  <c r="K41" i="12"/>
  <c r="K42" i="12"/>
  <c r="J33" i="12"/>
  <c r="J34" i="12"/>
  <c r="J43" i="12"/>
  <c r="J44" i="12"/>
  <c r="J13" i="12"/>
  <c r="J14" i="12"/>
  <c r="H45" i="12"/>
  <c r="H46" i="12"/>
  <c r="H17" i="12"/>
  <c r="H18" i="12"/>
  <c r="H41" i="12"/>
  <c r="H42" i="12"/>
  <c r="J25" i="12"/>
  <c r="J26" i="12"/>
  <c r="I3" i="12"/>
  <c r="I4" i="12"/>
  <c r="I15" i="12"/>
  <c r="I16" i="12"/>
  <c r="I25" i="12"/>
  <c r="I26" i="12"/>
  <c r="J50" i="12"/>
  <c r="J49" i="12"/>
  <c r="I11" i="12"/>
  <c r="I12" i="12"/>
  <c r="H39" i="12"/>
  <c r="H40" i="12"/>
  <c r="H31" i="12"/>
  <c r="H32" i="12"/>
  <c r="H9" i="12"/>
  <c r="H10" i="12"/>
  <c r="J29" i="12"/>
  <c r="J30" i="12"/>
  <c r="H33" i="12"/>
  <c r="H34" i="12"/>
  <c r="H43" i="12"/>
  <c r="H44" i="12"/>
  <c r="K27" i="12"/>
  <c r="K28" i="12"/>
  <c r="H7" i="12"/>
  <c r="H8" i="12"/>
  <c r="I31" i="12"/>
  <c r="I32" i="12"/>
  <c r="J41" i="12"/>
  <c r="J42" i="12"/>
  <c r="H25" i="12"/>
  <c r="H26" i="12"/>
  <c r="K5" i="12"/>
  <c r="K6" i="12"/>
  <c r="J47" i="12"/>
  <c r="J48" i="12"/>
  <c r="J31" i="12"/>
  <c r="J32" i="12"/>
  <c r="J9" i="12"/>
  <c r="J10" i="12"/>
  <c r="H29" i="12"/>
  <c r="H30" i="12"/>
  <c r="H21" i="12"/>
  <c r="H22" i="12"/>
  <c r="H15" i="12"/>
  <c r="H16" i="12"/>
  <c r="I49" i="12"/>
  <c r="I50" i="12"/>
  <c r="J27" i="12"/>
  <c r="J28" i="12"/>
  <c r="I7" i="12"/>
  <c r="I8" i="12"/>
  <c r="I23" i="12"/>
  <c r="I24" i="12"/>
  <c r="J5" i="12"/>
  <c r="J6" i="12"/>
  <c r="K29" i="12"/>
  <c r="K30" i="12"/>
  <c r="I5" i="12"/>
  <c r="I6" i="12"/>
  <c r="F40" i="7"/>
  <c r="H47" i="12"/>
  <c r="H48" i="12"/>
  <c r="J11" i="12"/>
  <c r="J12" i="12"/>
  <c r="H35" i="12"/>
  <c r="H36" i="12"/>
  <c r="J3" i="12"/>
  <c r="J4" i="12"/>
  <c r="H23" i="12"/>
  <c r="H24" i="12"/>
  <c r="I47" i="12"/>
  <c r="I48" i="12"/>
  <c r="J21" i="12"/>
  <c r="J22" i="12"/>
  <c r="K25" i="10"/>
  <c r="K26" i="10"/>
  <c r="J3" i="10"/>
  <c r="J4" i="10"/>
  <c r="J31" i="10"/>
  <c r="J32" i="10"/>
  <c r="J9" i="10"/>
  <c r="J10" i="10"/>
  <c r="J35" i="10"/>
  <c r="J36" i="10"/>
  <c r="K45" i="10"/>
  <c r="K46" i="10"/>
  <c r="K39" i="10"/>
  <c r="K40" i="10"/>
  <c r="J25" i="10"/>
  <c r="J26" i="10"/>
  <c r="J47" i="10"/>
  <c r="J48" i="10"/>
  <c r="K3" i="10"/>
  <c r="K4" i="10"/>
  <c r="J13" i="10"/>
  <c r="J14" i="10"/>
  <c r="K11" i="10"/>
  <c r="K12" i="10"/>
  <c r="K15" i="10"/>
  <c r="K16" i="10"/>
  <c r="J21" i="10"/>
  <c r="J22" i="10"/>
  <c r="K47" i="10"/>
  <c r="K48" i="10"/>
  <c r="J49" i="10"/>
  <c r="J50" i="10"/>
  <c r="J19" i="10"/>
  <c r="J20" i="10"/>
  <c r="K27" i="10"/>
  <c r="K28" i="10"/>
  <c r="K49" i="10"/>
  <c r="K50" i="10"/>
  <c r="J29" i="10"/>
  <c r="J30" i="10"/>
  <c r="K33" i="10"/>
  <c r="K34" i="10"/>
  <c r="K5" i="10"/>
  <c r="K6" i="10"/>
  <c r="J43" i="10"/>
  <c r="J44" i="10"/>
  <c r="J11" i="10"/>
  <c r="J12" i="10"/>
  <c r="J17" i="10"/>
  <c r="J18" i="10"/>
  <c r="K31" i="10"/>
  <c r="K32" i="10"/>
  <c r="K13" i="10"/>
  <c r="K14" i="10"/>
  <c r="K41" i="10"/>
  <c r="K42" i="10"/>
  <c r="J5" i="10"/>
  <c r="J6" i="10"/>
  <c r="K23" i="10"/>
  <c r="K24" i="10"/>
  <c r="J15" i="10"/>
  <c r="J16" i="10"/>
  <c r="K21" i="10"/>
  <c r="K22" i="10"/>
  <c r="J27" i="10"/>
  <c r="J28" i="10"/>
  <c r="K17" i="10"/>
  <c r="K18" i="10"/>
  <c r="K29" i="10"/>
  <c r="K30" i="10"/>
  <c r="K19" i="10"/>
  <c r="K20" i="10"/>
  <c r="J41" i="10"/>
  <c r="J42" i="10"/>
  <c r="J23" i="10"/>
  <c r="J24" i="10"/>
  <c r="K37" i="10"/>
  <c r="K38" i="10"/>
  <c r="J45" i="10"/>
  <c r="J46" i="10"/>
  <c r="J7" i="10"/>
  <c r="J8" i="10"/>
  <c r="J39" i="10"/>
  <c r="J40" i="10"/>
  <c r="J33" i="10"/>
  <c r="J34" i="10"/>
  <c r="K35" i="10"/>
  <c r="K36" i="10"/>
  <c r="K43" i="10"/>
  <c r="K44" i="10"/>
  <c r="K9" i="10"/>
  <c r="K10" i="10"/>
  <c r="J37" i="10"/>
  <c r="J38" i="10"/>
  <c r="K7" i="10"/>
  <c r="K8" i="10"/>
  <c r="E21" i="7"/>
  <c r="E40" i="7"/>
  <c r="E20" i="7"/>
  <c r="E41" i="7"/>
  <c r="E30" i="7"/>
  <c r="E28" i="7"/>
  <c r="E150" i="7"/>
  <c r="F174" i="7"/>
  <c r="E24" i="7"/>
  <c r="F128" i="7"/>
  <c r="F55" i="7"/>
  <c r="E198" i="7"/>
  <c r="E57" i="7"/>
  <c r="E124" i="7"/>
  <c r="E36" i="7"/>
  <c r="E51" i="7"/>
  <c r="E11" i="7"/>
  <c r="E223" i="7"/>
  <c r="E69" i="7"/>
  <c r="E46" i="7"/>
  <c r="E227" i="7"/>
  <c r="D227" i="7" s="1"/>
  <c r="E54" i="7"/>
  <c r="E58" i="7"/>
  <c r="E109" i="7"/>
  <c r="F48" i="7"/>
  <c r="E93" i="7"/>
  <c r="F212" i="7"/>
  <c r="F146" i="7"/>
  <c r="E67" i="7"/>
  <c r="E37" i="7"/>
  <c r="F68" i="7"/>
  <c r="F150" i="7"/>
  <c r="E94" i="7"/>
  <c r="E189" i="7"/>
  <c r="F116" i="7"/>
  <c r="F205" i="7"/>
  <c r="E151" i="7"/>
  <c r="E117" i="7"/>
  <c r="F69" i="7"/>
  <c r="E6" i="7"/>
  <c r="E196" i="7"/>
  <c r="F106" i="7"/>
  <c r="F41" i="7"/>
  <c r="E129" i="7"/>
  <c r="E140" i="7"/>
  <c r="F197" i="7"/>
  <c r="E105" i="7"/>
  <c r="E112" i="7"/>
  <c r="E186" i="7"/>
  <c r="E88" i="7"/>
  <c r="F190" i="7"/>
  <c r="E214" i="7"/>
  <c r="E10" i="7"/>
  <c r="E13" i="7"/>
  <c r="F46" i="7"/>
  <c r="E132" i="7"/>
  <c r="E130" i="7"/>
  <c r="F100" i="7"/>
  <c r="F38" i="7"/>
  <c r="F32" i="7"/>
  <c r="F97" i="7"/>
  <c r="F207" i="7"/>
  <c r="E43" i="7"/>
  <c r="E79" i="7"/>
  <c r="F57" i="7"/>
  <c r="F189" i="7"/>
  <c r="E70" i="7"/>
  <c r="E123" i="7"/>
  <c r="F206" i="7"/>
  <c r="F5" i="7"/>
  <c r="F17" i="7"/>
  <c r="F86" i="7"/>
  <c r="E107" i="7"/>
  <c r="E184" i="7"/>
  <c r="E8" i="7"/>
  <c r="F194" i="7"/>
  <c r="F11" i="7"/>
  <c r="E77" i="7"/>
  <c r="F93" i="7"/>
  <c r="E18" i="7"/>
  <c r="E44" i="7"/>
  <c r="F196" i="7"/>
  <c r="E169" i="7"/>
  <c r="F184" i="7"/>
  <c r="F96" i="7"/>
  <c r="F125" i="7"/>
  <c r="F152" i="7"/>
  <c r="E163" i="7"/>
  <c r="F217" i="7"/>
  <c r="E45" i="7"/>
  <c r="F142" i="7"/>
  <c r="F67" i="7"/>
  <c r="F79" i="7"/>
  <c r="F104" i="7"/>
  <c r="E222" i="7"/>
  <c r="E176" i="7"/>
  <c r="E53" i="7"/>
  <c r="F19" i="7"/>
  <c r="F50" i="7"/>
  <c r="E165" i="7"/>
  <c r="E50" i="7"/>
  <c r="F129" i="7"/>
  <c r="E167" i="7"/>
  <c r="F188" i="7"/>
  <c r="F53" i="7"/>
  <c r="E65" i="7"/>
  <c r="E195" i="7"/>
  <c r="F52" i="7"/>
  <c r="E35" i="7"/>
  <c r="E158" i="7"/>
  <c r="E25" i="7"/>
  <c r="F149" i="7"/>
  <c r="E212" i="7"/>
  <c r="F44" i="7"/>
  <c r="F54" i="7"/>
  <c r="E211" i="7"/>
  <c r="F127" i="7"/>
  <c r="F159" i="7"/>
  <c r="F171" i="7"/>
  <c r="F178" i="7"/>
  <c r="F29" i="7"/>
  <c r="E17" i="7"/>
  <c r="E63" i="7"/>
  <c r="E98" i="7"/>
  <c r="F132" i="7"/>
  <c r="F59" i="7"/>
  <c r="F15" i="7"/>
  <c r="F24" i="7"/>
  <c r="E61" i="7"/>
  <c r="F16" i="7"/>
  <c r="E175" i="7"/>
  <c r="F202" i="7"/>
  <c r="E119" i="7"/>
  <c r="F94" i="7"/>
  <c r="F49" i="7"/>
  <c r="E181" i="7"/>
  <c r="F42" i="7"/>
  <c r="E75" i="7"/>
  <c r="F224" i="7"/>
  <c r="E136" i="7"/>
  <c r="E154" i="7"/>
  <c r="F218" i="7"/>
  <c r="E31" i="7"/>
  <c r="E177" i="7"/>
  <c r="F76" i="7"/>
  <c r="F131" i="7"/>
  <c r="F115" i="7"/>
  <c r="E187" i="7"/>
  <c r="F183" i="7"/>
  <c r="F216" i="7"/>
  <c r="F23" i="7"/>
  <c r="E64" i="7"/>
  <c r="F108" i="7"/>
  <c r="E7" i="7"/>
  <c r="F162" i="7"/>
  <c r="E197" i="7"/>
  <c r="E48" i="7"/>
  <c r="F219" i="7"/>
  <c r="F199" i="7"/>
  <c r="F74" i="7"/>
  <c r="E147" i="7"/>
  <c r="F26" i="7"/>
  <c r="E116" i="7"/>
  <c r="E170" i="7"/>
  <c r="F117" i="7"/>
  <c r="E157" i="7"/>
  <c r="F176" i="7"/>
  <c r="E193" i="7"/>
  <c r="F169" i="7"/>
  <c r="F214" i="7"/>
  <c r="E15" i="7"/>
  <c r="F37" i="7"/>
  <c r="E87" i="7"/>
  <c r="E218" i="7"/>
  <c r="F60" i="7"/>
  <c r="F98" i="7"/>
  <c r="F87" i="7"/>
  <c r="F78" i="7"/>
  <c r="F62" i="7"/>
  <c r="E42" i="7"/>
  <c r="E33" i="7"/>
  <c r="F66" i="7"/>
  <c r="F215" i="7"/>
  <c r="F85" i="7"/>
  <c r="E104" i="7"/>
  <c r="E190" i="7"/>
  <c r="E115" i="7"/>
  <c r="E180" i="7"/>
  <c r="E205" i="7"/>
  <c r="F102" i="7"/>
  <c r="E152" i="7"/>
  <c r="F22" i="7"/>
  <c r="F61" i="7"/>
  <c r="E110" i="7"/>
  <c r="E127" i="7"/>
  <c r="E9" i="7"/>
  <c r="F18" i="7"/>
  <c r="F72" i="7"/>
  <c r="F137" i="7"/>
  <c r="F175" i="7"/>
  <c r="F181" i="7"/>
  <c r="F201" i="7"/>
  <c r="E29" i="7"/>
  <c r="F65" i="7"/>
  <c r="F91" i="7"/>
  <c r="E102" i="7"/>
  <c r="F109" i="7"/>
  <c r="E135" i="7"/>
  <c r="F145" i="7"/>
  <c r="E208" i="7"/>
  <c r="F138" i="7"/>
  <c r="E179" i="7"/>
  <c r="F83" i="7"/>
  <c r="F70" i="7"/>
  <c r="E85" i="7"/>
  <c r="E137" i="7"/>
  <c r="E162" i="7"/>
  <c r="F177" i="7"/>
  <c r="E182" i="7"/>
  <c r="F75" i="7"/>
  <c r="F90" i="7"/>
  <c r="E99" i="7"/>
  <c r="F161" i="7"/>
  <c r="F168" i="7"/>
  <c r="E207" i="7"/>
  <c r="E27" i="7"/>
  <c r="F45" i="7"/>
  <c r="E68" i="7"/>
  <c r="E74" i="7"/>
  <c r="F80" i="7"/>
  <c r="F141" i="7"/>
  <c r="E164" i="7"/>
  <c r="E191" i="7"/>
  <c r="E22" i="7"/>
  <c r="E86" i="7"/>
  <c r="F118" i="7"/>
  <c r="E166" i="7"/>
  <c r="F213" i="7"/>
  <c r="E216" i="7"/>
  <c r="E32" i="7"/>
  <c r="E76" i="7"/>
  <c r="F14" i="7"/>
  <c r="E100" i="7"/>
  <c r="E172" i="7"/>
  <c r="E16" i="7"/>
  <c r="E62" i="7"/>
  <c r="F6" i="7"/>
  <c r="F20" i="7"/>
  <c r="E73" i="7"/>
  <c r="F112" i="7"/>
  <c r="E145" i="7"/>
  <c r="F180" i="7"/>
  <c r="E34" i="7"/>
  <c r="F39" i="7"/>
  <c r="E84" i="7"/>
  <c r="E217" i="7"/>
  <c r="F25" i="7"/>
  <c r="F139" i="7"/>
  <c r="F182" i="7"/>
  <c r="E185" i="7"/>
  <c r="E210" i="7"/>
  <c r="E221" i="7"/>
  <c r="F111" i="7"/>
  <c r="E171" i="7"/>
  <c r="E23" i="7"/>
  <c r="E125" i="7"/>
  <c r="E142" i="7"/>
  <c r="F12" i="7"/>
  <c r="F58" i="7"/>
  <c r="F92" i="7"/>
  <c r="F105" i="7"/>
  <c r="F158" i="7"/>
  <c r="E183" i="7"/>
  <c r="F208" i="7"/>
  <c r="E12" i="7"/>
  <c r="E103" i="7"/>
  <c r="F130" i="7"/>
  <c r="E38" i="7"/>
  <c r="E133" i="7"/>
  <c r="F172" i="7"/>
  <c r="F203" i="7"/>
  <c r="F30" i="7"/>
  <c r="F43" i="7"/>
  <c r="F95" i="7"/>
  <c r="E113" i="7"/>
  <c r="F134" i="7"/>
  <c r="E141" i="7"/>
  <c r="F153" i="7"/>
  <c r="F164" i="7"/>
  <c r="E52" i="7"/>
  <c r="F71" i="7"/>
  <c r="E101" i="7"/>
  <c r="F165" i="7"/>
  <c r="E122" i="7"/>
  <c r="F198" i="7"/>
  <c r="E59" i="7"/>
  <c r="E78" i="7"/>
  <c r="F143" i="7"/>
  <c r="F173" i="7"/>
  <c r="E199" i="7"/>
  <c r="E26" i="7"/>
  <c r="E71" i="7"/>
  <c r="F89" i="7"/>
  <c r="E108" i="7"/>
  <c r="E19" i="7"/>
  <c r="E89" i="7"/>
  <c r="E106" i="7"/>
  <c r="F144" i="7"/>
  <c r="F185" i="7"/>
  <c r="E202" i="7"/>
  <c r="F210" i="7"/>
  <c r="E215" i="7"/>
  <c r="F101" i="7"/>
  <c r="F9" i="7"/>
  <c r="F220" i="7"/>
  <c r="E55" i="7"/>
  <c r="E81" i="7"/>
  <c r="E118" i="7"/>
  <c r="F36" i="7"/>
  <c r="E80" i="7"/>
  <c r="E90" i="7"/>
  <c r="F136" i="7"/>
  <c r="E192" i="7"/>
  <c r="F103" i="7"/>
  <c r="E121" i="7"/>
  <c r="E146" i="7"/>
  <c r="F200" i="7"/>
  <c r="E226" i="7"/>
  <c r="F21" i="7"/>
  <c r="F123" i="7"/>
  <c r="F133" i="7"/>
  <c r="F157" i="7"/>
  <c r="F187" i="7"/>
  <c r="F33" i="7"/>
  <c r="F51" i="7"/>
  <c r="E72" i="7"/>
  <c r="E97" i="7"/>
  <c r="F225" i="7"/>
  <c r="F154" i="7"/>
  <c r="E220" i="7"/>
  <c r="E49" i="7"/>
  <c r="E178" i="7"/>
  <c r="F166" i="7"/>
  <c r="F204" i="7"/>
  <c r="E91" i="7"/>
  <c r="E159" i="7"/>
  <c r="E200" i="7"/>
  <c r="F56" i="7"/>
  <c r="F73" i="7"/>
  <c r="E131" i="7"/>
  <c r="F191" i="7"/>
  <c r="F211" i="7"/>
  <c r="F31" i="7"/>
  <c r="F88" i="7"/>
  <c r="E111" i="7"/>
  <c r="F120" i="7"/>
  <c r="F163" i="7"/>
  <c r="F27" i="7"/>
  <c r="E148" i="7"/>
  <c r="E168" i="7"/>
  <c r="E149" i="7"/>
  <c r="F221" i="7"/>
  <c r="F82" i="7"/>
  <c r="F121" i="7"/>
  <c r="E134" i="7"/>
  <c r="E66" i="7"/>
  <c r="E204" i="7"/>
  <c r="E5" i="7"/>
  <c r="F34" i="7"/>
  <c r="E95" i="7"/>
  <c r="E120" i="7"/>
  <c r="F147" i="7"/>
  <c r="E173" i="7"/>
  <c r="F28" i="7"/>
  <c r="F151" i="7"/>
  <c r="E209" i="7"/>
  <c r="E225" i="7"/>
  <c r="E39" i="7"/>
  <c r="F64" i="7"/>
  <c r="E92" i="7"/>
  <c r="F107" i="7"/>
  <c r="E128" i="7"/>
  <c r="F135" i="7"/>
  <c r="F140" i="7"/>
  <c r="E206" i="7"/>
  <c r="AQ229" i="7"/>
  <c r="F228" i="13" s="1"/>
  <c r="AR229" i="7"/>
  <c r="G228" i="13" s="1"/>
  <c r="F228" i="7"/>
  <c r="AU229" i="7"/>
  <c r="F228" i="14" s="1"/>
  <c r="AT229" i="7"/>
  <c r="I228" i="14" s="1"/>
  <c r="AV229" i="7"/>
  <c r="E228" i="7"/>
  <c r="AP229" i="7"/>
  <c r="I228" i="13" s="1"/>
  <c r="AS229" i="7"/>
  <c r="H228" i="14" s="1"/>
  <c r="AO229" i="7"/>
  <c r="H228" i="13" s="1"/>
  <c r="L43" i="12" l="1"/>
  <c r="L21" i="12"/>
  <c r="M188" i="13"/>
  <c r="M53" i="13"/>
  <c r="J28" i="13"/>
  <c r="J41" i="13"/>
  <c r="M41" i="13" s="1"/>
  <c r="J42" i="13"/>
  <c r="M42" i="13" s="1"/>
  <c r="J26" i="13"/>
  <c r="N26" i="13" s="1"/>
  <c r="J29" i="13"/>
  <c r="N29" i="13" s="1"/>
  <c r="J45" i="13"/>
  <c r="M45" i="13" s="1"/>
  <c r="J35" i="13"/>
  <c r="M35" i="13" s="1"/>
  <c r="J36" i="13"/>
  <c r="N36" i="13" s="1"/>
  <c r="J33" i="13"/>
  <c r="M33" i="13" s="1"/>
  <c r="J27" i="13"/>
  <c r="N27" i="13" s="1"/>
  <c r="J44" i="13"/>
  <c r="N44" i="13" s="1"/>
  <c r="M211" i="13"/>
  <c r="L211" i="13" s="1"/>
  <c r="J32" i="13"/>
  <c r="M32" i="13" s="1"/>
  <c r="J43" i="13"/>
  <c r="M43" i="13" s="1"/>
  <c r="J30" i="13"/>
  <c r="N30" i="13" s="1"/>
  <c r="J38" i="13"/>
  <c r="N38" i="13" s="1"/>
  <c r="J31" i="13"/>
  <c r="M31" i="13" s="1"/>
  <c r="J47" i="13"/>
  <c r="N47" i="13" s="1"/>
  <c r="J48" i="13"/>
  <c r="M48" i="13" s="1"/>
  <c r="L44" i="12"/>
  <c r="J34" i="13"/>
  <c r="M34" i="13" s="1"/>
  <c r="J25" i="13"/>
  <c r="N25" i="13" s="1"/>
  <c r="J37" i="13"/>
  <c r="M37" i="13" s="1"/>
  <c r="J39" i="13"/>
  <c r="J40" i="13"/>
  <c r="J46" i="13"/>
  <c r="N46" i="13" s="1"/>
  <c r="N66" i="13"/>
  <c r="L66" i="13" s="1"/>
  <c r="M157" i="13"/>
  <c r="L157" i="13" s="1"/>
  <c r="E3" i="13"/>
  <c r="E3" i="14" s="1"/>
  <c r="E5" i="13"/>
  <c r="E5" i="14" s="1"/>
  <c r="E4" i="13"/>
  <c r="E4" i="14" s="1"/>
  <c r="I3" i="14"/>
  <c r="E11" i="13"/>
  <c r="E11" i="14" s="1"/>
  <c r="E10" i="13"/>
  <c r="E10" i="14" s="1"/>
  <c r="H3" i="13"/>
  <c r="E8" i="13"/>
  <c r="E8" i="14" s="1"/>
  <c r="E9" i="13"/>
  <c r="E9" i="14" s="1"/>
  <c r="E7" i="13"/>
  <c r="E7" i="14" s="1"/>
  <c r="E6" i="13"/>
  <c r="E6" i="14" s="1"/>
  <c r="H3" i="14"/>
  <c r="I3" i="13"/>
  <c r="E12" i="13"/>
  <c r="E12" i="14" s="1"/>
  <c r="E13" i="13"/>
  <c r="E13" i="14" s="1"/>
  <c r="F3" i="13"/>
  <c r="G3" i="14"/>
  <c r="G3" i="13"/>
  <c r="F3" i="14"/>
  <c r="E14" i="13"/>
  <c r="E14" i="14" s="1"/>
  <c r="E15" i="13"/>
  <c r="E15" i="14" s="1"/>
  <c r="E16" i="13"/>
  <c r="E16" i="14" s="1"/>
  <c r="E18" i="13"/>
  <c r="E18" i="14" s="1"/>
  <c r="E17" i="13"/>
  <c r="E17" i="14" s="1"/>
  <c r="E19" i="13"/>
  <c r="E19" i="14" s="1"/>
  <c r="E20" i="13"/>
  <c r="E20" i="14" s="1"/>
  <c r="E23" i="13"/>
  <c r="E23" i="14" s="1"/>
  <c r="E21" i="13"/>
  <c r="E21" i="14" s="1"/>
  <c r="E25" i="13"/>
  <c r="E25" i="14" s="1"/>
  <c r="E22" i="13"/>
  <c r="E22" i="14" s="1"/>
  <c r="E24" i="13"/>
  <c r="E24" i="14" s="1"/>
  <c r="E26" i="13"/>
  <c r="E26" i="14" s="1"/>
  <c r="E27" i="13"/>
  <c r="E27" i="14" s="1"/>
  <c r="E28" i="13"/>
  <c r="E28" i="14" s="1"/>
  <c r="E29" i="13"/>
  <c r="E29" i="14" s="1"/>
  <c r="E30" i="13"/>
  <c r="E30" i="14" s="1"/>
  <c r="E31" i="13"/>
  <c r="E31" i="14" s="1"/>
  <c r="E32" i="13"/>
  <c r="E32" i="14" s="1"/>
  <c r="E36" i="13"/>
  <c r="E36" i="14" s="1"/>
  <c r="E33" i="13"/>
  <c r="E33" i="14" s="1"/>
  <c r="E34" i="13"/>
  <c r="E34" i="14" s="1"/>
  <c r="E35" i="13"/>
  <c r="E35" i="14" s="1"/>
  <c r="E40" i="13"/>
  <c r="E40" i="14" s="1"/>
  <c r="E38" i="13"/>
  <c r="E38" i="14" s="1"/>
  <c r="E37" i="13"/>
  <c r="E37" i="14" s="1"/>
  <c r="E39" i="13"/>
  <c r="E39" i="14" s="1"/>
  <c r="E41" i="13"/>
  <c r="E41" i="14" s="1"/>
  <c r="E42" i="13"/>
  <c r="E42" i="14" s="1"/>
  <c r="E43" i="13"/>
  <c r="E43" i="14" s="1"/>
  <c r="E44" i="13"/>
  <c r="E44" i="14" s="1"/>
  <c r="E45" i="13"/>
  <c r="E45" i="14" s="1"/>
  <c r="E46" i="13"/>
  <c r="E46" i="14" s="1"/>
  <c r="E47" i="13"/>
  <c r="E47" i="14" s="1"/>
  <c r="E48" i="13"/>
  <c r="E48" i="14" s="1"/>
  <c r="E49" i="13"/>
  <c r="E49" i="14" s="1"/>
  <c r="E50" i="13"/>
  <c r="E50" i="14" s="1"/>
  <c r="E51" i="13"/>
  <c r="E51" i="14" s="1"/>
  <c r="E52" i="13"/>
  <c r="E52" i="14" s="1"/>
  <c r="E53" i="13"/>
  <c r="E53" i="14" s="1"/>
  <c r="E54" i="13"/>
  <c r="E54" i="14" s="1"/>
  <c r="E55" i="13"/>
  <c r="E55" i="14" s="1"/>
  <c r="E56" i="13"/>
  <c r="E56" i="14" s="1"/>
  <c r="E57" i="13"/>
  <c r="E57" i="14" s="1"/>
  <c r="E58" i="13"/>
  <c r="E58" i="14" s="1"/>
  <c r="E59" i="13"/>
  <c r="E59" i="14" s="1"/>
  <c r="E60" i="13"/>
  <c r="E60" i="14" s="1"/>
  <c r="E61" i="13"/>
  <c r="E61" i="14" s="1"/>
  <c r="E62" i="13"/>
  <c r="E62" i="14" s="1"/>
  <c r="E63" i="13"/>
  <c r="E63" i="14" s="1"/>
  <c r="E64" i="13"/>
  <c r="E64" i="14" s="1"/>
  <c r="E65" i="13"/>
  <c r="E65" i="14" s="1"/>
  <c r="E66" i="13"/>
  <c r="E66" i="14" s="1"/>
  <c r="E67" i="13"/>
  <c r="E67" i="14" s="1"/>
  <c r="E68" i="13"/>
  <c r="E68" i="14" s="1"/>
  <c r="E69" i="13"/>
  <c r="E69" i="14" s="1"/>
  <c r="E70" i="13"/>
  <c r="E70" i="14" s="1"/>
  <c r="E71" i="13"/>
  <c r="E71" i="14" s="1"/>
  <c r="E72" i="13"/>
  <c r="E72" i="14" s="1"/>
  <c r="E73" i="13"/>
  <c r="E73" i="14" s="1"/>
  <c r="E74" i="13"/>
  <c r="E74" i="14" s="1"/>
  <c r="E75" i="13"/>
  <c r="E75" i="14" s="1"/>
  <c r="E76" i="13"/>
  <c r="E76" i="14" s="1"/>
  <c r="E77" i="13"/>
  <c r="E77" i="14" s="1"/>
  <c r="E78" i="13"/>
  <c r="E78" i="14" s="1"/>
  <c r="E79" i="13"/>
  <c r="E79" i="14" s="1"/>
  <c r="E80" i="13"/>
  <c r="E80" i="14" s="1"/>
  <c r="E81" i="13"/>
  <c r="E81" i="14" s="1"/>
  <c r="E82" i="13"/>
  <c r="E82" i="14" s="1"/>
  <c r="E83" i="13"/>
  <c r="E83" i="14" s="1"/>
  <c r="E84" i="13"/>
  <c r="E84" i="14" s="1"/>
  <c r="E85" i="13"/>
  <c r="E85" i="14" s="1"/>
  <c r="E86" i="13"/>
  <c r="E86" i="14" s="1"/>
  <c r="E87" i="13"/>
  <c r="E87" i="14" s="1"/>
  <c r="E88" i="13"/>
  <c r="E88" i="14" s="1"/>
  <c r="E89" i="13"/>
  <c r="E89" i="14" s="1"/>
  <c r="E90" i="13"/>
  <c r="E90" i="14" s="1"/>
  <c r="E91" i="13"/>
  <c r="E91" i="14" s="1"/>
  <c r="E92" i="13"/>
  <c r="E92" i="14" s="1"/>
  <c r="E93" i="13"/>
  <c r="E93" i="14" s="1"/>
  <c r="E94" i="13"/>
  <c r="E94" i="14" s="1"/>
  <c r="E95" i="13"/>
  <c r="E95" i="14" s="1"/>
  <c r="E96" i="13"/>
  <c r="E96" i="14" s="1"/>
  <c r="E97" i="13"/>
  <c r="E97" i="14" s="1"/>
  <c r="E98" i="13"/>
  <c r="E98" i="14" s="1"/>
  <c r="E99" i="13"/>
  <c r="E99" i="14" s="1"/>
  <c r="E100" i="13"/>
  <c r="E100" i="14" s="1"/>
  <c r="E101" i="13"/>
  <c r="E101" i="14" s="1"/>
  <c r="E102" i="13"/>
  <c r="E102" i="14" s="1"/>
  <c r="E103" i="13"/>
  <c r="E103" i="14" s="1"/>
  <c r="E104" i="13"/>
  <c r="E104" i="14" s="1"/>
  <c r="E105" i="13"/>
  <c r="E105" i="14" s="1"/>
  <c r="E106" i="13"/>
  <c r="E106" i="14" s="1"/>
  <c r="E107" i="13"/>
  <c r="E107" i="14" s="1"/>
  <c r="E108" i="13"/>
  <c r="E108" i="14" s="1"/>
  <c r="E109" i="13"/>
  <c r="E109" i="14" s="1"/>
  <c r="E110" i="13"/>
  <c r="E110" i="14" s="1"/>
  <c r="E111" i="13"/>
  <c r="E111" i="14" s="1"/>
  <c r="E112" i="13"/>
  <c r="E112" i="14" s="1"/>
  <c r="E113" i="13"/>
  <c r="E113" i="14" s="1"/>
  <c r="E114" i="13"/>
  <c r="E114" i="14" s="1"/>
  <c r="E115" i="13"/>
  <c r="E115" i="14" s="1"/>
  <c r="E116" i="13"/>
  <c r="E116" i="14" s="1"/>
  <c r="E117" i="13"/>
  <c r="E117" i="14" s="1"/>
  <c r="E118" i="13"/>
  <c r="E118" i="14" s="1"/>
  <c r="E119" i="13"/>
  <c r="E119" i="14" s="1"/>
  <c r="E120" i="13"/>
  <c r="E120" i="14" s="1"/>
  <c r="E121" i="13"/>
  <c r="E121" i="14" s="1"/>
  <c r="E122" i="13"/>
  <c r="E122" i="14" s="1"/>
  <c r="E123" i="13"/>
  <c r="E123" i="14" s="1"/>
  <c r="E124" i="13"/>
  <c r="E124" i="14" s="1"/>
  <c r="E125" i="13"/>
  <c r="E125" i="14" s="1"/>
  <c r="E126" i="13"/>
  <c r="E126" i="14" s="1"/>
  <c r="E127" i="13"/>
  <c r="E127" i="14" s="1"/>
  <c r="E128" i="13"/>
  <c r="E128" i="14" s="1"/>
  <c r="E129" i="13"/>
  <c r="E129" i="14" s="1"/>
  <c r="E130" i="13"/>
  <c r="E130" i="14" s="1"/>
  <c r="E131" i="13"/>
  <c r="E131" i="14" s="1"/>
  <c r="E132" i="13"/>
  <c r="E132" i="14" s="1"/>
  <c r="E133" i="13"/>
  <c r="E133" i="14" s="1"/>
  <c r="E134" i="13"/>
  <c r="E134" i="14" s="1"/>
  <c r="E135" i="13"/>
  <c r="E135" i="14" s="1"/>
  <c r="E136" i="13"/>
  <c r="E136" i="14" s="1"/>
  <c r="E137" i="13"/>
  <c r="E137" i="14" s="1"/>
  <c r="E138" i="13"/>
  <c r="E138" i="14" s="1"/>
  <c r="E139" i="13"/>
  <c r="E139" i="14" s="1"/>
  <c r="E140" i="13"/>
  <c r="E140" i="14" s="1"/>
  <c r="E141" i="13"/>
  <c r="E141" i="14" s="1"/>
  <c r="E142" i="13"/>
  <c r="E142" i="14" s="1"/>
  <c r="E143" i="13"/>
  <c r="E143" i="14" s="1"/>
  <c r="E144" i="13"/>
  <c r="E144" i="14" s="1"/>
  <c r="E145" i="13"/>
  <c r="E145" i="14" s="1"/>
  <c r="E146" i="13"/>
  <c r="E146" i="14" s="1"/>
  <c r="E147" i="13"/>
  <c r="E147" i="14" s="1"/>
  <c r="E148" i="13"/>
  <c r="E148" i="14" s="1"/>
  <c r="E149" i="13"/>
  <c r="E149" i="14" s="1"/>
  <c r="E150" i="13"/>
  <c r="E150" i="14" s="1"/>
  <c r="E151" i="13"/>
  <c r="E151" i="14" s="1"/>
  <c r="E152" i="13"/>
  <c r="E152" i="14" s="1"/>
  <c r="E153" i="13"/>
  <c r="E153" i="14" s="1"/>
  <c r="E154" i="13"/>
  <c r="E154" i="14" s="1"/>
  <c r="E155" i="13"/>
  <c r="E155" i="14" s="1"/>
  <c r="E156" i="13"/>
  <c r="E156" i="14" s="1"/>
  <c r="E157" i="13"/>
  <c r="E157" i="14" s="1"/>
  <c r="E158" i="13"/>
  <c r="E158" i="14" s="1"/>
  <c r="E159" i="13"/>
  <c r="E159" i="14" s="1"/>
  <c r="E160" i="13"/>
  <c r="E160" i="14" s="1"/>
  <c r="E161" i="13"/>
  <c r="E161" i="14" s="1"/>
  <c r="E162" i="13"/>
  <c r="E162" i="14" s="1"/>
  <c r="E163" i="13"/>
  <c r="E163" i="14" s="1"/>
  <c r="E164" i="13"/>
  <c r="E164" i="14" s="1"/>
  <c r="E165" i="13"/>
  <c r="E165" i="14" s="1"/>
  <c r="E166" i="13"/>
  <c r="E166" i="14" s="1"/>
  <c r="E167" i="13"/>
  <c r="E167" i="14" s="1"/>
  <c r="E168" i="13"/>
  <c r="E168" i="14" s="1"/>
  <c r="E169" i="13"/>
  <c r="E169" i="14" s="1"/>
  <c r="E170" i="13"/>
  <c r="E170" i="14" s="1"/>
  <c r="E171" i="13"/>
  <c r="E171" i="14" s="1"/>
  <c r="E172" i="13"/>
  <c r="E172" i="14" s="1"/>
  <c r="E173" i="13"/>
  <c r="E173" i="14" s="1"/>
  <c r="E174" i="13"/>
  <c r="E174" i="14" s="1"/>
  <c r="E175" i="13"/>
  <c r="E175" i="14" s="1"/>
  <c r="E176" i="13"/>
  <c r="E176" i="14" s="1"/>
  <c r="E177" i="13"/>
  <c r="E177" i="14" s="1"/>
  <c r="E178" i="13"/>
  <c r="E178" i="14" s="1"/>
  <c r="E179" i="13"/>
  <c r="E179" i="14" s="1"/>
  <c r="E180" i="13"/>
  <c r="E180" i="14" s="1"/>
  <c r="E181" i="13"/>
  <c r="E181" i="14" s="1"/>
  <c r="E182" i="13"/>
  <c r="E182" i="14" s="1"/>
  <c r="E183" i="13"/>
  <c r="E183" i="14" s="1"/>
  <c r="E184" i="13"/>
  <c r="E184" i="14" s="1"/>
  <c r="E185" i="13"/>
  <c r="E185" i="14" s="1"/>
  <c r="E186" i="13"/>
  <c r="E186" i="14" s="1"/>
  <c r="E187" i="13"/>
  <c r="E187" i="14" s="1"/>
  <c r="E188" i="13"/>
  <c r="E188" i="14" s="1"/>
  <c r="E189" i="13"/>
  <c r="E189" i="14" s="1"/>
  <c r="E190" i="13"/>
  <c r="E190" i="14" s="1"/>
  <c r="E191" i="13"/>
  <c r="E191" i="14" s="1"/>
  <c r="E192" i="13"/>
  <c r="E192" i="14" s="1"/>
  <c r="E193" i="13"/>
  <c r="E193" i="14" s="1"/>
  <c r="E194" i="13"/>
  <c r="E194" i="14" s="1"/>
  <c r="E195" i="13"/>
  <c r="E195" i="14" s="1"/>
  <c r="E196" i="13"/>
  <c r="E196" i="14" s="1"/>
  <c r="E197" i="13"/>
  <c r="E197" i="14" s="1"/>
  <c r="E198" i="13"/>
  <c r="E198" i="14" s="1"/>
  <c r="E199" i="13"/>
  <c r="E199" i="14" s="1"/>
  <c r="E200" i="13"/>
  <c r="E200" i="14" s="1"/>
  <c r="E201" i="13"/>
  <c r="E201" i="14" s="1"/>
  <c r="E202" i="13"/>
  <c r="E202" i="14" s="1"/>
  <c r="E203" i="13"/>
  <c r="E203" i="14" s="1"/>
  <c r="E204" i="13"/>
  <c r="E204" i="14" s="1"/>
  <c r="E205" i="13"/>
  <c r="E205" i="14" s="1"/>
  <c r="L22" i="12"/>
  <c r="N49" i="13"/>
  <c r="L49" i="13" s="1"/>
  <c r="D82" i="7"/>
  <c r="N162" i="13"/>
  <c r="L162" i="13" s="1"/>
  <c r="D223" i="7"/>
  <c r="M74" i="13"/>
  <c r="L74" i="13" s="1"/>
  <c r="D219" i="7"/>
  <c r="N9" i="13"/>
  <c r="L9" i="13" s="1"/>
  <c r="N166" i="13"/>
  <c r="L166" i="13" s="1"/>
  <c r="M64" i="13"/>
  <c r="L64" i="13" s="1"/>
  <c r="N131" i="13"/>
  <c r="L131" i="13" s="1"/>
  <c r="N62" i="13"/>
  <c r="L62" i="13" s="1"/>
  <c r="D203" i="7"/>
  <c r="M29" i="13"/>
  <c r="L29" i="13" s="1"/>
  <c r="N180" i="13"/>
  <c r="L180" i="13" s="1"/>
  <c r="M196" i="13"/>
  <c r="L196" i="13" s="1"/>
  <c r="M118" i="13"/>
  <c r="L118" i="13" s="1"/>
  <c r="N149" i="13"/>
  <c r="L149" i="13" s="1"/>
  <c r="N99" i="13"/>
  <c r="L99" i="13" s="1"/>
  <c r="N123" i="13"/>
  <c r="L123" i="13" s="1"/>
  <c r="N169" i="13"/>
  <c r="L169" i="13" s="1"/>
  <c r="M108" i="13"/>
  <c r="L108" i="13" s="1"/>
  <c r="M103" i="13"/>
  <c r="L103" i="13" s="1"/>
  <c r="N135" i="13"/>
  <c r="L135" i="13" s="1"/>
  <c r="N57" i="13"/>
  <c r="L57" i="13" s="1"/>
  <c r="D14" i="7"/>
  <c r="N6" i="13"/>
  <c r="L6" i="13" s="1"/>
  <c r="N56" i="13"/>
  <c r="L56" i="13" s="1"/>
  <c r="N221" i="13"/>
  <c r="L221" i="13" s="1"/>
  <c r="D126" i="7"/>
  <c r="M156" i="13"/>
  <c r="L156" i="13" s="1"/>
  <c r="N10" i="13"/>
  <c r="L10" i="13" s="1"/>
  <c r="N146" i="13"/>
  <c r="L146" i="13" s="1"/>
  <c r="D30" i="7"/>
  <c r="D122" i="7"/>
  <c r="N209" i="13"/>
  <c r="L209" i="13" s="1"/>
  <c r="M168" i="13"/>
  <c r="L168" i="13" s="1"/>
  <c r="M78" i="13"/>
  <c r="L78" i="13" s="1"/>
  <c r="D226" i="7"/>
  <c r="M220" i="13"/>
  <c r="L220" i="13" s="1"/>
  <c r="N153" i="13"/>
  <c r="L153" i="13" s="1"/>
  <c r="D186" i="7"/>
  <c r="D161" i="7"/>
  <c r="M164" i="13"/>
  <c r="L164" i="13" s="1"/>
  <c r="N97" i="13"/>
  <c r="L97" i="13" s="1"/>
  <c r="D139" i="7"/>
  <c r="N72" i="13"/>
  <c r="L72" i="13" s="1"/>
  <c r="D99" i="7"/>
  <c r="D193" i="7"/>
  <c r="D56" i="7"/>
  <c r="D144" i="7"/>
  <c r="M106" i="13"/>
  <c r="L106" i="13" s="1"/>
  <c r="L60" i="13"/>
  <c r="D167" i="7"/>
  <c r="D155" i="7"/>
  <c r="D179" i="7"/>
  <c r="D24" i="7"/>
  <c r="M69" i="13"/>
  <c r="L69" i="13" s="1"/>
  <c r="N73" i="13"/>
  <c r="L73" i="13" s="1"/>
  <c r="M144" i="13"/>
  <c r="L144" i="13" s="1"/>
  <c r="D13" i="7"/>
  <c r="M16" i="13"/>
  <c r="L16" i="13" s="1"/>
  <c r="D188" i="7"/>
  <c r="D83" i="7"/>
  <c r="D48" i="7"/>
  <c r="D119" i="7"/>
  <c r="D11" i="7"/>
  <c r="N67" i="13"/>
  <c r="L67" i="13" s="1"/>
  <c r="M197" i="13"/>
  <c r="L197" i="13" s="1"/>
  <c r="M210" i="13"/>
  <c r="L210" i="13" s="1"/>
  <c r="D138" i="7"/>
  <c r="D224" i="7"/>
  <c r="L41" i="12"/>
  <c r="M76" i="13"/>
  <c r="L76" i="13" s="1"/>
  <c r="D110" i="7"/>
  <c r="D213" i="7"/>
  <c r="D209" i="7"/>
  <c r="D150" i="7"/>
  <c r="N122" i="13"/>
  <c r="L122" i="13" s="1"/>
  <c r="N184" i="13"/>
  <c r="L184" i="13" s="1"/>
  <c r="N216" i="13"/>
  <c r="L216" i="13" s="1"/>
  <c r="N217" i="13"/>
  <c r="L217" i="13" s="1"/>
  <c r="M24" i="13"/>
  <c r="L24" i="13" s="1"/>
  <c r="M192" i="13"/>
  <c r="L192" i="13" s="1"/>
  <c r="N86" i="13"/>
  <c r="L86" i="13" s="1"/>
  <c r="N178" i="13"/>
  <c r="L178" i="13" s="1"/>
  <c r="N52" i="13"/>
  <c r="L52" i="13" s="1"/>
  <c r="N92" i="13"/>
  <c r="L92" i="13" s="1"/>
  <c r="N175" i="13"/>
  <c r="L175" i="13" s="1"/>
  <c r="N183" i="13"/>
  <c r="L183" i="13" s="1"/>
  <c r="N17" i="13"/>
  <c r="L17" i="13" s="1"/>
  <c r="D37" i="7"/>
  <c r="D170" i="7"/>
  <c r="D197" i="7"/>
  <c r="D143" i="7"/>
  <c r="D125" i="7"/>
  <c r="N171" i="13"/>
  <c r="L171" i="13" s="1"/>
  <c r="L33" i="12"/>
  <c r="L17" i="12"/>
  <c r="D5" i="7"/>
  <c r="N75" i="13"/>
  <c r="L75" i="13" s="1"/>
  <c r="D54" i="7"/>
  <c r="D40" i="7"/>
  <c r="N194" i="13"/>
  <c r="L194" i="13" s="1"/>
  <c r="N226" i="13"/>
  <c r="L226" i="13" s="1"/>
  <c r="D128" i="7"/>
  <c r="D77" i="7"/>
  <c r="D174" i="7"/>
  <c r="D124" i="7"/>
  <c r="D47" i="7"/>
  <c r="D96" i="7"/>
  <c r="L16" i="12"/>
  <c r="L42" i="12"/>
  <c r="D8" i="7"/>
  <c r="D113" i="7"/>
  <c r="D109" i="7"/>
  <c r="D222" i="7"/>
  <c r="M61" i="13"/>
  <c r="L61" i="13" s="1"/>
  <c r="N186" i="13"/>
  <c r="L186" i="13" s="1"/>
  <c r="N83" i="13"/>
  <c r="L83" i="13" s="1"/>
  <c r="N14" i="13"/>
  <c r="L14" i="13" s="1"/>
  <c r="D195" i="7"/>
  <c r="G228" i="14"/>
  <c r="J228" i="14" s="1"/>
  <c r="H6" i="14"/>
  <c r="D7" i="7"/>
  <c r="D51" i="7"/>
  <c r="L188" i="13"/>
  <c r="L53" i="13"/>
  <c r="J228" i="13"/>
  <c r="N228" i="13" s="1"/>
  <c r="L20" i="13"/>
  <c r="D160" i="7"/>
  <c r="D156" i="7"/>
  <c r="M223" i="13"/>
  <c r="N223" i="13"/>
  <c r="D201" i="7"/>
  <c r="M227" i="13"/>
  <c r="N227" i="13"/>
  <c r="M225" i="13"/>
  <c r="N225" i="13"/>
  <c r="D148" i="7"/>
  <c r="D84" i="7"/>
  <c r="M222" i="13"/>
  <c r="N222" i="13"/>
  <c r="M218" i="13"/>
  <c r="N218" i="13"/>
  <c r="D81" i="7"/>
  <c r="D60" i="7"/>
  <c r="M219" i="13"/>
  <c r="N219" i="13"/>
  <c r="D192" i="7"/>
  <c r="N224" i="13"/>
  <c r="M224" i="13"/>
  <c r="L19" i="13"/>
  <c r="N23" i="13"/>
  <c r="M23" i="13"/>
  <c r="M28" i="13"/>
  <c r="N28" i="13"/>
  <c r="N109" i="13"/>
  <c r="M109" i="13"/>
  <c r="M189" i="13"/>
  <c r="N189" i="13"/>
  <c r="M127" i="13"/>
  <c r="N127" i="13"/>
  <c r="M167" i="13"/>
  <c r="N167" i="13"/>
  <c r="M158" i="13"/>
  <c r="N158" i="13"/>
  <c r="M71" i="13"/>
  <c r="N71" i="13"/>
  <c r="M107" i="13"/>
  <c r="N107" i="13"/>
  <c r="M58" i="13"/>
  <c r="N58" i="13"/>
  <c r="M182" i="13"/>
  <c r="N182" i="13"/>
  <c r="M141" i="13"/>
  <c r="N141" i="13"/>
  <c r="N193" i="13"/>
  <c r="M193" i="13"/>
  <c r="M5" i="13"/>
  <c r="N5" i="13"/>
  <c r="M190" i="13"/>
  <c r="N190" i="13"/>
  <c r="N84" i="13"/>
  <c r="M84" i="13"/>
  <c r="N150" i="13"/>
  <c r="M150" i="13"/>
  <c r="N152" i="13"/>
  <c r="M152" i="13"/>
  <c r="N4" i="13"/>
  <c r="M4" i="13"/>
  <c r="N176" i="13"/>
  <c r="M176" i="13"/>
  <c r="M147" i="13"/>
  <c r="N147" i="13"/>
  <c r="M111" i="13"/>
  <c r="N111" i="13"/>
  <c r="M112" i="13"/>
  <c r="N112" i="13"/>
  <c r="M207" i="13"/>
  <c r="N207" i="13"/>
  <c r="M91" i="13"/>
  <c r="N91" i="13"/>
  <c r="N172" i="13"/>
  <c r="M172" i="13"/>
  <c r="M203" i="13"/>
  <c r="N203" i="13"/>
  <c r="M130" i="13"/>
  <c r="N130" i="13"/>
  <c r="N104" i="13"/>
  <c r="M104" i="13"/>
  <c r="N128" i="13"/>
  <c r="M128" i="13"/>
  <c r="N80" i="13"/>
  <c r="M80" i="13"/>
  <c r="N88" i="13"/>
  <c r="M88" i="13"/>
  <c r="M70" i="13"/>
  <c r="N70" i="13"/>
  <c r="M15" i="13"/>
  <c r="N15" i="13"/>
  <c r="N116" i="13"/>
  <c r="M116" i="13"/>
  <c r="N181" i="13"/>
  <c r="M181" i="13"/>
  <c r="N81" i="13"/>
  <c r="M81" i="13"/>
  <c r="D35" i="7"/>
  <c r="D10" i="7"/>
  <c r="L28" i="12"/>
  <c r="M204" i="13"/>
  <c r="N204" i="13"/>
  <c r="M138" i="13"/>
  <c r="N138" i="13"/>
  <c r="M155" i="13"/>
  <c r="N155" i="13"/>
  <c r="M95" i="13"/>
  <c r="N95" i="13"/>
  <c r="M145" i="13"/>
  <c r="N145" i="13"/>
  <c r="M191" i="13"/>
  <c r="N191" i="13"/>
  <c r="M54" i="13"/>
  <c r="N54" i="13"/>
  <c r="M18" i="13"/>
  <c r="N18" i="13"/>
  <c r="N100" i="13"/>
  <c r="M100" i="13"/>
  <c r="M13" i="13"/>
  <c r="N13" i="13"/>
  <c r="N22" i="13"/>
  <c r="M22" i="13"/>
  <c r="N165" i="13"/>
  <c r="M165" i="13"/>
  <c r="M206" i="13"/>
  <c r="N206" i="13"/>
  <c r="D194" i="7"/>
  <c r="L3" i="10"/>
  <c r="L25" i="12"/>
  <c r="M134" i="13"/>
  <c r="N134" i="13"/>
  <c r="M179" i="13"/>
  <c r="N179" i="13"/>
  <c r="N208" i="13"/>
  <c r="M208" i="13"/>
  <c r="M119" i="13"/>
  <c r="N119" i="13"/>
  <c r="N12" i="13"/>
  <c r="M12" i="13"/>
  <c r="N148" i="13"/>
  <c r="M148" i="13"/>
  <c r="L93" i="13"/>
  <c r="N120" i="13"/>
  <c r="M120" i="13"/>
  <c r="M198" i="13"/>
  <c r="N198" i="13"/>
  <c r="M121" i="13"/>
  <c r="N121" i="13"/>
  <c r="M51" i="13"/>
  <c r="N51" i="13"/>
  <c r="M170" i="13"/>
  <c r="N170" i="13"/>
  <c r="M174" i="13"/>
  <c r="N174" i="13"/>
  <c r="N161" i="13"/>
  <c r="M161" i="13"/>
  <c r="M187" i="13"/>
  <c r="N187" i="13"/>
  <c r="N68" i="13"/>
  <c r="M68" i="13"/>
  <c r="N177" i="13"/>
  <c r="M177" i="13"/>
  <c r="M115" i="13"/>
  <c r="N115" i="13"/>
  <c r="M102" i="13"/>
  <c r="N102" i="13"/>
  <c r="N124" i="13"/>
  <c r="M124" i="13"/>
  <c r="M215" i="13"/>
  <c r="N215" i="13"/>
  <c r="D153" i="7"/>
  <c r="D63" i="7"/>
  <c r="N8" i="13"/>
  <c r="M8" i="13"/>
  <c r="M114" i="13"/>
  <c r="N114" i="13"/>
  <c r="M50" i="13"/>
  <c r="N50" i="13"/>
  <c r="N205" i="13"/>
  <c r="M205" i="13"/>
  <c r="M94" i="13"/>
  <c r="N94" i="13"/>
  <c r="M65" i="13"/>
  <c r="N65" i="13"/>
  <c r="M113" i="13"/>
  <c r="N113" i="13"/>
  <c r="M110" i="13"/>
  <c r="N110" i="13"/>
  <c r="M199" i="13"/>
  <c r="N199" i="13"/>
  <c r="M154" i="13"/>
  <c r="N154" i="13"/>
  <c r="M89" i="13"/>
  <c r="N89" i="13"/>
  <c r="N117" i="13"/>
  <c r="M117" i="13"/>
  <c r="M59" i="13"/>
  <c r="N59" i="13"/>
  <c r="M214" i="13"/>
  <c r="N214" i="13"/>
  <c r="M55" i="13"/>
  <c r="N55" i="13"/>
  <c r="N200" i="13"/>
  <c r="M200" i="13"/>
  <c r="M63" i="13"/>
  <c r="N63" i="13"/>
  <c r="M85" i="13"/>
  <c r="N85" i="13"/>
  <c r="M98" i="13"/>
  <c r="N98" i="13"/>
  <c r="M90" i="13"/>
  <c r="N90" i="13"/>
  <c r="M139" i="13"/>
  <c r="N139" i="13"/>
  <c r="N105" i="13"/>
  <c r="M105" i="13"/>
  <c r="M163" i="13"/>
  <c r="N163" i="13"/>
  <c r="N101" i="13"/>
  <c r="M101" i="13"/>
  <c r="N212" i="13"/>
  <c r="M212" i="13"/>
  <c r="M129" i="13"/>
  <c r="N129" i="13"/>
  <c r="N133" i="13"/>
  <c r="M133" i="13"/>
  <c r="M159" i="13"/>
  <c r="N159" i="13"/>
  <c r="D114" i="7"/>
  <c r="M79" i="13"/>
  <c r="N79" i="13"/>
  <c r="M195" i="13"/>
  <c r="N195" i="13"/>
  <c r="N132" i="13"/>
  <c r="M132" i="13"/>
  <c r="M21" i="13"/>
  <c r="N21" i="13"/>
  <c r="N160" i="13"/>
  <c r="M160" i="13"/>
  <c r="N173" i="13"/>
  <c r="M173" i="13"/>
  <c r="M82" i="13"/>
  <c r="N82" i="13"/>
  <c r="N126" i="13"/>
  <c r="M126" i="13"/>
  <c r="M151" i="13"/>
  <c r="N151" i="13"/>
  <c r="M213" i="13"/>
  <c r="N213" i="13"/>
  <c r="M87" i="13"/>
  <c r="N87" i="13"/>
  <c r="M142" i="13"/>
  <c r="N142" i="13"/>
  <c r="M185" i="13"/>
  <c r="N185" i="13"/>
  <c r="M137" i="13"/>
  <c r="N137" i="13"/>
  <c r="N125" i="13"/>
  <c r="M125" i="13"/>
  <c r="N96" i="13"/>
  <c r="M96" i="13"/>
  <c r="M202" i="13"/>
  <c r="N202" i="13"/>
  <c r="M201" i="13"/>
  <c r="N201" i="13"/>
  <c r="N77" i="13"/>
  <c r="M77" i="13"/>
  <c r="M143" i="13"/>
  <c r="N143" i="13"/>
  <c r="N140" i="13"/>
  <c r="M140" i="13"/>
  <c r="N11" i="13"/>
  <c r="M11" i="13"/>
  <c r="M7" i="13"/>
  <c r="N7" i="13"/>
  <c r="N136" i="13"/>
  <c r="M136" i="13"/>
  <c r="L32" i="12"/>
  <c r="L24" i="12"/>
  <c r="D20" i="7"/>
  <c r="L47" i="12"/>
  <c r="L20" i="12"/>
  <c r="L40" i="12"/>
  <c r="L36" i="12"/>
  <c r="L46" i="12"/>
  <c r="D151" i="7"/>
  <c r="L48" i="12"/>
  <c r="L9" i="12"/>
  <c r="L27" i="12"/>
  <c r="L6" i="12"/>
  <c r="L18" i="12"/>
  <c r="L12" i="12"/>
  <c r="L5" i="12"/>
  <c r="L31" i="12"/>
  <c r="L30" i="12"/>
  <c r="L45" i="12"/>
  <c r="L49" i="12"/>
  <c r="L13" i="12"/>
  <c r="L3" i="12"/>
  <c r="D21" i="7"/>
  <c r="L26" i="12"/>
  <c r="L29" i="12"/>
  <c r="L23" i="12"/>
  <c r="L19" i="12"/>
  <c r="L11" i="12"/>
  <c r="D190" i="7"/>
  <c r="L34" i="12"/>
  <c r="L38" i="12"/>
  <c r="D55" i="7"/>
  <c r="L7" i="12"/>
  <c r="L39" i="12"/>
  <c r="L15" i="12"/>
  <c r="L37" i="12"/>
  <c r="D28" i="7"/>
  <c r="L35" i="12"/>
  <c r="L8" i="12"/>
  <c r="L50" i="12"/>
  <c r="L10" i="12"/>
  <c r="L14" i="12"/>
  <c r="L4" i="12"/>
  <c r="L14" i="10"/>
  <c r="L40" i="10"/>
  <c r="L21" i="10"/>
  <c r="L29" i="10"/>
  <c r="L48" i="10"/>
  <c r="L13" i="10"/>
  <c r="L39" i="10"/>
  <c r="L28" i="10"/>
  <c r="L36" i="10"/>
  <c r="L8" i="10"/>
  <c r="L47" i="10"/>
  <c r="L45" i="10"/>
  <c r="L23" i="10"/>
  <c r="L38" i="10"/>
  <c r="L10" i="10"/>
  <c r="L46" i="10"/>
  <c r="D41" i="7"/>
  <c r="L16" i="10"/>
  <c r="L32" i="10"/>
  <c r="L20" i="10"/>
  <c r="L37" i="10"/>
  <c r="L4" i="10"/>
  <c r="L9" i="10"/>
  <c r="L27" i="10"/>
  <c r="L15" i="10"/>
  <c r="L31" i="10"/>
  <c r="L42" i="10"/>
  <c r="L19" i="10"/>
  <c r="L44" i="10"/>
  <c r="L12" i="10"/>
  <c r="D68" i="7"/>
  <c r="L24" i="10"/>
  <c r="L7" i="10"/>
  <c r="D58" i="7"/>
  <c r="L18" i="10"/>
  <c r="L26" i="10"/>
  <c r="L41" i="10"/>
  <c r="L6" i="10"/>
  <c r="L50" i="10"/>
  <c r="L43" i="10"/>
  <c r="L11" i="10"/>
  <c r="L34" i="10"/>
  <c r="L35" i="10"/>
  <c r="L17" i="10"/>
  <c r="L25" i="10"/>
  <c r="L5" i="10"/>
  <c r="L49" i="10"/>
  <c r="L22" i="10"/>
  <c r="L30" i="10"/>
  <c r="L33" i="10"/>
  <c r="D198" i="7"/>
  <c r="D214" i="7"/>
  <c r="D146" i="7"/>
  <c r="D207" i="7"/>
  <c r="D57" i="7"/>
  <c r="D129" i="7"/>
  <c r="D212" i="7"/>
  <c r="D38" i="7"/>
  <c r="D205" i="7"/>
  <c r="D75" i="7"/>
  <c r="D65" i="7"/>
  <c r="D67" i="7"/>
  <c r="D23" i="7"/>
  <c r="D25" i="7"/>
  <c r="D100" i="7"/>
  <c r="D86" i="7"/>
  <c r="D116" i="7"/>
  <c r="D36" i="7"/>
  <c r="D171" i="7"/>
  <c r="D39" i="7"/>
  <c r="D111" i="7"/>
  <c r="D106" i="7"/>
  <c r="D94" i="7"/>
  <c r="D93" i="7"/>
  <c r="D46" i="7"/>
  <c r="D88" i="7"/>
  <c r="D69" i="7"/>
  <c r="D117" i="7"/>
  <c r="D112" i="7"/>
  <c r="D132" i="7"/>
  <c r="D6" i="7"/>
  <c r="D206" i="7"/>
  <c r="D187" i="7"/>
  <c r="D165" i="7"/>
  <c r="D130" i="7"/>
  <c r="D32" i="7"/>
  <c r="D196" i="7"/>
  <c r="D189" i="7"/>
  <c r="D140" i="7"/>
  <c r="D218" i="7"/>
  <c r="D105" i="7"/>
  <c r="D43" i="7"/>
  <c r="D17" i="7"/>
  <c r="D176" i="7"/>
  <c r="D53" i="7"/>
  <c r="D79" i="7"/>
  <c r="D211" i="7"/>
  <c r="D52" i="7"/>
  <c r="D97" i="7"/>
  <c r="D78" i="7"/>
  <c r="D98" i="7"/>
  <c r="D217" i="7"/>
  <c r="D177" i="7"/>
  <c r="D157" i="7"/>
  <c r="D29" i="7"/>
  <c r="D50" i="7"/>
  <c r="D149" i="7"/>
  <c r="D66" i="7"/>
  <c r="D216" i="7"/>
  <c r="D15" i="7"/>
  <c r="D163" i="7"/>
  <c r="D49" i="7"/>
  <c r="D33" i="7"/>
  <c r="D18" i="7"/>
  <c r="D64" i="7"/>
  <c r="D181" i="7"/>
  <c r="D178" i="7"/>
  <c r="D19" i="7"/>
  <c r="D107" i="7"/>
  <c r="D184" i="7"/>
  <c r="D61" i="7"/>
  <c r="D45" i="7"/>
  <c r="D134" i="7"/>
  <c r="D123" i="7"/>
  <c r="D142" i="7"/>
  <c r="D76" i="7"/>
  <c r="D42" i="7"/>
  <c r="D199" i="7"/>
  <c r="D70" i="7"/>
  <c r="D16" i="7"/>
  <c r="D169" i="7"/>
  <c r="D44" i="7"/>
  <c r="D87" i="7"/>
  <c r="D175" i="7"/>
  <c r="D158" i="7"/>
  <c r="D131" i="7"/>
  <c r="D152" i="7"/>
  <c r="D104" i="7"/>
  <c r="D225" i="7"/>
  <c r="D159" i="7"/>
  <c r="D90" i="7"/>
  <c r="D202" i="7"/>
  <c r="D127" i="7"/>
  <c r="D95" i="7"/>
  <c r="D147" i="7"/>
  <c r="D89" i="7"/>
  <c r="D136" i="7"/>
  <c r="D215" i="7"/>
  <c r="D108" i="7"/>
  <c r="D59" i="7"/>
  <c r="D74" i="7"/>
  <c r="D92" i="7"/>
  <c r="D154" i="7"/>
  <c r="D120" i="7"/>
  <c r="D141" i="7"/>
  <c r="D118" i="7"/>
  <c r="D31" i="7"/>
  <c r="D91" i="7"/>
  <c r="D115" i="7"/>
  <c r="D137" i="7"/>
  <c r="D183" i="7"/>
  <c r="D72" i="7"/>
  <c r="D22" i="7"/>
  <c r="D80" i="7"/>
  <c r="D62" i="7"/>
  <c r="D71" i="7"/>
  <c r="D173" i="7"/>
  <c r="D26" i="7"/>
  <c r="D182" i="7"/>
  <c r="D145" i="7"/>
  <c r="D12" i="7"/>
  <c r="D85" i="7"/>
  <c r="D162" i="7"/>
  <c r="D102" i="7"/>
  <c r="D204" i="7"/>
  <c r="D168" i="7"/>
  <c r="D27" i="7"/>
  <c r="D191" i="7"/>
  <c r="D208" i="7"/>
  <c r="D9" i="7"/>
  <c r="D103" i="7"/>
  <c r="D172" i="7"/>
  <c r="D164" i="7"/>
  <c r="D121" i="7"/>
  <c r="D101" i="7"/>
  <c r="D73" i="7"/>
  <c r="D135" i="7"/>
  <c r="D221" i="7"/>
  <c r="D180" i="7"/>
  <c r="D133" i="7"/>
  <c r="D210" i="7"/>
  <c r="D166" i="7"/>
  <c r="D185" i="7"/>
  <c r="D34" i="7"/>
  <c r="D200" i="7"/>
  <c r="D220" i="7"/>
  <c r="D228" i="7"/>
  <c r="F229" i="7"/>
  <c r="E229" i="7"/>
  <c r="N33" i="13" l="1"/>
  <c r="L33" i="13" s="1"/>
  <c r="N42" i="13"/>
  <c r="L42" i="13" s="1"/>
  <c r="N31" i="13"/>
  <c r="L31" i="13" s="1"/>
  <c r="N32" i="13"/>
  <c r="L32" i="13" s="1"/>
  <c r="N43" i="13"/>
  <c r="L43" i="13" s="1"/>
  <c r="N41" i="13"/>
  <c r="L41" i="13" s="1"/>
  <c r="N45" i="13"/>
  <c r="L45" i="13" s="1"/>
  <c r="M26" i="13"/>
  <c r="L26" i="13" s="1"/>
  <c r="M27" i="13"/>
  <c r="L27" i="13" s="1"/>
  <c r="M46" i="13"/>
  <c r="L46" i="13" s="1"/>
  <c r="M47" i="13"/>
  <c r="L47" i="13" s="1"/>
  <c r="N35" i="13"/>
  <c r="L35" i="13" s="1"/>
  <c r="M36" i="13"/>
  <c r="L36" i="13" s="1"/>
  <c r="N48" i="13"/>
  <c r="L48" i="13" s="1"/>
  <c r="M44" i="13"/>
  <c r="L44" i="13" s="1"/>
  <c r="O19" i="10"/>
  <c r="N19" i="10"/>
  <c r="O27" i="11"/>
  <c r="N21" i="10"/>
  <c r="O21" i="10"/>
  <c r="O33" i="10"/>
  <c r="N33" i="10"/>
  <c r="N16" i="10"/>
  <c r="O16" i="10"/>
  <c r="N30" i="10"/>
  <c r="O30" i="10"/>
  <c r="O17" i="11"/>
  <c r="N11" i="10"/>
  <c r="O11" i="10"/>
  <c r="O7" i="10"/>
  <c r="N7" i="10"/>
  <c r="N15" i="10"/>
  <c r="O15" i="10"/>
  <c r="N36" i="10"/>
  <c r="O36" i="10"/>
  <c r="N14" i="10"/>
  <c r="O14" i="10"/>
  <c r="O3" i="10"/>
  <c r="N3" i="10"/>
  <c r="N26" i="10"/>
  <c r="O26" i="10"/>
  <c r="N29" i="10"/>
  <c r="O29" i="10"/>
  <c r="N32" i="10"/>
  <c r="O32" i="10"/>
  <c r="N34" i="10"/>
  <c r="O34" i="10"/>
  <c r="N40" i="10"/>
  <c r="O40" i="10"/>
  <c r="N22" i="10"/>
  <c r="O22" i="10"/>
  <c r="O49" i="11"/>
  <c r="O43" i="10"/>
  <c r="N43" i="10"/>
  <c r="N24" i="10"/>
  <c r="O24" i="10"/>
  <c r="N27" i="10"/>
  <c r="O27" i="10"/>
  <c r="N46" i="10"/>
  <c r="O46" i="10"/>
  <c r="N28" i="10"/>
  <c r="O28" i="10"/>
  <c r="O24" i="11"/>
  <c r="N18" i="10"/>
  <c r="O18" i="10"/>
  <c r="O49" i="10"/>
  <c r="N49" i="10"/>
  <c r="N50" i="10"/>
  <c r="O50" i="10"/>
  <c r="O9" i="10"/>
  <c r="N9" i="10"/>
  <c r="N10" i="10"/>
  <c r="O10" i="10"/>
  <c r="N39" i="10"/>
  <c r="O39" i="10"/>
  <c r="N20" i="10"/>
  <c r="O20" i="10"/>
  <c r="N35" i="10"/>
  <c r="O35" i="10"/>
  <c r="O47" i="10"/>
  <c r="N47" i="10"/>
  <c r="N8" i="10"/>
  <c r="O8" i="10"/>
  <c r="N5" i="10"/>
  <c r="O5" i="10"/>
  <c r="N6" i="10"/>
  <c r="O6" i="10"/>
  <c r="N12" i="10"/>
  <c r="O12" i="10"/>
  <c r="N4" i="10"/>
  <c r="O4" i="10"/>
  <c r="N38" i="10"/>
  <c r="O38" i="10"/>
  <c r="O13" i="10"/>
  <c r="N13" i="10"/>
  <c r="N17" i="10"/>
  <c r="O17" i="10"/>
  <c r="N45" i="10"/>
  <c r="O45" i="10"/>
  <c r="N42" i="10"/>
  <c r="O42" i="10"/>
  <c r="N31" i="10"/>
  <c r="O31" i="10"/>
  <c r="O25" i="10"/>
  <c r="N25" i="10"/>
  <c r="O41" i="10"/>
  <c r="N41" i="10"/>
  <c r="O50" i="11"/>
  <c r="N44" i="10"/>
  <c r="O44" i="10"/>
  <c r="N37" i="10"/>
  <c r="O37" i="10"/>
  <c r="N23" i="10"/>
  <c r="O23" i="10"/>
  <c r="N48" i="10"/>
  <c r="O48" i="10"/>
  <c r="M38" i="13"/>
  <c r="L38" i="13" s="1"/>
  <c r="N37" i="13"/>
  <c r="L37" i="13" s="1"/>
  <c r="M30" i="13"/>
  <c r="L30" i="13" s="1"/>
  <c r="O41" i="11"/>
  <c r="N34" i="13"/>
  <c r="L34" i="13" s="1"/>
  <c r="M25" i="13"/>
  <c r="L25" i="13" s="1"/>
  <c r="N40" i="13"/>
  <c r="M40" i="13"/>
  <c r="M39" i="13"/>
  <c r="N39" i="13"/>
  <c r="O47" i="11"/>
  <c r="O45" i="11"/>
  <c r="O13" i="11"/>
  <c r="O28" i="11"/>
  <c r="O40" i="11"/>
  <c r="O46" i="11"/>
  <c r="O33" i="11"/>
  <c r="O55" i="11"/>
  <c r="O43" i="11"/>
  <c r="O39" i="11"/>
  <c r="O22" i="11"/>
  <c r="O56" i="11"/>
  <c r="O15" i="11"/>
  <c r="O16" i="11"/>
  <c r="O12" i="11"/>
  <c r="O10" i="11"/>
  <c r="O19" i="11"/>
  <c r="O25" i="11"/>
  <c r="O26" i="11"/>
  <c r="O51" i="11"/>
  <c r="O35" i="11"/>
  <c r="O21" i="11"/>
  <c r="O11" i="11"/>
  <c r="O18" i="11"/>
  <c r="O44" i="11"/>
  <c r="O9" i="11"/>
  <c r="O29" i="11"/>
  <c r="O48" i="11"/>
  <c r="O38" i="11"/>
  <c r="O53" i="11"/>
  <c r="O31" i="11"/>
  <c r="O54" i="11"/>
  <c r="O23" i="11"/>
  <c r="O37" i="11"/>
  <c r="O14" i="11"/>
  <c r="O32" i="11"/>
  <c r="O36" i="11"/>
  <c r="O42" i="11"/>
  <c r="O20" i="11"/>
  <c r="O30" i="11"/>
  <c r="O52" i="11"/>
  <c r="O34" i="11"/>
  <c r="J3" i="14"/>
  <c r="J3" i="13"/>
  <c r="L208" i="13"/>
  <c r="L81" i="13"/>
  <c r="L145" i="13"/>
  <c r="L15" i="13"/>
  <c r="L7" i="13"/>
  <c r="L96" i="13"/>
  <c r="L95" i="13"/>
  <c r="L204" i="13"/>
  <c r="L207" i="13"/>
  <c r="M228" i="13"/>
  <c r="L228" i="13" s="1"/>
  <c r="L181" i="13"/>
  <c r="L70" i="13"/>
  <c r="L104" i="13"/>
  <c r="L112" i="13"/>
  <c r="L141" i="13"/>
  <c r="L202" i="13"/>
  <c r="L173" i="13"/>
  <c r="L195" i="13"/>
  <c r="L23" i="13"/>
  <c r="L140" i="13"/>
  <c r="L163" i="13"/>
  <c r="L98" i="13"/>
  <c r="L8" i="13"/>
  <c r="L187" i="13"/>
  <c r="L134" i="13"/>
  <c r="L165" i="13"/>
  <c r="L100" i="13"/>
  <c r="L116" i="13"/>
  <c r="L152" i="13"/>
  <c r="L190" i="13"/>
  <c r="L182" i="13"/>
  <c r="L159" i="13"/>
  <c r="L79" i="13"/>
  <c r="L167" i="13"/>
  <c r="L225" i="13"/>
  <c r="L132" i="13"/>
  <c r="L200" i="13"/>
  <c r="L117" i="13"/>
  <c r="L110" i="13"/>
  <c r="L224" i="13"/>
  <c r="L222" i="13"/>
  <c r="L11" i="13"/>
  <c r="L223" i="13"/>
  <c r="L55" i="13"/>
  <c r="L89" i="13"/>
  <c r="L219" i="13"/>
  <c r="L177" i="13"/>
  <c r="L120" i="13"/>
  <c r="L148" i="13"/>
  <c r="L201" i="13"/>
  <c r="L137" i="13"/>
  <c r="L213" i="13"/>
  <c r="L28" i="13"/>
  <c r="L227" i="13"/>
  <c r="L205" i="13"/>
  <c r="L80" i="13"/>
  <c r="L203" i="13"/>
  <c r="L185" i="13"/>
  <c r="L151" i="13"/>
  <c r="L143" i="13"/>
  <c r="L147" i="13"/>
  <c r="L150" i="13"/>
  <c r="L5" i="13"/>
  <c r="L189" i="13"/>
  <c r="L85" i="13"/>
  <c r="L113" i="13"/>
  <c r="L77" i="13"/>
  <c r="L125" i="13"/>
  <c r="L133" i="13"/>
  <c r="L59" i="13"/>
  <c r="L114" i="13"/>
  <c r="L215" i="13"/>
  <c r="L109" i="13"/>
  <c r="L218" i="13"/>
  <c r="L101" i="13"/>
  <c r="L68" i="13"/>
  <c r="L170" i="13"/>
  <c r="L198" i="13"/>
  <c r="L12" i="13"/>
  <c r="L179" i="13"/>
  <c r="L206" i="13"/>
  <c r="L54" i="13"/>
  <c r="L155" i="13"/>
  <c r="L142" i="13"/>
  <c r="L126" i="13"/>
  <c r="L160" i="13"/>
  <c r="L214" i="13"/>
  <c r="L154" i="13"/>
  <c r="L50" i="13"/>
  <c r="L128" i="13"/>
  <c r="L172" i="13"/>
  <c r="L212" i="13"/>
  <c r="L139" i="13"/>
  <c r="L174" i="13"/>
  <c r="L22" i="13"/>
  <c r="L18" i="13"/>
  <c r="L176" i="13"/>
  <c r="L84" i="13"/>
  <c r="L193" i="13"/>
  <c r="L107" i="13"/>
  <c r="L121" i="13"/>
  <c r="L87" i="13"/>
  <c r="L82" i="13"/>
  <c r="L21" i="13"/>
  <c r="L63" i="13"/>
  <c r="L199" i="13"/>
  <c r="L65" i="13"/>
  <c r="L91" i="13"/>
  <c r="L4" i="13"/>
  <c r="L90" i="13"/>
  <c r="L94" i="13"/>
  <c r="L124" i="13"/>
  <c r="L13" i="13"/>
  <c r="L88" i="13"/>
  <c r="L130" i="13"/>
  <c r="L127" i="13"/>
  <c r="L129" i="13"/>
  <c r="L136" i="13"/>
  <c r="L102" i="13"/>
  <c r="L191" i="13"/>
  <c r="L111" i="13"/>
  <c r="L71" i="13"/>
  <c r="L105" i="13"/>
  <c r="L115" i="13"/>
  <c r="L161" i="13"/>
  <c r="L51" i="13"/>
  <c r="L119" i="13"/>
  <c r="L138" i="13"/>
  <c r="L58" i="13"/>
  <c r="L158" i="13"/>
  <c r="D229" i="7"/>
  <c r="L40" i="13" l="1"/>
  <c r="L39" i="13"/>
  <c r="P3" i="10"/>
  <c r="N3" i="13"/>
  <c r="M3" i="13"/>
  <c r="P19" i="10"/>
  <c r="P4" i="10"/>
  <c r="P45" i="10"/>
  <c r="P29" i="10"/>
  <c r="P26" i="10"/>
  <c r="P12" i="10"/>
  <c r="P28" i="10"/>
  <c r="P16" i="10"/>
  <c r="P9" i="10"/>
  <c r="P41" i="10"/>
  <c r="P38" i="10"/>
  <c r="P5" i="10"/>
  <c r="P10" i="10"/>
  <c r="P7" i="10"/>
  <c r="P42" i="10"/>
  <c r="P33" i="10"/>
  <c r="P13" i="10"/>
  <c r="P46" i="10"/>
  <c r="P22" i="10"/>
  <c r="P36" i="10"/>
  <c r="P44" i="10"/>
  <c r="P40" i="10"/>
  <c r="P32" i="10"/>
  <c r="P17" i="10"/>
  <c r="P27" i="10"/>
  <c r="P6" i="10"/>
  <c r="P39" i="10"/>
  <c r="P49" i="10"/>
  <c r="P30" i="10"/>
  <c r="P31" i="10"/>
  <c r="P47" i="10"/>
  <c r="P20" i="10"/>
  <c r="P18" i="10"/>
  <c r="P15" i="10"/>
  <c r="P34" i="10"/>
  <c r="P35" i="10"/>
  <c r="P48" i="10"/>
  <c r="P37" i="10"/>
  <c r="P24" i="10"/>
  <c r="P8" i="10"/>
  <c r="P25" i="10"/>
  <c r="P50" i="10"/>
  <c r="P43" i="10"/>
  <c r="P14" i="10"/>
  <c r="P11" i="10"/>
  <c r="P21" i="10"/>
  <c r="P23" i="10"/>
  <c r="L3" i="13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<sst xmlns="http://schemas.openxmlformats.org/spreadsheetml/2006/main" count="697" uniqueCount="211">
  <si>
    <t>Fecha</t>
  </si>
  <si>
    <t>Hora</t>
  </si>
  <si>
    <t>17°</t>
  </si>
  <si>
    <t>18°</t>
  </si>
  <si>
    <t>19°</t>
  </si>
  <si>
    <t>HORA</t>
  </si>
  <si>
    <t>WIND m/s</t>
  </si>
  <si>
    <t>WIND Dirección</t>
  </si>
  <si>
    <t>WIND Gusts m/s</t>
  </si>
  <si>
    <t>TEMP AMB °C</t>
  </si>
  <si>
    <t>x</t>
  </si>
  <si>
    <t>*</t>
  </si>
  <si>
    <t>Windy
m/s</t>
  </si>
  <si>
    <t>Windy Gusts
m/s</t>
  </si>
  <si>
    <t>Windy Temp.
°C (original)</t>
  </si>
  <si>
    <t>Windy Temp.
°C</t>
  </si>
  <si>
    <t>Supuesto Windy</t>
  </si>
  <si>
    <t>Darwin
m/s</t>
  </si>
  <si>
    <t>Darwin Gusts
m/s</t>
  </si>
  <si>
    <t>Darwin Temp.
°C</t>
  </si>
  <si>
    <t>Darwin Gusts Round
m/s</t>
  </si>
  <si>
    <t>Windy PLOM
MW</t>
  </si>
  <si>
    <t>Darwin PLOM
MW</t>
  </si>
  <si>
    <t>Wind Speed Bin [m/s)</t>
  </si>
  <si>
    <t>Warranted Power Curve for 
1.194Kg/m3 air density [kW]
SG 5.0-145 (AM 0, 5.0MW) AT 
90M</t>
  </si>
  <si>
    <t>Warranted Power Curve for 
1.194Kg/m3 air density [kW]
SG 5.0-145 (AM+1, 5.2MW) AT 
90M</t>
  </si>
  <si>
    <t>AEG E/S BARRA A</t>
  </si>
  <si>
    <t>AEG E/S BARRA B</t>
  </si>
  <si>
    <t>Darwin MW TOTAL BARRA A</t>
  </si>
  <si>
    <t>Darwin MW TOTAL BARRA B</t>
  </si>
  <si>
    <t>AEG 5.2 MW</t>
  </si>
  <si>
    <t>AEG 5.0 MW</t>
  </si>
  <si>
    <t>Temp</t>
  </si>
  <si>
    <t>MW TOTAL BARRA A</t>
  </si>
  <si>
    <t>MW TOTAL BARRA B</t>
  </si>
  <si>
    <t>x1 Temp</t>
  </si>
  <si>
    <t>y1 Temp</t>
  </si>
  <si>
    <t>x2 Temp</t>
  </si>
  <si>
    <t>y2 Temp</t>
  </si>
  <si>
    <t>Derate</t>
  </si>
  <si>
    <t>PLOM AEG E/S BARRA A</t>
  </si>
  <si>
    <t>PLOM AEG E/S BARRA B</t>
  </si>
  <si>
    <t>PLOM MW TOTAL BARRA A</t>
  </si>
  <si>
    <t>PLOM MW TOTAL BARRA B</t>
  </si>
  <si>
    <t>PLOME AEG E/S BARRA A</t>
  </si>
  <si>
    <t>PLOME AEG E/S BARRA B</t>
  </si>
  <si>
    <t>PLOME MW TOTAL BARRA A</t>
  </si>
  <si>
    <t>PLOME MW TOTAL BARRA B</t>
  </si>
  <si>
    <t>Darwin PLOME
MW</t>
  </si>
  <si>
    <t>MW TOTAL CE</t>
  </si>
  <si>
    <t>Thursday 25</t>
  </si>
  <si>
    <t>Friday 26</t>
  </si>
  <si>
    <t>Saturday 27</t>
  </si>
  <si>
    <t>Sunday 28</t>
  </si>
  <si>
    <t>Monday 29</t>
  </si>
  <si>
    <t>Tuesday 30</t>
  </si>
  <si>
    <t>Wednesday 31</t>
  </si>
  <si>
    <t>Thursday 1</t>
  </si>
  <si>
    <t>16°</t>
  </si>
  <si>
    <t>20°</t>
  </si>
  <si>
    <t>15°</t>
  </si>
  <si>
    <t>Friday 2</t>
  </si>
  <si>
    <t>Saturday 3</t>
  </si>
  <si>
    <t>10 days forecast</t>
  </si>
  <si>
    <t>AEG</t>
  </si>
  <si>
    <t>AEG01</t>
  </si>
  <si>
    <t>AEG02</t>
  </si>
  <si>
    <t>AEG03</t>
  </si>
  <si>
    <t>AEG04</t>
  </si>
  <si>
    <t>AEG06</t>
  </si>
  <si>
    <t>AEG08</t>
  </si>
  <si>
    <t>AEG09</t>
  </si>
  <si>
    <t>AEG11</t>
  </si>
  <si>
    <t>AEG12</t>
  </si>
  <si>
    <t>AEG13</t>
  </si>
  <si>
    <t>AEG14</t>
  </si>
  <si>
    <t>AEG15</t>
  </si>
  <si>
    <t>AEG16</t>
  </si>
  <si>
    <t>AEG17</t>
  </si>
  <si>
    <t>AEG18</t>
  </si>
  <si>
    <t>AEG19</t>
  </si>
  <si>
    <t>AEG20</t>
  </si>
  <si>
    <t>AEG21</t>
  </si>
  <si>
    <t>AEG22</t>
  </si>
  <si>
    <t>AEG23</t>
  </si>
  <si>
    <t>AEG24</t>
  </si>
  <si>
    <t>AEG25</t>
  </si>
  <si>
    <t>AEG26</t>
  </si>
  <si>
    <t>AEG27</t>
  </si>
  <si>
    <t>AEG28</t>
  </si>
  <si>
    <t>AEG29</t>
  </si>
  <si>
    <t>AEG30</t>
  </si>
  <si>
    <t>AEG31</t>
  </si>
  <si>
    <t>AEG32</t>
  </si>
  <si>
    <t>AEG33</t>
  </si>
  <si>
    <t>AEG34</t>
  </si>
  <si>
    <t>AEG35</t>
  </si>
  <si>
    <t>AEG36</t>
  </si>
  <si>
    <t>AEG37</t>
  </si>
  <si>
    <t>AEG38</t>
  </si>
  <si>
    <t>AEG39</t>
  </si>
  <si>
    <t>AEG40</t>
  </si>
  <si>
    <t>AEG41</t>
  </si>
  <si>
    <t>AEG42</t>
  </si>
  <si>
    <t>AEG43</t>
  </si>
  <si>
    <t>AEG44</t>
  </si>
  <si>
    <t>AEG45</t>
  </si>
  <si>
    <t>AEG46</t>
  </si>
  <si>
    <t>AEG47</t>
  </si>
  <si>
    <t>AEG50</t>
  </si>
  <si>
    <t>AEG51</t>
  </si>
  <si>
    <t>AEG52</t>
  </si>
  <si>
    <t>AEG53</t>
  </si>
  <si>
    <t>AEG54</t>
  </si>
  <si>
    <t>AEG55</t>
  </si>
  <si>
    <t>AEG56</t>
  </si>
  <si>
    <t>AEG57</t>
  </si>
  <si>
    <t>AEG58</t>
  </si>
  <si>
    <t>AEG59</t>
  </si>
  <si>
    <t>AEG60</t>
  </si>
  <si>
    <t>AEG61</t>
  </si>
  <si>
    <t>AEG62</t>
  </si>
  <si>
    <t>Medio</t>
  </si>
  <si>
    <t>Mar</t>
  </si>
  <si>
    <t>Cerro</t>
  </si>
  <si>
    <t>Grupo Viento</t>
  </si>
  <si>
    <t>Parque</t>
  </si>
  <si>
    <t>Lomitas</t>
  </si>
  <si>
    <t>Expansión</t>
  </si>
  <si>
    <t>Potencia</t>
  </si>
  <si>
    <t>Barra</t>
  </si>
  <si>
    <t>A</t>
  </si>
  <si>
    <t>B</t>
  </si>
  <si>
    <t>Barra A - 5.2 - Cerro</t>
  </si>
  <si>
    <t>Barra A - 5.2 - Medio</t>
  </si>
  <si>
    <t>Barra A - 5.2 - Mar</t>
  </si>
  <si>
    <t>Barra B - 5.2 - Cerro</t>
  </si>
  <si>
    <t>Barra B - 5.2 - Medio</t>
  </si>
  <si>
    <t>Barra B - 5.2 - Mar</t>
  </si>
  <si>
    <t>Barra B - 5.0 - Cerro</t>
  </si>
  <si>
    <t>Barra B - 5.0 - Mar</t>
  </si>
  <si>
    <t>Lomitas - Barra A - 5.2 - Cerro</t>
  </si>
  <si>
    <t>Lomitas - Barra A - 5.2 - Medio</t>
  </si>
  <si>
    <t>Derate Temp. AEG 5.2 MW</t>
  </si>
  <si>
    <t>x1 Temp 5.2</t>
  </si>
  <si>
    <t>y1 Temp  5.2</t>
  </si>
  <si>
    <t>x2 Temp  5.2</t>
  </si>
  <si>
    <t>y2 Temp  5.2</t>
  </si>
  <si>
    <t>Derate Temp. AEG 5.0 MW</t>
  </si>
  <si>
    <t>x1 Temp 5.0</t>
  </si>
  <si>
    <t>y1 Temp  5.0</t>
  </si>
  <si>
    <t>x2 Temp  5.0</t>
  </si>
  <si>
    <t>y2 Temp  5.0</t>
  </si>
  <si>
    <t>Lomitas - Barra A - 5.2 - Mar</t>
  </si>
  <si>
    <t>Expansión - Barra A - 5.2 - Cerro</t>
  </si>
  <si>
    <t>Expansión - Barra A - 5.2 - Medio</t>
  </si>
  <si>
    <t>Expansión - Barra A - 5.2 - Mar</t>
  </si>
  <si>
    <t>Lomitas - Barra B - 5.2 - Cerro</t>
  </si>
  <si>
    <t>Lomitas - Barra B - 5.2 - Medio</t>
  </si>
  <si>
    <t>Lomitas - Barra B - 5.2 - Mar</t>
  </si>
  <si>
    <t>Lomitas - Barra B - 5.0 - Cerro</t>
  </si>
  <si>
    <t>Lomitas - Barra B - 5.0 - Mar</t>
  </si>
  <si>
    <t>Expansión - Barra B - 5.2 - Cerro</t>
  </si>
  <si>
    <t>AEG 5.2 MW Cerro</t>
  </si>
  <si>
    <t>AEG 5.2 MW Medio</t>
  </si>
  <si>
    <t>AEG 5.2 MW Mar</t>
  </si>
  <si>
    <t>Darwin Gusts Round Cerro
m/s</t>
  </si>
  <si>
    <t>Darwin Gusts Round Medio
m/s</t>
  </si>
  <si>
    <t>Darwin Gusts Round Mar
m/s</t>
  </si>
  <si>
    <t>AEG 5.0 MW Mar</t>
  </si>
  <si>
    <t>AEG 5.0 MW Medio</t>
  </si>
  <si>
    <t>AEG 5.0 MW Cerro</t>
  </si>
  <si>
    <t>Thursday 15</t>
  </si>
  <si>
    <t>Friday 16</t>
  </si>
  <si>
    <t>Viento m/s</t>
  </si>
  <si>
    <t>MW Proyectada (Barra A)</t>
  </si>
  <si>
    <t>MW Proyectada (Barra B)</t>
  </si>
  <si>
    <t>AEG DISPONIBLES BARRA A</t>
  </si>
  <si>
    <t>AEG DISPONIBLES BARRA B</t>
  </si>
  <si>
    <t>TOTAL MW</t>
  </si>
  <si>
    <t>Data Darwin</t>
  </si>
  <si>
    <t>AEGs Cerro</t>
  </si>
  <si>
    <t>AEGs Medio</t>
  </si>
  <si>
    <t>AEGs Mar</t>
  </si>
  <si>
    <t>Variación viento por Ubicación de AEGs</t>
  </si>
  <si>
    <t>Viento Ejecutado AEG31</t>
  </si>
  <si>
    <t>Darwin4RES - Forecaster</t>
  </si>
  <si>
    <t>Viento
m/s</t>
  </si>
  <si>
    <t>MW Proyectada (Barra A) Limitada</t>
  </si>
  <si>
    <t>MW Proyectada (Barra B) Limitada</t>
  </si>
  <si>
    <t>Carga Limitada 165 MW Total</t>
  </si>
  <si>
    <t>FECHA /HORA</t>
  </si>
  <si>
    <t>Saturday 17</t>
  </si>
  <si>
    <t>Sunday 18</t>
  </si>
  <si>
    <t>Monday 19</t>
  </si>
  <si>
    <t>Tuesday 20</t>
  </si>
  <si>
    <t>Time of forecast on map</t>
  </si>
  <si>
    <t>TOTAL AEG E/S</t>
  </si>
  <si>
    <t>Wednesday 21</t>
  </si>
  <si>
    <t>14°</t>
  </si>
  <si>
    <t>Thursday 22</t>
  </si>
  <si>
    <t>Friday 23</t>
  </si>
  <si>
    <t>Saturday 24</t>
  </si>
  <si>
    <t>PRONOSTICO OPERACIÓN AEROGENERADORES DIARIO</t>
  </si>
  <si>
    <t>Generación Pronosticada PE Punta Lomitas&amp;Expansión</t>
  </si>
  <si>
    <t>MW Totales</t>
  </si>
  <si>
    <t>PLANTILLA PARA REPORTE A CCE: VIENTO EJECUTADO, GENERACIÓN PROYECTADA</t>
  </si>
  <si>
    <t>DIA EJECUTADO</t>
  </si>
  <si>
    <t>HORA INICIO EVALUACIÓN PRONOSTICO</t>
  </si>
  <si>
    <t>Carga a Limitar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</si>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</sst>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_-* #,##0.00_-;\-* #,##0.00_-;_-* &quot;-&quot;??_-;_-@_-"/>
    <numFmt numFmtId="165" formatCode="0.0"/>
    <numFmt numFmtId="166" formatCode="0.000"/>
    <numFmt numFmtId="167" formatCode="d\.mmm\.yyyy"/>
    <numFmt numFmtId="168" formatCode="_-* #,##0.0_-;\-* #,##0.0_-;_-* &quot;-&quot;??_-;_-@_-"/>
    <numFmt numFmtId="169" formatCode="ddd\ d\.mmm\.yyyy"/>
    <numFmt numFmtId="170" formatCode="dddd\ d/mmm/yyyy"/>
  </numFmts>
  <fonts count="18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0" tint="-0.499984740745262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9"/>
      <color rgb="FFFF0000"/>
      <name val="Calibri"/>
      <family val="2"/>
      <scheme val="minor"/>
    </font>
    <font>
      <b/>
      <sz val="16"/>
      <color theme="3"/>
      <name val="Calibri"/>
      <family val="2"/>
      <scheme val="minor"/>
    </font>
    <font>
      <sz val="9"/>
      <color rgb="FFFF0000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theme="0" tint="-0.34998626667073579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thin">
        <color auto="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8" tint="0.39997558519241921"/>
      </top>
      <bottom/>
      <diagonal/>
    </border>
    <border>
      <left style="medium">
        <color indexed="64"/>
      </left>
      <right/>
      <top style="medium">
        <color theme="0" tint="-0.24994659260841701"/>
      </top>
      <bottom/>
      <diagonal/>
    </border>
    <border>
      <left/>
      <right/>
      <top style="medium">
        <color theme="0" tint="-0.24994659260841701"/>
      </top>
      <bottom/>
      <diagonal/>
    </border>
    <border>
      <left/>
      <right style="medium">
        <color indexed="64"/>
      </right>
      <top style="medium">
        <color theme="0" tint="-0.24994659260841701"/>
      </top>
      <bottom/>
      <diagonal/>
    </border>
  </borders>
  <cellStyleXfs count="3">
    <xf numFmtId="0" fontId="0" fillId="0" borderId="0"/>
    <xf numFmtId="164" fontId="4" fillId="0" borderId="0" applyFont="0" applyFill="0" applyBorder="0" applyAlignment="0" applyProtection="0"/>
    <xf numFmtId="0" fontId="8" fillId="0" borderId="0" applyNumberFormat="0" applyFill="0" applyBorder="0" applyAlignment="0" applyProtection="0"/>
  </cellStyleXfs>
  <cellXfs count="14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left"/>
    </xf>
    <xf numFmtId="0" fontId="0" fillId="0" borderId="3" xfId="0" applyBorder="1"/>
    <xf numFmtId="0" fontId="0" fillId="0" borderId="0" xfId="0" applyAlignment="1">
      <alignment horizontal="center" vertical="center" wrapText="1"/>
    </xf>
    <xf numFmtId="165" fontId="0" fillId="3" borderId="0" xfId="0" applyNumberFormat="1" applyFill="1"/>
    <xf numFmtId="0" fontId="0" fillId="0" borderId="0" xfId="0" applyAlignment="1">
      <alignment horizontal="center" vertical="center"/>
    </xf>
    <xf numFmtId="14" fontId="2" fillId="0" borderId="0" xfId="0" applyNumberFormat="1" applyFont="1"/>
    <xf numFmtId="20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20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/>
    <xf numFmtId="165" fontId="2" fillId="0" borderId="0" xfId="0" applyNumberFormat="1" applyFont="1"/>
    <xf numFmtId="165" fontId="3" fillId="0" borderId="0" xfId="0" applyNumberFormat="1" applyFont="1"/>
    <xf numFmtId="166" fontId="2" fillId="0" borderId="0" xfId="0" applyNumberFormat="1" applyFont="1"/>
    <xf numFmtId="0" fontId="2" fillId="4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165" fontId="2" fillId="0" borderId="0" xfId="0" applyNumberFormat="1" applyFont="1" applyAlignment="1">
      <alignment horizontal="center"/>
    </xf>
    <xf numFmtId="167" fontId="2" fillId="0" borderId="0" xfId="0" applyNumberFormat="1" applyFont="1" applyAlignment="1">
      <alignment horizontal="center" vertical="center" textRotation="90"/>
    </xf>
    <xf numFmtId="9" fontId="2" fillId="0" borderId="0" xfId="0" applyNumberFormat="1" applyFont="1"/>
    <xf numFmtId="1" fontId="2" fillId="0" borderId="0" xfId="0" applyNumberFormat="1" applyFont="1"/>
    <xf numFmtId="0" fontId="2" fillId="2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166" fontId="6" fillId="6" borderId="0" xfId="0" applyNumberFormat="1" applyFont="1" applyFill="1"/>
    <xf numFmtId="165" fontId="6" fillId="6" borderId="0" xfId="0" applyNumberFormat="1" applyFont="1" applyFill="1"/>
    <xf numFmtId="0" fontId="6" fillId="6" borderId="0" xfId="0" applyFont="1" applyFill="1"/>
    <xf numFmtId="0" fontId="2" fillId="7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165" fontId="6" fillId="9" borderId="0" xfId="0" applyNumberFormat="1" applyFont="1" applyFill="1"/>
    <xf numFmtId="165" fontId="6" fillId="10" borderId="0" xfId="0" applyNumberFormat="1" applyFont="1" applyFill="1"/>
    <xf numFmtId="0" fontId="6" fillId="6" borderId="0" xfId="0" applyFont="1" applyFill="1" applyAlignment="1">
      <alignment horizontal="center"/>
    </xf>
    <xf numFmtId="0" fontId="3" fillId="11" borderId="0" xfId="0" applyFont="1" applyFill="1"/>
    <xf numFmtId="0" fontId="3" fillId="11" borderId="0" xfId="0" applyFont="1" applyFill="1" applyAlignment="1">
      <alignment horizontal="center"/>
    </xf>
    <xf numFmtId="0" fontId="2" fillId="11" borderId="0" xfId="0" applyFont="1" applyFill="1" applyAlignment="1">
      <alignment horizontal="center"/>
    </xf>
    <xf numFmtId="20" fontId="0" fillId="0" borderId="10" xfId="0" applyNumberFormat="1" applyBorder="1"/>
    <xf numFmtId="20" fontId="0" fillId="0" borderId="0" xfId="0" applyNumberFormat="1"/>
    <xf numFmtId="2" fontId="0" fillId="0" borderId="0" xfId="0" applyNumberFormat="1" applyAlignment="1">
      <alignment horizontal="center"/>
    </xf>
    <xf numFmtId="0" fontId="7" fillId="0" borderId="0" xfId="0" applyFont="1"/>
    <xf numFmtId="170" fontId="2" fillId="0" borderId="0" xfId="0" applyNumberFormat="1" applyFont="1" applyAlignment="1">
      <alignment horizontal="center"/>
    </xf>
    <xf numFmtId="20" fontId="2" fillId="0" borderId="0" xfId="0" applyNumberFormat="1" applyFont="1" applyAlignment="1">
      <alignment horizontal="center"/>
    </xf>
    <xf numFmtId="0" fontId="5" fillId="0" borderId="0" xfId="0" applyFont="1"/>
    <xf numFmtId="168" fontId="5" fillId="0" borderId="0" xfId="1" applyNumberFormat="1" applyFont="1" applyBorder="1"/>
    <xf numFmtId="164" fontId="5" fillId="0" borderId="0" xfId="1" applyFont="1" applyBorder="1"/>
    <xf numFmtId="0" fontId="7" fillId="0" borderId="0" xfId="0" applyFont="1" applyAlignment="1">
      <alignment vertical="center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170" fontId="2" fillId="6" borderId="4" xfId="0" applyNumberFormat="1" applyFont="1" applyFill="1" applyBorder="1" applyAlignment="1">
      <alignment horizontal="center"/>
    </xf>
    <xf numFmtId="20" fontId="2" fillId="6" borderId="0" xfId="0" applyNumberFormat="1" applyFont="1" applyFill="1" applyAlignment="1">
      <alignment horizontal="center"/>
    </xf>
    <xf numFmtId="170" fontId="2" fillId="6" borderId="6" xfId="0" applyNumberFormat="1" applyFont="1" applyFill="1" applyBorder="1" applyAlignment="1">
      <alignment horizontal="center"/>
    </xf>
    <xf numFmtId="20" fontId="2" fillId="6" borderId="7" xfId="0" applyNumberFormat="1" applyFont="1" applyFill="1" applyBorder="1" applyAlignment="1">
      <alignment horizontal="center"/>
    </xf>
    <xf numFmtId="0" fontId="2" fillId="12" borderId="5" xfId="0" applyFont="1" applyFill="1" applyBorder="1" applyAlignment="1">
      <alignment horizontal="center"/>
    </xf>
    <xf numFmtId="0" fontId="2" fillId="12" borderId="8" xfId="0" applyFont="1" applyFill="1" applyBorder="1" applyAlignment="1">
      <alignment horizontal="center"/>
    </xf>
    <xf numFmtId="0" fontId="7" fillId="0" borderId="11" xfId="0" applyFont="1" applyBorder="1" applyAlignment="1">
      <alignment vertical="center"/>
    </xf>
    <xf numFmtId="168" fontId="2" fillId="0" borderId="0" xfId="1" applyNumberFormat="1" applyFont="1" applyAlignment="1">
      <alignment horizontal="center"/>
    </xf>
    <xf numFmtId="0" fontId="0" fillId="13" borderId="0" xfId="0" applyFill="1" applyAlignment="1">
      <alignment horizontal="center" vertical="center" wrapText="1"/>
    </xf>
    <xf numFmtId="1" fontId="0" fillId="0" borderId="0" xfId="0" applyNumberFormat="1" applyAlignment="1">
      <alignment horizontal="center"/>
    </xf>
    <xf numFmtId="0" fontId="5" fillId="0" borderId="15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165" fontId="2" fillId="0" borderId="9" xfId="0" applyNumberFormat="1" applyFont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2" fillId="11" borderId="9" xfId="0" applyFont="1" applyFill="1" applyBorder="1" applyAlignment="1">
      <alignment horizontal="center"/>
    </xf>
    <xf numFmtId="0" fontId="5" fillId="0" borderId="21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2" fillId="10" borderId="9" xfId="0" applyFont="1" applyFill="1" applyBorder="1" applyAlignment="1">
      <alignment horizontal="center" vertical="top"/>
    </xf>
    <xf numFmtId="20" fontId="5" fillId="10" borderId="9" xfId="0" applyNumberFormat="1" applyFont="1" applyFill="1" applyBorder="1" applyAlignment="1">
      <alignment horizontal="center" vertical="center"/>
    </xf>
    <xf numFmtId="169" fontId="2" fillId="14" borderId="9" xfId="0" applyNumberFormat="1" applyFont="1" applyFill="1" applyBorder="1" applyAlignment="1">
      <alignment horizontal="center" vertical="center" textRotation="90"/>
    </xf>
    <xf numFmtId="164" fontId="0" fillId="0" borderId="0" xfId="1" applyFont="1"/>
    <xf numFmtId="14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15" borderId="24" xfId="0" applyNumberFormat="1" applyFill="1" applyBorder="1" applyAlignment="1">
      <alignment horizontal="center"/>
    </xf>
    <xf numFmtId="2" fontId="0" fillId="0" borderId="24" xfId="0" applyNumberFormat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25" xfId="0" applyNumberFormat="1" applyBorder="1" applyAlignment="1">
      <alignment horizontal="center"/>
    </xf>
    <xf numFmtId="0" fontId="9" fillId="16" borderId="0" xfId="0" applyFont="1" applyFill="1"/>
    <xf numFmtId="0" fontId="9" fillId="16" borderId="0" xfId="0" applyFont="1" applyFill="1" applyAlignment="1">
      <alignment horizontal="center" vertical="center"/>
    </xf>
    <xf numFmtId="0" fontId="10" fillId="16" borderId="0" xfId="0" applyFont="1" applyFill="1"/>
    <xf numFmtId="0" fontId="0" fillId="16" borderId="0" xfId="0" applyFill="1" applyAlignment="1">
      <alignment horizontal="center"/>
    </xf>
    <xf numFmtId="0" fontId="5" fillId="0" borderId="0" xfId="0" applyFont="1" applyAlignment="1">
      <alignment horizontal="center" vertical="center"/>
    </xf>
    <xf numFmtId="0" fontId="11" fillId="0" borderId="9" xfId="0" applyFont="1" applyBorder="1" applyAlignment="1">
      <alignment horizontal="center"/>
    </xf>
    <xf numFmtId="0" fontId="11" fillId="2" borderId="9" xfId="0" applyFont="1" applyFill="1" applyBorder="1" applyAlignment="1">
      <alignment horizontal="center"/>
    </xf>
    <xf numFmtId="169" fontId="2" fillId="16" borderId="9" xfId="0" applyNumberFormat="1" applyFont="1" applyFill="1" applyBorder="1" applyAlignment="1">
      <alignment horizontal="center" vertical="center" textRotation="90"/>
    </xf>
    <xf numFmtId="170" fontId="0" fillId="0" borderId="10" xfId="0" applyNumberFormat="1" applyBorder="1" applyAlignment="1">
      <alignment horizontal="center"/>
    </xf>
    <xf numFmtId="170" fontId="0" fillId="0" borderId="0" xfId="0" applyNumberFormat="1" applyAlignment="1">
      <alignment horizontal="center"/>
    </xf>
    <xf numFmtId="0" fontId="13" fillId="0" borderId="9" xfId="0" applyFont="1" applyBorder="1" applyAlignment="1">
      <alignment horizontal="center"/>
    </xf>
    <xf numFmtId="165" fontId="13" fillId="0" borderId="9" xfId="0" applyNumberFormat="1" applyFont="1" applyBorder="1" applyAlignment="1">
      <alignment horizontal="center"/>
    </xf>
    <xf numFmtId="0" fontId="7" fillId="0" borderId="4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15" fillId="0" borderId="12" xfId="0" applyFont="1" applyBorder="1"/>
    <xf numFmtId="0" fontId="15" fillId="0" borderId="14" xfId="0" applyFont="1" applyBorder="1"/>
    <xf numFmtId="0" fontId="0" fillId="0" borderId="13" xfId="0" applyBorder="1"/>
    <xf numFmtId="165" fontId="2" fillId="11" borderId="5" xfId="0" applyNumberFormat="1" applyFont="1" applyFill="1" applyBorder="1" applyAlignment="1">
      <alignment horizontal="center"/>
    </xf>
    <xf numFmtId="165" fontId="2" fillId="11" borderId="8" xfId="0" applyNumberFormat="1" applyFont="1" applyFill="1" applyBorder="1" applyAlignment="1">
      <alignment horizontal="center"/>
    </xf>
    <xf numFmtId="170" fontId="2" fillId="6" borderId="26" xfId="0" applyNumberFormat="1" applyFont="1" applyFill="1" applyBorder="1" applyAlignment="1">
      <alignment horizontal="center"/>
    </xf>
    <xf numFmtId="20" fontId="2" fillId="6" borderId="27" xfId="0" applyNumberFormat="1" applyFont="1" applyFill="1" applyBorder="1" applyAlignment="1">
      <alignment horizontal="center"/>
    </xf>
    <xf numFmtId="165" fontId="2" fillId="11" borderId="28" xfId="0" applyNumberFormat="1" applyFont="1" applyFill="1" applyBorder="1" applyAlignment="1">
      <alignment horizontal="center"/>
    </xf>
    <xf numFmtId="0" fontId="16" fillId="0" borderId="9" xfId="0" applyFont="1" applyBorder="1"/>
    <xf numFmtId="168" fontId="16" fillId="0" borderId="9" xfId="1" applyNumberFormat="1" applyFont="1" applyBorder="1"/>
    <xf numFmtId="164" fontId="16" fillId="0" borderId="9" xfId="1" applyFont="1" applyBorder="1"/>
    <xf numFmtId="165" fontId="2" fillId="12" borderId="0" xfId="0" applyNumberFormat="1" applyFont="1" applyFill="1" applyAlignment="1">
      <alignment horizontal="center"/>
    </xf>
    <xf numFmtId="165" fontId="2" fillId="12" borderId="5" xfId="0" applyNumberFormat="1" applyFont="1" applyFill="1" applyBorder="1" applyAlignment="1">
      <alignment horizontal="center"/>
    </xf>
    <xf numFmtId="165" fontId="2" fillId="12" borderId="7" xfId="0" applyNumberFormat="1" applyFont="1" applyFill="1" applyBorder="1" applyAlignment="1">
      <alignment horizontal="center"/>
    </xf>
    <xf numFmtId="165" fontId="2" fillId="12" borderId="8" xfId="0" applyNumberFormat="1" applyFont="1" applyFill="1" applyBorder="1" applyAlignment="1">
      <alignment horizontal="center"/>
    </xf>
    <xf numFmtId="0" fontId="17" fillId="0" borderId="0" xfId="0" applyFont="1"/>
    <xf numFmtId="20" fontId="2" fillId="12" borderId="0" xfId="0" applyNumberFormat="1" applyFont="1" applyFill="1" applyAlignment="1">
      <alignment horizontal="center"/>
    </xf>
    <xf numFmtId="170" fontId="2" fillId="12" borderId="0" xfId="0" applyNumberFormat="1" applyFont="1" applyFill="1" applyAlignment="1">
      <alignment horizontal="center"/>
    </xf>
    <xf numFmtId="0" fontId="16" fillId="0" borderId="9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0" fontId="8" fillId="6" borderId="12" xfId="2" applyFill="1" applyBorder="1" applyAlignment="1">
      <alignment horizontal="center"/>
    </xf>
    <xf numFmtId="0" fontId="8" fillId="6" borderId="14" xfId="2" applyFill="1" applyBorder="1" applyAlignment="1">
      <alignment horizontal="center"/>
    </xf>
    <xf numFmtId="0" fontId="8" fillId="6" borderId="13" xfId="2" applyFill="1" applyBorder="1" applyAlignment="1">
      <alignment horizontal="center"/>
    </xf>
    <xf numFmtId="0" fontId="12" fillId="17" borderId="9" xfId="0" applyFont="1" applyFill="1" applyBorder="1" applyAlignment="1">
      <alignment horizontal="left" vertical="center" wrapText="1"/>
    </xf>
    <xf numFmtId="0" fontId="14" fillId="17" borderId="0" xfId="0" applyFont="1" applyFill="1" applyAlignment="1">
      <alignment horizontal="center" vertical="center" wrapText="1"/>
    </xf>
    <xf numFmtId="0" fontId="14" fillId="18" borderId="0" xfId="0" applyFont="1" applyFill="1" applyAlignment="1">
      <alignment horizontal="center" vertical="center" wrapText="1"/>
    </xf>
  </cellXfs>
  <cellStyles count="3">
    <cellStyle name="Comma" xfId="1" builtinId="3"/>
    <cellStyle name="Hyperlink" xfId="2" builtinId="8"/>
    <cellStyle name="Normal" xfId="0" builtinId="0"/>
  </cellStyles>
  <dxfs count="134">
    <dxf>
      <font>
        <color rgb="FF9C5700"/>
      </font>
      <fill>
        <patternFill>
          <bgColor rgb="FFFFEB9C"/>
        </patternFill>
      </fill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1" formatCode="d/mm/yyyy\ hh:mm"/>
    </dxf>
    <dxf>
      <numFmt numFmtId="172" formatCode="hh:mm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3" formatCode="d/mm/yyyy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1" formatCode="d/mm/yyyy\ hh:mm"/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3" formatCode="d/mm/yyyy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0" formatCode="dddd\ d/mmm/yyyy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6" formatCode="0.000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6" formatCode="0.00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i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3" formatCode="d/mm/yyyy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5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5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hartsheet" Target="chartsheets/sheet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hartsheet" Target="chartsheets/sheet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PC!$F$2</c:f>
              <c:strCache>
                <c:ptCount val="1"/>
                <c:pt idx="0">
                  <c:v>Warranted Power Curve for 
1.194Kg/m3 air density [kW]
SG 5.0-145 (AM 0, 5.0MW) AT 
90M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PC!$F$3:$F$9</c:f>
              <c:numCache>
                <c:formatCode>General</c:formatCode>
                <c:ptCount val="7"/>
                <c:pt idx="0">
                  <c:v>5000</c:v>
                </c:pt>
                <c:pt idx="1">
                  <c:v>5000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34-4E18-9F69-EAFD88F7A48E}"/>
            </c:ext>
          </c:extLst>
        </c:ser>
        <c:ser>
          <c:idx val="1"/>
          <c:order val="1"/>
          <c:tx>
            <c:strRef>
              <c:f>PC!$G$2</c:f>
              <c:strCache>
                <c:ptCount val="1"/>
                <c:pt idx="0">
                  <c:v>Warranted Power Curve for 
1.194Kg/m3 air density [kW]
SG 5.0-145 (AM+1, 5.2MW) AT 
90M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PC!$G$3:$G$9</c:f>
              <c:numCache>
                <c:formatCode>General</c:formatCode>
                <c:ptCount val="7"/>
                <c:pt idx="0">
                  <c:v>5200</c:v>
                </c:pt>
                <c:pt idx="1">
                  <c:v>5200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234-4E18-9F69-EAFD88F7A4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9013456"/>
        <c:axId val="1059005968"/>
      </c:scatterChart>
      <c:valAx>
        <c:axId val="1059013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005968"/>
        <c:crosses val="autoZero"/>
        <c:crossBetween val="midCat"/>
      </c:valAx>
      <c:valAx>
        <c:axId val="1059005968"/>
        <c:scaling>
          <c:orientation val="minMax"/>
          <c:max val="5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013456"/>
        <c:crosses val="autoZero"/>
        <c:crossBetween val="midCat"/>
        <c:majorUnit val="2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'Plantilla Datos'!$M$7</c:f>
          <c:strCache>
            <c:ptCount val="1"/>
            <c:pt idx="0">
              <c:v>Generación Pronosticada PE Punta Lomitas&amp;Expansión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70195206357140261"/>
        </c:manualLayout>
      </c:layout>
      <c:scatterChart>
        <c:scatterStyle val="smoothMarker"/>
        <c:varyColors val="0"/>
        <c:ser>
          <c:idx val="0"/>
          <c:order val="0"/>
          <c:tx>
            <c:v>MW Pronostico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'Darwin Procesada'!$B$4:$B$73</c:f>
              <c:numCache>
                <c:formatCode>dddd\ d/mmm/yyyy</c:formatCode>
                <c:ptCount val="70"/>
                <c:pt idx="0">
                  <c:v>45613.083333333336</c:v>
                </c:pt>
                <c:pt idx="1">
                  <c:v>45613.125</c:v>
                </c:pt>
                <c:pt idx="2">
                  <c:v>45613.166666666664</c:v>
                </c:pt>
                <c:pt idx="3">
                  <c:v>45613.208333333328</c:v>
                </c:pt>
                <c:pt idx="4">
                  <c:v>45613.249999999993</c:v>
                </c:pt>
                <c:pt idx="5">
                  <c:v>45613.291666666657</c:v>
                </c:pt>
                <c:pt idx="6">
                  <c:v>45613.333333333321</c:v>
                </c:pt>
                <c:pt idx="7">
                  <c:v>45613.374999999985</c:v>
                </c:pt>
                <c:pt idx="8">
                  <c:v>45613.41666666665</c:v>
                </c:pt>
                <c:pt idx="9">
                  <c:v>45613.458333333314</c:v>
                </c:pt>
                <c:pt idx="10">
                  <c:v>45613.499999999978</c:v>
                </c:pt>
                <c:pt idx="11">
                  <c:v>45613.541666666642</c:v>
                </c:pt>
                <c:pt idx="12">
                  <c:v>45613.583333333307</c:v>
                </c:pt>
                <c:pt idx="13">
                  <c:v>45613.624999999971</c:v>
                </c:pt>
                <c:pt idx="14">
                  <c:v>45613.666666666635</c:v>
                </c:pt>
                <c:pt idx="15">
                  <c:v>45613.708333333299</c:v>
                </c:pt>
                <c:pt idx="16">
                  <c:v>45613.749999999964</c:v>
                </c:pt>
                <c:pt idx="17">
                  <c:v>45613.791666666628</c:v>
                </c:pt>
                <c:pt idx="18">
                  <c:v>45613.833333333292</c:v>
                </c:pt>
                <c:pt idx="19">
                  <c:v>45613.874999999956</c:v>
                </c:pt>
                <c:pt idx="20">
                  <c:v>45613.916666666621</c:v>
                </c:pt>
                <c:pt idx="21">
                  <c:v>45613.958333333285</c:v>
                </c:pt>
                <c:pt idx="22">
                  <c:v>45613.999999999949</c:v>
                </c:pt>
                <c:pt idx="23">
                  <c:v>45614.041666666613</c:v>
                </c:pt>
                <c:pt idx="24">
                  <c:v>45614.083333333278</c:v>
                </c:pt>
                <c:pt idx="25">
                  <c:v>45614.124999999942</c:v>
                </c:pt>
                <c:pt idx="26">
                  <c:v>45614.166666666606</c:v>
                </c:pt>
                <c:pt idx="27">
                  <c:v>45614.20833333327</c:v>
                </c:pt>
                <c:pt idx="28">
                  <c:v>45614.249999999935</c:v>
                </c:pt>
                <c:pt idx="29">
                  <c:v>45614.291666666599</c:v>
                </c:pt>
                <c:pt idx="30">
                  <c:v>45614.333333333263</c:v>
                </c:pt>
                <c:pt idx="31">
                  <c:v>45614.374999999927</c:v>
                </c:pt>
                <c:pt idx="32">
                  <c:v>45614.416666666591</c:v>
                </c:pt>
                <c:pt idx="33">
                  <c:v>45614.458333333256</c:v>
                </c:pt>
                <c:pt idx="34">
                  <c:v>45614.49999999992</c:v>
                </c:pt>
                <c:pt idx="35">
                  <c:v>45614.541666666584</c:v>
                </c:pt>
                <c:pt idx="36">
                  <c:v>45614.583333333248</c:v>
                </c:pt>
                <c:pt idx="37">
                  <c:v>45614.624999999913</c:v>
                </c:pt>
                <c:pt idx="38">
                  <c:v>45614.666666666577</c:v>
                </c:pt>
                <c:pt idx="39">
                  <c:v>45614.708333333241</c:v>
                </c:pt>
                <c:pt idx="40">
                  <c:v>45614.749999999905</c:v>
                </c:pt>
                <c:pt idx="41">
                  <c:v>45614.79166666657</c:v>
                </c:pt>
                <c:pt idx="42">
                  <c:v>45614.833333333234</c:v>
                </c:pt>
                <c:pt idx="43">
                  <c:v>45614.874999999898</c:v>
                </c:pt>
                <c:pt idx="44">
                  <c:v>45614.916666666562</c:v>
                </c:pt>
                <c:pt idx="45">
                  <c:v>45614.958333333227</c:v>
                </c:pt>
                <c:pt idx="46">
                  <c:v>45614.999999999891</c:v>
                </c:pt>
                <c:pt idx="47">
                  <c:v>45615.041666666555</c:v>
                </c:pt>
                <c:pt idx="48">
                  <c:v>45615.083333333219</c:v>
                </c:pt>
                <c:pt idx="49">
                  <c:v>45615.124999999884</c:v>
                </c:pt>
                <c:pt idx="50">
                  <c:v>45615.166666666548</c:v>
                </c:pt>
                <c:pt idx="51">
                  <c:v>45615.208333333212</c:v>
                </c:pt>
                <c:pt idx="52">
                  <c:v>45615.249999999876</c:v>
                </c:pt>
                <c:pt idx="53">
                  <c:v>45615.291666666541</c:v>
                </c:pt>
                <c:pt idx="54">
                  <c:v>45615.333333333205</c:v>
                </c:pt>
                <c:pt idx="55">
                  <c:v>45615.374999999869</c:v>
                </c:pt>
                <c:pt idx="56">
                  <c:v>45615.416666666533</c:v>
                </c:pt>
                <c:pt idx="57">
                  <c:v>45615.458333333198</c:v>
                </c:pt>
                <c:pt idx="58">
                  <c:v>45615.499999999862</c:v>
                </c:pt>
                <c:pt idx="59">
                  <c:v>45615.541666666526</c:v>
                </c:pt>
                <c:pt idx="60">
                  <c:v>45615.58333333319</c:v>
                </c:pt>
                <c:pt idx="61">
                  <c:v>45615.624999999854</c:v>
                </c:pt>
                <c:pt idx="62">
                  <c:v>45615.666666666519</c:v>
                </c:pt>
                <c:pt idx="63">
                  <c:v>45615.708333333183</c:v>
                </c:pt>
                <c:pt idx="64">
                  <c:v>45615.749999999847</c:v>
                </c:pt>
                <c:pt idx="65">
                  <c:v>45615.791666666511</c:v>
                </c:pt>
                <c:pt idx="66">
                  <c:v>45615.833333333176</c:v>
                </c:pt>
                <c:pt idx="67">
                  <c:v>45615.87499999984</c:v>
                </c:pt>
                <c:pt idx="68">
                  <c:v>45615.916666666504</c:v>
                </c:pt>
                <c:pt idx="69">
                  <c:v>45615.958333333168</c:v>
                </c:pt>
              </c:numCache>
            </c:numRef>
          </c:xVal>
          <c:yVal>
            <c:numRef>
              <c:f>'Darwin Procesada'!$D$4:$D$73</c:f>
              <c:numCache>
                <c:formatCode>0.0</c:formatCode>
                <c:ptCount val="70"/>
                <c:pt idx="0">
                  <c:v>91.951999999999998</c:v>
                </c:pt>
                <c:pt idx="1">
                  <c:v>74.27</c:v>
                </c:pt>
                <c:pt idx="2">
                  <c:v>47.662999999999997</c:v>
                </c:pt>
                <c:pt idx="3">
                  <c:v>36.143999999999998</c:v>
                </c:pt>
                <c:pt idx="4">
                  <c:v>36.143999999999998</c:v>
                </c:pt>
                <c:pt idx="5">
                  <c:v>21.309000000000001</c:v>
                </c:pt>
                <c:pt idx="6">
                  <c:v>8.3879999999999999</c:v>
                </c:pt>
                <c:pt idx="7">
                  <c:v>21.309000000000001</c:v>
                </c:pt>
                <c:pt idx="8">
                  <c:v>58.882999999999996</c:v>
                </c:pt>
                <c:pt idx="9">
                  <c:v>124.345</c:v>
                </c:pt>
                <c:pt idx="10">
                  <c:v>166.48499999999999</c:v>
                </c:pt>
                <c:pt idx="11">
                  <c:v>181.523</c:v>
                </c:pt>
                <c:pt idx="12">
                  <c:v>181.523</c:v>
                </c:pt>
                <c:pt idx="13">
                  <c:v>186.68900000000002</c:v>
                </c:pt>
                <c:pt idx="14">
                  <c:v>181.523</c:v>
                </c:pt>
                <c:pt idx="15">
                  <c:v>171.85299999999998</c:v>
                </c:pt>
                <c:pt idx="16">
                  <c:v>171.85299999999998</c:v>
                </c:pt>
                <c:pt idx="17">
                  <c:v>199.32300000000001</c:v>
                </c:pt>
                <c:pt idx="18">
                  <c:v>199.32300000000001</c:v>
                </c:pt>
                <c:pt idx="19">
                  <c:v>186.68900000000002</c:v>
                </c:pt>
                <c:pt idx="20">
                  <c:v>186.68900000000002</c:v>
                </c:pt>
                <c:pt idx="21">
                  <c:v>161.916</c:v>
                </c:pt>
                <c:pt idx="22">
                  <c:v>129.08600000000001</c:v>
                </c:pt>
                <c:pt idx="23">
                  <c:v>104.114</c:v>
                </c:pt>
                <c:pt idx="24">
                  <c:v>61.262999999999991</c:v>
                </c:pt>
                <c:pt idx="25">
                  <c:v>38.322000000000003</c:v>
                </c:pt>
                <c:pt idx="26">
                  <c:v>19.946999999999999</c:v>
                </c:pt>
                <c:pt idx="27">
                  <c:v>21.309000000000001</c:v>
                </c:pt>
                <c:pt idx="28">
                  <c:v>21.309000000000001</c:v>
                </c:pt>
                <c:pt idx="29">
                  <c:v>26.473000000000003</c:v>
                </c:pt>
                <c:pt idx="30">
                  <c:v>47.662999999999997</c:v>
                </c:pt>
                <c:pt idx="31">
                  <c:v>74.27</c:v>
                </c:pt>
                <c:pt idx="32">
                  <c:v>111.70099999999999</c:v>
                </c:pt>
                <c:pt idx="33">
                  <c:v>129.08600000000001</c:v>
                </c:pt>
                <c:pt idx="34">
                  <c:v>145.37700000000001</c:v>
                </c:pt>
                <c:pt idx="35">
                  <c:v>161.916</c:v>
                </c:pt>
                <c:pt idx="36">
                  <c:v>171.85299999999998</c:v>
                </c:pt>
                <c:pt idx="37">
                  <c:v>181.523</c:v>
                </c:pt>
                <c:pt idx="38">
                  <c:v>199.32300000000001</c:v>
                </c:pt>
                <c:pt idx="39">
                  <c:v>199.32300000000001</c:v>
                </c:pt>
                <c:pt idx="40">
                  <c:v>199.32300000000001</c:v>
                </c:pt>
                <c:pt idx="41">
                  <c:v>213.613</c:v>
                </c:pt>
                <c:pt idx="42">
                  <c:v>199.32300000000001</c:v>
                </c:pt>
                <c:pt idx="43">
                  <c:v>199.32300000000001</c:v>
                </c:pt>
                <c:pt idx="44">
                  <c:v>181.523</c:v>
                </c:pt>
                <c:pt idx="45">
                  <c:v>150.536</c:v>
                </c:pt>
                <c:pt idx="46">
                  <c:v>110.57100000000001</c:v>
                </c:pt>
                <c:pt idx="47">
                  <c:v>81.605000000000004</c:v>
                </c:pt>
                <c:pt idx="48">
                  <c:v>54.105999999999995</c:v>
                </c:pt>
                <c:pt idx="49">
                  <c:v>40.875</c:v>
                </c:pt>
                <c:pt idx="50">
                  <c:v>25.275000000000002</c:v>
                </c:pt>
                <c:pt idx="51">
                  <c:v>25.275000000000002</c:v>
                </c:pt>
                <c:pt idx="52">
                  <c:v>32.103000000000002</c:v>
                </c:pt>
                <c:pt idx="53">
                  <c:v>32.103000000000002</c:v>
                </c:pt>
                <c:pt idx="54">
                  <c:v>52.518000000000001</c:v>
                </c:pt>
                <c:pt idx="55">
                  <c:v>81.605000000000004</c:v>
                </c:pt>
                <c:pt idx="56">
                  <c:v>110.57100000000001</c:v>
                </c:pt>
                <c:pt idx="57">
                  <c:v>115.91500000000001</c:v>
                </c:pt>
                <c:pt idx="58">
                  <c:v>137.999</c:v>
                </c:pt>
                <c:pt idx="59">
                  <c:v>143.17100000000002</c:v>
                </c:pt>
                <c:pt idx="60">
                  <c:v>160.476</c:v>
                </c:pt>
                <c:pt idx="61">
                  <c:v>166.10399999999998</c:v>
                </c:pt>
                <c:pt idx="62">
                  <c:v>179.61</c:v>
                </c:pt>
                <c:pt idx="63">
                  <c:v>166.10399999999998</c:v>
                </c:pt>
                <c:pt idx="64">
                  <c:v>160.476</c:v>
                </c:pt>
                <c:pt idx="65">
                  <c:v>160.476</c:v>
                </c:pt>
                <c:pt idx="66">
                  <c:v>160.476</c:v>
                </c:pt>
                <c:pt idx="67">
                  <c:v>166.10399999999998</c:v>
                </c:pt>
                <c:pt idx="68">
                  <c:v>166.10399999999998</c:v>
                </c:pt>
                <c:pt idx="69">
                  <c:v>160.476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91E-4ED7-8622-22A4CC7CAB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3"/>
          <c:order val="1"/>
          <c:tx>
            <c:v>Viento Pronostico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'Darwin Procesada'!$B$4:$B$73</c:f>
              <c:numCache>
                <c:formatCode>dddd\ d/mmm/yyyy</c:formatCode>
                <c:ptCount val="70"/>
                <c:pt idx="0">
                  <c:v>45613.083333333336</c:v>
                </c:pt>
                <c:pt idx="1">
                  <c:v>45613.125</c:v>
                </c:pt>
                <c:pt idx="2">
                  <c:v>45613.166666666664</c:v>
                </c:pt>
                <c:pt idx="3">
                  <c:v>45613.208333333328</c:v>
                </c:pt>
                <c:pt idx="4">
                  <c:v>45613.249999999993</c:v>
                </c:pt>
                <c:pt idx="5">
                  <c:v>45613.291666666657</c:v>
                </c:pt>
                <c:pt idx="6">
                  <c:v>45613.333333333321</c:v>
                </c:pt>
                <c:pt idx="7">
                  <c:v>45613.374999999985</c:v>
                </c:pt>
                <c:pt idx="8">
                  <c:v>45613.41666666665</c:v>
                </c:pt>
                <c:pt idx="9">
                  <c:v>45613.458333333314</c:v>
                </c:pt>
                <c:pt idx="10">
                  <c:v>45613.499999999978</c:v>
                </c:pt>
                <c:pt idx="11">
                  <c:v>45613.541666666642</c:v>
                </c:pt>
                <c:pt idx="12">
                  <c:v>45613.583333333307</c:v>
                </c:pt>
                <c:pt idx="13">
                  <c:v>45613.624999999971</c:v>
                </c:pt>
                <c:pt idx="14">
                  <c:v>45613.666666666635</c:v>
                </c:pt>
                <c:pt idx="15">
                  <c:v>45613.708333333299</c:v>
                </c:pt>
                <c:pt idx="16">
                  <c:v>45613.749999999964</c:v>
                </c:pt>
                <c:pt idx="17">
                  <c:v>45613.791666666628</c:v>
                </c:pt>
                <c:pt idx="18">
                  <c:v>45613.833333333292</c:v>
                </c:pt>
                <c:pt idx="19">
                  <c:v>45613.874999999956</c:v>
                </c:pt>
                <c:pt idx="20">
                  <c:v>45613.916666666621</c:v>
                </c:pt>
                <c:pt idx="21">
                  <c:v>45613.958333333285</c:v>
                </c:pt>
                <c:pt idx="22">
                  <c:v>45613.999999999949</c:v>
                </c:pt>
                <c:pt idx="23">
                  <c:v>45614.041666666613</c:v>
                </c:pt>
                <c:pt idx="24">
                  <c:v>45614.083333333278</c:v>
                </c:pt>
                <c:pt idx="25">
                  <c:v>45614.124999999942</c:v>
                </c:pt>
                <c:pt idx="26">
                  <c:v>45614.166666666606</c:v>
                </c:pt>
                <c:pt idx="27">
                  <c:v>45614.20833333327</c:v>
                </c:pt>
                <c:pt idx="28">
                  <c:v>45614.249999999935</c:v>
                </c:pt>
                <c:pt idx="29">
                  <c:v>45614.291666666599</c:v>
                </c:pt>
                <c:pt idx="30">
                  <c:v>45614.333333333263</c:v>
                </c:pt>
                <c:pt idx="31">
                  <c:v>45614.374999999927</c:v>
                </c:pt>
                <c:pt idx="32">
                  <c:v>45614.416666666591</c:v>
                </c:pt>
                <c:pt idx="33">
                  <c:v>45614.458333333256</c:v>
                </c:pt>
                <c:pt idx="34">
                  <c:v>45614.49999999992</c:v>
                </c:pt>
                <c:pt idx="35">
                  <c:v>45614.541666666584</c:v>
                </c:pt>
                <c:pt idx="36">
                  <c:v>45614.583333333248</c:v>
                </c:pt>
                <c:pt idx="37">
                  <c:v>45614.624999999913</c:v>
                </c:pt>
                <c:pt idx="38">
                  <c:v>45614.666666666577</c:v>
                </c:pt>
                <c:pt idx="39">
                  <c:v>45614.708333333241</c:v>
                </c:pt>
                <c:pt idx="40">
                  <c:v>45614.749999999905</c:v>
                </c:pt>
                <c:pt idx="41">
                  <c:v>45614.79166666657</c:v>
                </c:pt>
                <c:pt idx="42">
                  <c:v>45614.833333333234</c:v>
                </c:pt>
                <c:pt idx="43">
                  <c:v>45614.874999999898</c:v>
                </c:pt>
                <c:pt idx="44">
                  <c:v>45614.916666666562</c:v>
                </c:pt>
                <c:pt idx="45">
                  <c:v>45614.958333333227</c:v>
                </c:pt>
                <c:pt idx="46">
                  <c:v>45614.999999999891</c:v>
                </c:pt>
                <c:pt idx="47">
                  <c:v>45615.041666666555</c:v>
                </c:pt>
                <c:pt idx="48">
                  <c:v>45615.083333333219</c:v>
                </c:pt>
                <c:pt idx="49">
                  <c:v>45615.124999999884</c:v>
                </c:pt>
                <c:pt idx="50">
                  <c:v>45615.166666666548</c:v>
                </c:pt>
                <c:pt idx="51">
                  <c:v>45615.208333333212</c:v>
                </c:pt>
                <c:pt idx="52">
                  <c:v>45615.249999999876</c:v>
                </c:pt>
                <c:pt idx="53">
                  <c:v>45615.291666666541</c:v>
                </c:pt>
                <c:pt idx="54">
                  <c:v>45615.333333333205</c:v>
                </c:pt>
                <c:pt idx="55">
                  <c:v>45615.374999999869</c:v>
                </c:pt>
                <c:pt idx="56">
                  <c:v>45615.416666666533</c:v>
                </c:pt>
                <c:pt idx="57">
                  <c:v>45615.458333333198</c:v>
                </c:pt>
                <c:pt idx="58">
                  <c:v>45615.499999999862</c:v>
                </c:pt>
                <c:pt idx="59">
                  <c:v>45615.541666666526</c:v>
                </c:pt>
                <c:pt idx="60">
                  <c:v>45615.58333333319</c:v>
                </c:pt>
                <c:pt idx="61">
                  <c:v>45615.624999999854</c:v>
                </c:pt>
                <c:pt idx="62">
                  <c:v>45615.666666666519</c:v>
                </c:pt>
                <c:pt idx="63">
                  <c:v>45615.708333333183</c:v>
                </c:pt>
                <c:pt idx="64">
                  <c:v>45615.749999999847</c:v>
                </c:pt>
                <c:pt idx="65">
                  <c:v>45615.791666666511</c:v>
                </c:pt>
                <c:pt idx="66">
                  <c:v>45615.833333333176</c:v>
                </c:pt>
                <c:pt idx="67">
                  <c:v>45615.87499999984</c:v>
                </c:pt>
                <c:pt idx="68">
                  <c:v>45615.916666666504</c:v>
                </c:pt>
                <c:pt idx="69">
                  <c:v>45615.958333333168</c:v>
                </c:pt>
              </c:numCache>
            </c:numRef>
          </c:xVal>
          <c:yVal>
            <c:numRef>
              <c:f>'Darwin Procesada'!$H$4:$H$73</c:f>
              <c:numCache>
                <c:formatCode>General</c:formatCode>
                <c:ptCount val="70"/>
                <c:pt idx="0">
                  <c:v>7.7</c:v>
                </c:pt>
                <c:pt idx="1">
                  <c:v>7.1</c:v>
                </c:pt>
                <c:pt idx="2">
                  <c:v>6.3</c:v>
                </c:pt>
                <c:pt idx="3">
                  <c:v>5.8</c:v>
                </c:pt>
                <c:pt idx="4">
                  <c:v>5.7</c:v>
                </c:pt>
                <c:pt idx="5">
                  <c:v>4.9000000000000004</c:v>
                </c:pt>
                <c:pt idx="6">
                  <c:v>4</c:v>
                </c:pt>
                <c:pt idx="7">
                  <c:v>5</c:v>
                </c:pt>
                <c:pt idx="8">
                  <c:v>6.9</c:v>
                </c:pt>
                <c:pt idx="9">
                  <c:v>8.6999999999999993</c:v>
                </c:pt>
                <c:pt idx="10">
                  <c:v>9.8000000000000007</c:v>
                </c:pt>
                <c:pt idx="11">
                  <c:v>10.199999999999999</c:v>
                </c:pt>
                <c:pt idx="12">
                  <c:v>10.3</c:v>
                </c:pt>
                <c:pt idx="13">
                  <c:v>10.4</c:v>
                </c:pt>
                <c:pt idx="14">
                  <c:v>10.3</c:v>
                </c:pt>
                <c:pt idx="15">
                  <c:v>10</c:v>
                </c:pt>
                <c:pt idx="16">
                  <c:v>10</c:v>
                </c:pt>
                <c:pt idx="17">
                  <c:v>10.6</c:v>
                </c:pt>
                <c:pt idx="18">
                  <c:v>10.6</c:v>
                </c:pt>
                <c:pt idx="19">
                  <c:v>10.5</c:v>
                </c:pt>
                <c:pt idx="20">
                  <c:v>10.4</c:v>
                </c:pt>
                <c:pt idx="21">
                  <c:v>9.6999999999999993</c:v>
                </c:pt>
                <c:pt idx="22">
                  <c:v>8.9</c:v>
                </c:pt>
                <c:pt idx="23">
                  <c:v>8.1999999999999993</c:v>
                </c:pt>
                <c:pt idx="24">
                  <c:v>7</c:v>
                </c:pt>
                <c:pt idx="25">
                  <c:v>5.9</c:v>
                </c:pt>
                <c:pt idx="26">
                  <c:v>4.8</c:v>
                </c:pt>
                <c:pt idx="27">
                  <c:v>4.9000000000000004</c:v>
                </c:pt>
                <c:pt idx="28">
                  <c:v>5</c:v>
                </c:pt>
                <c:pt idx="29">
                  <c:v>5.0999999999999996</c:v>
                </c:pt>
                <c:pt idx="30">
                  <c:v>6.3</c:v>
                </c:pt>
                <c:pt idx="31">
                  <c:v>7.4</c:v>
                </c:pt>
                <c:pt idx="32">
                  <c:v>8.5</c:v>
                </c:pt>
                <c:pt idx="33">
                  <c:v>8.9</c:v>
                </c:pt>
                <c:pt idx="34">
                  <c:v>9.3000000000000007</c:v>
                </c:pt>
                <c:pt idx="35">
                  <c:v>9.6999999999999993</c:v>
                </c:pt>
                <c:pt idx="36">
                  <c:v>10</c:v>
                </c:pt>
                <c:pt idx="37">
                  <c:v>10.3</c:v>
                </c:pt>
                <c:pt idx="38">
                  <c:v>10.6</c:v>
                </c:pt>
                <c:pt idx="39">
                  <c:v>10.8</c:v>
                </c:pt>
                <c:pt idx="40">
                  <c:v>11</c:v>
                </c:pt>
                <c:pt idx="41">
                  <c:v>11.2</c:v>
                </c:pt>
                <c:pt idx="42">
                  <c:v>10.9</c:v>
                </c:pt>
                <c:pt idx="43">
                  <c:v>10.6</c:v>
                </c:pt>
                <c:pt idx="44">
                  <c:v>10.3</c:v>
                </c:pt>
                <c:pt idx="45">
                  <c:v>9.5</c:v>
                </c:pt>
                <c:pt idx="46">
                  <c:v>8.6</c:v>
                </c:pt>
                <c:pt idx="47">
                  <c:v>7.8</c:v>
                </c:pt>
                <c:pt idx="48">
                  <c:v>7</c:v>
                </c:pt>
                <c:pt idx="49">
                  <c:v>6.2</c:v>
                </c:pt>
                <c:pt idx="50">
                  <c:v>5.4</c:v>
                </c:pt>
                <c:pt idx="51">
                  <c:v>5.5</c:v>
                </c:pt>
                <c:pt idx="52">
                  <c:v>5.6</c:v>
                </c:pt>
                <c:pt idx="53">
                  <c:v>5.7</c:v>
                </c:pt>
                <c:pt idx="54">
                  <c:v>6.7</c:v>
                </c:pt>
                <c:pt idx="55">
                  <c:v>7.7</c:v>
                </c:pt>
                <c:pt idx="56">
                  <c:v>8.6999999999999993</c:v>
                </c:pt>
                <c:pt idx="57">
                  <c:v>8.6999999999999993</c:v>
                </c:pt>
                <c:pt idx="58">
                  <c:v>8.8000000000000007</c:v>
                </c:pt>
                <c:pt idx="59">
                  <c:v>8.9</c:v>
                </c:pt>
                <c:pt idx="60">
                  <c:v>9.1</c:v>
                </c:pt>
                <c:pt idx="61">
                  <c:v>9.4</c:v>
                </c:pt>
                <c:pt idx="62">
                  <c:v>9.6</c:v>
                </c:pt>
                <c:pt idx="63">
                  <c:v>9.4</c:v>
                </c:pt>
                <c:pt idx="64">
                  <c:v>9.3000000000000007</c:v>
                </c:pt>
                <c:pt idx="65">
                  <c:v>9.1</c:v>
                </c:pt>
                <c:pt idx="66">
                  <c:v>9.3000000000000007</c:v>
                </c:pt>
                <c:pt idx="67">
                  <c:v>9.4</c:v>
                </c:pt>
                <c:pt idx="68">
                  <c:v>9.5</c:v>
                </c:pt>
                <c:pt idx="69">
                  <c:v>9.1999999999999993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E65-4475-B481-F437ED9C82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5234944"/>
        <c:axId val="275232064"/>
      </c:scatterChart>
      <c:valAx>
        <c:axId val="16247057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6224272"/>
        <c:crosses val="autoZero"/>
        <c:crossBetween val="midCat"/>
        <c:majorUnit val="0.125"/>
      </c:valAx>
      <c:valAx>
        <c:axId val="1636224272"/>
        <c:scaling>
          <c:orientation val="minMax"/>
          <c:max val="3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4705792"/>
        <c:crosses val="autoZero"/>
        <c:crossBetween val="midCat"/>
        <c:majorUnit val="10"/>
      </c:valAx>
      <c:valAx>
        <c:axId val="275232064"/>
        <c:scaling>
          <c:orientation val="minMax"/>
          <c:max val="2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VIENTO</a:t>
                </a:r>
                <a:r>
                  <a:rPr lang="en-US" sz="1200" b="1" baseline="0"/>
                  <a:t> (m/s)</a:t>
                </a:r>
              </a:p>
            </c:rich>
          </c:tx>
          <c:layout>
            <c:manualLayout>
              <c:xMode val="edge"/>
              <c:yMode val="edge"/>
              <c:x val="0.97182474469986946"/>
              <c:y val="0.8076215323929849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5234944"/>
        <c:crosses val="max"/>
        <c:crossBetween val="midCat"/>
        <c:majorUnit val="1"/>
      </c:valAx>
      <c:valAx>
        <c:axId val="275234944"/>
        <c:scaling>
          <c:orientation val="minMax"/>
        </c:scaling>
        <c:delete val="1"/>
        <c:axPos val="b"/>
        <c:numFmt formatCode="dddd\ d/mmm/yyyy" sourceLinked="1"/>
        <c:majorTickMark val="out"/>
        <c:minorTickMark val="none"/>
        <c:tickLblPos val="nextTo"/>
        <c:crossAx val="2752320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'CCE PLOME 10d'!$B$1</c:f>
          <c:strCache>
            <c:ptCount val="1"/>
            <c:pt idx="0">
              <c:v>PROYECCIÓN DE GENERACIÓN PLOME 16 Nov - 25 Nov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69993043694196344"/>
        </c:manualLayout>
      </c:layout>
      <c:scatterChart>
        <c:scatterStyle val="smoothMarker"/>
        <c:varyColors val="0"/>
        <c:ser>
          <c:idx val="5"/>
          <c:order val="1"/>
          <c:tx>
            <c:strRef>
              <c:f>'CCE PLOME 10d'!$J$2</c:f>
              <c:strCache>
                <c:ptCount val="1"/>
                <c:pt idx="0">
                  <c:v>TOTAL MW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45612.083333333336</c:v>
                </c:pt>
                <c:pt idx="1">
                  <c:v>45612.125</c:v>
                </c:pt>
                <c:pt idx="2">
                  <c:v>45612.166666666664</c:v>
                </c:pt>
                <c:pt idx="3">
                  <c:v>45612.208333333328</c:v>
                </c:pt>
                <c:pt idx="4">
                  <c:v>45612.249999999993</c:v>
                </c:pt>
                <c:pt idx="5">
                  <c:v>45612.291666666657</c:v>
                </c:pt>
                <c:pt idx="6">
                  <c:v>45612.333333333321</c:v>
                </c:pt>
                <c:pt idx="7">
                  <c:v>45612.374999999985</c:v>
                </c:pt>
                <c:pt idx="8">
                  <c:v>45612.41666666665</c:v>
                </c:pt>
                <c:pt idx="9">
                  <c:v>45612.458333333314</c:v>
                </c:pt>
                <c:pt idx="10">
                  <c:v>45612.499999999978</c:v>
                </c:pt>
                <c:pt idx="11">
                  <c:v>45612.541666666642</c:v>
                </c:pt>
                <c:pt idx="12">
                  <c:v>45612.583333333307</c:v>
                </c:pt>
                <c:pt idx="13">
                  <c:v>45612.624999999971</c:v>
                </c:pt>
                <c:pt idx="14">
                  <c:v>45612.666666666635</c:v>
                </c:pt>
                <c:pt idx="15">
                  <c:v>45612.708333333299</c:v>
                </c:pt>
                <c:pt idx="16">
                  <c:v>45612.749999999964</c:v>
                </c:pt>
                <c:pt idx="17">
                  <c:v>45612.791666666628</c:v>
                </c:pt>
                <c:pt idx="18">
                  <c:v>45612.833333333292</c:v>
                </c:pt>
                <c:pt idx="19">
                  <c:v>45612.874999999956</c:v>
                </c:pt>
                <c:pt idx="20">
                  <c:v>45612.916666666621</c:v>
                </c:pt>
                <c:pt idx="21">
                  <c:v>45612.958333333285</c:v>
                </c:pt>
                <c:pt idx="22">
                  <c:v>45612.999999999949</c:v>
                </c:pt>
                <c:pt idx="23">
                  <c:v>45613.041666666613</c:v>
                </c:pt>
                <c:pt idx="24">
                  <c:v>45613.083333333278</c:v>
                </c:pt>
                <c:pt idx="25">
                  <c:v>45613.124999999942</c:v>
                </c:pt>
                <c:pt idx="26">
                  <c:v>45613.166666666606</c:v>
                </c:pt>
                <c:pt idx="27">
                  <c:v>45613.20833333327</c:v>
                </c:pt>
                <c:pt idx="28">
                  <c:v>45613.249999999935</c:v>
                </c:pt>
                <c:pt idx="29">
                  <c:v>45613.291666666599</c:v>
                </c:pt>
                <c:pt idx="30">
                  <c:v>45613.333333333263</c:v>
                </c:pt>
                <c:pt idx="31">
                  <c:v>45613.374999999927</c:v>
                </c:pt>
                <c:pt idx="32">
                  <c:v>45613.416666666591</c:v>
                </c:pt>
                <c:pt idx="33">
                  <c:v>45613.458333333256</c:v>
                </c:pt>
                <c:pt idx="34">
                  <c:v>45613.49999999992</c:v>
                </c:pt>
                <c:pt idx="35">
                  <c:v>45613.541666666584</c:v>
                </c:pt>
                <c:pt idx="36">
                  <c:v>45613.583333333248</c:v>
                </c:pt>
                <c:pt idx="37">
                  <c:v>45613.624999999913</c:v>
                </c:pt>
                <c:pt idx="38">
                  <c:v>45613.666666666577</c:v>
                </c:pt>
                <c:pt idx="39">
                  <c:v>45613.708333333241</c:v>
                </c:pt>
                <c:pt idx="40">
                  <c:v>45613.749999999905</c:v>
                </c:pt>
                <c:pt idx="41">
                  <c:v>45613.79166666657</c:v>
                </c:pt>
                <c:pt idx="42">
                  <c:v>45613.833333333234</c:v>
                </c:pt>
                <c:pt idx="43">
                  <c:v>45613.874999999898</c:v>
                </c:pt>
                <c:pt idx="44">
                  <c:v>45613.916666666562</c:v>
                </c:pt>
                <c:pt idx="45">
                  <c:v>45613.958333333227</c:v>
                </c:pt>
                <c:pt idx="46">
                  <c:v>45613.999999999891</c:v>
                </c:pt>
                <c:pt idx="47">
                  <c:v>45614.041666666555</c:v>
                </c:pt>
                <c:pt idx="48">
                  <c:v>45614.083333333219</c:v>
                </c:pt>
                <c:pt idx="49">
                  <c:v>45614.124999999884</c:v>
                </c:pt>
                <c:pt idx="50">
                  <c:v>45614.166666666548</c:v>
                </c:pt>
                <c:pt idx="51">
                  <c:v>45614.208333333212</c:v>
                </c:pt>
                <c:pt idx="52">
                  <c:v>45614.249999999876</c:v>
                </c:pt>
                <c:pt idx="53">
                  <c:v>45614.291666666541</c:v>
                </c:pt>
                <c:pt idx="54">
                  <c:v>45614.333333333205</c:v>
                </c:pt>
                <c:pt idx="55">
                  <c:v>45614.374999999869</c:v>
                </c:pt>
                <c:pt idx="56">
                  <c:v>45614.416666666533</c:v>
                </c:pt>
                <c:pt idx="57">
                  <c:v>45614.458333333198</c:v>
                </c:pt>
                <c:pt idx="58">
                  <c:v>45614.499999999862</c:v>
                </c:pt>
                <c:pt idx="59">
                  <c:v>45614.541666666526</c:v>
                </c:pt>
                <c:pt idx="60">
                  <c:v>45614.58333333319</c:v>
                </c:pt>
                <c:pt idx="61">
                  <c:v>45614.624999999854</c:v>
                </c:pt>
                <c:pt idx="62">
                  <c:v>45614.666666666519</c:v>
                </c:pt>
                <c:pt idx="63">
                  <c:v>45614.708333333183</c:v>
                </c:pt>
                <c:pt idx="64">
                  <c:v>45614.749999999847</c:v>
                </c:pt>
                <c:pt idx="65">
                  <c:v>45614.791666666511</c:v>
                </c:pt>
                <c:pt idx="66">
                  <c:v>45614.833333333176</c:v>
                </c:pt>
                <c:pt idx="67">
                  <c:v>45614.87499999984</c:v>
                </c:pt>
                <c:pt idx="68">
                  <c:v>45614.916666666504</c:v>
                </c:pt>
                <c:pt idx="69">
                  <c:v>45614.958333333168</c:v>
                </c:pt>
                <c:pt idx="70">
                  <c:v>45614.999999999833</c:v>
                </c:pt>
                <c:pt idx="71">
                  <c:v>45615.041666666497</c:v>
                </c:pt>
                <c:pt idx="72">
                  <c:v>45615.083333333161</c:v>
                </c:pt>
                <c:pt idx="73">
                  <c:v>45615.124999999825</c:v>
                </c:pt>
                <c:pt idx="74">
                  <c:v>45615.16666666649</c:v>
                </c:pt>
                <c:pt idx="75">
                  <c:v>45615.208333333154</c:v>
                </c:pt>
                <c:pt idx="76">
                  <c:v>45615.249999999818</c:v>
                </c:pt>
                <c:pt idx="77">
                  <c:v>45615.291666666482</c:v>
                </c:pt>
                <c:pt idx="78">
                  <c:v>45615.333333333147</c:v>
                </c:pt>
                <c:pt idx="79">
                  <c:v>45615.374999999811</c:v>
                </c:pt>
                <c:pt idx="80">
                  <c:v>45615.416666666475</c:v>
                </c:pt>
                <c:pt idx="81">
                  <c:v>45615.458333333139</c:v>
                </c:pt>
                <c:pt idx="82">
                  <c:v>45615.499999999804</c:v>
                </c:pt>
                <c:pt idx="83">
                  <c:v>45615.541666666468</c:v>
                </c:pt>
                <c:pt idx="84">
                  <c:v>45615.583333333132</c:v>
                </c:pt>
                <c:pt idx="85">
                  <c:v>45615.624999999796</c:v>
                </c:pt>
                <c:pt idx="86">
                  <c:v>45615.666666666461</c:v>
                </c:pt>
                <c:pt idx="87">
                  <c:v>45615.708333333125</c:v>
                </c:pt>
                <c:pt idx="88">
                  <c:v>45615.749999999789</c:v>
                </c:pt>
                <c:pt idx="89">
                  <c:v>45615.791666666453</c:v>
                </c:pt>
                <c:pt idx="90">
                  <c:v>45615.833333333117</c:v>
                </c:pt>
                <c:pt idx="91">
                  <c:v>45615.874999999782</c:v>
                </c:pt>
                <c:pt idx="92">
                  <c:v>45615.916666666446</c:v>
                </c:pt>
                <c:pt idx="93">
                  <c:v>45615.95833333311</c:v>
                </c:pt>
                <c:pt idx="94">
                  <c:v>45615.999999999774</c:v>
                </c:pt>
                <c:pt idx="95">
                  <c:v>45616.041666666439</c:v>
                </c:pt>
                <c:pt idx="96">
                  <c:v>45616.083333333103</c:v>
                </c:pt>
                <c:pt idx="97">
                  <c:v>45616.124999999767</c:v>
                </c:pt>
                <c:pt idx="98">
                  <c:v>45616.166666666431</c:v>
                </c:pt>
                <c:pt idx="99">
                  <c:v>45616.208333333096</c:v>
                </c:pt>
                <c:pt idx="100">
                  <c:v>45616.24999999976</c:v>
                </c:pt>
                <c:pt idx="101">
                  <c:v>45616.291666666424</c:v>
                </c:pt>
                <c:pt idx="102">
                  <c:v>45616.333333333088</c:v>
                </c:pt>
                <c:pt idx="103">
                  <c:v>45616.374999999753</c:v>
                </c:pt>
                <c:pt idx="104">
                  <c:v>45616.416666666417</c:v>
                </c:pt>
                <c:pt idx="105">
                  <c:v>45616.458333333081</c:v>
                </c:pt>
                <c:pt idx="106">
                  <c:v>45616.499999999745</c:v>
                </c:pt>
                <c:pt idx="107">
                  <c:v>45616.54166666641</c:v>
                </c:pt>
                <c:pt idx="108">
                  <c:v>45616.583333333074</c:v>
                </c:pt>
                <c:pt idx="109">
                  <c:v>45616.624999999738</c:v>
                </c:pt>
                <c:pt idx="110">
                  <c:v>45616.666666666402</c:v>
                </c:pt>
                <c:pt idx="111">
                  <c:v>45616.708333333067</c:v>
                </c:pt>
                <c:pt idx="112">
                  <c:v>45616.749999999731</c:v>
                </c:pt>
                <c:pt idx="113">
                  <c:v>45616.791666666395</c:v>
                </c:pt>
                <c:pt idx="114">
                  <c:v>45616.833333333059</c:v>
                </c:pt>
                <c:pt idx="115">
                  <c:v>45616.874999999724</c:v>
                </c:pt>
                <c:pt idx="116">
                  <c:v>45616.916666666388</c:v>
                </c:pt>
                <c:pt idx="117">
                  <c:v>45616.958333333052</c:v>
                </c:pt>
                <c:pt idx="118">
                  <c:v>45616.999999999716</c:v>
                </c:pt>
                <c:pt idx="119">
                  <c:v>45617.04166666638</c:v>
                </c:pt>
                <c:pt idx="120">
                  <c:v>45617.083333333045</c:v>
                </c:pt>
                <c:pt idx="121">
                  <c:v>45617.124999999709</c:v>
                </c:pt>
                <c:pt idx="122">
                  <c:v>45617.166666666373</c:v>
                </c:pt>
                <c:pt idx="123">
                  <c:v>45617.208333333037</c:v>
                </c:pt>
                <c:pt idx="124">
                  <c:v>45617.249999999702</c:v>
                </c:pt>
                <c:pt idx="125">
                  <c:v>45617.291666666366</c:v>
                </c:pt>
                <c:pt idx="126">
                  <c:v>45617.33333333303</c:v>
                </c:pt>
                <c:pt idx="127">
                  <c:v>45617.374999999694</c:v>
                </c:pt>
                <c:pt idx="128">
                  <c:v>45617.416666666359</c:v>
                </c:pt>
                <c:pt idx="129">
                  <c:v>45617.458333333023</c:v>
                </c:pt>
                <c:pt idx="130">
                  <c:v>45617.499999999687</c:v>
                </c:pt>
                <c:pt idx="131">
                  <c:v>45617.541666666351</c:v>
                </c:pt>
                <c:pt idx="132">
                  <c:v>45617.583333333016</c:v>
                </c:pt>
                <c:pt idx="133">
                  <c:v>45617.62499999968</c:v>
                </c:pt>
                <c:pt idx="134">
                  <c:v>45617.666666666344</c:v>
                </c:pt>
                <c:pt idx="135">
                  <c:v>45617.708333333008</c:v>
                </c:pt>
                <c:pt idx="136">
                  <c:v>45617.749999999673</c:v>
                </c:pt>
                <c:pt idx="137">
                  <c:v>45617.791666666337</c:v>
                </c:pt>
                <c:pt idx="138">
                  <c:v>45617.833333333001</c:v>
                </c:pt>
                <c:pt idx="139">
                  <c:v>45617.874999999665</c:v>
                </c:pt>
                <c:pt idx="140">
                  <c:v>45617.91666666633</c:v>
                </c:pt>
                <c:pt idx="141">
                  <c:v>45617.958333332994</c:v>
                </c:pt>
                <c:pt idx="142">
                  <c:v>45617.999999999658</c:v>
                </c:pt>
                <c:pt idx="143">
                  <c:v>45618.041666666322</c:v>
                </c:pt>
                <c:pt idx="144">
                  <c:v>45618.083333332987</c:v>
                </c:pt>
                <c:pt idx="145">
                  <c:v>45618.124999999651</c:v>
                </c:pt>
                <c:pt idx="146">
                  <c:v>45618.166666666315</c:v>
                </c:pt>
                <c:pt idx="147">
                  <c:v>45618.208333332979</c:v>
                </c:pt>
                <c:pt idx="148">
                  <c:v>45618.249999999643</c:v>
                </c:pt>
                <c:pt idx="149">
                  <c:v>45618.291666666308</c:v>
                </c:pt>
                <c:pt idx="150">
                  <c:v>45618.333333332972</c:v>
                </c:pt>
                <c:pt idx="151">
                  <c:v>45618.374999999636</c:v>
                </c:pt>
                <c:pt idx="152">
                  <c:v>45618.4166666663</c:v>
                </c:pt>
                <c:pt idx="153">
                  <c:v>45618.458333332965</c:v>
                </c:pt>
                <c:pt idx="154">
                  <c:v>45618.499999999629</c:v>
                </c:pt>
                <c:pt idx="155">
                  <c:v>45618.541666666293</c:v>
                </c:pt>
                <c:pt idx="156">
                  <c:v>45618.583333332957</c:v>
                </c:pt>
                <c:pt idx="157">
                  <c:v>45618.624999999622</c:v>
                </c:pt>
                <c:pt idx="158">
                  <c:v>45618.666666666286</c:v>
                </c:pt>
                <c:pt idx="159">
                  <c:v>45618.70833333295</c:v>
                </c:pt>
                <c:pt idx="160">
                  <c:v>45618.749999999614</c:v>
                </c:pt>
                <c:pt idx="161">
                  <c:v>45618.791666666279</c:v>
                </c:pt>
                <c:pt idx="162">
                  <c:v>45618.833333332943</c:v>
                </c:pt>
                <c:pt idx="163">
                  <c:v>45618.874999999607</c:v>
                </c:pt>
                <c:pt idx="164">
                  <c:v>45618.916666666271</c:v>
                </c:pt>
                <c:pt idx="165">
                  <c:v>45618.958333332936</c:v>
                </c:pt>
                <c:pt idx="166">
                  <c:v>45618.9999999996</c:v>
                </c:pt>
                <c:pt idx="167">
                  <c:v>45619.041666666264</c:v>
                </c:pt>
                <c:pt idx="168">
                  <c:v>45619.083333332928</c:v>
                </c:pt>
                <c:pt idx="169">
                  <c:v>45619.124999999593</c:v>
                </c:pt>
                <c:pt idx="170">
                  <c:v>45619.166666666257</c:v>
                </c:pt>
                <c:pt idx="171">
                  <c:v>45619.208333332921</c:v>
                </c:pt>
                <c:pt idx="172">
                  <c:v>45619.249999999585</c:v>
                </c:pt>
                <c:pt idx="173">
                  <c:v>45619.29166666625</c:v>
                </c:pt>
                <c:pt idx="174">
                  <c:v>45619.333333332914</c:v>
                </c:pt>
                <c:pt idx="175">
                  <c:v>45619.374999999578</c:v>
                </c:pt>
                <c:pt idx="176">
                  <c:v>45619.416666666242</c:v>
                </c:pt>
                <c:pt idx="177">
                  <c:v>45619.458333332906</c:v>
                </c:pt>
                <c:pt idx="178">
                  <c:v>45619.499999999571</c:v>
                </c:pt>
                <c:pt idx="179">
                  <c:v>45619.541666666235</c:v>
                </c:pt>
                <c:pt idx="180">
                  <c:v>45619.583333332899</c:v>
                </c:pt>
                <c:pt idx="181">
                  <c:v>45619.624999999563</c:v>
                </c:pt>
                <c:pt idx="182">
                  <c:v>45619.666666666228</c:v>
                </c:pt>
                <c:pt idx="183">
                  <c:v>45619.708333332892</c:v>
                </c:pt>
                <c:pt idx="184">
                  <c:v>45619.749999999556</c:v>
                </c:pt>
                <c:pt idx="185">
                  <c:v>45619.79166666622</c:v>
                </c:pt>
                <c:pt idx="186">
                  <c:v>45619.833333332885</c:v>
                </c:pt>
                <c:pt idx="187">
                  <c:v>45619.874999999549</c:v>
                </c:pt>
                <c:pt idx="188">
                  <c:v>45619.916666666213</c:v>
                </c:pt>
                <c:pt idx="189">
                  <c:v>45619.958333332877</c:v>
                </c:pt>
                <c:pt idx="190">
                  <c:v>45619.999999999542</c:v>
                </c:pt>
                <c:pt idx="191">
                  <c:v>45620.041666666206</c:v>
                </c:pt>
                <c:pt idx="192">
                  <c:v>45620.08333333287</c:v>
                </c:pt>
                <c:pt idx="193">
                  <c:v>45620.124999999534</c:v>
                </c:pt>
                <c:pt idx="194">
                  <c:v>45620.166666666199</c:v>
                </c:pt>
                <c:pt idx="195">
                  <c:v>45620.208333332863</c:v>
                </c:pt>
                <c:pt idx="196">
                  <c:v>45620.249999999527</c:v>
                </c:pt>
                <c:pt idx="197">
                  <c:v>45620.291666666191</c:v>
                </c:pt>
                <c:pt idx="198">
                  <c:v>45620.333333332856</c:v>
                </c:pt>
                <c:pt idx="199">
                  <c:v>45620.37499999952</c:v>
                </c:pt>
                <c:pt idx="200">
                  <c:v>45620.416666666184</c:v>
                </c:pt>
                <c:pt idx="201">
                  <c:v>45620.458333332848</c:v>
                </c:pt>
                <c:pt idx="202">
                  <c:v>45620.499999999513</c:v>
                </c:pt>
                <c:pt idx="203">
                  <c:v>45620.541666666177</c:v>
                </c:pt>
                <c:pt idx="204">
                  <c:v>45620.583333332841</c:v>
                </c:pt>
                <c:pt idx="205">
                  <c:v>45620.624999999505</c:v>
                </c:pt>
                <c:pt idx="206">
                  <c:v>45620.666666666169</c:v>
                </c:pt>
                <c:pt idx="207">
                  <c:v>45620.708333332834</c:v>
                </c:pt>
                <c:pt idx="208">
                  <c:v>45620.749999999498</c:v>
                </c:pt>
                <c:pt idx="209">
                  <c:v>45620.791666666162</c:v>
                </c:pt>
                <c:pt idx="210">
                  <c:v>45620.833333332826</c:v>
                </c:pt>
                <c:pt idx="211">
                  <c:v>45620.874999999491</c:v>
                </c:pt>
                <c:pt idx="212">
                  <c:v>45620.916666666155</c:v>
                </c:pt>
                <c:pt idx="213">
                  <c:v>45620.958333332819</c:v>
                </c:pt>
                <c:pt idx="214">
                  <c:v>45620.999999999483</c:v>
                </c:pt>
                <c:pt idx="215">
                  <c:v>45621.041666666148</c:v>
                </c:pt>
                <c:pt idx="216">
                  <c:v>45621.083333332812</c:v>
                </c:pt>
                <c:pt idx="217">
                  <c:v>45621.124999999476</c:v>
                </c:pt>
                <c:pt idx="218">
                  <c:v>45621.16666666614</c:v>
                </c:pt>
                <c:pt idx="219">
                  <c:v>45621.208333332805</c:v>
                </c:pt>
                <c:pt idx="220">
                  <c:v>45621.249999999469</c:v>
                </c:pt>
                <c:pt idx="221">
                  <c:v>45621.291666666133</c:v>
                </c:pt>
                <c:pt idx="222">
                  <c:v>45621.333333332797</c:v>
                </c:pt>
                <c:pt idx="223">
                  <c:v>45621.374999999462</c:v>
                </c:pt>
                <c:pt idx="224">
                  <c:v>45621.416666666126</c:v>
                </c:pt>
                <c:pt idx="225">
                  <c:v>45621.45833333279</c:v>
                </c:pt>
              </c:numCache>
            </c:numRef>
          </c:xVal>
          <c:yVal>
            <c:numRef>
              <c:f>'CCE PLOME 10d'!$J$3:$J$228</c:f>
              <c:numCache>
                <c:formatCode>0.00</c:formatCode>
                <c:ptCount val="22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0"/>
          <c:order val="0"/>
          <c:tx>
            <c:strRef>
              <c:f>'CCE PLOME 10d'!$E$2</c:f>
              <c:strCache>
                <c:ptCount val="1"/>
                <c:pt idx="0">
                  <c:v>Viento m/s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45612.083333333336</c:v>
                </c:pt>
                <c:pt idx="1">
                  <c:v>45612.125</c:v>
                </c:pt>
                <c:pt idx="2">
                  <c:v>45612.166666666664</c:v>
                </c:pt>
                <c:pt idx="3">
                  <c:v>45612.208333333328</c:v>
                </c:pt>
                <c:pt idx="4">
                  <c:v>45612.249999999993</c:v>
                </c:pt>
                <c:pt idx="5">
                  <c:v>45612.291666666657</c:v>
                </c:pt>
                <c:pt idx="6">
                  <c:v>45612.333333333321</c:v>
                </c:pt>
                <c:pt idx="7">
                  <c:v>45612.374999999985</c:v>
                </c:pt>
                <c:pt idx="8">
                  <c:v>45612.41666666665</c:v>
                </c:pt>
                <c:pt idx="9">
                  <c:v>45612.458333333314</c:v>
                </c:pt>
                <c:pt idx="10">
                  <c:v>45612.499999999978</c:v>
                </c:pt>
                <c:pt idx="11">
                  <c:v>45612.541666666642</c:v>
                </c:pt>
                <c:pt idx="12">
                  <c:v>45612.583333333307</c:v>
                </c:pt>
                <c:pt idx="13">
                  <c:v>45612.624999999971</c:v>
                </c:pt>
                <c:pt idx="14">
                  <c:v>45612.666666666635</c:v>
                </c:pt>
                <c:pt idx="15">
                  <c:v>45612.708333333299</c:v>
                </c:pt>
                <c:pt idx="16">
                  <c:v>45612.749999999964</c:v>
                </c:pt>
                <c:pt idx="17">
                  <c:v>45612.791666666628</c:v>
                </c:pt>
                <c:pt idx="18">
                  <c:v>45612.833333333292</c:v>
                </c:pt>
                <c:pt idx="19">
                  <c:v>45612.874999999956</c:v>
                </c:pt>
                <c:pt idx="20">
                  <c:v>45612.916666666621</c:v>
                </c:pt>
                <c:pt idx="21">
                  <c:v>45612.958333333285</c:v>
                </c:pt>
                <c:pt idx="22">
                  <c:v>45612.999999999949</c:v>
                </c:pt>
                <c:pt idx="23">
                  <c:v>45613.041666666613</c:v>
                </c:pt>
                <c:pt idx="24">
                  <c:v>45613.083333333278</c:v>
                </c:pt>
                <c:pt idx="25">
                  <c:v>45613.124999999942</c:v>
                </c:pt>
                <c:pt idx="26">
                  <c:v>45613.166666666606</c:v>
                </c:pt>
                <c:pt idx="27">
                  <c:v>45613.20833333327</c:v>
                </c:pt>
                <c:pt idx="28">
                  <c:v>45613.249999999935</c:v>
                </c:pt>
                <c:pt idx="29">
                  <c:v>45613.291666666599</c:v>
                </c:pt>
                <c:pt idx="30">
                  <c:v>45613.333333333263</c:v>
                </c:pt>
                <c:pt idx="31">
                  <c:v>45613.374999999927</c:v>
                </c:pt>
                <c:pt idx="32">
                  <c:v>45613.416666666591</c:v>
                </c:pt>
                <c:pt idx="33">
                  <c:v>45613.458333333256</c:v>
                </c:pt>
                <c:pt idx="34">
                  <c:v>45613.49999999992</c:v>
                </c:pt>
                <c:pt idx="35">
                  <c:v>45613.541666666584</c:v>
                </c:pt>
                <c:pt idx="36">
                  <c:v>45613.583333333248</c:v>
                </c:pt>
                <c:pt idx="37">
                  <c:v>45613.624999999913</c:v>
                </c:pt>
                <c:pt idx="38">
                  <c:v>45613.666666666577</c:v>
                </c:pt>
                <c:pt idx="39">
                  <c:v>45613.708333333241</c:v>
                </c:pt>
                <c:pt idx="40">
                  <c:v>45613.749999999905</c:v>
                </c:pt>
                <c:pt idx="41">
                  <c:v>45613.79166666657</c:v>
                </c:pt>
                <c:pt idx="42">
                  <c:v>45613.833333333234</c:v>
                </c:pt>
                <c:pt idx="43">
                  <c:v>45613.874999999898</c:v>
                </c:pt>
                <c:pt idx="44">
                  <c:v>45613.916666666562</c:v>
                </c:pt>
                <c:pt idx="45">
                  <c:v>45613.958333333227</c:v>
                </c:pt>
                <c:pt idx="46">
                  <c:v>45613.999999999891</c:v>
                </c:pt>
                <c:pt idx="47">
                  <c:v>45614.041666666555</c:v>
                </c:pt>
                <c:pt idx="48">
                  <c:v>45614.083333333219</c:v>
                </c:pt>
                <c:pt idx="49">
                  <c:v>45614.124999999884</c:v>
                </c:pt>
                <c:pt idx="50">
                  <c:v>45614.166666666548</c:v>
                </c:pt>
                <c:pt idx="51">
                  <c:v>45614.208333333212</c:v>
                </c:pt>
                <c:pt idx="52">
                  <c:v>45614.249999999876</c:v>
                </c:pt>
                <c:pt idx="53">
                  <c:v>45614.291666666541</c:v>
                </c:pt>
                <c:pt idx="54">
                  <c:v>45614.333333333205</c:v>
                </c:pt>
                <c:pt idx="55">
                  <c:v>45614.374999999869</c:v>
                </c:pt>
                <c:pt idx="56">
                  <c:v>45614.416666666533</c:v>
                </c:pt>
                <c:pt idx="57">
                  <c:v>45614.458333333198</c:v>
                </c:pt>
                <c:pt idx="58">
                  <c:v>45614.499999999862</c:v>
                </c:pt>
                <c:pt idx="59">
                  <c:v>45614.541666666526</c:v>
                </c:pt>
                <c:pt idx="60">
                  <c:v>45614.58333333319</c:v>
                </c:pt>
                <c:pt idx="61">
                  <c:v>45614.624999999854</c:v>
                </c:pt>
                <c:pt idx="62">
                  <c:v>45614.666666666519</c:v>
                </c:pt>
                <c:pt idx="63">
                  <c:v>45614.708333333183</c:v>
                </c:pt>
                <c:pt idx="64">
                  <c:v>45614.749999999847</c:v>
                </c:pt>
                <c:pt idx="65">
                  <c:v>45614.791666666511</c:v>
                </c:pt>
                <c:pt idx="66">
                  <c:v>45614.833333333176</c:v>
                </c:pt>
                <c:pt idx="67">
                  <c:v>45614.87499999984</c:v>
                </c:pt>
                <c:pt idx="68">
                  <c:v>45614.916666666504</c:v>
                </c:pt>
                <c:pt idx="69">
                  <c:v>45614.958333333168</c:v>
                </c:pt>
                <c:pt idx="70">
                  <c:v>45614.999999999833</c:v>
                </c:pt>
                <c:pt idx="71">
                  <c:v>45615.041666666497</c:v>
                </c:pt>
                <c:pt idx="72">
                  <c:v>45615.083333333161</c:v>
                </c:pt>
                <c:pt idx="73">
                  <c:v>45615.124999999825</c:v>
                </c:pt>
                <c:pt idx="74">
                  <c:v>45615.16666666649</c:v>
                </c:pt>
                <c:pt idx="75">
                  <c:v>45615.208333333154</c:v>
                </c:pt>
                <c:pt idx="76">
                  <c:v>45615.249999999818</c:v>
                </c:pt>
                <c:pt idx="77">
                  <c:v>45615.291666666482</c:v>
                </c:pt>
                <c:pt idx="78">
                  <c:v>45615.333333333147</c:v>
                </c:pt>
                <c:pt idx="79">
                  <c:v>45615.374999999811</c:v>
                </c:pt>
                <c:pt idx="80">
                  <c:v>45615.416666666475</c:v>
                </c:pt>
                <c:pt idx="81">
                  <c:v>45615.458333333139</c:v>
                </c:pt>
                <c:pt idx="82">
                  <c:v>45615.499999999804</c:v>
                </c:pt>
                <c:pt idx="83">
                  <c:v>45615.541666666468</c:v>
                </c:pt>
                <c:pt idx="84">
                  <c:v>45615.583333333132</c:v>
                </c:pt>
                <c:pt idx="85">
                  <c:v>45615.624999999796</c:v>
                </c:pt>
                <c:pt idx="86">
                  <c:v>45615.666666666461</c:v>
                </c:pt>
                <c:pt idx="87">
                  <c:v>45615.708333333125</c:v>
                </c:pt>
                <c:pt idx="88">
                  <c:v>45615.749999999789</c:v>
                </c:pt>
                <c:pt idx="89">
                  <c:v>45615.791666666453</c:v>
                </c:pt>
                <c:pt idx="90">
                  <c:v>45615.833333333117</c:v>
                </c:pt>
                <c:pt idx="91">
                  <c:v>45615.874999999782</c:v>
                </c:pt>
                <c:pt idx="92">
                  <c:v>45615.916666666446</c:v>
                </c:pt>
                <c:pt idx="93">
                  <c:v>45615.95833333311</c:v>
                </c:pt>
                <c:pt idx="94">
                  <c:v>45615.999999999774</c:v>
                </c:pt>
                <c:pt idx="95">
                  <c:v>45616.041666666439</c:v>
                </c:pt>
                <c:pt idx="96">
                  <c:v>45616.083333333103</c:v>
                </c:pt>
                <c:pt idx="97">
                  <c:v>45616.124999999767</c:v>
                </c:pt>
                <c:pt idx="98">
                  <c:v>45616.166666666431</c:v>
                </c:pt>
                <c:pt idx="99">
                  <c:v>45616.208333333096</c:v>
                </c:pt>
                <c:pt idx="100">
                  <c:v>45616.24999999976</c:v>
                </c:pt>
                <c:pt idx="101">
                  <c:v>45616.291666666424</c:v>
                </c:pt>
                <c:pt idx="102">
                  <c:v>45616.333333333088</c:v>
                </c:pt>
                <c:pt idx="103">
                  <c:v>45616.374999999753</c:v>
                </c:pt>
                <c:pt idx="104">
                  <c:v>45616.416666666417</c:v>
                </c:pt>
                <c:pt idx="105">
                  <c:v>45616.458333333081</c:v>
                </c:pt>
                <c:pt idx="106">
                  <c:v>45616.499999999745</c:v>
                </c:pt>
                <c:pt idx="107">
                  <c:v>45616.54166666641</c:v>
                </c:pt>
                <c:pt idx="108">
                  <c:v>45616.583333333074</c:v>
                </c:pt>
                <c:pt idx="109">
                  <c:v>45616.624999999738</c:v>
                </c:pt>
                <c:pt idx="110">
                  <c:v>45616.666666666402</c:v>
                </c:pt>
                <c:pt idx="111">
                  <c:v>45616.708333333067</c:v>
                </c:pt>
                <c:pt idx="112">
                  <c:v>45616.749999999731</c:v>
                </c:pt>
                <c:pt idx="113">
                  <c:v>45616.791666666395</c:v>
                </c:pt>
                <c:pt idx="114">
                  <c:v>45616.833333333059</c:v>
                </c:pt>
                <c:pt idx="115">
                  <c:v>45616.874999999724</c:v>
                </c:pt>
                <c:pt idx="116">
                  <c:v>45616.916666666388</c:v>
                </c:pt>
                <c:pt idx="117">
                  <c:v>45616.958333333052</c:v>
                </c:pt>
                <c:pt idx="118">
                  <c:v>45616.999999999716</c:v>
                </c:pt>
                <c:pt idx="119">
                  <c:v>45617.04166666638</c:v>
                </c:pt>
                <c:pt idx="120">
                  <c:v>45617.083333333045</c:v>
                </c:pt>
                <c:pt idx="121">
                  <c:v>45617.124999999709</c:v>
                </c:pt>
                <c:pt idx="122">
                  <c:v>45617.166666666373</c:v>
                </c:pt>
                <c:pt idx="123">
                  <c:v>45617.208333333037</c:v>
                </c:pt>
                <c:pt idx="124">
                  <c:v>45617.249999999702</c:v>
                </c:pt>
                <c:pt idx="125">
                  <c:v>45617.291666666366</c:v>
                </c:pt>
                <c:pt idx="126">
                  <c:v>45617.33333333303</c:v>
                </c:pt>
                <c:pt idx="127">
                  <c:v>45617.374999999694</c:v>
                </c:pt>
                <c:pt idx="128">
                  <c:v>45617.416666666359</c:v>
                </c:pt>
                <c:pt idx="129">
                  <c:v>45617.458333333023</c:v>
                </c:pt>
                <c:pt idx="130">
                  <c:v>45617.499999999687</c:v>
                </c:pt>
                <c:pt idx="131">
                  <c:v>45617.541666666351</c:v>
                </c:pt>
                <c:pt idx="132">
                  <c:v>45617.583333333016</c:v>
                </c:pt>
                <c:pt idx="133">
                  <c:v>45617.62499999968</c:v>
                </c:pt>
                <c:pt idx="134">
                  <c:v>45617.666666666344</c:v>
                </c:pt>
                <c:pt idx="135">
                  <c:v>45617.708333333008</c:v>
                </c:pt>
                <c:pt idx="136">
                  <c:v>45617.749999999673</c:v>
                </c:pt>
                <c:pt idx="137">
                  <c:v>45617.791666666337</c:v>
                </c:pt>
                <c:pt idx="138">
                  <c:v>45617.833333333001</c:v>
                </c:pt>
                <c:pt idx="139">
                  <c:v>45617.874999999665</c:v>
                </c:pt>
                <c:pt idx="140">
                  <c:v>45617.91666666633</c:v>
                </c:pt>
                <c:pt idx="141">
                  <c:v>45617.958333332994</c:v>
                </c:pt>
                <c:pt idx="142">
                  <c:v>45617.999999999658</c:v>
                </c:pt>
                <c:pt idx="143">
                  <c:v>45618.041666666322</c:v>
                </c:pt>
                <c:pt idx="144">
                  <c:v>45618.083333332987</c:v>
                </c:pt>
                <c:pt idx="145">
                  <c:v>45618.124999999651</c:v>
                </c:pt>
                <c:pt idx="146">
                  <c:v>45618.166666666315</c:v>
                </c:pt>
                <c:pt idx="147">
                  <c:v>45618.208333332979</c:v>
                </c:pt>
                <c:pt idx="148">
                  <c:v>45618.249999999643</c:v>
                </c:pt>
                <c:pt idx="149">
                  <c:v>45618.291666666308</c:v>
                </c:pt>
                <c:pt idx="150">
                  <c:v>45618.333333332972</c:v>
                </c:pt>
                <c:pt idx="151">
                  <c:v>45618.374999999636</c:v>
                </c:pt>
                <c:pt idx="152">
                  <c:v>45618.4166666663</c:v>
                </c:pt>
                <c:pt idx="153">
                  <c:v>45618.458333332965</c:v>
                </c:pt>
                <c:pt idx="154">
                  <c:v>45618.499999999629</c:v>
                </c:pt>
                <c:pt idx="155">
                  <c:v>45618.541666666293</c:v>
                </c:pt>
                <c:pt idx="156">
                  <c:v>45618.583333332957</c:v>
                </c:pt>
                <c:pt idx="157">
                  <c:v>45618.624999999622</c:v>
                </c:pt>
                <c:pt idx="158">
                  <c:v>45618.666666666286</c:v>
                </c:pt>
                <c:pt idx="159">
                  <c:v>45618.70833333295</c:v>
                </c:pt>
                <c:pt idx="160">
                  <c:v>45618.749999999614</c:v>
                </c:pt>
                <c:pt idx="161">
                  <c:v>45618.791666666279</c:v>
                </c:pt>
                <c:pt idx="162">
                  <c:v>45618.833333332943</c:v>
                </c:pt>
                <c:pt idx="163">
                  <c:v>45618.874999999607</c:v>
                </c:pt>
                <c:pt idx="164">
                  <c:v>45618.916666666271</c:v>
                </c:pt>
                <c:pt idx="165">
                  <c:v>45618.958333332936</c:v>
                </c:pt>
                <c:pt idx="166">
                  <c:v>45618.9999999996</c:v>
                </c:pt>
                <c:pt idx="167">
                  <c:v>45619.041666666264</c:v>
                </c:pt>
                <c:pt idx="168">
                  <c:v>45619.083333332928</c:v>
                </c:pt>
                <c:pt idx="169">
                  <c:v>45619.124999999593</c:v>
                </c:pt>
                <c:pt idx="170">
                  <c:v>45619.166666666257</c:v>
                </c:pt>
                <c:pt idx="171">
                  <c:v>45619.208333332921</c:v>
                </c:pt>
                <c:pt idx="172">
                  <c:v>45619.249999999585</c:v>
                </c:pt>
                <c:pt idx="173">
                  <c:v>45619.29166666625</c:v>
                </c:pt>
                <c:pt idx="174">
                  <c:v>45619.333333332914</c:v>
                </c:pt>
                <c:pt idx="175">
                  <c:v>45619.374999999578</c:v>
                </c:pt>
                <c:pt idx="176">
                  <c:v>45619.416666666242</c:v>
                </c:pt>
                <c:pt idx="177">
                  <c:v>45619.458333332906</c:v>
                </c:pt>
                <c:pt idx="178">
                  <c:v>45619.499999999571</c:v>
                </c:pt>
                <c:pt idx="179">
                  <c:v>45619.541666666235</c:v>
                </c:pt>
                <c:pt idx="180">
                  <c:v>45619.583333332899</c:v>
                </c:pt>
                <c:pt idx="181">
                  <c:v>45619.624999999563</c:v>
                </c:pt>
                <c:pt idx="182">
                  <c:v>45619.666666666228</c:v>
                </c:pt>
                <c:pt idx="183">
                  <c:v>45619.708333332892</c:v>
                </c:pt>
                <c:pt idx="184">
                  <c:v>45619.749999999556</c:v>
                </c:pt>
                <c:pt idx="185">
                  <c:v>45619.79166666622</c:v>
                </c:pt>
                <c:pt idx="186">
                  <c:v>45619.833333332885</c:v>
                </c:pt>
                <c:pt idx="187">
                  <c:v>45619.874999999549</c:v>
                </c:pt>
                <c:pt idx="188">
                  <c:v>45619.916666666213</c:v>
                </c:pt>
                <c:pt idx="189">
                  <c:v>45619.958333332877</c:v>
                </c:pt>
                <c:pt idx="190">
                  <c:v>45619.999999999542</c:v>
                </c:pt>
                <c:pt idx="191">
                  <c:v>45620.041666666206</c:v>
                </c:pt>
                <c:pt idx="192">
                  <c:v>45620.08333333287</c:v>
                </c:pt>
                <c:pt idx="193">
                  <c:v>45620.124999999534</c:v>
                </c:pt>
                <c:pt idx="194">
                  <c:v>45620.166666666199</c:v>
                </c:pt>
                <c:pt idx="195">
                  <c:v>45620.208333332863</c:v>
                </c:pt>
                <c:pt idx="196">
                  <c:v>45620.249999999527</c:v>
                </c:pt>
                <c:pt idx="197">
                  <c:v>45620.291666666191</c:v>
                </c:pt>
                <c:pt idx="198">
                  <c:v>45620.333333332856</c:v>
                </c:pt>
                <c:pt idx="199">
                  <c:v>45620.37499999952</c:v>
                </c:pt>
                <c:pt idx="200">
                  <c:v>45620.416666666184</c:v>
                </c:pt>
                <c:pt idx="201">
                  <c:v>45620.458333332848</c:v>
                </c:pt>
                <c:pt idx="202">
                  <c:v>45620.499999999513</c:v>
                </c:pt>
                <c:pt idx="203">
                  <c:v>45620.541666666177</c:v>
                </c:pt>
                <c:pt idx="204">
                  <c:v>45620.583333332841</c:v>
                </c:pt>
                <c:pt idx="205">
                  <c:v>45620.624999999505</c:v>
                </c:pt>
                <c:pt idx="206">
                  <c:v>45620.666666666169</c:v>
                </c:pt>
                <c:pt idx="207">
                  <c:v>45620.708333332834</c:v>
                </c:pt>
                <c:pt idx="208">
                  <c:v>45620.749999999498</c:v>
                </c:pt>
                <c:pt idx="209">
                  <c:v>45620.791666666162</c:v>
                </c:pt>
                <c:pt idx="210">
                  <c:v>45620.833333332826</c:v>
                </c:pt>
                <c:pt idx="211">
                  <c:v>45620.874999999491</c:v>
                </c:pt>
                <c:pt idx="212">
                  <c:v>45620.916666666155</c:v>
                </c:pt>
                <c:pt idx="213">
                  <c:v>45620.958333332819</c:v>
                </c:pt>
                <c:pt idx="214">
                  <c:v>45620.999999999483</c:v>
                </c:pt>
                <c:pt idx="215">
                  <c:v>45621.041666666148</c:v>
                </c:pt>
                <c:pt idx="216">
                  <c:v>45621.083333332812</c:v>
                </c:pt>
                <c:pt idx="217">
                  <c:v>45621.124999999476</c:v>
                </c:pt>
                <c:pt idx="218">
                  <c:v>45621.16666666614</c:v>
                </c:pt>
                <c:pt idx="219">
                  <c:v>45621.208333332805</c:v>
                </c:pt>
                <c:pt idx="220">
                  <c:v>45621.249999999469</c:v>
                </c:pt>
                <c:pt idx="221">
                  <c:v>45621.291666666133</c:v>
                </c:pt>
                <c:pt idx="222">
                  <c:v>45621.333333332797</c:v>
                </c:pt>
                <c:pt idx="223">
                  <c:v>45621.374999999462</c:v>
                </c:pt>
                <c:pt idx="224">
                  <c:v>45621.416666666126</c:v>
                </c:pt>
                <c:pt idx="225">
                  <c:v>45621.45833333279</c:v>
                </c:pt>
              </c:numCache>
            </c:numRef>
          </c:xVal>
          <c:yVal>
            <c:numRef>
              <c:f>'CCE PLOME 10d'!$E$3:$E$228</c:f>
              <c:numCache>
                <c:formatCode>0.00</c:formatCode>
                <c:ptCount val="22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1443456"/>
        <c:axId val="1931441792"/>
      </c:scatterChart>
      <c:valAx>
        <c:axId val="1624705792"/>
        <c:scaling>
          <c:orientation val="minMax"/>
          <c:max val="45101"/>
          <c:min val="45091.41666666666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6224272"/>
        <c:crosses val="autoZero"/>
        <c:crossBetween val="midCat"/>
        <c:majorUnit val="0.25"/>
      </c:valAx>
      <c:valAx>
        <c:axId val="1636224272"/>
        <c:scaling>
          <c:orientation val="minMax"/>
          <c:max val="4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4705792"/>
        <c:crosses val="autoZero"/>
        <c:crossBetween val="midCat"/>
        <c:majorUnit val="5"/>
      </c:valAx>
      <c:valAx>
        <c:axId val="1931441792"/>
        <c:scaling>
          <c:orientation val="minMax"/>
          <c:max val="27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VIENTO (m/s)</a:t>
                </a:r>
              </a:p>
            </c:rich>
          </c:tx>
          <c:layout>
            <c:manualLayout>
              <c:xMode val="edge"/>
              <c:yMode val="edge"/>
              <c:x val="0.97413258385085288"/>
              <c:y val="0.824380817151034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1443456"/>
        <c:crosses val="max"/>
        <c:crossBetween val="midCat"/>
      </c:valAx>
      <c:valAx>
        <c:axId val="1931443456"/>
        <c:scaling>
          <c:orientation val="minMax"/>
        </c:scaling>
        <c:delete val="1"/>
        <c:axPos val="b"/>
        <c:numFmt formatCode="m/d/yyyy\ h:mm" sourceLinked="1"/>
        <c:majorTickMark val="out"/>
        <c:minorTickMark val="none"/>
        <c:tickLblPos val="nextTo"/>
        <c:crossAx val="19314417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1FAA936-6B5C-42F6-9B09-233902DB8D80}">
  <sheetPr>
    <tabColor rgb="FFFFFF00"/>
  </sheetPr>
  <sheetViews>
    <sheetView zoomScale="90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0006E3-0659-4728-B601-38DE493CCC26}">
  <sheetPr>
    <tabColor rgb="FF00B050"/>
  </sheetPr>
  <sheetViews>
    <sheetView zoomScale="8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1109662</xdr:colOff>
      <xdr:row>12</xdr:row>
      <xdr:rowOff>95249</xdr:rowOff>
    </xdr:from>
    <xdr:to>
      <xdr:col>7</xdr:col>
      <xdr:colOff>933450</xdr:colOff>
      <xdr:row>33</xdr:row>
      <xdr:rowOff>19049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2750" cy="606425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57A5D90-3FA1-BC32-DBA3-2553D0F957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BF1AB8-03B2-FB1D-8F3A-7B5919923E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7885E0E-6532-41BE-8507-75D989CB317C}" name="Curva_Viento" displayName="Curva_Viento" ref="A2:C53" totalsRowShown="0" headerRowDxfId="133">
  <autoFilter ref="A2:C53" xr:uid="{00000000-0009-0000-0100-000001000000}"/>
  <tableColumns count="3">
    <tableColumn id="1" xr3:uid="{A15F7771-3411-4755-BF25-9924886865A8}" name="Wind Speed Bin [m/s)" dataDxfId="132"/>
    <tableColumn id="2" xr3:uid="{142316B4-F310-4F1E-AE48-A51BDCADD2A3}" name="Warranted Power Curve for _x000a_1.194Kg/m3 air density [kW]_x000a_SG 5.0-145 (AM 0, 5.0MW) AT _x000a_90M" dataDxfId="131"/>
    <tableColumn id="3" xr3:uid="{6237B2CE-0525-48CA-B0BD-8FBD05434998}" name="Warranted Power Curve for _x000a_1.194Kg/m3 air density [kW]_x000a_SG 5.0-145 (AM+1, 5.2MW) AT _x000a_90M" dataDxfId="130"/>
  </tableColumns>
  <tableStyleInfo name="TableStyleMedium18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FB558A8-2634-4406-935E-700481C8E008}" name="Curva_Temp" displayName="Curva_Temp" ref="E2:G9" totalsRowShown="0" headerRowDxfId="129">
  <autoFilter ref="E2:G9" xr:uid="{00000000-0009-0000-0100-000002000000}"/>
  <tableColumns count="3">
    <tableColumn id="1" xr3:uid="{48F62C8F-CD0C-4F98-9C1C-8DBE403AF5D7}" name="Temp" dataDxfId="128"/>
    <tableColumn id="2" xr3:uid="{324CBFFC-F49D-4930-993D-E2C4D76FB8BA}" name="Warranted Power Curve for _x000a_1.194Kg/m3 air density [kW]_x000a_SG 5.0-145 (AM 0, 5.0MW) AT _x000a_90M" dataDxfId="127"/>
    <tableColumn id="3" xr3:uid="{821B827B-F8A9-4639-9D07-E460A4E8207D}" name="Warranted Power Curve for _x000a_1.194Kg/m3 air density [kW]_x000a_SG 5.0-145 (AM+1, 5.2MW) AT _x000a_90M" dataDxfId="126"/>
  </tableColumns>
  <tableStyleInfo name="TableStyleMedium18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A0CA80-E5D4-49EB-A90A-1F081A73746E}" name="Table12" displayName="Table12" ref="B3:AA244" totalsRowShown="0" headerRowDxfId="125" dataDxfId="124">
  <autoFilter ref="B3:AA244" xr:uid="{88A0CA80-E5D4-49EB-A90A-1F081A73746E}"/>
  <tableColumns count="26">
    <tableColumn id="1" xr3:uid="{3BFB069A-03CC-44B5-8993-6206EAF1AAE1}" name="Fecha" dataDxfId="123"/>
    <tableColumn id="2" xr3:uid="{FCDCF028-61D2-429D-B431-5E3910AA17E3}" name="Hora" dataDxfId="122">
      <calculatedColumnFormula>C3+TIME(1,0,0)</calculatedColumnFormula>
    </tableColumn>
    <tableColumn id="12" xr3:uid="{20057907-496E-4BB0-AB48-9BE13A9F62D4}" name="Windy PLOM_x000a_MW" dataDxfId="121">
      <calculatedColumnFormula>Table12[[#This Row],[MW TOTAL BARRA A]]+Table12[[#This Row],[MW TOTAL BARRA B]]</calculatedColumnFormula>
    </tableColumn>
    <tableColumn id="3" xr3:uid="{FA7C1EFD-491D-4FA1-9D82-580F3B4F24FB}" name="Windy_x000a_m/s" dataDxfId="120"/>
    <tableColumn id="4" xr3:uid="{D25C1385-F622-4C2D-BF41-27621A984293}" name="Windy Gusts_x000a_m/s" dataDxfId="119"/>
    <tableColumn id="5" xr3:uid="{A84EA0B2-49D7-4D37-B75C-84AAEDD45234}" name="Windy Temp._x000a_°C (original)" dataDxfId="118"/>
    <tableColumn id="6" xr3:uid="{0F93AD40-8D15-4824-B6B1-6F8531C4AEB1}" name="Windy Temp._x000a_°C" dataDxfId="117">
      <calculatedColumnFormula>MID(G4,1,2)</calculatedColumnFormula>
    </tableColumn>
    <tableColumn id="16" xr3:uid="{8D1120FC-2444-48CF-AA6B-15D6A00951E1}" name="AEG E/S BARRA A" dataDxfId="116"/>
    <tableColumn id="17" xr3:uid="{1F8D3ECA-423D-4E35-8D5A-E18AECE0431F}" name="AEG E/S BARRA B" dataDxfId="115"/>
    <tableColumn id="20" xr3:uid="{928E054F-9C45-4B64-A0BD-5549B678339F}" name="MW TOTAL BARRA A" dataDxfId="114">
      <calculatedColumnFormula>Table12[[#This Row],[AEG E/S BARRA A]]*Table12[[#This Row],[AEG 5.2 MW]]</calculatedColumnFormula>
    </tableColumn>
    <tableColumn id="21" xr3:uid="{83270BB2-98F2-4DCA-8B0A-746B1393F78B}" name="MW TOTAL BARRA B" dataDxfId="113">
      <calculatedColumnFormula>Table12[[#This Row],[AEG E/S BARRA B]]*Table12[[#This Row],[AEG 5.0 MW]]</calculatedColumnFormula>
    </tableColumn>
    <tableColumn id="26" xr3:uid="{3DD84B59-3FFF-4F64-BADA-77800B03F3E3}" name="Derate" dataDxfId="112">
      <calculatedColumnFormula>(Table12[[#This Row],[y1 Temp]]+(Table12[[#This Row],[Windy Temp.
°C]]-Table12[[#This Row],[x1 Temp]])*(Table12[[#This Row],[y2 Temp]]-Table12[[#This Row],[y1 Temp]])/(Table12[[#This Row],[x2 Temp]]-Table12[[#This Row],[x1 Temp]]))/1000</calculatedColumnFormula>
    </tableColumn>
    <tableColumn id="22" xr3:uid="{64D6EEEC-F0C2-435C-8523-DD69EE6DDF61}" name="x1 Temp" dataDxfId="111">
      <calculatedColumnFormula>INDEX(Curva_Temp[Temp],MATCH(Table12[[#This Row],[Windy Temp.
°C]],Curva_Temp[Temp]))</calculatedColumnFormula>
    </tableColumn>
    <tableColumn id="25" xr3:uid="{DF8131C3-FF84-46C7-A891-72440B11D058}" name="y1 Temp" dataDxfId="110">
      <calculatedColumnFormula>INDEX(Curva_Temp[Warranted Power Curve for 
1.194Kg/m3 air density '[kW']
SG 5.0-145 (AM+1, 5.2MW) AT 
90M],MATCH(Table12[[#This Row],[Windy Temp.
°C]],Curva_Temp[Temp]))</calculatedColumnFormula>
    </tableColumn>
    <tableColumn id="24" xr3:uid="{903816A3-4004-4F64-9DBB-137C4CD05CDD}" name="x2 Temp" dataDxfId="109">
      <calculatedColumnFormula array="1">INDEX(Curva_Temp[Temp],MATCH(Table12[[#This Row],[Windy Temp.
°C]],Curva_Temp[Temp])+1)</calculatedColumnFormula>
    </tableColumn>
    <tableColumn id="23" xr3:uid="{1718F2BB-ABB0-49C1-BB37-82D3C25B4228}" name="y2 Temp" dataDxfId="108">
      <calculatedColumnFormula array="1">INDEX(Curva_Temp[Warranted Power Curve for 
1.194Kg/m3 air density '[kW']
SG 5.0-145 (AM+1, 5.2MW) AT 
90M],MATCH(Table12[[#This Row],[Windy Temp.
°C]],Curva_Temp[Temp])+1)</calculatedColumnFormula>
    </tableColumn>
    <tableColumn id="18" xr3:uid="{0CDE837C-401B-4848-BAF9-1AB4E66837AC}" name="AEG 5.2 MW" dataDxfId="107">
      <calculatedColumnFormula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calculatedColumnFormula>
    </tableColumn>
    <tableColumn id="19" xr3:uid="{19EF140D-2ECD-492F-AAA8-4C7E6796B962}" name="AEG 5.0 MW" dataDxfId="106">
      <calculatedColumnFormula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calculatedColumnFormula>
    </tableColumn>
    <tableColumn id="7" xr3:uid="{5A693157-3631-4C27-9B55-DE96131616D2}" name="Supuesto Windy" dataDxfId="105"/>
    <tableColumn id="8" xr3:uid="{A29C297F-6C74-4BF2-A177-90048F1508BA}" name="Darwin_x000a_m/s" dataDxfId="104"/>
    <tableColumn id="9" xr3:uid="{96B03B0B-C583-4BCA-AE44-0BE8CB68B92A}" name="Darwin Gusts_x000a_m/s" dataDxfId="103"/>
    <tableColumn id="10" xr3:uid="{7787A70D-560F-44ED-9493-7701D121CD07}" name="Darwin Gusts Round_x000a_m/s" dataDxfId="102"/>
    <tableColumn id="11" xr3:uid="{7D70AEF6-337A-45BD-91C1-DB57F6D34CF6}" name="Darwin Temp._x000a_°C" dataDxfId="101"/>
    <tableColumn id="15" xr3:uid="{29AC730F-DDF5-432C-959A-45FFE39949BC}" name="Darwin MW TOTAL BARRA A" dataDxfId="100"/>
    <tableColumn id="14" xr3:uid="{AAAE6064-2E6E-4BA0-BF2C-A325F19F736B}" name="Darwin MW TOTAL BARRA B" dataDxfId="99"/>
    <tableColumn id="13" xr3:uid="{7A44405E-9798-4E5B-AEF1-A00F8EE41F25}" name="Darwin PLOM_x000a_MW" dataDxfId="98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11EFAE5-19FD-4D43-BF3F-234B2DA77CFF}" name="TBL_CalcDarwin" displayName="TBL_CalcDarwin" ref="B3:AV229" totalsRowShown="0" headerRowDxfId="97" dataDxfId="96">
  <autoFilter ref="B3:AV229" xr:uid="{88A0CA80-E5D4-49EB-A90A-1F081A73746E}"/>
  <tableColumns count="47">
    <tableColumn id="1" xr3:uid="{B276795F-CE1C-4F4D-9355-1F4D7F83B228}" name="Fecha" dataDxfId="95"/>
    <tableColumn id="2" xr3:uid="{DBD55A2B-256B-4128-A88E-FBC558046D10}" name="Hora" dataDxfId="94">
      <calculatedColumnFormula>C3+TIME(1,0,0)</calculatedColumnFormula>
    </tableColumn>
    <tableColumn id="13" xr3:uid="{FB3F7F25-347A-470E-BD19-87E6FF9ABA66}" name="MW TOTAL CE" dataDxfId="93">
      <calculatedColumnFormula>TBL_CalcDarwin[[#This Row],[Darwin PLOM
MW]]+TBL_CalcDarwin[[#This Row],[Darwin PLOME
MW]]</calculatedColumnFormula>
    </tableColumn>
    <tableColumn id="12" xr3:uid="{FDC8658E-D342-47A4-8BE0-2366AD0835BB}" name="Darwin PLOM_x000a_MW" dataDxfId="92">
      <calculatedColumnFormula>TBL_CalcDarwin[[#This Row],[PLOM MW TOTAL BARRA A]]+TBL_CalcDarwin[[#This Row],[PLOM MW TOTAL BARRA B]]</calculatedColumnFormula>
    </tableColumn>
    <tableColumn id="11" xr3:uid="{CC8B5848-730B-4307-93B5-6E89C8160C13}" name="Darwin PLOME_x000a_MW" dataDxfId="91">
      <calculatedColumnFormula>TBL_CalcDarwin[[#This Row],[PLOME MW TOTAL BARRA A]]+TBL_CalcDarwin[[#This Row],[PLOME MW TOTAL BARRA B]]</calculatedColumnFormula>
    </tableColumn>
    <tableColumn id="3" xr3:uid="{7A9DD848-85D9-4BB5-B7F1-887F6E3EA2EF}" name="Darwin_x000a_m/s" dataDxfId="90">
      <calculatedColumnFormula>'Plantilla Datos'!D9</calculatedColumnFormula>
    </tableColumn>
    <tableColumn id="4" xr3:uid="{985E9C16-A8DE-47E3-B641-B55EDEDD62BA}" name="Darwin Gusts_x000a_m/s" dataDxfId="89">
      <calculatedColumnFormula>'Plantilla Datos'!E9</calculatedColumnFormula>
    </tableColumn>
    <tableColumn id="6" xr3:uid="{3C0EA449-1FB9-4674-A589-7BA6F6BD5E3B}" name="Darwin Temp._x000a_°C" dataDxfId="88">
      <calculatedColumnFormula>'Plantilla Datos'!F9</calculatedColumnFormula>
    </tableColumn>
    <tableColumn id="5" xr3:uid="{EA1FDDBF-077B-4BD1-B2CF-01C86F1248CF}" name="Darwin Gusts Round Cerro_x000a_m/s" dataDxfId="87">
      <calculatedColumnFormula>CEILING('Plantilla Datos'!$L$3*TBL_CalcDarwin[[#This Row],[Darwin Gusts
m/s]],0.5)</calculatedColumnFormula>
    </tableColumn>
    <tableColumn id="45" xr3:uid="{D99E189C-6109-4A50-BFA7-7DCD96EA675B}" name="Darwin Gusts Round Medio_x000a_m/s" dataDxfId="86">
      <calculatedColumnFormula>CEILING('Plantilla Datos'!$L$4*TBL_CalcDarwin[[#This Row],[Darwin Gusts
m/s]],0.5)</calculatedColumnFormula>
    </tableColumn>
    <tableColumn id="44" xr3:uid="{D6CED880-3177-4145-B4AE-80823BA3DFB2}" name="Darwin Gusts Round Mar_x000a_m/s" dataDxfId="85">
      <calculatedColumnFormula>CEILING(TBL_CalcDarwin[[#This Row],[Darwin Gusts
m/s]],0.5)</calculatedColumnFormula>
    </tableColumn>
    <tableColumn id="26" xr3:uid="{F4EEBFCA-2A87-41A1-863E-15D5FE239AAF}" name="Derate Temp. AEG 5.2 MW" dataDxfId="84">
      <calculatedColumnFormula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calculatedColumnFormula>
    </tableColumn>
    <tableColumn id="18" xr3:uid="{D5A967A7-6B0F-42FC-AFA9-1703E113AED9}" name="AEG 5.2 MW Cerro" dataDxfId="83">
      <calculatedColumnFormula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calculatedColumnFormula>
    </tableColumn>
    <tableColumn id="42" xr3:uid="{040B8610-F2D8-407B-A411-2880F129E4B6}" name="AEG 5.2 MW Medio" dataDxfId="82">
      <calculatedColumnFormula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calculatedColumnFormula>
    </tableColumn>
    <tableColumn id="43" xr3:uid="{26D2681A-FE1C-4502-AAC3-5D29A9B35E64}" name="AEG 5.2 MW Mar" dataDxfId="81">
      <calculatedColumnFormula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calculatedColumnFormula>
    </tableColumn>
    <tableColumn id="22" xr3:uid="{EBF57F47-69E8-4328-BE5A-7DADF0008B6C}" name="x1 Temp 5.2" dataDxfId="80">
      <calculatedColumnFormula>INDEX(Curva_Temp[Temp],MATCH(TBL_CalcDarwin[[#This Row],[Darwin Temp.
°C]],Curva_Temp[Temp]))</calculatedColumnFormula>
    </tableColumn>
    <tableColumn id="25" xr3:uid="{6274613E-A07C-4994-930A-8F67199A31F6}" name="y1 Temp  5.2" dataDxfId="79">
      <calculatedColumnFormula>INDEX(Curva_Temp[Warranted Power Curve for 
1.194Kg/m3 air density '[kW']
SG 5.0-145 (AM+1, 5.2MW) AT 
90M],MATCH(TBL_CalcDarwin[[#This Row],[Darwin Temp.
°C]],Curva_Temp[Temp]))</calculatedColumnFormula>
    </tableColumn>
    <tableColumn id="24" xr3:uid="{DA931E7E-5C76-42B9-B29A-CC92F6E8B2FB}" name="x2 Temp  5.2" dataDxfId="78">
      <calculatedColumnFormula array="1">INDEX(Curva_Temp[Temp],MATCH(TBL_CalcDarwin[[#This Row],[Darwin Temp.
°C]],Curva_Temp[Temp])+1)</calculatedColumnFormula>
    </tableColumn>
    <tableColumn id="23" xr3:uid="{0A60A2D2-94E3-4B0B-A2A7-936F8407EE6B}" name="y2 Temp  5.2" dataDxfId="77">
      <calculatedColumnFormula array="1">INDEX(Curva_Temp[Warranted Power Curve for 
1.194Kg/m3 air density '[kW']
SG 5.0-145 (AM+1, 5.2MW) AT 
90M],MATCH(TBL_CalcDarwin[[#This Row],[Darwin Temp.
°C]],Curva_Temp[Temp])+1)</calculatedColumnFormula>
    </tableColumn>
    <tableColumn id="14" xr3:uid="{6738CE32-5632-43EF-AE7E-77A1345D5242}" name="Derate Temp. AEG 5.0 MW" dataDxfId="76">
      <calculatedColumnFormula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calculatedColumnFormula>
    </tableColumn>
    <tableColumn id="47" xr3:uid="{6E7CA647-CD94-4F92-997D-06022C87B3A6}" name="AEG 5.0 MW Cerro" dataDxfId="75">
      <calculatedColumnFormula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calculatedColumnFormula>
    </tableColumn>
    <tableColumn id="46" xr3:uid="{2F9EDDC1-247D-485A-A07B-C785499EE0B2}" name="AEG 5.0 MW Medio" dataDxfId="74">
      <calculatedColumnFormula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calculatedColumnFormula>
    </tableColumn>
    <tableColumn id="19" xr3:uid="{F6C4D302-F2A3-409D-B198-FFA14BA368B7}" name="AEG 5.0 MW Mar" dataDxfId="73">
      <calculatedColumnFormula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calculatedColumnFormula>
    </tableColumn>
    <tableColumn id="29" xr3:uid="{6350F0E7-4302-4696-A1B2-E4BC800AEED5}" name="x1 Temp 5.0" dataDxfId="72">
      <calculatedColumnFormula>INDEX(Curva_Temp[Temp],MATCH(TBL_CalcDarwin[[#This Row],[Darwin Temp.
°C]],Curva_Temp[Temp]))</calculatedColumnFormula>
    </tableColumn>
    <tableColumn id="28" xr3:uid="{C7E9865E-D02F-4B77-9328-25DF3D197849}" name="y1 Temp  5.0" dataDxfId="71">
      <calculatedColumnFormula>INDEX(Curva_Temp[Warranted Power Curve for 
1.194Kg/m3 air density '[kW']
SG 5.0-145 (AM 0, 5.0MW) AT 
90M],MATCH(TBL_CalcDarwin[[#This Row],[Darwin Temp.
°C]],Curva_Temp[Temp]))</calculatedColumnFormula>
    </tableColumn>
    <tableColumn id="27" xr3:uid="{736DE80A-4B90-4A1C-B3CE-EC81FD0F1057}" name="x2 Temp  5.0" dataDxfId="70">
      <calculatedColumnFormula array="1">INDEX(Curva_Temp[Temp],MATCH(TBL_CalcDarwin[[#This Row],[Darwin Temp.
°C]],Curva_Temp[Temp])+1)</calculatedColumnFormula>
    </tableColumn>
    <tableColumn id="15" xr3:uid="{DD20B789-F803-49C3-9AA4-9E7EDC71B844}" name="y2 Temp  5.0" dataDxfId="69">
      <calculatedColumnFormula array="1">INDEX(Curva_Temp[Warranted Power Curve for 
1.194Kg/m3 air density '[kW']
SG 5.0-145 (AM 0, 5.0MW) AT 
90M],MATCH(TBL_CalcDarwin[[#This Row],[Darwin Temp.
°C]],Curva_Temp[Temp])+1)</calculatedColumnFormula>
    </tableColumn>
    <tableColumn id="31" xr3:uid="{C598EDCB-3EE0-4611-BAAA-C47BB4ADC188}" name="Lomitas - Barra A - 5.2 - Cerro" dataDxfId="68">
      <calculatedColumnFormula>HLOOKUP(TBL_CalcDarwin[[#This Row],[Fecha]],'Plantilla AEG ES'!$E$1:$HX$13,2,FALSE)</calculatedColumnFormula>
    </tableColumn>
    <tableColumn id="30" xr3:uid="{827A19B0-74B1-46F4-BCEE-129E7FF2E96B}" name="Lomitas - Barra A - 5.2 - Medio" dataDxfId="67">
      <calculatedColumnFormula>HLOOKUP(TBL_CalcDarwin[[#This Row],[Fecha]],'Plantilla AEG ES'!$E$1:$HX$13,3,FALSE)</calculatedColumnFormula>
    </tableColumn>
    <tableColumn id="36" xr3:uid="{CAA40EE2-5392-4B60-ADAA-595DDF8D55E5}" name="Lomitas - Barra A - 5.2 - Mar" dataDxfId="66">
      <calculatedColumnFormula>HLOOKUP(TBL_CalcDarwin[[#This Row],[Fecha]],'Plantilla AEG ES'!$E$1:$HX$13,4,FALSE)</calculatedColumnFormula>
    </tableColumn>
    <tableColumn id="35" xr3:uid="{9B654934-4254-4CF2-8E57-017BA7AA6DCE}" name="Expansión - Barra A - 5.2 - Cerro" dataDxfId="65">
      <calculatedColumnFormula>HLOOKUP(TBL_CalcDarwin[[#This Row],[Fecha]],'Plantilla AEG ES'!$E$1:$HX$13,5,FALSE)</calculatedColumnFormula>
    </tableColumn>
    <tableColumn id="34" xr3:uid="{C06865B5-EA74-4E80-B6FA-69AFAFDDD522}" name="Expansión - Barra A - 5.2 - Medio" dataDxfId="64">
      <calculatedColumnFormula>HLOOKUP(TBL_CalcDarwin[[#This Row],[Fecha]],'Plantilla AEG ES'!$E$1:$HX$13,6,FALSE)</calculatedColumnFormula>
    </tableColumn>
    <tableColumn id="33" xr3:uid="{15D4C68E-9763-4B51-A799-66B434D14D6A}" name="Expansión - Barra A - 5.2 - Mar" dataDxfId="63">
      <calculatedColumnFormula>HLOOKUP(TBL_CalcDarwin[[#This Row],[Fecha]],'Plantilla AEG ES'!$E$1:$HX$13,7,FALSE)</calculatedColumnFormula>
    </tableColumn>
    <tableColumn id="41" xr3:uid="{6D7FA048-B6D1-40F2-BCCD-77F5E83A5337}" name="Lomitas - Barra B - 5.2 - Cerro" dataDxfId="62">
      <calculatedColumnFormula>HLOOKUP(TBL_CalcDarwin[[#This Row],[Fecha]],'Plantilla AEG ES'!$E$1:$HX$13,8,FALSE)</calculatedColumnFormula>
    </tableColumn>
    <tableColumn id="40" xr3:uid="{F2499846-EBE4-4B23-A16A-D40CFB39A18C}" name="Lomitas - Barra B - 5.2 - Medio" dataDxfId="61">
      <calculatedColumnFormula>HLOOKUP(TBL_CalcDarwin[[#This Row],[Fecha]],'Plantilla AEG ES'!$E$1:$HX$13,9,FALSE)</calculatedColumnFormula>
    </tableColumn>
    <tableColumn id="39" xr3:uid="{0869EC05-0B3B-44FD-9E2A-73F3D2D5E2E1}" name="Lomitas - Barra B - 5.2 - Mar" dataDxfId="60">
      <calculatedColumnFormula>HLOOKUP(TBL_CalcDarwin[[#This Row],[Fecha]],'Plantilla AEG ES'!$E$1:$HX$13,10,FALSE)</calculatedColumnFormula>
    </tableColumn>
    <tableColumn id="38" xr3:uid="{56DED19D-7F65-4A6F-9939-816106498326}" name="Lomitas - Barra B - 5.0 - Cerro" dataDxfId="59">
      <calculatedColumnFormula>HLOOKUP(TBL_CalcDarwin[[#This Row],[Fecha]],'Plantilla AEG ES'!$E$1:$HX$13,11,FALSE)</calculatedColumnFormula>
    </tableColumn>
    <tableColumn id="37" xr3:uid="{B8C067F6-1961-48B4-BD9A-FE20D1D7A3C1}" name="Lomitas - Barra B - 5.0 - Mar" dataDxfId="58">
      <calculatedColumnFormula>HLOOKUP(TBL_CalcDarwin[[#This Row],[Fecha]],'Plantilla AEG ES'!$E$1:$HX$13,12,FALSE)</calculatedColumnFormula>
    </tableColumn>
    <tableColumn id="32" xr3:uid="{D83AD0B1-B73E-4C87-B365-3F583FA4BC63}" name="Expansión - Barra B - 5.2 - Cerro" dataDxfId="57">
      <calculatedColumnFormula>HLOOKUP(TBL_CalcDarwin[[#This Row],[Fecha]],'Plantilla AEG ES'!$E$1:$HX$13,13,FALSE)</calculatedColumnFormula>
    </tableColumn>
    <tableColumn id="10" xr3:uid="{97F1A7DD-E1B2-4E04-9681-1FE463F82BAB}" name="PLOM AEG E/S BARRA A" dataDxfId="56">
      <calculatedColumnFormula>TBL_CalcDarwin[[#This Row],[Lomitas - Barra A - 5.2 - Cerro]]+TBL_CalcDarwin[[#This Row],[Lomitas - Barra A - 5.2 - Medio]]+TBL_CalcDarwin[[#This Row],[Lomitas - Barra A - 5.2 - Mar]]</calculatedColumnFormula>
    </tableColumn>
    <tableColumn id="9" xr3:uid="{3B3360DC-BA41-4317-92D8-D30E38ED7F5E}" name="PLOM AEG E/S BARRA B" dataDxfId="55">
      <calculatedColumnFormula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calculatedColumnFormula>
    </tableColumn>
    <tableColumn id="8" xr3:uid="{628F9304-447F-4866-A49C-2F4B98CA2ABD}" name="PLOM MW TOTAL BARRA A" dataDxfId="54">
      <calculatedColumnFormula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calculatedColumnFormula>
    </tableColumn>
    <tableColumn id="7" xr3:uid="{F56069EC-58B1-46E4-A3EB-BA144A939A42}" name="PLOM MW TOTAL BARRA B" dataDxfId="53">
      <calculatedColumnFormula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calculatedColumnFormula>
    </tableColumn>
    <tableColumn id="16" xr3:uid="{2F992E2A-AE5B-46B7-9E6A-68707141D921}" name="PLOME AEG E/S BARRA A" dataDxfId="52">
      <calculatedColumnFormula>TBL_CalcDarwin[[#This Row],[Expansión - Barra A - 5.2 - Cerro]]+TBL_CalcDarwin[[#This Row],[Expansión - Barra A - 5.2 - Medio]]+TBL_CalcDarwin[[#This Row],[Expansión - Barra A - 5.2 - Mar]]</calculatedColumnFormula>
    </tableColumn>
    <tableColumn id="17" xr3:uid="{73EF8AAF-9CCA-44CC-B095-584DEE6C6E3F}" name="PLOME AEG E/S BARRA B" dataDxfId="51">
      <calculatedColumnFormula>TBL_CalcDarwin[[#This Row],[Expansión - Barra B - 5.2 - Cerro]]</calculatedColumnFormula>
    </tableColumn>
    <tableColumn id="20" xr3:uid="{D81499E4-387C-4E41-87C6-A538DCD47B19}" name="PLOME MW TOTAL BARRA A" dataDxfId="50">
      <calculatedColumnFormula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calculatedColumnFormula>
    </tableColumn>
    <tableColumn id="21" xr3:uid="{1176C7C2-EF4A-4DDC-931F-859C43FAC4E7}" name="PLOME MW TOTAL BARRA B" dataDxfId="49">
      <calculatedColumnFormula>TBL_CalcDarwin[[#This Row],[Expansión - Barra B - 5.2 - Cerro]]*TBL_CalcDarwin[[#This Row],[AEG 5.2 MW Cerro]]</calculatedColumnFormula>
    </tableColumn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B313B01-9BE7-4C19-9C9D-DE877719519A}" name="Table1" displayName="Table1" ref="F2:L50" totalsRowShown="0" headerRowDxfId="48" dataDxfId="47">
  <autoFilter ref="F2:L50" xr:uid="{0DDE3FFE-CE37-43E6-AB5E-1AE401BF4D09}"/>
  <tableColumns count="7">
    <tableColumn id="1" xr3:uid="{16F1B5BA-D34C-411E-9C5B-20833467E669}" name="Fecha" dataDxfId="46">
      <calculatedColumnFormula>(Table2[[#This Row],[Fecha]]+2)</calculatedColumnFormula>
    </tableColumn>
    <tableColumn id="2" xr3:uid="{56CF45E6-74BD-479A-A91E-0417A651EBD9}" name="Hora" dataDxfId="45">
      <calculatedColumnFormula>Table2[[#This Row],[Hora]]</calculatedColumnFormula>
    </tableColumn>
    <tableColumn id="3" xr3:uid="{BEAA95D9-B33B-484A-9034-6900E41EA79F}" name="MW Proyectada (Barra A)" dataDxfId="44">
      <calculatedColumnFormula>VLOOKUP(Table1[[#This Row],[Fecha]],TBL_CalcDarwin[],42,1)</calculatedColumnFormula>
    </tableColumn>
    <tableColumn id="4" xr3:uid="{1CF57D89-08E2-4848-B4CA-869E60F14D24}" name="MW Proyectada (Barra B)" dataDxfId="43">
      <calculatedColumnFormula>VLOOKUP(Table1[[#This Row],[Fecha]],TBL_CalcDarwin[],43,1)</calculatedColumnFormula>
    </tableColumn>
    <tableColumn id="5" xr3:uid="{2C7976FD-8FDB-48B5-A5DD-3FD87A54A948}" name="AEG DISPONIBLES BARRA A" dataDxfId="42">
      <calculatedColumnFormula>VLOOKUP(Table1[[#This Row],[Fecha]],TBL_CalcDarwin[],40,1)</calculatedColumnFormula>
    </tableColumn>
    <tableColumn id="6" xr3:uid="{301A5512-9E4F-4607-85DE-26E1B4BE7A7A}" name="AEG DISPONIBLES BARRA B" dataDxfId="41">
      <calculatedColumnFormula>VLOOKUP(Table1[[#This Row],[Fecha]],TBL_CalcDarwin[],41,1)</calculatedColumnFormula>
    </tableColumn>
    <tableColumn id="9" xr3:uid="{F291669B-5985-4EE2-B6D9-D9D211A95EAF}" name="TOTAL MW" dataDxfId="40">
      <calculatedColumnFormula>Table1[[#This Row],[MW Proyectada (Barra A)]]+Table1[[#This Row],[MW Proyectada (Barra B)]]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CD7C80E-890E-48F8-BEF7-349795171EDC}" name="Table2" displayName="Table2" ref="A2:C50" totalsRowShown="0" headerRowDxfId="39">
  <autoFilter ref="A2:C50" xr:uid="{DA87D100-82EA-408F-B7B6-A0A4FF88CEAB}"/>
  <tableColumns count="3">
    <tableColumn id="1" xr3:uid="{9187023A-6E5D-4778-AB7A-D490A6474F51}" name="Fecha" dataDxfId="38"/>
    <tableColumn id="2" xr3:uid="{6A23B25B-8224-4851-A019-D48C6D35C3C4}" name="Hora" dataDxfId="37"/>
    <tableColumn id="3" xr3:uid="{448D6DBB-EB41-4B3F-B2D5-837B9D1BE1BA}" name="Viento m/s" dataDxfId="36">
      <calculatedColumnFormula>'Plantilla Datos'!K9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9C2DBC0-FE99-4523-95F0-C7B51CEEB968}" name="Table18" displayName="Table18" ref="F2:L50" totalsRowShown="0" headerRowDxfId="35" dataDxfId="34">
  <autoFilter ref="F2:L50" xr:uid="{0DDE3FFE-CE37-43E6-AB5E-1AE401BF4D09}"/>
  <tableColumns count="7">
    <tableColumn id="1" xr3:uid="{62D4A0E8-458F-4E9B-9C3A-FBEBBD7FF3CB}" name="Fecha" dataDxfId="33">
      <calculatedColumnFormula>(Table29[[#This Row],[Fecha]]+2)</calculatedColumnFormula>
    </tableColumn>
    <tableColumn id="2" xr3:uid="{30011FA9-EFB3-4B31-8793-44FB5F0C8A22}" name="Hora" dataDxfId="32">
      <calculatedColumnFormula>Table29[[#This Row],[Hora]]</calculatedColumnFormula>
    </tableColumn>
    <tableColumn id="3" xr3:uid="{82B66F11-3523-4A37-BECE-375EF8A24C68}" name="MW Proyectada (Barra A)" dataDxfId="31">
      <calculatedColumnFormula>VLOOKUP(Table18[[#This Row],[Fecha]],TBL_CalcDarwin[],46,1)</calculatedColumnFormula>
    </tableColumn>
    <tableColumn id="4" xr3:uid="{24034D99-D529-4D28-9EBE-6C145EA8822C}" name="MW Proyectada (Barra B)" dataDxfId="30">
      <calculatedColumnFormula>VLOOKUP(Table18[[#This Row],[Fecha]],TBL_CalcDarwin[],47,1)</calculatedColumnFormula>
    </tableColumn>
    <tableColumn id="5" xr3:uid="{9EB39D5A-22BE-4B05-87EA-5D03AF31C977}" name="AEG DISPONIBLES BARRA A" dataDxfId="29">
      <calculatedColumnFormula>VLOOKUP(Table18[[#This Row],[Fecha]],TBL_CalcDarwin[],44,1)</calculatedColumnFormula>
    </tableColumn>
    <tableColumn id="6" xr3:uid="{98E94EB9-594E-4356-96A5-EC4698E35C3D}" name="AEG DISPONIBLES BARRA B" dataDxfId="28">
      <calculatedColumnFormula>VLOOKUP(Table18[[#This Row],[Fecha]],TBL_CalcDarwin[],45,1)</calculatedColumnFormula>
    </tableColumn>
    <tableColumn id="9" xr3:uid="{8579F102-3332-4E74-9CD1-31766B055947}" name="TOTAL MW" dataDxfId="27">
      <calculatedColumnFormula>Table18[[#This Row],[MW Proyectada (Barra A)]]+Table18[[#This Row],[MW Proyectada (Barra B)]]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982DA00-0E08-40F6-8382-7D762EFD1E8A}" name="Table29" displayName="Table29" ref="A2:C50" totalsRowShown="0" headerRowDxfId="26">
  <autoFilter ref="A2:C50" xr:uid="{DA87D100-82EA-408F-B7B6-A0A4FF88CEAB}"/>
  <tableColumns count="3">
    <tableColumn id="1" xr3:uid="{B75D856E-5D1C-4A84-9862-3F6792E27BFF}" name="Fecha" dataDxfId="25"/>
    <tableColumn id="2" xr3:uid="{3BCDA68B-67BE-4AB2-8D1E-D054999DFBEA}" name="Hora" dataDxfId="24"/>
    <tableColumn id="3" xr3:uid="{B2EB5E13-A65A-403A-B319-D575F4F056B6}" name="Viento m/s" dataDxfId="23">
      <calculatedColumnFormula>'Plantilla Datos'!K9</calculatedColumnFormula>
    </tableColumn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E90F310-F9AC-4920-A2F7-44B83CA0691A}" name="Table110" displayName="Table110" ref="B2:J228" totalsRowShown="0" headerRowDxfId="22" dataDxfId="21">
  <autoFilter ref="B2:J228" xr:uid="{0DDE3FFE-CE37-43E6-AB5E-1AE401BF4D09}"/>
  <tableColumns count="9">
    <tableColumn id="1" xr3:uid="{695A6E46-5F8C-40D1-B8A9-81E6A270058E}" name="Fecha" dataDxfId="20"/>
    <tableColumn id="2" xr3:uid="{1165508D-0EF0-486E-8929-3B78648CE145}" name="Hora" dataDxfId="19"/>
    <tableColumn id="7" xr3:uid="{FC1D9EAD-2AC0-4645-96B0-6E29F60F7E30}" name="FECHA /HORA" dataDxfId="18">
      <calculatedColumnFormula>Table110[[#This Row],[Fecha]]</calculatedColumnFormula>
    </tableColumn>
    <tableColumn id="8" xr3:uid="{9231B63A-E0B5-4076-9615-965C8869D1F9}" name="Viento m/s" dataDxfId="17">
      <calculatedColumnFormula>VLOOKUP(Table110[[#This Row],[FECHA /HORA]],TBL_CalcDarwin[],7,0)</calculatedColumnFormula>
    </tableColumn>
    <tableColumn id="3" xr3:uid="{2B6F53CC-28AE-44B0-BB36-612D711C7400}" name="MW Proyectada (Barra A)" dataDxfId="16">
      <calculatedColumnFormula>VLOOKUP(Table110[[#This Row],[FECHA /HORA]],TBL_CalcDarwin[],42,0)</calculatedColumnFormula>
    </tableColumn>
    <tableColumn id="4" xr3:uid="{053EF2E1-3F04-49BA-A60D-F8BB50D8212E}" name="MW Proyectada (Barra B)" dataDxfId="15">
      <calculatedColumnFormula>VLOOKUP(Table110[[#This Row],[FECHA /HORA]],TBL_CalcDarwin[],43,0)</calculatedColumnFormula>
    </tableColumn>
    <tableColumn id="5" xr3:uid="{D9D4015E-C639-4B76-8A7E-09298B191760}" name="AEG DISPONIBLES BARRA A" dataDxfId="14">
      <calculatedColumnFormula>VLOOKUP(Table110[[#This Row],[FECHA /HORA]],TBL_CalcDarwin[],40,0)</calculatedColumnFormula>
    </tableColumn>
    <tableColumn id="6" xr3:uid="{56043B52-7F63-45BE-A142-6B95E77F7C35}" name="AEG DISPONIBLES BARRA B" dataDxfId="13">
      <calculatedColumnFormula>VLOOKUP(Table110[[#This Row],[FECHA /HORA]],TBL_CalcDarwin[],41,0)</calculatedColumnFormula>
    </tableColumn>
    <tableColumn id="9" xr3:uid="{14474769-3C4F-43A2-84C0-9566285CC65C}" name="TOTAL MW" dataDxfId="12">
      <calculatedColumnFormula>Table110[[#This Row],[MW Proyectada (Barra A)]]+Table110[[#This Row],[MW Proyectada (Barra B)]]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186BF66-46FD-45CB-AFDD-B8ADB7BFC04F}" name="Table14" displayName="Table14" ref="B2:J228" totalsRowShown="0" headerRowDxfId="11" dataDxfId="10">
  <autoFilter ref="B2:J228" xr:uid="{84981A0D-CAD3-4F79-9A5E-64939F0D2C62}"/>
  <tableColumns count="9">
    <tableColumn id="1" xr3:uid="{384188B8-FA96-4082-AEB8-AE5DEA3202F6}" name="Fecha" dataDxfId="9">
      <calculatedColumnFormula>Table110[[#This Row],[Fecha]]</calculatedColumnFormula>
    </tableColumn>
    <tableColumn id="2" xr3:uid="{3F0641FD-0947-4789-9A1C-77ABFF3EEEE5}" name="Hora" dataDxfId="8">
      <calculatedColumnFormula>Table110[[#This Row],[Hora]]</calculatedColumnFormula>
    </tableColumn>
    <tableColumn id="8" xr3:uid="{0B3128DB-A004-4E2E-9864-FCDC4ACDB9F7}" name="FECHA /HORA" dataDxfId="7">
      <calculatedColumnFormula>Table14[[#This Row],[Fecha]]</calculatedColumnFormula>
    </tableColumn>
    <tableColumn id="7" xr3:uid="{94ED7C6B-B287-4351-831E-9B0F30EB587A}" name="Viento m/s" dataDxfId="6">
      <calculatedColumnFormula>Table110[[#This Row],[Viento m/s]]</calculatedColumnFormula>
    </tableColumn>
    <tableColumn id="3" xr3:uid="{83044B53-7247-4EC9-8DFC-101495A34E48}" name="MW Proyectada (Barra A)" dataDxfId="5">
      <calculatedColumnFormula>VLOOKUP(Table14[[#This Row],[FECHA /HORA]],TBL_CalcDarwin[],46,0)</calculatedColumnFormula>
    </tableColumn>
    <tableColumn id="4" xr3:uid="{E822FAF5-B6D6-4B7B-A881-BF9308F90E2F}" name="MW Proyectada (Barra B)" dataDxfId="4">
      <calculatedColumnFormula>VLOOKUP(Table14[[#This Row],[FECHA /HORA]],TBL_CalcDarwin[],47,0)</calculatedColumnFormula>
    </tableColumn>
    <tableColumn id="5" xr3:uid="{1BF1E1A4-1BFD-445A-A5D5-D679FD664683}" name="AEG DISPONIBLES BARRA A" dataDxfId="3">
      <calculatedColumnFormula>VLOOKUP(Table14[[#This Row],[FECHA /HORA]],TBL_CalcDarwin[],44,0)</calculatedColumnFormula>
    </tableColumn>
    <tableColumn id="6" xr3:uid="{7C22D775-FACA-4B3F-87E6-10C75663A27F}" name="AEG DISPONIBLES BARRA B" dataDxfId="2">
      <calculatedColumnFormula>VLOOKUP(Table14[[#This Row],[FECHA /HORA]],TBL_CalcDarwin[],45,0)</calculatedColumnFormula>
    </tableColumn>
    <tableColumn id="9" xr3:uid="{6C0471D3-A4DD-40F8-A5DC-B563DD28899B}" name="TOTAL MW" dataDxfId="1">
      <calculatedColumnFormula>Table14[[#This Row],[MW Proyectada (Barra A)]]+Table14[[#This Row],[MW Proyectada (Barra B)]]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darwin4res.com/Forecaster/Win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A8AB1-007A-4538-BA19-900DB8FAEAE2}">
  <sheetPr codeName="Sheet1"/>
  <dimension ref="A2:G53"/>
  <sheetViews>
    <sheetView zoomScale="70" zoomScaleNormal="70" workbookViewId="0">
      <selection activeCell="B12" sqref="B12"/>
    </sheetView>
  </sheetViews>
  <sheetFormatPr defaultColWidth="22.7109375" defaultRowHeight="15" x14ac:dyDescent="0.25"/>
  <cols>
    <col min="2" max="3" width="29.5703125" customWidth="1"/>
  </cols>
  <sheetData>
    <row r="2" spans="1:7" ht="105" x14ac:dyDescent="0.25">
      <c r="A2" s="13" t="s">
        <v>23</v>
      </c>
      <c r="B2" s="13" t="s">
        <v>24</v>
      </c>
      <c r="C2" s="13" t="s">
        <v>25</v>
      </c>
      <c r="E2" s="13" t="s">
        <v>32</v>
      </c>
      <c r="F2" s="13" t="s">
        <v>24</v>
      </c>
      <c r="G2" s="13" t="s">
        <v>25</v>
      </c>
    </row>
    <row r="3" spans="1:7" x14ac:dyDescent="0.25">
      <c r="A3" s="14">
        <v>1</v>
      </c>
      <c r="B3" s="15">
        <v>0</v>
      </c>
      <c r="C3" s="15">
        <v>0</v>
      </c>
      <c r="E3" s="14">
        <v>10</v>
      </c>
      <c r="F3" s="15">
        <v>5000</v>
      </c>
      <c r="G3" s="15">
        <v>5200</v>
      </c>
    </row>
    <row r="4" spans="1:7" x14ac:dyDescent="0.25">
      <c r="A4" s="14">
        <v>2</v>
      </c>
      <c r="B4" s="15">
        <v>0</v>
      </c>
      <c r="C4" s="15">
        <v>0</v>
      </c>
      <c r="E4" s="14">
        <v>15</v>
      </c>
      <c r="F4" s="15">
        <v>5000</v>
      </c>
      <c r="G4" s="15">
        <v>5200</v>
      </c>
    </row>
    <row r="5" spans="1:7" x14ac:dyDescent="0.25">
      <c r="A5" s="14">
        <v>3</v>
      </c>
      <c r="B5" s="15">
        <v>53</v>
      </c>
      <c r="C5" s="15">
        <v>55</v>
      </c>
      <c r="E5" s="14">
        <v>20</v>
      </c>
      <c r="F5" s="15">
        <v>5000</v>
      </c>
      <c r="G5" s="15">
        <v>5000</v>
      </c>
    </row>
    <row r="6" spans="1:7" x14ac:dyDescent="0.25">
      <c r="A6" s="14">
        <v>3.5</v>
      </c>
      <c r="B6" s="15">
        <v>125</v>
      </c>
      <c r="C6" s="15">
        <v>130</v>
      </c>
      <c r="E6" s="14">
        <v>25</v>
      </c>
      <c r="F6" s="15">
        <v>4900</v>
      </c>
      <c r="G6" s="15">
        <v>4900</v>
      </c>
    </row>
    <row r="7" spans="1:7" x14ac:dyDescent="0.25">
      <c r="A7" s="14">
        <v>4</v>
      </c>
      <c r="B7" s="15">
        <v>233</v>
      </c>
      <c r="C7" s="15">
        <v>244</v>
      </c>
      <c r="E7" s="14">
        <v>30</v>
      </c>
      <c r="F7" s="15">
        <v>4800</v>
      </c>
      <c r="G7" s="15">
        <v>4800</v>
      </c>
    </row>
    <row r="8" spans="1:7" x14ac:dyDescent="0.25">
      <c r="A8" s="14">
        <v>4.5</v>
      </c>
      <c r="B8" s="15">
        <v>371</v>
      </c>
      <c r="C8" s="15">
        <v>382</v>
      </c>
      <c r="E8" s="14">
        <v>35</v>
      </c>
      <c r="F8" s="15">
        <v>4500</v>
      </c>
      <c r="G8" s="15">
        <v>4500</v>
      </c>
    </row>
    <row r="9" spans="1:7" x14ac:dyDescent="0.25">
      <c r="A9" s="14">
        <v>5</v>
      </c>
      <c r="B9" s="15">
        <v>539</v>
      </c>
      <c r="C9" s="15">
        <v>547</v>
      </c>
      <c r="E9" s="14">
        <v>40</v>
      </c>
      <c r="F9" s="15">
        <v>2500</v>
      </c>
      <c r="G9" s="15">
        <v>2500</v>
      </c>
    </row>
    <row r="10" spans="1:7" x14ac:dyDescent="0.25">
      <c r="A10" s="14">
        <v>5.5</v>
      </c>
      <c r="B10" s="15">
        <v>741</v>
      </c>
      <c r="C10" s="15">
        <v>745</v>
      </c>
    </row>
    <row r="11" spans="1:7" x14ac:dyDescent="0.25">
      <c r="A11" s="14">
        <v>6</v>
      </c>
      <c r="B11" s="15">
        <v>982</v>
      </c>
      <c r="C11" s="15">
        <v>983</v>
      </c>
    </row>
    <row r="12" spans="1:7" x14ac:dyDescent="0.25">
      <c r="A12" s="14">
        <v>6.5</v>
      </c>
      <c r="B12" s="15">
        <v>1265</v>
      </c>
      <c r="C12" s="15">
        <v>1266</v>
      </c>
    </row>
    <row r="13" spans="1:7" x14ac:dyDescent="0.25">
      <c r="A13" s="14">
        <v>7</v>
      </c>
      <c r="B13" s="15">
        <v>1595</v>
      </c>
      <c r="C13" s="15">
        <v>1597</v>
      </c>
    </row>
    <row r="14" spans="1:7" x14ac:dyDescent="0.25">
      <c r="A14" s="14">
        <v>7.5</v>
      </c>
      <c r="B14" s="15">
        <v>1973</v>
      </c>
      <c r="C14" s="15">
        <v>1978</v>
      </c>
    </row>
    <row r="15" spans="1:7" x14ac:dyDescent="0.25">
      <c r="A15" s="14">
        <v>8</v>
      </c>
      <c r="B15" s="15">
        <v>2398</v>
      </c>
      <c r="C15" s="15">
        <v>2409</v>
      </c>
    </row>
    <row r="16" spans="1:7" x14ac:dyDescent="0.25">
      <c r="A16" s="14">
        <v>8.5</v>
      </c>
      <c r="B16" s="15">
        <v>2859</v>
      </c>
      <c r="C16" s="15">
        <v>2878</v>
      </c>
    </row>
    <row r="17" spans="1:3" x14ac:dyDescent="0.25">
      <c r="A17" s="14">
        <v>9</v>
      </c>
      <c r="B17" s="15">
        <v>3336</v>
      </c>
      <c r="C17" s="15">
        <v>3366</v>
      </c>
    </row>
    <row r="18" spans="1:3" x14ac:dyDescent="0.25">
      <c r="A18" s="14">
        <v>9.5</v>
      </c>
      <c r="B18" s="15">
        <v>3798</v>
      </c>
      <c r="C18" s="15">
        <v>3842</v>
      </c>
    </row>
    <row r="19" spans="1:3" x14ac:dyDescent="0.25">
      <c r="A19" s="14">
        <v>10</v>
      </c>
      <c r="B19" s="15">
        <v>4212</v>
      </c>
      <c r="C19" s="15">
        <v>4284</v>
      </c>
    </row>
    <row r="20" spans="1:3" x14ac:dyDescent="0.25">
      <c r="A20" s="14">
        <v>10.5</v>
      </c>
      <c r="B20" s="15">
        <v>4545</v>
      </c>
      <c r="C20" s="15">
        <v>4663</v>
      </c>
    </row>
    <row r="21" spans="1:3" x14ac:dyDescent="0.25">
      <c r="A21" s="14">
        <v>11</v>
      </c>
      <c r="B21" s="15">
        <v>4783</v>
      </c>
      <c r="C21" s="15">
        <v>4956</v>
      </c>
    </row>
    <row r="22" spans="1:3" x14ac:dyDescent="0.25">
      <c r="A22" s="14">
        <v>11.5</v>
      </c>
      <c r="B22" s="15">
        <v>4921</v>
      </c>
      <c r="C22" s="15">
        <v>5151</v>
      </c>
    </row>
    <row r="23" spans="1:3" x14ac:dyDescent="0.25">
      <c r="A23" s="14">
        <v>12</v>
      </c>
      <c r="B23" s="15">
        <v>4972</v>
      </c>
      <c r="C23" s="15">
        <v>5200</v>
      </c>
    </row>
    <row r="24" spans="1:3" x14ac:dyDescent="0.25">
      <c r="A24" s="14">
        <v>12.5</v>
      </c>
      <c r="B24" s="15">
        <v>4987</v>
      </c>
      <c r="C24" s="15">
        <v>5200</v>
      </c>
    </row>
    <row r="25" spans="1:3" x14ac:dyDescent="0.25">
      <c r="A25" s="14">
        <v>13</v>
      </c>
      <c r="B25" s="15">
        <v>4994</v>
      </c>
      <c r="C25" s="15">
        <v>5200</v>
      </c>
    </row>
    <row r="26" spans="1:3" x14ac:dyDescent="0.25">
      <c r="A26" s="14">
        <v>13.5</v>
      </c>
      <c r="B26" s="15">
        <v>4997</v>
      </c>
      <c r="C26" s="15">
        <v>5200</v>
      </c>
    </row>
    <row r="27" spans="1:3" x14ac:dyDescent="0.25">
      <c r="A27" s="14">
        <v>14</v>
      </c>
      <c r="B27" s="15">
        <v>4999</v>
      </c>
      <c r="C27" s="15">
        <v>5200</v>
      </c>
    </row>
    <row r="28" spans="1:3" x14ac:dyDescent="0.25">
      <c r="A28" s="14">
        <v>14.5</v>
      </c>
      <c r="B28" s="15">
        <v>4999</v>
      </c>
      <c r="C28" s="15">
        <v>5200</v>
      </c>
    </row>
    <row r="29" spans="1:3" x14ac:dyDescent="0.25">
      <c r="A29" s="14">
        <v>15</v>
      </c>
      <c r="B29" s="15">
        <v>5000</v>
      </c>
      <c r="C29" s="15">
        <v>5200</v>
      </c>
    </row>
    <row r="30" spans="1:3" x14ac:dyDescent="0.25">
      <c r="A30" s="14">
        <v>15.5</v>
      </c>
      <c r="B30" s="15">
        <v>5000</v>
      </c>
      <c r="C30" s="15">
        <v>5200</v>
      </c>
    </row>
    <row r="31" spans="1:3" x14ac:dyDescent="0.25">
      <c r="A31" s="14">
        <v>16</v>
      </c>
      <c r="B31" s="15">
        <v>5000</v>
      </c>
      <c r="C31" s="15">
        <v>5200</v>
      </c>
    </row>
    <row r="32" spans="1:3" x14ac:dyDescent="0.25">
      <c r="A32" s="14">
        <v>16.5</v>
      </c>
      <c r="B32" s="15">
        <v>5000</v>
      </c>
      <c r="C32" s="15">
        <v>5200</v>
      </c>
    </row>
    <row r="33" spans="1:3" x14ac:dyDescent="0.25">
      <c r="A33" s="14">
        <v>17</v>
      </c>
      <c r="B33" s="15">
        <v>5000</v>
      </c>
      <c r="C33" s="15">
        <v>5200</v>
      </c>
    </row>
    <row r="34" spans="1:3" x14ac:dyDescent="0.25">
      <c r="A34" s="14">
        <v>17.5</v>
      </c>
      <c r="B34" s="15">
        <v>5000</v>
      </c>
      <c r="C34" s="15">
        <v>5200</v>
      </c>
    </row>
    <row r="35" spans="1:3" x14ac:dyDescent="0.25">
      <c r="A35" s="14">
        <v>18</v>
      </c>
      <c r="B35" s="15">
        <v>4999</v>
      </c>
      <c r="C35" s="15">
        <v>5198</v>
      </c>
    </row>
    <row r="36" spans="1:3" x14ac:dyDescent="0.25">
      <c r="A36" s="14">
        <v>18.5</v>
      </c>
      <c r="B36" s="15">
        <v>4996</v>
      </c>
      <c r="C36" s="15">
        <v>5195</v>
      </c>
    </row>
    <row r="37" spans="1:3" x14ac:dyDescent="0.25">
      <c r="A37" s="14">
        <v>19</v>
      </c>
      <c r="B37" s="15">
        <v>4990</v>
      </c>
      <c r="C37" s="15">
        <v>5188</v>
      </c>
    </row>
    <row r="38" spans="1:3" x14ac:dyDescent="0.25">
      <c r="A38" s="14">
        <v>19.5</v>
      </c>
      <c r="B38" s="15">
        <v>4978</v>
      </c>
      <c r="C38" s="15">
        <v>5174</v>
      </c>
    </row>
    <row r="39" spans="1:3" x14ac:dyDescent="0.25">
      <c r="A39" s="14">
        <v>20</v>
      </c>
      <c r="B39" s="15">
        <v>4956</v>
      </c>
      <c r="C39" s="15">
        <v>5148</v>
      </c>
    </row>
    <row r="40" spans="1:3" x14ac:dyDescent="0.25">
      <c r="A40" s="14">
        <v>20.5</v>
      </c>
      <c r="B40" s="15">
        <v>4920</v>
      </c>
      <c r="C40" s="15">
        <v>5106</v>
      </c>
    </row>
    <row r="41" spans="1:3" x14ac:dyDescent="0.25">
      <c r="A41" s="14">
        <v>21</v>
      </c>
      <c r="B41" s="15">
        <v>4869</v>
      </c>
      <c r="C41" s="15">
        <v>5046</v>
      </c>
    </row>
    <row r="42" spans="1:3" x14ac:dyDescent="0.25">
      <c r="A42" s="14">
        <v>21.5</v>
      </c>
      <c r="B42" s="15">
        <v>4802</v>
      </c>
      <c r="C42" s="15">
        <v>4968</v>
      </c>
    </row>
    <row r="43" spans="1:3" x14ac:dyDescent="0.25">
      <c r="A43" s="14">
        <v>22</v>
      </c>
      <c r="B43" s="15">
        <v>4720</v>
      </c>
      <c r="C43" s="15">
        <v>4873</v>
      </c>
    </row>
    <row r="44" spans="1:3" x14ac:dyDescent="0.25">
      <c r="A44" s="14">
        <v>22.5</v>
      </c>
      <c r="B44" s="15">
        <v>4628</v>
      </c>
      <c r="C44" s="15">
        <v>4767</v>
      </c>
    </row>
    <row r="45" spans="1:3" x14ac:dyDescent="0.25">
      <c r="A45" s="14">
        <v>23</v>
      </c>
      <c r="B45" s="15">
        <v>4531</v>
      </c>
      <c r="C45" s="15">
        <v>4655</v>
      </c>
    </row>
    <row r="46" spans="1:3" x14ac:dyDescent="0.25">
      <c r="A46" s="14">
        <v>23.5</v>
      </c>
      <c r="B46" s="15">
        <v>4432</v>
      </c>
      <c r="C46" s="15">
        <v>4542</v>
      </c>
    </row>
    <row r="47" spans="1:3" x14ac:dyDescent="0.25">
      <c r="A47" s="14">
        <v>24</v>
      </c>
      <c r="B47" s="15">
        <v>4388</v>
      </c>
      <c r="C47" s="15">
        <v>4433</v>
      </c>
    </row>
    <row r="48" spans="1:3" x14ac:dyDescent="0.25">
      <c r="A48" s="14">
        <v>24.5</v>
      </c>
      <c r="B48" s="15">
        <v>4247</v>
      </c>
      <c r="C48" s="15">
        <v>4329</v>
      </c>
    </row>
    <row r="49" spans="1:3" x14ac:dyDescent="0.25">
      <c r="A49" s="14">
        <v>25</v>
      </c>
      <c r="B49" s="15">
        <v>4169</v>
      </c>
      <c r="C49" s="15">
        <v>4240</v>
      </c>
    </row>
    <row r="50" spans="1:3" x14ac:dyDescent="0.25">
      <c r="A50" s="14">
        <v>25.5</v>
      </c>
      <c r="B50" s="15">
        <v>4096</v>
      </c>
      <c r="C50" s="15">
        <v>4158</v>
      </c>
    </row>
    <row r="51" spans="1:3" x14ac:dyDescent="0.25">
      <c r="A51" s="14">
        <v>26</v>
      </c>
      <c r="B51" s="15">
        <v>4031</v>
      </c>
      <c r="C51" s="15">
        <v>4085</v>
      </c>
    </row>
    <row r="52" spans="1:3" x14ac:dyDescent="0.25">
      <c r="A52" s="14">
        <v>26.5</v>
      </c>
      <c r="B52" s="15">
        <v>3978</v>
      </c>
      <c r="C52" s="15">
        <v>4025</v>
      </c>
    </row>
    <row r="53" spans="1:3" x14ac:dyDescent="0.25">
      <c r="A53" s="14">
        <v>27</v>
      </c>
      <c r="B53" s="15">
        <v>3930</v>
      </c>
      <c r="C53" s="15">
        <v>3971</v>
      </c>
    </row>
  </sheetData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1A777-3F50-462A-8B4E-06D1534F2E2B}">
  <sheetPr codeName="Sheet6">
    <tabColor theme="8"/>
  </sheetPr>
  <dimension ref="B2:P246"/>
  <sheetViews>
    <sheetView tabSelected="1" workbookViewId="0">
      <selection activeCell="H10" sqref="H10"/>
    </sheetView>
  </sheetViews>
  <sheetFormatPr defaultColWidth="9.140625" defaultRowHeight="15" x14ac:dyDescent="0.25"/>
  <cols>
    <col min="1" max="1" width="3.28515625" customWidth="1"/>
    <col min="2" max="2" width="20.28515625" customWidth="1"/>
    <col min="3" max="3" width="5.85546875" customWidth="1"/>
    <col min="6" max="6" width="11.140625" customWidth="1"/>
    <col min="9" max="9" width="19.85546875" bestFit="1" customWidth="1"/>
    <col min="13" max="13" width="18.7109375" bestFit="1" customWidth="1"/>
  </cols>
  <sheetData>
    <row r="2" spans="2:16" x14ac:dyDescent="0.25">
      <c r="B2" s="54" t="s">
        <v>206</v>
      </c>
      <c r="C2" s="54"/>
      <c r="J2" s="131" t="s">
        <v>184</v>
      </c>
      <c r="K2" s="131"/>
      <c r="L2" s="131"/>
    </row>
    <row r="3" spans="2:16" x14ac:dyDescent="0.25">
      <c r="B3" s="54" t="s">
        <v>207</v>
      </c>
      <c r="C3" s="54"/>
      <c r="E3" s="130">
        <v>45612</v>
      </c>
      <c r="F3" s="130"/>
      <c r="J3" s="121" t="s">
        <v>181</v>
      </c>
      <c r="K3" s="122">
        <v>6.8670609397391633</v>
      </c>
      <c r="L3" s="123">
        <f>K3/K5</f>
        <v>0.72126771182767013</v>
      </c>
    </row>
    <row r="4" spans="2:16" x14ac:dyDescent="0.25">
      <c r="B4" s="54" t="s">
        <v>208</v>
      </c>
      <c r="C4" s="54"/>
      <c r="E4" s="129">
        <v>8.3333333333333329E-2</v>
      </c>
      <c r="F4" s="129"/>
      <c r="J4" s="121" t="s">
        <v>182</v>
      </c>
      <c r="K4" s="122">
        <v>8.1056757169263793</v>
      </c>
      <c r="L4" s="123">
        <f>K4/K5</f>
        <v>0.85136308363482582</v>
      </c>
    </row>
    <row r="5" spans="2:16" x14ac:dyDescent="0.25">
      <c r="B5" s="54"/>
      <c r="D5" s="54"/>
      <c r="F5" s="54"/>
      <c r="J5" s="121" t="s">
        <v>183</v>
      </c>
      <c r="K5" s="122">
        <v>9.5208212250874826</v>
      </c>
      <c r="L5" s="123">
        <v>1</v>
      </c>
    </row>
    <row r="6" spans="2:16" ht="15.75" thickBot="1" x14ac:dyDescent="0.3">
      <c r="J6" s="57"/>
      <c r="K6" s="58"/>
      <c r="L6" s="59"/>
    </row>
    <row r="7" spans="2:16" ht="15.75" thickBot="1" x14ac:dyDescent="0.3">
      <c r="B7" s="70" t="s">
        <v>180</v>
      </c>
      <c r="C7" s="134" t="s">
        <v>186</v>
      </c>
      <c r="D7" s="135"/>
      <c r="E7" s="136"/>
      <c r="F7" s="60"/>
      <c r="I7" s="132" t="s">
        <v>185</v>
      </c>
      <c r="J7" s="133"/>
      <c r="M7" s="113" t="s">
        <v>204</v>
      </c>
      <c r="N7" s="114"/>
      <c r="O7" s="114"/>
      <c r="P7" s="115"/>
    </row>
    <row r="8" spans="2:16" ht="45.75" thickBot="1" x14ac:dyDescent="0.3">
      <c r="B8" s="61" t="s">
        <v>0</v>
      </c>
      <c r="C8" s="62" t="s">
        <v>1</v>
      </c>
      <c r="D8" s="62" t="s">
        <v>17</v>
      </c>
      <c r="E8" s="62" t="s">
        <v>18</v>
      </c>
      <c r="F8" s="63" t="s">
        <v>19</v>
      </c>
      <c r="I8" s="61" t="s">
        <v>0</v>
      </c>
      <c r="J8" s="62" t="s">
        <v>1</v>
      </c>
      <c r="K8" s="63" t="s">
        <v>187</v>
      </c>
      <c r="M8" s="110" t="s">
        <v>0</v>
      </c>
      <c r="N8" s="111" t="s">
        <v>1</v>
      </c>
      <c r="O8" s="112" t="s">
        <v>205</v>
      </c>
    </row>
    <row r="9" spans="2:16" x14ac:dyDescent="0.25">
      <c r="B9" s="64">
        <f>$E$3+1+E4</f>
        <v>45613.083333333336</v>
      </c>
      <c r="C9" s="65">
        <f>$E$4</f>
        <v>8.3333333333333329E-2</v>
      </c>
      <c r="D9" s="124">
        <v>6.1</v>
      </c>
      <c r="E9" s="124">
        <v>7.7</v>
      </c>
      <c r="F9" s="125">
        <v>16.600000000000001</v>
      </c>
      <c r="I9" s="64">
        <f>$E$3</f>
        <v>45612</v>
      </c>
      <c r="J9" s="65">
        <v>0</v>
      </c>
      <c r="K9" s="68">
        <v>9.1</v>
      </c>
      <c r="M9" s="118">
        <f>I9+2</f>
        <v>45614</v>
      </c>
      <c r="N9" s="119">
        <v>0</v>
      </c>
      <c r="O9" s="120">
        <f>'CCE PLOM Diario'!L3+'CCE PLOME Diario'!L3</f>
        <v>129.08600000000001</v>
      </c>
    </row>
    <row r="10" spans="2:16" x14ac:dyDescent="0.25">
      <c r="B10" s="64">
        <f>B9+TIME(1,0,0)</f>
        <v>45613.125</v>
      </c>
      <c r="C10" s="65">
        <f>C9+TIME(1,0,0)</f>
        <v>0.125</v>
      </c>
      <c r="D10" s="124">
        <v>5.6</v>
      </c>
      <c r="E10" s="124">
        <v>7.1</v>
      </c>
      <c r="F10" s="125">
        <v>16.7</v>
      </c>
      <c r="I10" s="64">
        <f>I9+TIME(0,30,0)</f>
        <v>45612.020833333336</v>
      </c>
      <c r="J10" s="65">
        <f>J9+TIME(0,30,0)</f>
        <v>2.0833333333333332E-2</v>
      </c>
      <c r="K10" s="68">
        <v>6.2</v>
      </c>
      <c r="M10" s="64">
        <f>M9+TIME(0,30,0)</f>
        <v>45614.020833333336</v>
      </c>
      <c r="N10" s="65">
        <f>N9+TIME(0,30,0)</f>
        <v>2.0833333333333332E-2</v>
      </c>
      <c r="O10" s="116">
        <f>'CCE PLOM Diario'!L4+'CCE PLOME Diario'!L4</f>
        <v>129.08600000000001</v>
      </c>
    </row>
    <row r="11" spans="2:16" x14ac:dyDescent="0.25">
      <c r="B11" s="64">
        <f t="shared" ref="B11:B74" si="0">B10+TIME(1,0,0)</f>
        <v>45613.166666666664</v>
      </c>
      <c r="C11" s="65">
        <f t="shared" ref="C11:C74" si="1">C10+TIME(1,0,0)</f>
        <v>0.16666666666666666</v>
      </c>
      <c r="D11" s="124">
        <v>4.9000000000000004</v>
      </c>
      <c r="E11" s="124">
        <v>6.3</v>
      </c>
      <c r="F11" s="125">
        <v>16.7</v>
      </c>
      <c r="I11" s="64">
        <f t="shared" ref="I11:I56" si="2">I10+TIME(0,30,0)</f>
        <v>45612.041666666672</v>
      </c>
      <c r="J11" s="65">
        <f t="shared" ref="J11:J56" si="3">J10+TIME(0,30,0)</f>
        <v>4.1666666666666664E-2</v>
      </c>
      <c r="K11" s="68">
        <v>8.6999999999999993</v>
      </c>
      <c r="M11" s="64">
        <f t="shared" ref="M11:N26" si="4">M10+TIME(0,30,0)</f>
        <v>45614.041666666672</v>
      </c>
      <c r="N11" s="65">
        <f t="shared" si="4"/>
        <v>4.1666666666666664E-2</v>
      </c>
      <c r="O11" s="116">
        <f>'CCE PLOM Diario'!L5+'CCE PLOME Diario'!L5</f>
        <v>104.114</v>
      </c>
    </row>
    <row r="12" spans="2:16" x14ac:dyDescent="0.25">
      <c r="B12" s="64">
        <f t="shared" si="0"/>
        <v>45613.208333333328</v>
      </c>
      <c r="C12" s="65">
        <f t="shared" si="1"/>
        <v>0.20833333333333331</v>
      </c>
      <c r="D12" s="124">
        <v>4.4000000000000004</v>
      </c>
      <c r="E12" s="124">
        <v>5.8</v>
      </c>
      <c r="F12" s="125">
        <v>16.8</v>
      </c>
      <c r="I12" s="64">
        <f t="shared" si="2"/>
        <v>45612.062500000007</v>
      </c>
      <c r="J12" s="65">
        <f t="shared" si="3"/>
        <v>6.25E-2</v>
      </c>
      <c r="K12" s="68">
        <v>7.9</v>
      </c>
      <c r="M12" s="64">
        <f t="shared" si="4"/>
        <v>45614.062500000007</v>
      </c>
      <c r="N12" s="65">
        <f t="shared" si="4"/>
        <v>6.25E-2</v>
      </c>
      <c r="O12" s="116">
        <f>'CCE PLOM Diario'!L6+'CCE PLOME Diario'!L6</f>
        <v>104.114</v>
      </c>
    </row>
    <row r="13" spans="2:16" x14ac:dyDescent="0.25">
      <c r="B13" s="64">
        <f t="shared" si="0"/>
        <v>45613.249999999993</v>
      </c>
      <c r="C13" s="65">
        <f t="shared" si="1"/>
        <v>0.24999999999999997</v>
      </c>
      <c r="D13" s="124">
        <v>4.4000000000000004</v>
      </c>
      <c r="E13" s="124">
        <v>5.7</v>
      </c>
      <c r="F13" s="125">
        <v>16.899999999999999</v>
      </c>
      <c r="I13" s="64">
        <f t="shared" si="2"/>
        <v>45612.083333333343</v>
      </c>
      <c r="J13" s="65">
        <f t="shared" si="3"/>
        <v>8.3333333333333329E-2</v>
      </c>
      <c r="K13" s="68">
        <v>7.4</v>
      </c>
      <c r="M13" s="64">
        <f t="shared" si="4"/>
        <v>45614.083333333343</v>
      </c>
      <c r="N13" s="65">
        <f t="shared" si="4"/>
        <v>8.3333333333333329E-2</v>
      </c>
      <c r="O13" s="116">
        <f>'CCE PLOM Diario'!L7+'CCE PLOME Diario'!L7</f>
        <v>61.262999999999991</v>
      </c>
    </row>
    <row r="14" spans="2:16" x14ac:dyDescent="0.25">
      <c r="B14" s="64">
        <f t="shared" si="0"/>
        <v>45613.291666666657</v>
      </c>
      <c r="C14" s="65">
        <f t="shared" si="1"/>
        <v>0.29166666666666663</v>
      </c>
      <c r="D14" s="124">
        <v>3.7</v>
      </c>
      <c r="E14" s="124">
        <v>4.9000000000000004</v>
      </c>
      <c r="F14" s="125">
        <v>17.3</v>
      </c>
      <c r="I14" s="64">
        <f t="shared" si="2"/>
        <v>45612.104166666679</v>
      </c>
      <c r="J14" s="65">
        <f t="shared" si="3"/>
        <v>0.10416666666666666</v>
      </c>
      <c r="K14" s="68">
        <v>10</v>
      </c>
      <c r="M14" s="64">
        <f t="shared" si="4"/>
        <v>45614.104166666679</v>
      </c>
      <c r="N14" s="65">
        <f t="shared" si="4"/>
        <v>0.10416666666666666</v>
      </c>
      <c r="O14" s="116">
        <f>'CCE PLOM Diario'!L8+'CCE PLOME Diario'!L8</f>
        <v>61.262999999999991</v>
      </c>
    </row>
    <row r="15" spans="2:16" x14ac:dyDescent="0.25">
      <c r="B15" s="64">
        <f t="shared" si="0"/>
        <v>45613.333333333321</v>
      </c>
      <c r="C15" s="65">
        <f t="shared" si="1"/>
        <v>0.33333333333333331</v>
      </c>
      <c r="D15" s="124">
        <v>3</v>
      </c>
      <c r="E15" s="124">
        <v>4</v>
      </c>
      <c r="F15" s="125">
        <v>18.2</v>
      </c>
      <c r="I15" s="64">
        <f t="shared" si="2"/>
        <v>45612.125000000015</v>
      </c>
      <c r="J15" s="65">
        <f t="shared" si="3"/>
        <v>0.12499999999999999</v>
      </c>
      <c r="K15" s="68">
        <v>6.2</v>
      </c>
      <c r="M15" s="64">
        <f t="shared" si="4"/>
        <v>45614.125000000015</v>
      </c>
      <c r="N15" s="65">
        <f t="shared" si="4"/>
        <v>0.12499999999999999</v>
      </c>
      <c r="O15" s="116">
        <f>'CCE PLOM Diario'!L9+'CCE PLOME Diario'!L9</f>
        <v>38.322000000000003</v>
      </c>
    </row>
    <row r="16" spans="2:16" x14ac:dyDescent="0.25">
      <c r="B16" s="64">
        <f t="shared" si="0"/>
        <v>45613.374999999985</v>
      </c>
      <c r="C16" s="65">
        <f t="shared" si="1"/>
        <v>0.375</v>
      </c>
      <c r="D16" s="124">
        <v>3.8</v>
      </c>
      <c r="E16" s="124">
        <v>5</v>
      </c>
      <c r="F16" s="125">
        <v>19.3</v>
      </c>
      <c r="I16" s="64">
        <f t="shared" si="2"/>
        <v>45612.14583333335</v>
      </c>
      <c r="J16" s="65">
        <f t="shared" si="3"/>
        <v>0.14583333333333331</v>
      </c>
      <c r="K16" s="68">
        <v>9</v>
      </c>
      <c r="M16" s="64">
        <f t="shared" si="4"/>
        <v>45614.14583333335</v>
      </c>
      <c r="N16" s="65">
        <f t="shared" si="4"/>
        <v>0.14583333333333331</v>
      </c>
      <c r="O16" s="116">
        <f>'CCE PLOM Diario'!L10+'CCE PLOME Diario'!L10</f>
        <v>38.322000000000003</v>
      </c>
    </row>
    <row r="17" spans="2:15" x14ac:dyDescent="0.25">
      <c r="B17" s="64">
        <f t="shared" si="0"/>
        <v>45613.41666666665</v>
      </c>
      <c r="C17" s="65">
        <f t="shared" si="1"/>
        <v>0.41666666666666669</v>
      </c>
      <c r="D17" s="124">
        <v>5.4</v>
      </c>
      <c r="E17" s="124">
        <v>6.9</v>
      </c>
      <c r="F17" s="125">
        <v>20</v>
      </c>
      <c r="I17" s="64">
        <f t="shared" si="2"/>
        <v>45612.166666666686</v>
      </c>
      <c r="J17" s="65">
        <f t="shared" si="3"/>
        <v>0.16666666666666666</v>
      </c>
      <c r="K17" s="68">
        <v>6.5</v>
      </c>
      <c r="M17" s="64">
        <f t="shared" si="4"/>
        <v>45614.166666666686</v>
      </c>
      <c r="N17" s="65">
        <f t="shared" si="4"/>
        <v>0.16666666666666666</v>
      </c>
      <c r="O17" s="116">
        <f>'CCE PLOM Diario'!L11+'CCE PLOME Diario'!L11</f>
        <v>19.946999999999999</v>
      </c>
    </row>
    <row r="18" spans="2:15" x14ac:dyDescent="0.25">
      <c r="B18" s="64">
        <f t="shared" si="0"/>
        <v>45613.458333333314</v>
      </c>
      <c r="C18" s="65">
        <f t="shared" si="1"/>
        <v>0.45833333333333337</v>
      </c>
      <c r="D18" s="124">
        <v>6.9</v>
      </c>
      <c r="E18" s="124">
        <v>8.6999999999999993</v>
      </c>
      <c r="F18" s="125">
        <v>20.100000000000001</v>
      </c>
      <c r="I18" s="64">
        <f t="shared" si="2"/>
        <v>45612.187500000022</v>
      </c>
      <c r="J18" s="65">
        <f t="shared" si="3"/>
        <v>0.1875</v>
      </c>
      <c r="K18" s="68">
        <v>9.1</v>
      </c>
      <c r="M18" s="64">
        <f t="shared" si="4"/>
        <v>45614.187500000022</v>
      </c>
      <c r="N18" s="65">
        <f t="shared" si="4"/>
        <v>0.1875</v>
      </c>
      <c r="O18" s="116">
        <f>'CCE PLOM Diario'!L12+'CCE PLOME Diario'!L12</f>
        <v>19.946999999999999</v>
      </c>
    </row>
    <row r="19" spans="2:15" x14ac:dyDescent="0.25">
      <c r="B19" s="64">
        <f t="shared" si="0"/>
        <v>45613.499999999978</v>
      </c>
      <c r="C19" s="65">
        <f t="shared" si="1"/>
        <v>0.5</v>
      </c>
      <c r="D19" s="124">
        <v>7.8</v>
      </c>
      <c r="E19" s="124">
        <v>9.8000000000000007</v>
      </c>
      <c r="F19" s="125">
        <v>20.100000000000001</v>
      </c>
      <c r="I19" s="64">
        <f t="shared" si="2"/>
        <v>45612.208333333358</v>
      </c>
      <c r="J19" s="65">
        <f t="shared" si="3"/>
        <v>0.20833333333333334</v>
      </c>
      <c r="K19" s="68">
        <v>10.4</v>
      </c>
      <c r="M19" s="64">
        <f t="shared" si="4"/>
        <v>45614.208333333358</v>
      </c>
      <c r="N19" s="65">
        <f t="shared" si="4"/>
        <v>0.20833333333333334</v>
      </c>
      <c r="O19" s="116">
        <f>'CCE PLOM Diario'!L13+'CCE PLOME Diario'!L13</f>
        <v>21.309000000000001</v>
      </c>
    </row>
    <row r="20" spans="2:15" x14ac:dyDescent="0.25">
      <c r="B20" s="64">
        <f t="shared" si="0"/>
        <v>45613.541666666642</v>
      </c>
      <c r="C20" s="65">
        <f t="shared" si="1"/>
        <v>0.54166666666666663</v>
      </c>
      <c r="D20" s="124">
        <v>8.1999999999999993</v>
      </c>
      <c r="E20" s="124">
        <v>10.199999999999999</v>
      </c>
      <c r="F20" s="125">
        <v>20.100000000000001</v>
      </c>
      <c r="I20" s="64">
        <f t="shared" si="2"/>
        <v>45612.229166666693</v>
      </c>
      <c r="J20" s="65">
        <f t="shared" si="3"/>
        <v>0.22916666666666669</v>
      </c>
      <c r="K20" s="68">
        <v>9.6</v>
      </c>
      <c r="M20" s="64">
        <f t="shared" si="4"/>
        <v>45614.229166666693</v>
      </c>
      <c r="N20" s="65">
        <f t="shared" si="4"/>
        <v>0.22916666666666669</v>
      </c>
      <c r="O20" s="116">
        <f>'CCE PLOM Diario'!L14+'CCE PLOME Diario'!L14</f>
        <v>21.309000000000001</v>
      </c>
    </row>
    <row r="21" spans="2:15" x14ac:dyDescent="0.25">
      <c r="B21" s="64">
        <f t="shared" si="0"/>
        <v>45613.583333333307</v>
      </c>
      <c r="C21" s="65">
        <f t="shared" si="1"/>
        <v>0.58333333333333326</v>
      </c>
      <c r="D21" s="124">
        <v>8.1999999999999993</v>
      </c>
      <c r="E21" s="124">
        <v>10.3</v>
      </c>
      <c r="F21" s="125">
        <v>20.100000000000001</v>
      </c>
      <c r="I21" s="64">
        <f t="shared" si="2"/>
        <v>45612.250000000029</v>
      </c>
      <c r="J21" s="65">
        <f t="shared" si="3"/>
        <v>0.25</v>
      </c>
      <c r="K21" s="68">
        <v>11.6</v>
      </c>
      <c r="M21" s="64">
        <f t="shared" si="4"/>
        <v>45614.250000000029</v>
      </c>
      <c r="N21" s="65">
        <f t="shared" si="4"/>
        <v>0.25</v>
      </c>
      <c r="O21" s="116">
        <f>'CCE PLOM Diario'!L15+'CCE PLOME Diario'!L15</f>
        <v>21.309000000000001</v>
      </c>
    </row>
    <row r="22" spans="2:15" x14ac:dyDescent="0.25">
      <c r="B22" s="64">
        <f t="shared" si="0"/>
        <v>45613.624999999971</v>
      </c>
      <c r="C22" s="65">
        <f t="shared" si="1"/>
        <v>0.62499999999999989</v>
      </c>
      <c r="D22" s="124">
        <v>8.3000000000000007</v>
      </c>
      <c r="E22" s="124">
        <v>10.4</v>
      </c>
      <c r="F22" s="125">
        <v>20</v>
      </c>
      <c r="I22" s="64">
        <f t="shared" si="2"/>
        <v>45612.270833333365</v>
      </c>
      <c r="J22" s="65">
        <f t="shared" si="3"/>
        <v>0.27083333333333331</v>
      </c>
      <c r="K22" s="68">
        <v>8.1</v>
      </c>
      <c r="M22" s="64">
        <f t="shared" si="4"/>
        <v>45614.270833333365</v>
      </c>
      <c r="N22" s="65">
        <f t="shared" si="4"/>
        <v>0.27083333333333331</v>
      </c>
      <c r="O22" s="116">
        <f>'CCE PLOM Diario'!L16+'CCE PLOME Diario'!L16</f>
        <v>21.309000000000001</v>
      </c>
    </row>
    <row r="23" spans="2:15" x14ac:dyDescent="0.25">
      <c r="B23" s="64">
        <f t="shared" si="0"/>
        <v>45613.666666666635</v>
      </c>
      <c r="C23" s="65">
        <f t="shared" si="1"/>
        <v>0.66666666666666652</v>
      </c>
      <c r="D23" s="124">
        <v>8.1999999999999993</v>
      </c>
      <c r="E23" s="124">
        <v>10.3</v>
      </c>
      <c r="F23" s="125">
        <v>19.600000000000001</v>
      </c>
      <c r="I23" s="64">
        <f t="shared" si="2"/>
        <v>45612.291666666701</v>
      </c>
      <c r="J23" s="65">
        <f t="shared" si="3"/>
        <v>0.29166666666666663</v>
      </c>
      <c r="K23" s="68">
        <v>8.6999999999999993</v>
      </c>
      <c r="M23" s="64">
        <f t="shared" si="4"/>
        <v>45614.291666666701</v>
      </c>
      <c r="N23" s="65">
        <f t="shared" si="4"/>
        <v>0.29166666666666663</v>
      </c>
      <c r="O23" s="116">
        <f>'CCE PLOM Diario'!L17+'CCE PLOME Diario'!L17</f>
        <v>26.473000000000003</v>
      </c>
    </row>
    <row r="24" spans="2:15" x14ac:dyDescent="0.25">
      <c r="B24" s="64">
        <f t="shared" si="0"/>
        <v>45613.708333333299</v>
      </c>
      <c r="C24" s="65">
        <f t="shared" si="1"/>
        <v>0.70833333333333315</v>
      </c>
      <c r="D24" s="124">
        <v>8</v>
      </c>
      <c r="E24" s="124">
        <v>10</v>
      </c>
      <c r="F24" s="125">
        <v>18.8</v>
      </c>
      <c r="I24" s="64">
        <f t="shared" si="2"/>
        <v>45612.312500000036</v>
      </c>
      <c r="J24" s="65">
        <f t="shared" si="3"/>
        <v>0.31249999999999994</v>
      </c>
      <c r="K24" s="68">
        <v>7.6</v>
      </c>
      <c r="M24" s="64">
        <f t="shared" si="4"/>
        <v>45614.312500000036</v>
      </c>
      <c r="N24" s="65">
        <f t="shared" si="4"/>
        <v>0.31249999999999994</v>
      </c>
      <c r="O24" s="116">
        <f>'CCE PLOM Diario'!L18+'CCE PLOME Diario'!L18</f>
        <v>26.473000000000003</v>
      </c>
    </row>
    <row r="25" spans="2:15" x14ac:dyDescent="0.25">
      <c r="B25" s="64">
        <f t="shared" si="0"/>
        <v>45613.749999999964</v>
      </c>
      <c r="C25" s="65">
        <f t="shared" si="1"/>
        <v>0.74999999999999978</v>
      </c>
      <c r="D25" s="124">
        <v>8</v>
      </c>
      <c r="E25" s="124">
        <v>10</v>
      </c>
      <c r="F25" s="125">
        <v>18.100000000000001</v>
      </c>
      <c r="I25" s="64">
        <f t="shared" si="2"/>
        <v>45612.333333333372</v>
      </c>
      <c r="J25" s="65">
        <f t="shared" si="3"/>
        <v>0.33333333333333326</v>
      </c>
      <c r="K25" s="68">
        <v>10.6</v>
      </c>
      <c r="M25" s="64">
        <f t="shared" si="4"/>
        <v>45614.333333333372</v>
      </c>
      <c r="N25" s="65">
        <f t="shared" si="4"/>
        <v>0.33333333333333326</v>
      </c>
      <c r="O25" s="116">
        <f>'CCE PLOM Diario'!L19+'CCE PLOME Diario'!L19</f>
        <v>47.662999999999997</v>
      </c>
    </row>
    <row r="26" spans="2:15" x14ac:dyDescent="0.25">
      <c r="B26" s="64">
        <f t="shared" si="0"/>
        <v>45613.791666666628</v>
      </c>
      <c r="C26" s="65">
        <f t="shared" si="1"/>
        <v>0.79166666666666641</v>
      </c>
      <c r="D26" s="124">
        <v>8.5</v>
      </c>
      <c r="E26" s="124">
        <v>10.6</v>
      </c>
      <c r="F26" s="125">
        <v>17.600000000000001</v>
      </c>
      <c r="I26" s="64">
        <f t="shared" si="2"/>
        <v>45612.354166666708</v>
      </c>
      <c r="J26" s="65">
        <f t="shared" si="3"/>
        <v>0.35416666666666657</v>
      </c>
      <c r="K26" s="68">
        <v>9.1</v>
      </c>
      <c r="M26" s="64">
        <f t="shared" si="4"/>
        <v>45614.354166666708</v>
      </c>
      <c r="N26" s="65">
        <f t="shared" si="4"/>
        <v>0.35416666666666657</v>
      </c>
      <c r="O26" s="116">
        <f>'CCE PLOM Diario'!L20+'CCE PLOME Diario'!L20</f>
        <v>47.662999999999997</v>
      </c>
    </row>
    <row r="27" spans="2:15" x14ac:dyDescent="0.25">
      <c r="B27" s="64">
        <f t="shared" si="0"/>
        <v>45613.833333333292</v>
      </c>
      <c r="C27" s="65">
        <f t="shared" si="1"/>
        <v>0.83333333333333304</v>
      </c>
      <c r="D27" s="124">
        <v>8.5</v>
      </c>
      <c r="E27" s="124">
        <v>10.6</v>
      </c>
      <c r="F27" s="125">
        <v>17.399999999999999</v>
      </c>
      <c r="I27" s="64">
        <f t="shared" si="2"/>
        <v>45612.375000000044</v>
      </c>
      <c r="J27" s="65">
        <f t="shared" si="3"/>
        <v>0.37499999999999989</v>
      </c>
      <c r="K27" s="68">
        <v>10.199999999999999</v>
      </c>
      <c r="M27" s="64">
        <f t="shared" ref="M27:N42" si="5">M26+TIME(0,30,0)</f>
        <v>45614.375000000044</v>
      </c>
      <c r="N27" s="65">
        <f t="shared" si="5"/>
        <v>0.37499999999999989</v>
      </c>
      <c r="O27" s="116">
        <f>'CCE PLOM Diario'!L21+'CCE PLOME Diario'!L21</f>
        <v>74.27</v>
      </c>
    </row>
    <row r="28" spans="2:15" x14ac:dyDescent="0.25">
      <c r="B28" s="64">
        <f t="shared" si="0"/>
        <v>45613.874999999956</v>
      </c>
      <c r="C28" s="65">
        <f t="shared" si="1"/>
        <v>0.87499999999999967</v>
      </c>
      <c r="D28" s="124">
        <v>8.4</v>
      </c>
      <c r="E28" s="124">
        <v>10.5</v>
      </c>
      <c r="F28" s="125">
        <v>17.2</v>
      </c>
      <c r="I28" s="64">
        <f t="shared" si="2"/>
        <v>45612.395833333379</v>
      </c>
      <c r="J28" s="65">
        <f t="shared" si="3"/>
        <v>0.3958333333333332</v>
      </c>
      <c r="K28" s="68">
        <v>11.2</v>
      </c>
      <c r="M28" s="64">
        <f t="shared" si="5"/>
        <v>45614.395833333379</v>
      </c>
      <c r="N28" s="65">
        <f t="shared" si="5"/>
        <v>0.3958333333333332</v>
      </c>
      <c r="O28" s="116">
        <f>'CCE PLOM Diario'!L22+'CCE PLOME Diario'!L22</f>
        <v>74.27</v>
      </c>
    </row>
    <row r="29" spans="2:15" x14ac:dyDescent="0.25">
      <c r="B29" s="64">
        <f t="shared" si="0"/>
        <v>45613.916666666621</v>
      </c>
      <c r="C29" s="65">
        <f t="shared" si="1"/>
        <v>0.9166666666666663</v>
      </c>
      <c r="D29" s="124">
        <v>8.3000000000000007</v>
      </c>
      <c r="E29" s="124">
        <v>10.4</v>
      </c>
      <c r="F29" s="125">
        <v>17.100000000000001</v>
      </c>
      <c r="I29" s="64">
        <f t="shared" si="2"/>
        <v>45612.416666666715</v>
      </c>
      <c r="J29" s="65">
        <f t="shared" si="3"/>
        <v>0.41666666666666652</v>
      </c>
      <c r="K29" s="68">
        <v>11.6</v>
      </c>
      <c r="M29" s="64">
        <f t="shared" si="5"/>
        <v>45614.416666666715</v>
      </c>
      <c r="N29" s="65">
        <f t="shared" si="5"/>
        <v>0.41666666666666652</v>
      </c>
      <c r="O29" s="116">
        <f>'CCE PLOM Diario'!L23+'CCE PLOME Diario'!L23</f>
        <v>111.70099999999999</v>
      </c>
    </row>
    <row r="30" spans="2:15" x14ac:dyDescent="0.25">
      <c r="B30" s="64">
        <f t="shared" si="0"/>
        <v>45613.958333333285</v>
      </c>
      <c r="C30" s="65">
        <f t="shared" si="1"/>
        <v>0.95833333333333293</v>
      </c>
      <c r="D30" s="124">
        <v>7.7</v>
      </c>
      <c r="E30" s="124">
        <v>9.6999999999999993</v>
      </c>
      <c r="F30" s="125">
        <v>17.100000000000001</v>
      </c>
      <c r="I30" s="64">
        <f t="shared" si="2"/>
        <v>45612.437500000051</v>
      </c>
      <c r="J30" s="65">
        <f t="shared" si="3"/>
        <v>0.43749999999999983</v>
      </c>
      <c r="K30" s="68">
        <v>8</v>
      </c>
      <c r="M30" s="64">
        <f t="shared" si="5"/>
        <v>45614.437500000051</v>
      </c>
      <c r="N30" s="65">
        <f t="shared" si="5"/>
        <v>0.43749999999999983</v>
      </c>
      <c r="O30" s="116">
        <f>'CCE PLOM Diario'!L24+'CCE PLOME Diario'!L24</f>
        <v>111.70099999999999</v>
      </c>
    </row>
    <row r="31" spans="2:15" x14ac:dyDescent="0.25">
      <c r="B31" s="64">
        <f t="shared" si="0"/>
        <v>45613.999999999949</v>
      </c>
      <c r="C31" s="65">
        <f t="shared" si="1"/>
        <v>0.99999999999999956</v>
      </c>
      <c r="D31" s="124">
        <v>7.1</v>
      </c>
      <c r="E31" s="124">
        <v>8.9</v>
      </c>
      <c r="F31" s="125">
        <v>17.100000000000001</v>
      </c>
      <c r="I31" s="64">
        <f t="shared" si="2"/>
        <v>45612.458333333387</v>
      </c>
      <c r="J31" s="65">
        <f t="shared" si="3"/>
        <v>0.45833333333333315</v>
      </c>
      <c r="K31" s="68">
        <v>9.5</v>
      </c>
      <c r="M31" s="64">
        <f t="shared" si="5"/>
        <v>45614.458333333387</v>
      </c>
      <c r="N31" s="65">
        <f t="shared" si="5"/>
        <v>0.45833333333333315</v>
      </c>
      <c r="O31" s="116">
        <f>'CCE PLOM Diario'!L25+'CCE PLOME Diario'!L25</f>
        <v>129.08600000000001</v>
      </c>
    </row>
    <row r="32" spans="2:15" x14ac:dyDescent="0.25">
      <c r="B32" s="64">
        <f t="shared" si="0"/>
        <v>45614.041666666613</v>
      </c>
      <c r="C32" s="65">
        <f t="shared" si="1"/>
        <v>1.0416666666666663</v>
      </c>
      <c r="D32" s="124">
        <v>6.4</v>
      </c>
      <c r="E32" s="124">
        <v>8.1999999999999993</v>
      </c>
      <c r="F32" s="125">
        <v>17.100000000000001</v>
      </c>
      <c r="I32" s="64">
        <f t="shared" si="2"/>
        <v>45612.479166666722</v>
      </c>
      <c r="J32" s="65">
        <f t="shared" si="3"/>
        <v>0.47916666666666646</v>
      </c>
      <c r="K32" s="68">
        <v>9</v>
      </c>
      <c r="M32" s="64">
        <f t="shared" si="5"/>
        <v>45614.479166666722</v>
      </c>
      <c r="N32" s="65">
        <f t="shared" si="5"/>
        <v>0.47916666666666646</v>
      </c>
      <c r="O32" s="116">
        <f>'CCE PLOM Diario'!L26+'CCE PLOME Diario'!L26</f>
        <v>129.08600000000001</v>
      </c>
    </row>
    <row r="33" spans="2:15" x14ac:dyDescent="0.25">
      <c r="B33" s="64">
        <f t="shared" si="0"/>
        <v>45614.083333333278</v>
      </c>
      <c r="C33" s="65">
        <f t="shared" si="1"/>
        <v>1.083333333333333</v>
      </c>
      <c r="D33" s="124">
        <v>5.5</v>
      </c>
      <c r="E33" s="124">
        <v>7</v>
      </c>
      <c r="F33" s="125">
        <v>17.3</v>
      </c>
      <c r="I33" s="64">
        <f t="shared" si="2"/>
        <v>45612.500000000058</v>
      </c>
      <c r="J33" s="65">
        <f t="shared" si="3"/>
        <v>0.49999999999999978</v>
      </c>
      <c r="K33" s="68">
        <v>7.2</v>
      </c>
      <c r="M33" s="64">
        <f t="shared" si="5"/>
        <v>45614.500000000058</v>
      </c>
      <c r="N33" s="65">
        <f t="shared" si="5"/>
        <v>0.49999999999999978</v>
      </c>
      <c r="O33" s="116">
        <f>'CCE PLOM Diario'!L27+'CCE PLOME Diario'!L27</f>
        <v>145.37700000000001</v>
      </c>
    </row>
    <row r="34" spans="2:15" x14ac:dyDescent="0.25">
      <c r="B34" s="64">
        <f t="shared" si="0"/>
        <v>45614.124999999942</v>
      </c>
      <c r="C34" s="65">
        <f t="shared" si="1"/>
        <v>1.1249999999999998</v>
      </c>
      <c r="D34" s="124">
        <v>4.5999999999999996</v>
      </c>
      <c r="E34" s="124">
        <v>5.9</v>
      </c>
      <c r="F34" s="125">
        <v>17.600000000000001</v>
      </c>
      <c r="I34" s="64">
        <f t="shared" si="2"/>
        <v>45612.520833333394</v>
      </c>
      <c r="J34" s="65">
        <f t="shared" si="3"/>
        <v>0.52083333333333315</v>
      </c>
      <c r="K34" s="68">
        <v>7.5</v>
      </c>
      <c r="M34" s="64">
        <f t="shared" si="5"/>
        <v>45614.520833333394</v>
      </c>
      <c r="N34" s="65">
        <f t="shared" si="5"/>
        <v>0.52083333333333315</v>
      </c>
      <c r="O34" s="116">
        <f>'CCE PLOM Diario'!L28+'CCE PLOME Diario'!L28</f>
        <v>145.37700000000001</v>
      </c>
    </row>
    <row r="35" spans="2:15" x14ac:dyDescent="0.25">
      <c r="B35" s="64">
        <f t="shared" si="0"/>
        <v>45614.166666666606</v>
      </c>
      <c r="C35" s="65">
        <f t="shared" si="1"/>
        <v>1.1666666666666665</v>
      </c>
      <c r="D35" s="124">
        <v>3.7</v>
      </c>
      <c r="E35" s="124">
        <v>4.8</v>
      </c>
      <c r="F35" s="125">
        <v>17.8</v>
      </c>
      <c r="I35" s="64">
        <f t="shared" si="2"/>
        <v>45612.54166666673</v>
      </c>
      <c r="J35" s="65">
        <f t="shared" si="3"/>
        <v>0.54166666666666652</v>
      </c>
      <c r="K35" s="68">
        <v>6.9</v>
      </c>
      <c r="M35" s="64">
        <f t="shared" si="5"/>
        <v>45614.54166666673</v>
      </c>
      <c r="N35" s="65">
        <f t="shared" si="5"/>
        <v>0.54166666666666652</v>
      </c>
      <c r="O35" s="116">
        <f>'CCE PLOM Diario'!L29+'CCE PLOME Diario'!L29</f>
        <v>161.916</v>
      </c>
    </row>
    <row r="36" spans="2:15" x14ac:dyDescent="0.25">
      <c r="B36" s="64">
        <f t="shared" si="0"/>
        <v>45614.20833333327</v>
      </c>
      <c r="C36" s="65">
        <f t="shared" si="1"/>
        <v>1.2083333333333333</v>
      </c>
      <c r="D36" s="124">
        <v>3.8</v>
      </c>
      <c r="E36" s="124">
        <v>4.9000000000000004</v>
      </c>
      <c r="F36" s="125">
        <v>17.8</v>
      </c>
      <c r="I36" s="64">
        <f t="shared" si="2"/>
        <v>45612.562500000065</v>
      </c>
      <c r="J36" s="65">
        <f t="shared" si="3"/>
        <v>0.56249999999999989</v>
      </c>
      <c r="K36" s="68">
        <v>6.3</v>
      </c>
      <c r="M36" s="64">
        <f t="shared" si="5"/>
        <v>45614.562500000065</v>
      </c>
      <c r="N36" s="65">
        <f t="shared" si="5"/>
        <v>0.56249999999999989</v>
      </c>
      <c r="O36" s="116">
        <f>'CCE PLOM Diario'!L30+'CCE PLOME Diario'!L30</f>
        <v>161.916</v>
      </c>
    </row>
    <row r="37" spans="2:15" x14ac:dyDescent="0.25">
      <c r="B37" s="64">
        <f t="shared" si="0"/>
        <v>45614.249999999935</v>
      </c>
      <c r="C37" s="65">
        <f t="shared" si="1"/>
        <v>1.25</v>
      </c>
      <c r="D37" s="124">
        <v>3.8</v>
      </c>
      <c r="E37" s="124">
        <v>5</v>
      </c>
      <c r="F37" s="125">
        <v>18</v>
      </c>
      <c r="I37" s="64">
        <f t="shared" si="2"/>
        <v>45612.583333333401</v>
      </c>
      <c r="J37" s="65">
        <f t="shared" si="3"/>
        <v>0.58333333333333326</v>
      </c>
      <c r="K37" s="68">
        <v>6.8</v>
      </c>
      <c r="M37" s="64">
        <f t="shared" si="5"/>
        <v>45614.583333333401</v>
      </c>
      <c r="N37" s="65">
        <f t="shared" si="5"/>
        <v>0.58333333333333326</v>
      </c>
      <c r="O37" s="116">
        <f>'CCE PLOM Diario'!L31+'CCE PLOME Diario'!L31</f>
        <v>171.85299999999998</v>
      </c>
    </row>
    <row r="38" spans="2:15" x14ac:dyDescent="0.25">
      <c r="B38" s="64">
        <f t="shared" si="0"/>
        <v>45614.291666666599</v>
      </c>
      <c r="C38" s="65">
        <f t="shared" si="1"/>
        <v>1.2916666666666667</v>
      </c>
      <c r="D38" s="124">
        <v>3.9</v>
      </c>
      <c r="E38" s="124">
        <v>5.0999999999999996</v>
      </c>
      <c r="F38" s="125">
        <v>18</v>
      </c>
      <c r="I38" s="64">
        <f t="shared" si="2"/>
        <v>45612.604166666737</v>
      </c>
      <c r="J38" s="65">
        <f t="shared" si="3"/>
        <v>0.60416666666666663</v>
      </c>
      <c r="K38" s="68">
        <v>6.7</v>
      </c>
      <c r="M38" s="64">
        <f t="shared" si="5"/>
        <v>45614.604166666737</v>
      </c>
      <c r="N38" s="65">
        <f t="shared" si="5"/>
        <v>0.60416666666666663</v>
      </c>
      <c r="O38" s="116">
        <f>'CCE PLOM Diario'!L32+'CCE PLOME Diario'!L32</f>
        <v>171.85299999999998</v>
      </c>
    </row>
    <row r="39" spans="2:15" x14ac:dyDescent="0.25">
      <c r="B39" s="64">
        <f t="shared" si="0"/>
        <v>45614.333333333263</v>
      </c>
      <c r="C39" s="65">
        <f t="shared" si="1"/>
        <v>1.3333333333333335</v>
      </c>
      <c r="D39" s="124">
        <v>4.9000000000000004</v>
      </c>
      <c r="E39" s="124">
        <v>6.3</v>
      </c>
      <c r="F39" s="125">
        <v>18.600000000000001</v>
      </c>
      <c r="I39" s="64">
        <f t="shared" si="2"/>
        <v>45612.625000000073</v>
      </c>
      <c r="J39" s="65">
        <f t="shared" si="3"/>
        <v>0.625</v>
      </c>
      <c r="K39" s="68">
        <v>7.1</v>
      </c>
      <c r="M39" s="64">
        <f t="shared" si="5"/>
        <v>45614.625000000073</v>
      </c>
      <c r="N39" s="65">
        <f t="shared" si="5"/>
        <v>0.625</v>
      </c>
      <c r="O39" s="116">
        <f>'CCE PLOM Diario'!L33+'CCE PLOME Diario'!L33</f>
        <v>181.523</v>
      </c>
    </row>
    <row r="40" spans="2:15" x14ac:dyDescent="0.25">
      <c r="B40" s="64">
        <f t="shared" si="0"/>
        <v>45614.374999999927</v>
      </c>
      <c r="C40" s="65">
        <f t="shared" si="1"/>
        <v>1.3750000000000002</v>
      </c>
      <c r="D40" s="124">
        <v>5.8</v>
      </c>
      <c r="E40" s="124">
        <v>7.4</v>
      </c>
      <c r="F40" s="125">
        <v>19.2</v>
      </c>
      <c r="I40" s="64">
        <f t="shared" si="2"/>
        <v>45612.645833333409</v>
      </c>
      <c r="J40" s="65">
        <f t="shared" si="3"/>
        <v>0.64583333333333337</v>
      </c>
      <c r="K40" s="68">
        <v>7.1</v>
      </c>
      <c r="M40" s="64">
        <f t="shared" si="5"/>
        <v>45614.645833333409</v>
      </c>
      <c r="N40" s="65">
        <f t="shared" si="5"/>
        <v>0.64583333333333337</v>
      </c>
      <c r="O40" s="116">
        <f>'CCE PLOM Diario'!L34+'CCE PLOME Diario'!L34</f>
        <v>181.523</v>
      </c>
    </row>
    <row r="41" spans="2:15" x14ac:dyDescent="0.25">
      <c r="B41" s="64">
        <f t="shared" si="0"/>
        <v>45614.416666666591</v>
      </c>
      <c r="C41" s="65">
        <f t="shared" si="1"/>
        <v>1.416666666666667</v>
      </c>
      <c r="D41" s="124">
        <v>6.8</v>
      </c>
      <c r="E41" s="124">
        <v>8.5</v>
      </c>
      <c r="F41" s="125">
        <v>19.8</v>
      </c>
      <c r="I41" s="64">
        <f t="shared" si="2"/>
        <v>45612.666666666744</v>
      </c>
      <c r="J41" s="65">
        <f t="shared" si="3"/>
        <v>0.66666666666666674</v>
      </c>
      <c r="K41" s="68">
        <v>7.5</v>
      </c>
      <c r="M41" s="64">
        <f t="shared" si="5"/>
        <v>45614.666666666744</v>
      </c>
      <c r="N41" s="65">
        <f t="shared" si="5"/>
        <v>0.66666666666666674</v>
      </c>
      <c r="O41" s="116">
        <f>'CCE PLOM Diario'!L35+'CCE PLOME Diario'!L35</f>
        <v>199.32300000000001</v>
      </c>
    </row>
    <row r="42" spans="2:15" x14ac:dyDescent="0.25">
      <c r="B42" s="64">
        <f t="shared" si="0"/>
        <v>45614.458333333256</v>
      </c>
      <c r="C42" s="65">
        <f t="shared" si="1"/>
        <v>1.4583333333333337</v>
      </c>
      <c r="D42" s="124">
        <v>7.1</v>
      </c>
      <c r="E42" s="124">
        <v>8.9</v>
      </c>
      <c r="F42" s="125">
        <v>19.8</v>
      </c>
      <c r="I42" s="64">
        <f t="shared" si="2"/>
        <v>45612.68750000008</v>
      </c>
      <c r="J42" s="65">
        <f t="shared" si="3"/>
        <v>0.68750000000000011</v>
      </c>
      <c r="K42" s="68">
        <v>5</v>
      </c>
      <c r="M42" s="64">
        <f t="shared" si="5"/>
        <v>45614.68750000008</v>
      </c>
      <c r="N42" s="65">
        <f t="shared" si="5"/>
        <v>0.68750000000000011</v>
      </c>
      <c r="O42" s="116">
        <f>'CCE PLOM Diario'!L36+'CCE PLOME Diario'!L36</f>
        <v>199.32300000000001</v>
      </c>
    </row>
    <row r="43" spans="2:15" x14ac:dyDescent="0.25">
      <c r="B43" s="64">
        <f t="shared" si="0"/>
        <v>45614.49999999992</v>
      </c>
      <c r="C43" s="65">
        <f t="shared" si="1"/>
        <v>1.5000000000000004</v>
      </c>
      <c r="D43" s="124">
        <v>7.4</v>
      </c>
      <c r="E43" s="124">
        <v>9.3000000000000007</v>
      </c>
      <c r="F43" s="125">
        <v>19.8</v>
      </c>
      <c r="I43" s="64">
        <f t="shared" si="2"/>
        <v>45612.708333333416</v>
      </c>
      <c r="J43" s="65">
        <f t="shared" si="3"/>
        <v>0.70833333333333348</v>
      </c>
      <c r="K43" s="68">
        <v>5.3</v>
      </c>
      <c r="M43" s="64">
        <f t="shared" ref="M43:N56" si="6">M42+TIME(0,30,0)</f>
        <v>45614.708333333416</v>
      </c>
      <c r="N43" s="65">
        <f t="shared" si="6"/>
        <v>0.70833333333333348</v>
      </c>
      <c r="O43" s="116">
        <f>'CCE PLOM Diario'!L37+'CCE PLOME Diario'!L37</f>
        <v>199.32300000000001</v>
      </c>
    </row>
    <row r="44" spans="2:15" x14ac:dyDescent="0.25">
      <c r="B44" s="64">
        <f t="shared" si="0"/>
        <v>45614.541666666584</v>
      </c>
      <c r="C44" s="65">
        <f t="shared" si="1"/>
        <v>1.5416666666666672</v>
      </c>
      <c r="D44" s="124">
        <v>7.7</v>
      </c>
      <c r="E44" s="124">
        <v>9.6999999999999993</v>
      </c>
      <c r="F44" s="125">
        <v>19.7</v>
      </c>
      <c r="I44" s="64">
        <f t="shared" si="2"/>
        <v>45612.729166666752</v>
      </c>
      <c r="J44" s="65">
        <f t="shared" si="3"/>
        <v>0.72916666666666685</v>
      </c>
      <c r="K44" s="68">
        <v>5.3</v>
      </c>
      <c r="M44" s="64">
        <f t="shared" si="6"/>
        <v>45614.729166666752</v>
      </c>
      <c r="N44" s="65">
        <f t="shared" si="6"/>
        <v>0.72916666666666685</v>
      </c>
      <c r="O44" s="116">
        <f>'CCE PLOM Diario'!L38+'CCE PLOME Diario'!L38</f>
        <v>199.32300000000001</v>
      </c>
    </row>
    <row r="45" spans="2:15" x14ac:dyDescent="0.25">
      <c r="B45" s="64">
        <f t="shared" si="0"/>
        <v>45614.583333333248</v>
      </c>
      <c r="C45" s="65">
        <f t="shared" si="1"/>
        <v>1.5833333333333339</v>
      </c>
      <c r="D45" s="124">
        <v>8</v>
      </c>
      <c r="E45" s="124">
        <v>10</v>
      </c>
      <c r="F45" s="125">
        <v>19.399999999999999</v>
      </c>
      <c r="I45" s="64">
        <f t="shared" si="2"/>
        <v>45612.750000000087</v>
      </c>
      <c r="J45" s="65">
        <f t="shared" si="3"/>
        <v>0.75000000000000022</v>
      </c>
      <c r="K45" s="68">
        <v>5.6</v>
      </c>
      <c r="M45" s="64">
        <f t="shared" si="6"/>
        <v>45614.750000000087</v>
      </c>
      <c r="N45" s="65">
        <f t="shared" si="6"/>
        <v>0.75000000000000022</v>
      </c>
      <c r="O45" s="116">
        <f>'CCE PLOM Diario'!L39+'CCE PLOME Diario'!L39</f>
        <v>199.32300000000001</v>
      </c>
    </row>
    <row r="46" spans="2:15" x14ac:dyDescent="0.25">
      <c r="B46" s="64">
        <f t="shared" si="0"/>
        <v>45614.624999999913</v>
      </c>
      <c r="C46" s="65">
        <f t="shared" si="1"/>
        <v>1.6250000000000007</v>
      </c>
      <c r="D46" s="124">
        <v>8.3000000000000007</v>
      </c>
      <c r="E46" s="124">
        <v>10.3</v>
      </c>
      <c r="F46" s="125">
        <v>19</v>
      </c>
      <c r="I46" s="64">
        <f t="shared" si="2"/>
        <v>45612.770833333423</v>
      </c>
      <c r="J46" s="65">
        <f t="shared" si="3"/>
        <v>0.77083333333333359</v>
      </c>
      <c r="K46" s="68">
        <v>7.2</v>
      </c>
      <c r="M46" s="64">
        <f t="shared" si="6"/>
        <v>45614.770833333423</v>
      </c>
      <c r="N46" s="65">
        <f t="shared" si="6"/>
        <v>0.77083333333333359</v>
      </c>
      <c r="O46" s="116">
        <f>'CCE PLOM Diario'!L40+'CCE PLOME Diario'!L40</f>
        <v>199.32300000000001</v>
      </c>
    </row>
    <row r="47" spans="2:15" x14ac:dyDescent="0.25">
      <c r="B47" s="64">
        <f t="shared" si="0"/>
        <v>45614.666666666577</v>
      </c>
      <c r="C47" s="65">
        <f t="shared" si="1"/>
        <v>1.6666666666666674</v>
      </c>
      <c r="D47" s="124">
        <v>8.5</v>
      </c>
      <c r="E47" s="124">
        <v>10.6</v>
      </c>
      <c r="F47" s="125">
        <v>18.7</v>
      </c>
      <c r="I47" s="64">
        <f t="shared" si="2"/>
        <v>45612.791666666759</v>
      </c>
      <c r="J47" s="65">
        <f t="shared" si="3"/>
        <v>0.79166666666666696</v>
      </c>
      <c r="K47" s="68">
        <v>7.2</v>
      </c>
      <c r="M47" s="64">
        <f t="shared" si="6"/>
        <v>45614.791666666759</v>
      </c>
      <c r="N47" s="65">
        <f t="shared" si="6"/>
        <v>0.79166666666666696</v>
      </c>
      <c r="O47" s="116">
        <f>'CCE PLOM Diario'!L41+'CCE PLOME Diario'!L41</f>
        <v>213.613</v>
      </c>
    </row>
    <row r="48" spans="2:15" x14ac:dyDescent="0.25">
      <c r="B48" s="64">
        <f t="shared" si="0"/>
        <v>45614.708333333241</v>
      </c>
      <c r="C48" s="65">
        <f t="shared" si="1"/>
        <v>1.7083333333333341</v>
      </c>
      <c r="D48" s="124">
        <v>8.6999999999999993</v>
      </c>
      <c r="E48" s="124">
        <v>10.8</v>
      </c>
      <c r="F48" s="125">
        <v>18.399999999999999</v>
      </c>
      <c r="I48" s="64">
        <f t="shared" si="2"/>
        <v>45612.812500000095</v>
      </c>
      <c r="J48" s="65">
        <f t="shared" si="3"/>
        <v>0.81250000000000033</v>
      </c>
      <c r="K48" s="68">
        <v>6.1</v>
      </c>
      <c r="M48" s="64">
        <f t="shared" si="6"/>
        <v>45614.812500000095</v>
      </c>
      <c r="N48" s="65">
        <f t="shared" si="6"/>
        <v>0.81250000000000033</v>
      </c>
      <c r="O48" s="116">
        <f>'CCE PLOM Diario'!L42+'CCE PLOME Diario'!L42</f>
        <v>213.613</v>
      </c>
    </row>
    <row r="49" spans="2:15" x14ac:dyDescent="0.25">
      <c r="B49" s="64">
        <f t="shared" si="0"/>
        <v>45614.749999999905</v>
      </c>
      <c r="C49" s="65">
        <f t="shared" si="1"/>
        <v>1.7500000000000009</v>
      </c>
      <c r="D49" s="124">
        <v>8.8000000000000007</v>
      </c>
      <c r="E49" s="124">
        <v>11</v>
      </c>
      <c r="F49" s="125">
        <v>18</v>
      </c>
      <c r="I49" s="64">
        <f t="shared" si="2"/>
        <v>45612.83333333343</v>
      </c>
      <c r="J49" s="65">
        <f t="shared" si="3"/>
        <v>0.8333333333333337</v>
      </c>
      <c r="K49" s="68">
        <v>7.1</v>
      </c>
      <c r="M49" s="64">
        <f t="shared" si="6"/>
        <v>45614.83333333343</v>
      </c>
      <c r="N49" s="65">
        <f t="shared" si="6"/>
        <v>0.8333333333333337</v>
      </c>
      <c r="O49" s="116">
        <f>'CCE PLOM Diario'!L43+'CCE PLOME Diario'!L43</f>
        <v>199.32300000000001</v>
      </c>
    </row>
    <row r="50" spans="2:15" x14ac:dyDescent="0.25">
      <c r="B50" s="64">
        <f t="shared" si="0"/>
        <v>45614.79166666657</v>
      </c>
      <c r="C50" s="65">
        <f t="shared" si="1"/>
        <v>1.7916666666666676</v>
      </c>
      <c r="D50" s="124">
        <v>9</v>
      </c>
      <c r="E50" s="124">
        <v>11.2</v>
      </c>
      <c r="F50" s="125">
        <v>17.399999999999999</v>
      </c>
      <c r="I50" s="64">
        <f t="shared" si="2"/>
        <v>45612.854166666766</v>
      </c>
      <c r="J50" s="65">
        <f t="shared" si="3"/>
        <v>0.85416666666666707</v>
      </c>
      <c r="K50" s="68">
        <v>7.2</v>
      </c>
      <c r="M50" s="64">
        <f t="shared" si="6"/>
        <v>45614.854166666766</v>
      </c>
      <c r="N50" s="65">
        <f t="shared" si="6"/>
        <v>0.85416666666666707</v>
      </c>
      <c r="O50" s="116">
        <f>'CCE PLOM Diario'!L44+'CCE PLOME Diario'!L44</f>
        <v>199.32300000000001</v>
      </c>
    </row>
    <row r="51" spans="2:15" x14ac:dyDescent="0.25">
      <c r="B51" s="64">
        <f t="shared" si="0"/>
        <v>45614.833333333234</v>
      </c>
      <c r="C51" s="65">
        <f t="shared" si="1"/>
        <v>1.8333333333333344</v>
      </c>
      <c r="D51" s="124">
        <v>8.6999999999999993</v>
      </c>
      <c r="E51" s="124">
        <v>10.9</v>
      </c>
      <c r="F51" s="125">
        <v>17.3</v>
      </c>
      <c r="I51" s="64">
        <f t="shared" si="2"/>
        <v>45612.875000000102</v>
      </c>
      <c r="J51" s="65">
        <f t="shared" si="3"/>
        <v>0.87500000000000044</v>
      </c>
      <c r="K51" s="68">
        <v>7.8</v>
      </c>
      <c r="M51" s="64">
        <f t="shared" si="6"/>
        <v>45614.875000000102</v>
      </c>
      <c r="N51" s="65">
        <f t="shared" si="6"/>
        <v>0.87500000000000044</v>
      </c>
      <c r="O51" s="116">
        <f>'CCE PLOM Diario'!L45+'CCE PLOME Diario'!L45</f>
        <v>199.32300000000001</v>
      </c>
    </row>
    <row r="52" spans="2:15" x14ac:dyDescent="0.25">
      <c r="B52" s="64">
        <f t="shared" si="0"/>
        <v>45614.874999999898</v>
      </c>
      <c r="C52" s="65">
        <f t="shared" si="1"/>
        <v>1.8750000000000011</v>
      </c>
      <c r="D52" s="124">
        <v>8.5</v>
      </c>
      <c r="E52" s="124">
        <v>10.6</v>
      </c>
      <c r="F52" s="125">
        <v>17.100000000000001</v>
      </c>
      <c r="I52" s="64">
        <f t="shared" si="2"/>
        <v>45612.895833333438</v>
      </c>
      <c r="J52" s="65">
        <f t="shared" si="3"/>
        <v>0.89583333333333381</v>
      </c>
      <c r="K52" s="68">
        <v>8.6</v>
      </c>
      <c r="M52" s="64">
        <f t="shared" si="6"/>
        <v>45614.895833333438</v>
      </c>
      <c r="N52" s="65">
        <f t="shared" si="6"/>
        <v>0.89583333333333381</v>
      </c>
      <c r="O52" s="116">
        <f>'CCE PLOM Diario'!L46+'CCE PLOME Diario'!L46</f>
        <v>199.32300000000001</v>
      </c>
    </row>
    <row r="53" spans="2:15" x14ac:dyDescent="0.25">
      <c r="B53" s="64">
        <f t="shared" si="0"/>
        <v>45614.916666666562</v>
      </c>
      <c r="C53" s="65">
        <f t="shared" si="1"/>
        <v>1.9166666666666679</v>
      </c>
      <c r="D53" s="124">
        <v>8.3000000000000007</v>
      </c>
      <c r="E53" s="124">
        <v>10.3</v>
      </c>
      <c r="F53" s="125">
        <v>17</v>
      </c>
      <c r="I53" s="64">
        <f t="shared" si="2"/>
        <v>45612.916666666773</v>
      </c>
      <c r="J53" s="65">
        <f t="shared" si="3"/>
        <v>0.91666666666666718</v>
      </c>
      <c r="K53" s="68">
        <v>8.5</v>
      </c>
      <c r="M53" s="64">
        <f t="shared" si="6"/>
        <v>45614.916666666773</v>
      </c>
      <c r="N53" s="65">
        <f t="shared" si="6"/>
        <v>0.91666666666666718</v>
      </c>
      <c r="O53" s="116">
        <f>'CCE PLOM Diario'!L47+'CCE PLOME Diario'!L47</f>
        <v>181.523</v>
      </c>
    </row>
    <row r="54" spans="2:15" x14ac:dyDescent="0.25">
      <c r="B54" s="64">
        <f t="shared" si="0"/>
        <v>45614.958333333227</v>
      </c>
      <c r="C54" s="65">
        <f t="shared" si="1"/>
        <v>1.9583333333333346</v>
      </c>
      <c r="D54" s="124">
        <v>7.6</v>
      </c>
      <c r="E54" s="124">
        <v>9.5</v>
      </c>
      <c r="F54" s="125">
        <v>17</v>
      </c>
      <c r="I54" s="64">
        <f t="shared" si="2"/>
        <v>45612.937500000109</v>
      </c>
      <c r="J54" s="65">
        <f t="shared" si="3"/>
        <v>0.93750000000000056</v>
      </c>
      <c r="K54" s="68">
        <v>7.3</v>
      </c>
      <c r="M54" s="64">
        <f t="shared" si="6"/>
        <v>45614.937500000109</v>
      </c>
      <c r="N54" s="65">
        <f t="shared" si="6"/>
        <v>0.93750000000000056</v>
      </c>
      <c r="O54" s="116">
        <f>'CCE PLOM Diario'!L48+'CCE PLOME Diario'!L48</f>
        <v>181.523</v>
      </c>
    </row>
    <row r="55" spans="2:15" x14ac:dyDescent="0.25">
      <c r="B55" s="64">
        <f t="shared" si="0"/>
        <v>45614.999999999891</v>
      </c>
      <c r="C55" s="65">
        <f t="shared" si="1"/>
        <v>2.0000000000000013</v>
      </c>
      <c r="D55" s="124">
        <v>6.8</v>
      </c>
      <c r="E55" s="124">
        <v>8.6</v>
      </c>
      <c r="F55" s="125">
        <v>17</v>
      </c>
      <c r="I55" s="64">
        <f t="shared" si="2"/>
        <v>45612.958333333445</v>
      </c>
      <c r="J55" s="65">
        <f t="shared" si="3"/>
        <v>0.95833333333333393</v>
      </c>
      <c r="K55" s="68">
        <v>8.9</v>
      </c>
      <c r="M55" s="64">
        <f t="shared" si="6"/>
        <v>45614.958333333445</v>
      </c>
      <c r="N55" s="65">
        <f t="shared" si="6"/>
        <v>0.95833333333333393</v>
      </c>
      <c r="O55" s="116">
        <f>'CCE PLOM Diario'!L49+'CCE PLOME Diario'!L49</f>
        <v>150.536</v>
      </c>
    </row>
    <row r="56" spans="2:15" ht="15.75" thickBot="1" x14ac:dyDescent="0.3">
      <c r="B56" s="64">
        <f t="shared" si="0"/>
        <v>45615.041666666555</v>
      </c>
      <c r="C56" s="65">
        <f t="shared" si="1"/>
        <v>2.0416666666666679</v>
      </c>
      <c r="D56" s="124">
        <v>6.1</v>
      </c>
      <c r="E56" s="124">
        <v>7.8</v>
      </c>
      <c r="F56" s="125">
        <v>16.899999999999999</v>
      </c>
      <c r="I56" s="66">
        <f t="shared" si="2"/>
        <v>45612.979166666781</v>
      </c>
      <c r="J56" s="67">
        <f t="shared" si="3"/>
        <v>0.9791666666666673</v>
      </c>
      <c r="K56" s="69">
        <v>7.9</v>
      </c>
      <c r="M56" s="66">
        <f t="shared" si="6"/>
        <v>45614.979166666781</v>
      </c>
      <c r="N56" s="67">
        <f t="shared" si="6"/>
        <v>0.9791666666666673</v>
      </c>
      <c r="O56" s="117">
        <f>'CCE PLOM Diario'!L50+'CCE PLOME Diario'!L50</f>
        <v>150.536</v>
      </c>
    </row>
    <row r="57" spans="2:15" x14ac:dyDescent="0.25">
      <c r="B57" s="64">
        <f t="shared" si="0"/>
        <v>45615.083333333219</v>
      </c>
      <c r="C57" s="65">
        <f t="shared" si="1"/>
        <v>2.0833333333333344</v>
      </c>
      <c r="D57" s="124">
        <v>5.5</v>
      </c>
      <c r="E57" s="124">
        <v>7</v>
      </c>
      <c r="F57" s="125">
        <v>17</v>
      </c>
      <c r="I57" s="55"/>
      <c r="J57" s="56"/>
    </row>
    <row r="58" spans="2:15" x14ac:dyDescent="0.25">
      <c r="B58" s="64">
        <f t="shared" si="0"/>
        <v>45615.124999999884</v>
      </c>
      <c r="C58" s="65">
        <f t="shared" si="1"/>
        <v>2.1250000000000009</v>
      </c>
      <c r="D58" s="124">
        <v>4.8</v>
      </c>
      <c r="E58" s="124">
        <v>6.2</v>
      </c>
      <c r="F58" s="125">
        <v>17</v>
      </c>
      <c r="I58" s="55"/>
      <c r="J58" s="56"/>
    </row>
    <row r="59" spans="2:15" x14ac:dyDescent="0.25">
      <c r="B59" s="64">
        <f t="shared" si="0"/>
        <v>45615.166666666548</v>
      </c>
      <c r="C59" s="65">
        <f t="shared" si="1"/>
        <v>2.1666666666666674</v>
      </c>
      <c r="D59" s="124">
        <v>4.2</v>
      </c>
      <c r="E59" s="124">
        <v>5.4</v>
      </c>
      <c r="F59" s="125">
        <v>17.100000000000001</v>
      </c>
      <c r="I59" s="55"/>
      <c r="J59" s="56"/>
    </row>
    <row r="60" spans="2:15" x14ac:dyDescent="0.25">
      <c r="B60" s="64">
        <f t="shared" si="0"/>
        <v>45615.208333333212</v>
      </c>
      <c r="C60" s="65">
        <f t="shared" si="1"/>
        <v>2.2083333333333339</v>
      </c>
      <c r="D60" s="124">
        <v>4.2</v>
      </c>
      <c r="E60" s="124">
        <v>5.5</v>
      </c>
      <c r="F60" s="125">
        <v>17</v>
      </c>
      <c r="I60" s="55"/>
      <c r="J60" s="56"/>
    </row>
    <row r="61" spans="2:15" x14ac:dyDescent="0.25">
      <c r="B61" s="64">
        <f t="shared" si="0"/>
        <v>45615.249999999876</v>
      </c>
      <c r="C61" s="65">
        <f t="shared" si="1"/>
        <v>2.2500000000000004</v>
      </c>
      <c r="D61" s="124">
        <v>4.3</v>
      </c>
      <c r="E61" s="124">
        <v>5.6</v>
      </c>
      <c r="F61" s="125">
        <v>17</v>
      </c>
      <c r="I61" s="55"/>
      <c r="J61" s="56"/>
    </row>
    <row r="62" spans="2:15" x14ac:dyDescent="0.25">
      <c r="B62" s="64">
        <f t="shared" si="0"/>
        <v>45615.291666666541</v>
      </c>
      <c r="C62" s="65">
        <f t="shared" si="1"/>
        <v>2.291666666666667</v>
      </c>
      <c r="D62" s="124">
        <v>4.4000000000000004</v>
      </c>
      <c r="E62" s="124">
        <v>5.7</v>
      </c>
      <c r="F62" s="125">
        <v>16.8</v>
      </c>
      <c r="I62" s="55"/>
      <c r="J62" s="56"/>
    </row>
    <row r="63" spans="2:15" x14ac:dyDescent="0.25">
      <c r="B63" s="64">
        <f t="shared" si="0"/>
        <v>45615.333333333205</v>
      </c>
      <c r="C63" s="65">
        <f t="shared" si="1"/>
        <v>2.3333333333333335</v>
      </c>
      <c r="D63" s="124">
        <v>5.2</v>
      </c>
      <c r="E63" s="124">
        <v>6.7</v>
      </c>
      <c r="F63" s="125">
        <v>17.399999999999999</v>
      </c>
      <c r="I63" s="55"/>
      <c r="J63" s="56"/>
    </row>
    <row r="64" spans="2:15" x14ac:dyDescent="0.25">
      <c r="B64" s="64">
        <f t="shared" si="0"/>
        <v>45615.374999999869</v>
      </c>
      <c r="C64" s="65">
        <f t="shared" si="1"/>
        <v>2.375</v>
      </c>
      <c r="D64" s="124">
        <v>6</v>
      </c>
      <c r="E64" s="124">
        <v>7.7</v>
      </c>
      <c r="F64" s="125">
        <v>18</v>
      </c>
      <c r="I64" s="55"/>
      <c r="J64" s="56"/>
    </row>
    <row r="65" spans="2:10" x14ac:dyDescent="0.25">
      <c r="B65" s="64">
        <f t="shared" si="0"/>
        <v>45615.416666666533</v>
      </c>
      <c r="C65" s="65">
        <f t="shared" si="1"/>
        <v>2.4166666666666665</v>
      </c>
      <c r="D65" s="124">
        <v>6.9</v>
      </c>
      <c r="E65" s="124">
        <v>8.6999999999999993</v>
      </c>
      <c r="F65" s="125">
        <v>18.600000000000001</v>
      </c>
      <c r="I65" s="55"/>
      <c r="J65" s="56"/>
    </row>
    <row r="66" spans="2:10" x14ac:dyDescent="0.25">
      <c r="B66" s="64">
        <f t="shared" si="0"/>
        <v>45615.458333333198</v>
      </c>
      <c r="C66" s="65">
        <f t="shared" si="1"/>
        <v>2.458333333333333</v>
      </c>
      <c r="D66" s="124">
        <v>6.9</v>
      </c>
      <c r="E66" s="124">
        <v>8.6999999999999993</v>
      </c>
      <c r="F66" s="125">
        <v>18.8</v>
      </c>
      <c r="I66" s="55"/>
      <c r="J66" s="56"/>
    </row>
    <row r="67" spans="2:10" x14ac:dyDescent="0.25">
      <c r="B67" s="64">
        <f t="shared" si="0"/>
        <v>45615.499999999862</v>
      </c>
      <c r="C67" s="65">
        <f t="shared" si="1"/>
        <v>2.4999999999999996</v>
      </c>
      <c r="D67" s="124">
        <v>7</v>
      </c>
      <c r="E67" s="124">
        <v>8.8000000000000007</v>
      </c>
      <c r="F67" s="125">
        <v>19</v>
      </c>
      <c r="I67" s="55"/>
      <c r="J67" s="56"/>
    </row>
    <row r="68" spans="2:10" x14ac:dyDescent="0.25">
      <c r="B68" s="64">
        <f t="shared" si="0"/>
        <v>45615.541666666526</v>
      </c>
      <c r="C68" s="65">
        <f t="shared" si="1"/>
        <v>2.5416666666666661</v>
      </c>
      <c r="D68" s="124">
        <v>7.1</v>
      </c>
      <c r="E68" s="124">
        <v>8.9</v>
      </c>
      <c r="F68" s="125">
        <v>19.100000000000001</v>
      </c>
      <c r="I68" s="55"/>
      <c r="J68" s="56"/>
    </row>
    <row r="69" spans="2:10" x14ac:dyDescent="0.25">
      <c r="B69" s="64">
        <f t="shared" si="0"/>
        <v>45615.58333333319</v>
      </c>
      <c r="C69" s="65">
        <f t="shared" si="1"/>
        <v>2.5833333333333326</v>
      </c>
      <c r="D69" s="124">
        <v>7.3</v>
      </c>
      <c r="E69" s="124">
        <v>9.1</v>
      </c>
      <c r="F69" s="125">
        <v>19</v>
      </c>
      <c r="I69" s="55"/>
      <c r="J69" s="56"/>
    </row>
    <row r="70" spans="2:10" x14ac:dyDescent="0.25">
      <c r="B70" s="64">
        <f t="shared" si="0"/>
        <v>45615.624999999854</v>
      </c>
      <c r="C70" s="65">
        <f t="shared" si="1"/>
        <v>2.6249999999999991</v>
      </c>
      <c r="D70" s="124">
        <v>7.5</v>
      </c>
      <c r="E70" s="124">
        <v>9.4</v>
      </c>
      <c r="F70" s="125">
        <v>18.8</v>
      </c>
      <c r="I70" s="55"/>
      <c r="J70" s="56"/>
    </row>
    <row r="71" spans="2:10" x14ac:dyDescent="0.25">
      <c r="B71" s="64">
        <f t="shared" si="0"/>
        <v>45615.666666666519</v>
      </c>
      <c r="C71" s="65">
        <f t="shared" si="1"/>
        <v>2.6666666666666656</v>
      </c>
      <c r="D71" s="124">
        <v>7.7</v>
      </c>
      <c r="E71" s="124">
        <v>9.6</v>
      </c>
      <c r="F71" s="125">
        <v>18.600000000000001</v>
      </c>
      <c r="I71" s="55"/>
      <c r="J71" s="56"/>
    </row>
    <row r="72" spans="2:10" x14ac:dyDescent="0.25">
      <c r="B72" s="64">
        <f t="shared" si="0"/>
        <v>45615.708333333183</v>
      </c>
      <c r="C72" s="65">
        <f t="shared" si="1"/>
        <v>2.7083333333333321</v>
      </c>
      <c r="D72" s="124">
        <v>7.5</v>
      </c>
      <c r="E72" s="124">
        <v>9.4</v>
      </c>
      <c r="F72" s="125">
        <v>18.3</v>
      </c>
      <c r="I72" s="55"/>
      <c r="J72" s="56"/>
    </row>
    <row r="73" spans="2:10" x14ac:dyDescent="0.25">
      <c r="B73" s="64">
        <f t="shared" si="0"/>
        <v>45615.749999999847</v>
      </c>
      <c r="C73" s="65">
        <f t="shared" si="1"/>
        <v>2.7499999999999987</v>
      </c>
      <c r="D73" s="124">
        <v>7.4</v>
      </c>
      <c r="E73" s="124">
        <v>9.3000000000000007</v>
      </c>
      <c r="F73" s="125">
        <v>18</v>
      </c>
      <c r="I73" s="55"/>
      <c r="J73" s="56"/>
    </row>
    <row r="74" spans="2:10" x14ac:dyDescent="0.25">
      <c r="B74" s="64">
        <f t="shared" si="0"/>
        <v>45615.791666666511</v>
      </c>
      <c r="C74" s="65">
        <f t="shared" si="1"/>
        <v>2.7916666666666652</v>
      </c>
      <c r="D74" s="124">
        <v>7.3</v>
      </c>
      <c r="E74" s="124">
        <v>9.1</v>
      </c>
      <c r="F74" s="125">
        <v>17.5</v>
      </c>
      <c r="I74" s="55"/>
      <c r="J74" s="56"/>
    </row>
    <row r="75" spans="2:10" x14ac:dyDescent="0.25">
      <c r="B75" s="64">
        <f t="shared" ref="B75:B138" si="7">B74+TIME(1,0,0)</f>
        <v>45615.833333333176</v>
      </c>
      <c r="C75" s="65">
        <f t="shared" ref="C75:C138" si="8">C74+TIME(1,0,0)</f>
        <v>2.8333333333333317</v>
      </c>
      <c r="D75" s="124">
        <v>7.4</v>
      </c>
      <c r="E75" s="124">
        <v>9.3000000000000007</v>
      </c>
      <c r="F75" s="125">
        <v>17.3</v>
      </c>
      <c r="I75" s="55"/>
      <c r="J75" s="56"/>
    </row>
    <row r="76" spans="2:10" x14ac:dyDescent="0.25">
      <c r="B76" s="64">
        <f t="shared" si="7"/>
        <v>45615.87499999984</v>
      </c>
      <c r="C76" s="65">
        <f t="shared" si="8"/>
        <v>2.8749999999999982</v>
      </c>
      <c r="D76" s="124">
        <v>7.5</v>
      </c>
      <c r="E76" s="124">
        <v>9.4</v>
      </c>
      <c r="F76" s="125">
        <v>17.100000000000001</v>
      </c>
      <c r="I76" s="55"/>
      <c r="J76" s="56"/>
    </row>
    <row r="77" spans="2:10" x14ac:dyDescent="0.25">
      <c r="B77" s="64">
        <f t="shared" si="7"/>
        <v>45615.916666666504</v>
      </c>
      <c r="C77" s="65">
        <f t="shared" si="8"/>
        <v>2.9166666666666647</v>
      </c>
      <c r="D77" s="124">
        <v>7.6</v>
      </c>
      <c r="E77" s="124">
        <v>9.5</v>
      </c>
      <c r="F77" s="125">
        <v>16.899999999999999</v>
      </c>
      <c r="I77" s="55"/>
      <c r="J77" s="56"/>
    </row>
    <row r="78" spans="2:10" x14ac:dyDescent="0.25">
      <c r="B78" s="64">
        <f t="shared" si="7"/>
        <v>45615.958333333168</v>
      </c>
      <c r="C78" s="65">
        <f t="shared" si="8"/>
        <v>2.9583333333333313</v>
      </c>
      <c r="D78" s="124">
        <v>7.3</v>
      </c>
      <c r="E78" s="124">
        <v>9.1999999999999993</v>
      </c>
      <c r="F78" s="125">
        <v>16.8</v>
      </c>
      <c r="I78" s="55"/>
      <c r="J78" s="56"/>
    </row>
    <row r="79" spans="2:10" x14ac:dyDescent="0.25">
      <c r="B79" s="64">
        <f t="shared" si="7"/>
        <v>45615.999999999833</v>
      </c>
      <c r="C79" s="65">
        <f t="shared" si="8"/>
        <v>2.9999999999999978</v>
      </c>
      <c r="D79" s="124">
        <v>7</v>
      </c>
      <c r="E79" s="124">
        <v>8.9</v>
      </c>
      <c r="F79" s="125">
        <v>16.600000000000001</v>
      </c>
      <c r="I79" s="55"/>
      <c r="J79" s="56"/>
    </row>
    <row r="80" spans="2:10" x14ac:dyDescent="0.25">
      <c r="B80" s="64">
        <f t="shared" si="7"/>
        <v>45616.041666666497</v>
      </c>
      <c r="C80" s="65">
        <f t="shared" si="8"/>
        <v>3.0416666666666643</v>
      </c>
      <c r="D80" s="124">
        <v>6.8</v>
      </c>
      <c r="E80" s="124">
        <v>8.5</v>
      </c>
      <c r="F80" s="125">
        <v>16.5</v>
      </c>
      <c r="I80" s="55"/>
      <c r="J80" s="56"/>
    </row>
    <row r="81" spans="2:10" x14ac:dyDescent="0.25">
      <c r="B81" s="64">
        <f t="shared" si="7"/>
        <v>45616.083333333161</v>
      </c>
      <c r="C81" s="65">
        <f t="shared" si="8"/>
        <v>3.0833333333333308</v>
      </c>
      <c r="D81" s="124">
        <v>6</v>
      </c>
      <c r="E81" s="124">
        <v>7.6</v>
      </c>
      <c r="F81" s="125">
        <v>16.399999999999999</v>
      </c>
      <c r="I81" s="55"/>
      <c r="J81" s="56"/>
    </row>
    <row r="82" spans="2:10" x14ac:dyDescent="0.25">
      <c r="B82" s="64">
        <f t="shared" si="7"/>
        <v>45616.124999999825</v>
      </c>
      <c r="C82" s="65">
        <f t="shared" si="8"/>
        <v>3.1249999999999973</v>
      </c>
      <c r="D82" s="124">
        <v>5.3</v>
      </c>
      <c r="E82" s="124">
        <v>6.7</v>
      </c>
      <c r="F82" s="125">
        <v>16.399999999999999</v>
      </c>
      <c r="I82" s="55"/>
      <c r="J82" s="56"/>
    </row>
    <row r="83" spans="2:10" x14ac:dyDescent="0.25">
      <c r="B83" s="64">
        <f t="shared" si="7"/>
        <v>45616.16666666649</v>
      </c>
      <c r="C83" s="65">
        <f t="shared" si="8"/>
        <v>3.1666666666666639</v>
      </c>
      <c r="D83" s="124">
        <v>4.5</v>
      </c>
      <c r="E83" s="124">
        <v>5.8</v>
      </c>
      <c r="F83" s="125">
        <v>16.3</v>
      </c>
      <c r="I83" s="55"/>
      <c r="J83" s="56"/>
    </row>
    <row r="84" spans="2:10" x14ac:dyDescent="0.25">
      <c r="B84" s="64">
        <f t="shared" si="7"/>
        <v>45616.208333333154</v>
      </c>
      <c r="C84" s="65">
        <f t="shared" si="8"/>
        <v>3.2083333333333304</v>
      </c>
      <c r="D84" s="124">
        <v>4.5</v>
      </c>
      <c r="E84" s="124">
        <v>5.8</v>
      </c>
      <c r="F84" s="125">
        <v>16.399999999999999</v>
      </c>
      <c r="I84" s="55"/>
      <c r="J84" s="56"/>
    </row>
    <row r="85" spans="2:10" x14ac:dyDescent="0.25">
      <c r="B85" s="64">
        <f t="shared" si="7"/>
        <v>45616.249999999818</v>
      </c>
      <c r="C85" s="65">
        <f t="shared" si="8"/>
        <v>3.2499999999999969</v>
      </c>
      <c r="D85" s="124">
        <v>4.5</v>
      </c>
      <c r="E85" s="124">
        <v>5.9</v>
      </c>
      <c r="F85" s="125">
        <v>16.600000000000001</v>
      </c>
      <c r="I85" s="55"/>
      <c r="J85" s="56"/>
    </row>
    <row r="86" spans="2:10" x14ac:dyDescent="0.25">
      <c r="B86" s="64">
        <f t="shared" si="7"/>
        <v>45616.291666666482</v>
      </c>
      <c r="C86" s="65">
        <f t="shared" si="8"/>
        <v>3.2916666666666634</v>
      </c>
      <c r="D86" s="124">
        <v>4.5999999999999996</v>
      </c>
      <c r="E86" s="124">
        <v>6.1</v>
      </c>
      <c r="F86" s="125">
        <v>16.7</v>
      </c>
      <c r="I86" s="55"/>
      <c r="J86" s="56"/>
    </row>
    <row r="87" spans="2:10" x14ac:dyDescent="0.25">
      <c r="B87" s="64">
        <f t="shared" si="7"/>
        <v>45616.333333333147</v>
      </c>
      <c r="C87" s="65">
        <f t="shared" si="8"/>
        <v>3.3333333333333299</v>
      </c>
      <c r="D87" s="124">
        <v>5</v>
      </c>
      <c r="E87" s="124">
        <v>6.4</v>
      </c>
      <c r="F87" s="125">
        <v>17.5</v>
      </c>
      <c r="I87" s="55"/>
      <c r="J87" s="56"/>
    </row>
    <row r="88" spans="2:10" x14ac:dyDescent="0.25">
      <c r="B88" s="64">
        <f t="shared" si="7"/>
        <v>45616.374999999811</v>
      </c>
      <c r="C88" s="65">
        <f t="shared" si="8"/>
        <v>3.3749999999999964</v>
      </c>
      <c r="D88" s="124">
        <v>5.4</v>
      </c>
      <c r="E88" s="124">
        <v>6.9</v>
      </c>
      <c r="F88" s="125">
        <v>18.399999999999999</v>
      </c>
      <c r="I88" s="55"/>
      <c r="J88" s="56"/>
    </row>
    <row r="89" spans="2:10" x14ac:dyDescent="0.25">
      <c r="B89" s="64">
        <f t="shared" si="7"/>
        <v>45616.416666666475</v>
      </c>
      <c r="C89" s="65">
        <f t="shared" si="8"/>
        <v>3.416666666666663</v>
      </c>
      <c r="D89" s="124">
        <v>5.8</v>
      </c>
      <c r="E89" s="124">
        <v>7.4</v>
      </c>
      <c r="F89" s="125">
        <v>19.399999999999999</v>
      </c>
      <c r="I89" s="55"/>
      <c r="J89" s="56"/>
    </row>
    <row r="90" spans="2:10" x14ac:dyDescent="0.25">
      <c r="B90" s="64">
        <f t="shared" si="7"/>
        <v>45616.458333333139</v>
      </c>
      <c r="C90" s="65">
        <f t="shared" si="8"/>
        <v>3.4583333333333295</v>
      </c>
      <c r="D90" s="124">
        <v>6.1</v>
      </c>
      <c r="E90" s="124">
        <v>7.7</v>
      </c>
      <c r="F90" s="125">
        <v>19.5</v>
      </c>
      <c r="I90" s="55"/>
      <c r="J90" s="56"/>
    </row>
    <row r="91" spans="2:10" x14ac:dyDescent="0.25">
      <c r="B91" s="64">
        <f t="shared" si="7"/>
        <v>45616.499999999804</v>
      </c>
      <c r="C91" s="65">
        <f t="shared" si="8"/>
        <v>3.499999999999996</v>
      </c>
      <c r="D91" s="124">
        <v>6.3</v>
      </c>
      <c r="E91" s="124">
        <v>7.9</v>
      </c>
      <c r="F91" s="125">
        <v>19.7</v>
      </c>
      <c r="I91" s="55"/>
      <c r="J91" s="56"/>
    </row>
    <row r="92" spans="2:10" x14ac:dyDescent="0.25">
      <c r="B92" s="64">
        <f t="shared" si="7"/>
        <v>45616.541666666468</v>
      </c>
      <c r="C92" s="65">
        <f t="shared" si="8"/>
        <v>3.5416666666666625</v>
      </c>
      <c r="D92" s="124">
        <v>6.5</v>
      </c>
      <c r="E92" s="124">
        <v>8.1999999999999993</v>
      </c>
      <c r="F92" s="125">
        <v>19.8</v>
      </c>
      <c r="I92" s="55"/>
      <c r="J92" s="56"/>
    </row>
    <row r="93" spans="2:10" x14ac:dyDescent="0.25">
      <c r="B93" s="64">
        <f t="shared" si="7"/>
        <v>45616.583333333132</v>
      </c>
      <c r="C93" s="65">
        <f t="shared" si="8"/>
        <v>3.583333333333329</v>
      </c>
      <c r="D93" s="124">
        <v>6.4</v>
      </c>
      <c r="E93" s="124">
        <v>8.1</v>
      </c>
      <c r="F93" s="125">
        <v>19.399999999999999</v>
      </c>
      <c r="I93" s="55"/>
      <c r="J93" s="56"/>
    </row>
    <row r="94" spans="2:10" x14ac:dyDescent="0.25">
      <c r="B94" s="64">
        <f t="shared" si="7"/>
        <v>45616.624999999796</v>
      </c>
      <c r="C94" s="65">
        <f t="shared" si="8"/>
        <v>3.6249999999999956</v>
      </c>
      <c r="D94" s="124">
        <v>6.3</v>
      </c>
      <c r="E94" s="124">
        <v>7.9</v>
      </c>
      <c r="F94" s="125">
        <v>19</v>
      </c>
      <c r="I94" s="55"/>
      <c r="J94" s="56"/>
    </row>
    <row r="95" spans="2:10" x14ac:dyDescent="0.25">
      <c r="B95" s="64">
        <f t="shared" si="7"/>
        <v>45616.666666666461</v>
      </c>
      <c r="C95" s="65">
        <f t="shared" si="8"/>
        <v>3.6666666666666621</v>
      </c>
      <c r="D95" s="124">
        <v>6.1</v>
      </c>
      <c r="E95" s="124">
        <v>7.8</v>
      </c>
      <c r="F95" s="125">
        <v>18.600000000000001</v>
      </c>
      <c r="I95" s="55"/>
      <c r="J95" s="56"/>
    </row>
    <row r="96" spans="2:10" x14ac:dyDescent="0.25">
      <c r="B96" s="64">
        <f t="shared" si="7"/>
        <v>45616.708333333125</v>
      </c>
      <c r="C96" s="65">
        <f t="shared" si="8"/>
        <v>3.7083333333333286</v>
      </c>
      <c r="D96" s="124">
        <v>6.1</v>
      </c>
      <c r="E96" s="124">
        <v>7.7</v>
      </c>
      <c r="F96" s="125">
        <v>18.3</v>
      </c>
      <c r="I96" s="55"/>
      <c r="J96" s="56"/>
    </row>
    <row r="97" spans="2:10" x14ac:dyDescent="0.25">
      <c r="B97" s="64">
        <f t="shared" si="7"/>
        <v>45616.749999999789</v>
      </c>
      <c r="C97" s="65">
        <f t="shared" si="8"/>
        <v>3.7499999999999951</v>
      </c>
      <c r="D97" s="124">
        <v>6.1</v>
      </c>
      <c r="E97" s="124">
        <v>7.7</v>
      </c>
      <c r="F97" s="125">
        <v>17.899999999999999</v>
      </c>
      <c r="I97" s="55"/>
      <c r="J97" s="56"/>
    </row>
    <row r="98" spans="2:10" x14ac:dyDescent="0.25">
      <c r="B98" s="64">
        <f t="shared" si="7"/>
        <v>45616.791666666453</v>
      </c>
      <c r="C98" s="65">
        <f t="shared" si="8"/>
        <v>3.7916666666666616</v>
      </c>
      <c r="D98" s="124">
        <v>6.1</v>
      </c>
      <c r="E98" s="124">
        <v>7.7</v>
      </c>
      <c r="F98" s="125">
        <v>17.399999999999999</v>
      </c>
      <c r="I98" s="55"/>
      <c r="J98" s="56"/>
    </row>
    <row r="99" spans="2:10" x14ac:dyDescent="0.25">
      <c r="B99" s="64">
        <f t="shared" si="7"/>
        <v>45616.833333333117</v>
      </c>
      <c r="C99" s="65">
        <f t="shared" si="8"/>
        <v>3.8333333333333282</v>
      </c>
      <c r="D99" s="124">
        <v>6.2</v>
      </c>
      <c r="E99" s="124">
        <v>7.9</v>
      </c>
      <c r="F99" s="125">
        <v>17.3</v>
      </c>
      <c r="I99" s="55"/>
      <c r="J99" s="56"/>
    </row>
    <row r="100" spans="2:10" x14ac:dyDescent="0.25">
      <c r="B100" s="64">
        <f t="shared" si="7"/>
        <v>45616.874999999782</v>
      </c>
      <c r="C100" s="65">
        <f t="shared" si="8"/>
        <v>3.8749999999999947</v>
      </c>
      <c r="D100" s="124">
        <v>6.3</v>
      </c>
      <c r="E100" s="124">
        <v>8</v>
      </c>
      <c r="F100" s="125">
        <v>17.2</v>
      </c>
      <c r="I100" s="55"/>
      <c r="J100" s="56"/>
    </row>
    <row r="101" spans="2:10" x14ac:dyDescent="0.25">
      <c r="B101" s="64">
        <f t="shared" si="7"/>
        <v>45616.916666666446</v>
      </c>
      <c r="C101" s="65">
        <f t="shared" si="8"/>
        <v>3.9166666666666612</v>
      </c>
      <c r="D101" s="124">
        <v>6.5</v>
      </c>
      <c r="E101" s="124">
        <v>8.1999999999999993</v>
      </c>
      <c r="F101" s="125">
        <v>17.100000000000001</v>
      </c>
      <c r="I101" s="55"/>
      <c r="J101" s="56"/>
    </row>
    <row r="102" spans="2:10" x14ac:dyDescent="0.25">
      <c r="B102" s="64">
        <f t="shared" si="7"/>
        <v>45616.95833333311</v>
      </c>
      <c r="C102" s="65">
        <f t="shared" si="8"/>
        <v>3.9583333333333277</v>
      </c>
      <c r="D102" s="124">
        <v>5.8</v>
      </c>
      <c r="E102" s="124">
        <v>7.4</v>
      </c>
      <c r="F102" s="125">
        <v>17.100000000000001</v>
      </c>
      <c r="I102" s="55"/>
      <c r="J102" s="56"/>
    </row>
    <row r="103" spans="2:10" x14ac:dyDescent="0.25">
      <c r="B103" s="64">
        <f t="shared" si="7"/>
        <v>45616.999999999774</v>
      </c>
      <c r="C103" s="65">
        <f t="shared" si="8"/>
        <v>3.9999999999999942</v>
      </c>
      <c r="D103" s="124">
        <v>5.2</v>
      </c>
      <c r="E103" s="124">
        <v>6.6</v>
      </c>
      <c r="F103" s="125">
        <v>17</v>
      </c>
      <c r="I103" s="55"/>
      <c r="J103" s="56"/>
    </row>
    <row r="104" spans="2:10" x14ac:dyDescent="0.25">
      <c r="B104" s="64">
        <f t="shared" si="7"/>
        <v>45617.041666666439</v>
      </c>
      <c r="C104" s="65">
        <f t="shared" si="8"/>
        <v>4.0416666666666607</v>
      </c>
      <c r="D104" s="124">
        <v>4.5999999999999996</v>
      </c>
      <c r="E104" s="124">
        <v>5.9</v>
      </c>
      <c r="F104" s="125">
        <v>16.899999999999999</v>
      </c>
      <c r="I104" s="55"/>
      <c r="J104" s="56"/>
    </row>
    <row r="105" spans="2:10" x14ac:dyDescent="0.25">
      <c r="B105" s="64">
        <f t="shared" si="7"/>
        <v>45617.083333333103</v>
      </c>
      <c r="C105" s="65">
        <f t="shared" si="8"/>
        <v>4.0833333333333277</v>
      </c>
      <c r="D105" s="124">
        <v>4.0999999999999996</v>
      </c>
      <c r="E105" s="124">
        <v>5.3</v>
      </c>
      <c r="F105" s="125">
        <v>16.899999999999999</v>
      </c>
      <c r="I105" s="55"/>
      <c r="J105" s="56"/>
    </row>
    <row r="106" spans="2:10" x14ac:dyDescent="0.25">
      <c r="B106" s="64">
        <f t="shared" si="7"/>
        <v>45617.124999999767</v>
      </c>
      <c r="C106" s="65">
        <f t="shared" si="8"/>
        <v>4.1249999999999947</v>
      </c>
      <c r="D106" s="124">
        <v>3.6</v>
      </c>
      <c r="E106" s="124">
        <v>4.7</v>
      </c>
      <c r="F106" s="125">
        <v>16.899999999999999</v>
      </c>
      <c r="I106" s="55"/>
      <c r="J106" s="56"/>
    </row>
    <row r="107" spans="2:10" x14ac:dyDescent="0.25">
      <c r="B107" s="64">
        <f t="shared" si="7"/>
        <v>45617.166666666431</v>
      </c>
      <c r="C107" s="65">
        <f t="shared" si="8"/>
        <v>4.1666666666666616</v>
      </c>
      <c r="D107" s="124">
        <v>3.1</v>
      </c>
      <c r="E107" s="124">
        <v>4.0999999999999996</v>
      </c>
      <c r="F107" s="125">
        <v>16.8</v>
      </c>
      <c r="I107" s="55"/>
      <c r="J107" s="56"/>
    </row>
    <row r="108" spans="2:10" x14ac:dyDescent="0.25">
      <c r="B108" s="64">
        <f t="shared" si="7"/>
        <v>45617.208333333096</v>
      </c>
      <c r="C108" s="65">
        <f t="shared" si="8"/>
        <v>4.2083333333333286</v>
      </c>
      <c r="D108" s="124">
        <v>3.4</v>
      </c>
      <c r="E108" s="124">
        <v>4.5</v>
      </c>
      <c r="F108" s="125">
        <v>17</v>
      </c>
      <c r="I108" s="55"/>
      <c r="J108" s="56"/>
    </row>
    <row r="109" spans="2:10" x14ac:dyDescent="0.25">
      <c r="B109" s="64">
        <f t="shared" si="7"/>
        <v>45617.24999999976</v>
      </c>
      <c r="C109" s="65">
        <f t="shared" si="8"/>
        <v>4.2499999999999956</v>
      </c>
      <c r="D109" s="124">
        <v>3.7</v>
      </c>
      <c r="E109" s="124">
        <v>4.8</v>
      </c>
      <c r="F109" s="125">
        <v>17.3</v>
      </c>
      <c r="I109" s="55"/>
      <c r="J109" s="56"/>
    </row>
    <row r="110" spans="2:10" x14ac:dyDescent="0.25">
      <c r="B110" s="64">
        <f t="shared" si="7"/>
        <v>45617.291666666424</v>
      </c>
      <c r="C110" s="65">
        <f t="shared" si="8"/>
        <v>4.2916666666666625</v>
      </c>
      <c r="D110" s="124">
        <v>4</v>
      </c>
      <c r="E110" s="124">
        <v>5.2</v>
      </c>
      <c r="F110" s="125">
        <v>17.5</v>
      </c>
      <c r="I110" s="55"/>
      <c r="J110" s="56"/>
    </row>
    <row r="111" spans="2:10" x14ac:dyDescent="0.25">
      <c r="B111" s="64">
        <f t="shared" si="7"/>
        <v>45617.333333333088</v>
      </c>
      <c r="C111" s="65">
        <f t="shared" si="8"/>
        <v>4.3333333333333295</v>
      </c>
      <c r="D111" s="124">
        <v>4.7</v>
      </c>
      <c r="E111" s="124">
        <v>6</v>
      </c>
      <c r="F111" s="125">
        <v>18.100000000000001</v>
      </c>
      <c r="I111" s="55"/>
      <c r="J111" s="56"/>
    </row>
    <row r="112" spans="2:10" x14ac:dyDescent="0.25">
      <c r="B112" s="64">
        <f t="shared" si="7"/>
        <v>45617.374999999753</v>
      </c>
      <c r="C112" s="65">
        <f t="shared" si="8"/>
        <v>4.3749999999999964</v>
      </c>
      <c r="D112" s="124">
        <v>5.3</v>
      </c>
      <c r="E112" s="124">
        <v>6.8</v>
      </c>
      <c r="F112" s="125">
        <v>18.8</v>
      </c>
      <c r="I112" s="55"/>
      <c r="J112" s="56"/>
    </row>
    <row r="113" spans="2:10" x14ac:dyDescent="0.25">
      <c r="B113" s="64">
        <f t="shared" si="7"/>
        <v>45617.416666666417</v>
      </c>
      <c r="C113" s="65">
        <f t="shared" si="8"/>
        <v>4.4166666666666634</v>
      </c>
      <c r="D113" s="124">
        <v>6</v>
      </c>
      <c r="E113" s="124">
        <v>7.6</v>
      </c>
      <c r="F113" s="125">
        <v>19.5</v>
      </c>
      <c r="I113" s="55"/>
      <c r="J113" s="56"/>
    </row>
    <row r="114" spans="2:10" x14ac:dyDescent="0.25">
      <c r="B114" s="64">
        <f t="shared" si="7"/>
        <v>45617.458333333081</v>
      </c>
      <c r="C114" s="65">
        <f t="shared" si="8"/>
        <v>4.4583333333333304</v>
      </c>
      <c r="D114" s="124">
        <v>6.1</v>
      </c>
      <c r="E114" s="124">
        <v>7.7</v>
      </c>
      <c r="F114" s="125">
        <v>19.5</v>
      </c>
      <c r="I114" s="55"/>
      <c r="J114" s="56"/>
    </row>
    <row r="115" spans="2:10" x14ac:dyDescent="0.25">
      <c r="B115" s="64">
        <f t="shared" si="7"/>
        <v>45617.499999999745</v>
      </c>
      <c r="C115" s="65">
        <f t="shared" si="8"/>
        <v>4.4999999999999973</v>
      </c>
      <c r="D115" s="124">
        <v>6.2</v>
      </c>
      <c r="E115" s="124">
        <v>7.9</v>
      </c>
      <c r="F115" s="125">
        <v>19.5</v>
      </c>
      <c r="I115" s="55"/>
      <c r="J115" s="56"/>
    </row>
    <row r="116" spans="2:10" x14ac:dyDescent="0.25">
      <c r="B116" s="64">
        <f t="shared" si="7"/>
        <v>45617.54166666641</v>
      </c>
      <c r="C116" s="65">
        <f t="shared" si="8"/>
        <v>4.5416666666666643</v>
      </c>
      <c r="D116" s="124">
        <v>6.3</v>
      </c>
      <c r="E116" s="124">
        <v>8</v>
      </c>
      <c r="F116" s="125">
        <v>19.5</v>
      </c>
      <c r="I116" s="55"/>
      <c r="J116" s="56"/>
    </row>
    <row r="117" spans="2:10" x14ac:dyDescent="0.25">
      <c r="B117" s="64">
        <f t="shared" si="7"/>
        <v>45617.583333333074</v>
      </c>
      <c r="C117" s="65">
        <f t="shared" si="8"/>
        <v>4.5833333333333313</v>
      </c>
      <c r="D117" s="124">
        <v>6.4</v>
      </c>
      <c r="E117" s="124">
        <v>8.1</v>
      </c>
      <c r="F117" s="125">
        <v>19.2</v>
      </c>
      <c r="I117" s="55"/>
      <c r="J117" s="56"/>
    </row>
    <row r="118" spans="2:10" x14ac:dyDescent="0.25">
      <c r="B118" s="64">
        <f t="shared" si="7"/>
        <v>45617.624999999738</v>
      </c>
      <c r="C118" s="65">
        <f t="shared" si="8"/>
        <v>4.6249999999999982</v>
      </c>
      <c r="D118" s="124">
        <v>6.4</v>
      </c>
      <c r="E118" s="124">
        <v>8.1</v>
      </c>
      <c r="F118" s="125">
        <v>19</v>
      </c>
      <c r="I118" s="55"/>
      <c r="J118" s="56"/>
    </row>
    <row r="119" spans="2:10" x14ac:dyDescent="0.25">
      <c r="B119" s="64">
        <f t="shared" si="7"/>
        <v>45617.666666666402</v>
      </c>
      <c r="C119" s="65">
        <f t="shared" si="8"/>
        <v>4.6666666666666652</v>
      </c>
      <c r="D119" s="124">
        <v>6.5</v>
      </c>
      <c r="E119" s="124">
        <v>8.1999999999999993</v>
      </c>
      <c r="F119" s="125">
        <v>18.7</v>
      </c>
      <c r="I119" s="55"/>
      <c r="J119" s="56"/>
    </row>
    <row r="120" spans="2:10" x14ac:dyDescent="0.25">
      <c r="B120" s="64">
        <f t="shared" si="7"/>
        <v>45617.708333333067</v>
      </c>
      <c r="C120" s="65">
        <f t="shared" si="8"/>
        <v>4.7083333333333321</v>
      </c>
      <c r="D120" s="124">
        <v>6.2</v>
      </c>
      <c r="E120" s="124">
        <v>7.9</v>
      </c>
      <c r="F120" s="125">
        <v>18.399999999999999</v>
      </c>
      <c r="I120" s="55"/>
      <c r="J120" s="56"/>
    </row>
    <row r="121" spans="2:10" x14ac:dyDescent="0.25">
      <c r="B121" s="64">
        <f t="shared" si="7"/>
        <v>45617.749999999731</v>
      </c>
      <c r="C121" s="65">
        <f t="shared" si="8"/>
        <v>4.7499999999999991</v>
      </c>
      <c r="D121" s="124">
        <v>6</v>
      </c>
      <c r="E121" s="124">
        <v>7.7</v>
      </c>
      <c r="F121" s="125">
        <v>18.2</v>
      </c>
      <c r="I121" s="55"/>
      <c r="J121" s="56"/>
    </row>
    <row r="122" spans="2:10" x14ac:dyDescent="0.25">
      <c r="B122" s="64">
        <f t="shared" si="7"/>
        <v>45617.791666666395</v>
      </c>
      <c r="C122" s="65">
        <f t="shared" si="8"/>
        <v>4.7916666666666661</v>
      </c>
      <c r="D122" s="124">
        <v>5.8</v>
      </c>
      <c r="E122" s="124">
        <v>7.4</v>
      </c>
      <c r="F122" s="125">
        <v>17.7</v>
      </c>
      <c r="I122" s="55"/>
      <c r="J122" s="56"/>
    </row>
    <row r="123" spans="2:10" x14ac:dyDescent="0.25">
      <c r="B123" s="64">
        <f t="shared" si="7"/>
        <v>45617.833333333059</v>
      </c>
      <c r="C123" s="65">
        <f t="shared" si="8"/>
        <v>4.833333333333333</v>
      </c>
      <c r="D123" s="124">
        <v>5.7</v>
      </c>
      <c r="E123" s="124">
        <v>7.2</v>
      </c>
      <c r="F123" s="125">
        <v>17.5</v>
      </c>
      <c r="I123" s="55"/>
      <c r="J123" s="56"/>
    </row>
    <row r="124" spans="2:10" x14ac:dyDescent="0.25">
      <c r="B124" s="64">
        <f t="shared" si="7"/>
        <v>45617.874999999724</v>
      </c>
      <c r="C124" s="65">
        <f t="shared" si="8"/>
        <v>4.875</v>
      </c>
      <c r="D124" s="124">
        <v>5.5</v>
      </c>
      <c r="E124" s="124">
        <v>7.1</v>
      </c>
      <c r="F124" s="125">
        <v>17.399999999999999</v>
      </c>
      <c r="I124" s="55"/>
      <c r="J124" s="56"/>
    </row>
    <row r="125" spans="2:10" x14ac:dyDescent="0.25">
      <c r="B125" s="64">
        <f t="shared" si="7"/>
        <v>45617.916666666388</v>
      </c>
      <c r="C125" s="65">
        <f t="shared" si="8"/>
        <v>4.916666666666667</v>
      </c>
      <c r="D125" s="124">
        <v>5.4</v>
      </c>
      <c r="E125" s="124">
        <v>6.9</v>
      </c>
      <c r="F125" s="125">
        <v>17.3</v>
      </c>
      <c r="I125" s="55"/>
      <c r="J125" s="56"/>
    </row>
    <row r="126" spans="2:10" x14ac:dyDescent="0.25">
      <c r="B126" s="64">
        <f t="shared" si="7"/>
        <v>45617.958333333052</v>
      </c>
      <c r="C126" s="65">
        <f t="shared" si="8"/>
        <v>4.9583333333333339</v>
      </c>
      <c r="D126" s="124">
        <v>5.3</v>
      </c>
      <c r="E126" s="124">
        <v>6.7</v>
      </c>
      <c r="F126" s="125">
        <v>17.2</v>
      </c>
      <c r="I126" s="55"/>
      <c r="J126" s="56"/>
    </row>
    <row r="127" spans="2:10" x14ac:dyDescent="0.25">
      <c r="B127" s="64">
        <f t="shared" si="7"/>
        <v>45617.999999999716</v>
      </c>
      <c r="C127" s="65">
        <f t="shared" si="8"/>
        <v>5.0000000000000009</v>
      </c>
      <c r="D127" s="124">
        <v>5.0999999999999996</v>
      </c>
      <c r="E127" s="124">
        <v>6.6</v>
      </c>
      <c r="F127" s="125">
        <v>17.100000000000001</v>
      </c>
      <c r="I127" s="55"/>
      <c r="J127" s="56"/>
    </row>
    <row r="128" spans="2:10" x14ac:dyDescent="0.25">
      <c r="B128" s="64">
        <f t="shared" si="7"/>
        <v>45618.04166666638</v>
      </c>
      <c r="C128" s="65">
        <f t="shared" si="8"/>
        <v>5.0416666666666679</v>
      </c>
      <c r="D128" s="124">
        <v>5</v>
      </c>
      <c r="E128" s="124">
        <v>6.4</v>
      </c>
      <c r="F128" s="125">
        <v>17</v>
      </c>
      <c r="I128" s="55"/>
      <c r="J128" s="56"/>
    </row>
    <row r="129" spans="2:10" x14ac:dyDescent="0.25">
      <c r="B129" s="64">
        <f t="shared" si="7"/>
        <v>45618.083333333045</v>
      </c>
      <c r="C129" s="65">
        <f t="shared" si="8"/>
        <v>5.0833333333333348</v>
      </c>
      <c r="D129" s="124">
        <v>4.9000000000000004</v>
      </c>
      <c r="E129" s="124">
        <v>6.4</v>
      </c>
      <c r="F129" s="125">
        <v>17</v>
      </c>
      <c r="I129" s="55"/>
      <c r="J129" s="56"/>
    </row>
    <row r="130" spans="2:10" x14ac:dyDescent="0.25">
      <c r="B130" s="64">
        <f t="shared" si="7"/>
        <v>45618.124999999709</v>
      </c>
      <c r="C130" s="65">
        <f t="shared" si="8"/>
        <v>5.1250000000000018</v>
      </c>
      <c r="D130" s="124">
        <v>4.9000000000000004</v>
      </c>
      <c r="E130" s="124">
        <v>6.3</v>
      </c>
      <c r="F130" s="125">
        <v>17</v>
      </c>
      <c r="I130" s="55"/>
      <c r="J130" s="56"/>
    </row>
    <row r="131" spans="2:10" x14ac:dyDescent="0.25">
      <c r="B131" s="64">
        <f t="shared" si="7"/>
        <v>45618.166666666373</v>
      </c>
      <c r="C131" s="65">
        <f t="shared" si="8"/>
        <v>5.1666666666666687</v>
      </c>
      <c r="D131" s="124">
        <v>4.9000000000000004</v>
      </c>
      <c r="E131" s="124">
        <v>6.3</v>
      </c>
      <c r="F131" s="125">
        <v>17</v>
      </c>
      <c r="I131" s="55"/>
      <c r="J131" s="56"/>
    </row>
    <row r="132" spans="2:10" x14ac:dyDescent="0.25">
      <c r="B132" s="64">
        <f t="shared" si="7"/>
        <v>45618.208333333037</v>
      </c>
      <c r="C132" s="65">
        <f t="shared" si="8"/>
        <v>5.2083333333333357</v>
      </c>
      <c r="D132" s="124">
        <v>4.9000000000000004</v>
      </c>
      <c r="E132" s="124">
        <v>6.3</v>
      </c>
      <c r="F132" s="125">
        <v>17.100000000000001</v>
      </c>
      <c r="I132" s="55"/>
      <c r="J132" s="56"/>
    </row>
    <row r="133" spans="2:10" x14ac:dyDescent="0.25">
      <c r="B133" s="64">
        <f t="shared" si="7"/>
        <v>45618.249999999702</v>
      </c>
      <c r="C133" s="65">
        <f t="shared" si="8"/>
        <v>5.2500000000000027</v>
      </c>
      <c r="D133" s="124">
        <v>4.8</v>
      </c>
      <c r="E133" s="124">
        <v>6.2</v>
      </c>
      <c r="F133" s="125">
        <v>17.3</v>
      </c>
      <c r="I133" s="55"/>
      <c r="J133" s="56"/>
    </row>
    <row r="134" spans="2:10" x14ac:dyDescent="0.25">
      <c r="B134" s="64">
        <f t="shared" si="7"/>
        <v>45618.291666666366</v>
      </c>
      <c r="C134" s="65">
        <f t="shared" si="8"/>
        <v>5.2916666666666696</v>
      </c>
      <c r="D134" s="124">
        <v>4.8</v>
      </c>
      <c r="E134" s="124">
        <v>6.2</v>
      </c>
      <c r="F134" s="125">
        <v>17.3</v>
      </c>
      <c r="I134" s="55"/>
      <c r="J134" s="56"/>
    </row>
    <row r="135" spans="2:10" x14ac:dyDescent="0.25">
      <c r="B135" s="64">
        <f t="shared" si="7"/>
        <v>45618.33333333303</v>
      </c>
      <c r="C135" s="65">
        <f t="shared" si="8"/>
        <v>5.3333333333333366</v>
      </c>
      <c r="D135" s="124">
        <v>5.4</v>
      </c>
      <c r="E135" s="124">
        <v>6.9</v>
      </c>
      <c r="F135" s="125">
        <v>17.8</v>
      </c>
      <c r="I135" s="55"/>
      <c r="J135" s="56"/>
    </row>
    <row r="136" spans="2:10" x14ac:dyDescent="0.25">
      <c r="B136" s="64">
        <f t="shared" si="7"/>
        <v>45618.374999999694</v>
      </c>
      <c r="C136" s="65">
        <f t="shared" si="8"/>
        <v>5.3750000000000036</v>
      </c>
      <c r="D136" s="124">
        <v>6.1</v>
      </c>
      <c r="E136" s="124">
        <v>7.7</v>
      </c>
      <c r="F136" s="125">
        <v>18.3</v>
      </c>
      <c r="I136" s="55"/>
      <c r="J136" s="56"/>
    </row>
    <row r="137" spans="2:10" x14ac:dyDescent="0.25">
      <c r="B137" s="64">
        <f t="shared" si="7"/>
        <v>45618.416666666359</v>
      </c>
      <c r="C137" s="65">
        <f t="shared" si="8"/>
        <v>5.4166666666666705</v>
      </c>
      <c r="D137" s="124">
        <v>6.7</v>
      </c>
      <c r="E137" s="124">
        <v>8.5</v>
      </c>
      <c r="F137" s="125">
        <v>18.8</v>
      </c>
    </row>
    <row r="138" spans="2:10" x14ac:dyDescent="0.25">
      <c r="B138" s="64">
        <f t="shared" si="7"/>
        <v>45618.458333333023</v>
      </c>
      <c r="C138" s="65">
        <f t="shared" si="8"/>
        <v>5.4583333333333375</v>
      </c>
      <c r="D138" s="124">
        <v>7.3</v>
      </c>
      <c r="E138" s="124">
        <v>9.1999999999999993</v>
      </c>
      <c r="F138" s="125">
        <v>19.2</v>
      </c>
    </row>
    <row r="139" spans="2:10" x14ac:dyDescent="0.25">
      <c r="B139" s="64">
        <f t="shared" ref="B139:B202" si="9">B138+TIME(1,0,0)</f>
        <v>45618.499999999687</v>
      </c>
      <c r="C139" s="65">
        <f t="shared" ref="C139:C202" si="10">C138+TIME(1,0,0)</f>
        <v>5.5000000000000044</v>
      </c>
      <c r="D139" s="124">
        <v>8</v>
      </c>
      <c r="E139" s="124">
        <v>10</v>
      </c>
      <c r="F139" s="125">
        <v>19.7</v>
      </c>
    </row>
    <row r="140" spans="2:10" x14ac:dyDescent="0.25">
      <c r="B140" s="64">
        <f t="shared" si="9"/>
        <v>45618.541666666351</v>
      </c>
      <c r="C140" s="65">
        <f t="shared" si="10"/>
        <v>5.5416666666666714</v>
      </c>
      <c r="D140" s="124">
        <v>8.6</v>
      </c>
      <c r="E140" s="124">
        <v>10.7</v>
      </c>
      <c r="F140" s="125">
        <v>20.100000000000001</v>
      </c>
    </row>
    <row r="141" spans="2:10" x14ac:dyDescent="0.25">
      <c r="B141" s="64">
        <f t="shared" si="9"/>
        <v>45618.583333333016</v>
      </c>
      <c r="C141" s="65">
        <f t="shared" si="10"/>
        <v>5.5833333333333384</v>
      </c>
      <c r="D141" s="124">
        <v>8.6</v>
      </c>
      <c r="E141" s="124">
        <v>10.8</v>
      </c>
      <c r="F141" s="125">
        <v>19.7</v>
      </c>
    </row>
    <row r="142" spans="2:10" x14ac:dyDescent="0.25">
      <c r="B142" s="64">
        <f t="shared" si="9"/>
        <v>45618.62499999968</v>
      </c>
      <c r="C142" s="65">
        <f t="shared" si="10"/>
        <v>5.6250000000000053</v>
      </c>
      <c r="D142" s="124">
        <v>8.6999999999999993</v>
      </c>
      <c r="E142" s="124">
        <v>10.9</v>
      </c>
      <c r="F142" s="125">
        <v>19.399999999999999</v>
      </c>
    </row>
    <row r="143" spans="2:10" x14ac:dyDescent="0.25">
      <c r="B143" s="64">
        <f t="shared" si="9"/>
        <v>45618.666666666344</v>
      </c>
      <c r="C143" s="65">
        <f t="shared" si="10"/>
        <v>5.6666666666666723</v>
      </c>
      <c r="D143" s="124">
        <v>8.8000000000000007</v>
      </c>
      <c r="E143" s="124">
        <v>10.9</v>
      </c>
      <c r="F143" s="125">
        <v>19.100000000000001</v>
      </c>
    </row>
    <row r="144" spans="2:10" x14ac:dyDescent="0.25">
      <c r="B144" s="64">
        <f t="shared" si="9"/>
        <v>45618.708333333008</v>
      </c>
      <c r="C144" s="65">
        <f t="shared" si="10"/>
        <v>5.7083333333333393</v>
      </c>
      <c r="D144" s="124">
        <v>8.8000000000000007</v>
      </c>
      <c r="E144" s="124">
        <v>11</v>
      </c>
      <c r="F144" s="125">
        <v>18.7</v>
      </c>
    </row>
    <row r="145" spans="2:6" x14ac:dyDescent="0.25">
      <c r="B145" s="64">
        <f t="shared" si="9"/>
        <v>45618.749999999673</v>
      </c>
      <c r="C145" s="65">
        <f t="shared" si="10"/>
        <v>5.7500000000000062</v>
      </c>
      <c r="D145" s="124">
        <v>8.9</v>
      </c>
      <c r="E145" s="124">
        <v>11</v>
      </c>
      <c r="F145" s="125">
        <v>18.399999999999999</v>
      </c>
    </row>
    <row r="146" spans="2:6" x14ac:dyDescent="0.25">
      <c r="B146" s="64">
        <f t="shared" si="9"/>
        <v>45618.791666666337</v>
      </c>
      <c r="C146" s="65">
        <f t="shared" si="10"/>
        <v>5.7916666666666732</v>
      </c>
      <c r="D146" s="124">
        <v>8.9</v>
      </c>
      <c r="E146" s="124">
        <v>11.1</v>
      </c>
      <c r="F146" s="125">
        <v>17.899999999999999</v>
      </c>
    </row>
    <row r="147" spans="2:6" x14ac:dyDescent="0.25">
      <c r="B147" s="64">
        <f t="shared" si="9"/>
        <v>45618.833333333001</v>
      </c>
      <c r="C147" s="65">
        <f t="shared" si="10"/>
        <v>5.8333333333333401</v>
      </c>
      <c r="D147" s="124">
        <v>8.1999999999999993</v>
      </c>
      <c r="E147" s="124">
        <v>10.3</v>
      </c>
      <c r="F147" s="125">
        <v>17.899999999999999</v>
      </c>
    </row>
    <row r="148" spans="2:6" x14ac:dyDescent="0.25">
      <c r="B148" s="64">
        <f t="shared" si="9"/>
        <v>45618.874999999665</v>
      </c>
      <c r="C148" s="65">
        <f t="shared" si="10"/>
        <v>5.8750000000000071</v>
      </c>
      <c r="D148" s="124">
        <v>7.5</v>
      </c>
      <c r="E148" s="124">
        <v>9.5</v>
      </c>
      <c r="F148" s="125">
        <v>17.899999999999999</v>
      </c>
    </row>
    <row r="149" spans="2:6" x14ac:dyDescent="0.25">
      <c r="B149" s="64">
        <f t="shared" si="9"/>
        <v>45618.91666666633</v>
      </c>
      <c r="C149" s="65">
        <f t="shared" si="10"/>
        <v>5.9166666666666741</v>
      </c>
      <c r="D149" s="124">
        <v>6.8</v>
      </c>
      <c r="E149" s="124">
        <v>8.6</v>
      </c>
      <c r="F149" s="125">
        <v>17.899999999999999</v>
      </c>
    </row>
    <row r="150" spans="2:6" x14ac:dyDescent="0.25">
      <c r="B150" s="64">
        <f t="shared" si="9"/>
        <v>45618.958333332994</v>
      </c>
      <c r="C150" s="65">
        <f t="shared" si="10"/>
        <v>5.958333333333341</v>
      </c>
      <c r="D150" s="124">
        <v>6.2</v>
      </c>
      <c r="E150" s="124">
        <v>7.8</v>
      </c>
      <c r="F150" s="125">
        <v>17.899999999999999</v>
      </c>
    </row>
    <row r="151" spans="2:6" x14ac:dyDescent="0.25">
      <c r="B151" s="64">
        <f t="shared" si="9"/>
        <v>45618.999999999658</v>
      </c>
      <c r="C151" s="65">
        <f t="shared" si="10"/>
        <v>6.000000000000008</v>
      </c>
      <c r="D151" s="124">
        <v>5.5</v>
      </c>
      <c r="E151" s="124">
        <v>7</v>
      </c>
      <c r="F151" s="125">
        <v>18</v>
      </c>
    </row>
    <row r="152" spans="2:6" x14ac:dyDescent="0.25">
      <c r="B152" s="64">
        <f t="shared" si="9"/>
        <v>45619.041666666322</v>
      </c>
      <c r="C152" s="65">
        <f t="shared" si="10"/>
        <v>6.041666666666675</v>
      </c>
      <c r="D152" s="124">
        <v>4.8</v>
      </c>
      <c r="E152" s="124">
        <v>6.1</v>
      </c>
      <c r="F152" s="125">
        <v>18</v>
      </c>
    </row>
    <row r="153" spans="2:6" x14ac:dyDescent="0.25">
      <c r="B153" s="64">
        <f t="shared" si="9"/>
        <v>45619.083333332987</v>
      </c>
      <c r="C153" s="65">
        <f t="shared" si="10"/>
        <v>6.0833333333333419</v>
      </c>
      <c r="D153" s="124">
        <v>4.8</v>
      </c>
      <c r="E153" s="124">
        <v>6.1</v>
      </c>
      <c r="F153" s="125">
        <v>18.100000000000001</v>
      </c>
    </row>
    <row r="154" spans="2:6" x14ac:dyDescent="0.25">
      <c r="B154" s="64">
        <f t="shared" si="9"/>
        <v>45619.124999999651</v>
      </c>
      <c r="C154" s="65">
        <f t="shared" si="10"/>
        <v>6.1250000000000089</v>
      </c>
      <c r="D154" s="124">
        <v>4.8</v>
      </c>
      <c r="E154" s="124">
        <v>6.1</v>
      </c>
      <c r="F154" s="125">
        <v>18.2</v>
      </c>
    </row>
    <row r="155" spans="2:6" x14ac:dyDescent="0.25">
      <c r="B155" s="64">
        <f t="shared" si="9"/>
        <v>45619.166666666315</v>
      </c>
      <c r="C155" s="65">
        <f t="shared" si="10"/>
        <v>6.1666666666666758</v>
      </c>
      <c r="D155" s="124">
        <v>4.8</v>
      </c>
      <c r="E155" s="124">
        <v>6.1</v>
      </c>
      <c r="F155" s="125">
        <v>18.3</v>
      </c>
    </row>
    <row r="156" spans="2:6" x14ac:dyDescent="0.25">
      <c r="B156" s="64">
        <f t="shared" si="9"/>
        <v>45619.208333332979</v>
      </c>
      <c r="C156" s="65">
        <f t="shared" si="10"/>
        <v>6.2083333333333428</v>
      </c>
      <c r="D156" s="124">
        <v>4.8</v>
      </c>
      <c r="E156" s="124">
        <v>6.1</v>
      </c>
      <c r="F156" s="125">
        <v>18.5</v>
      </c>
    </row>
    <row r="157" spans="2:6" x14ac:dyDescent="0.25">
      <c r="B157" s="64">
        <f t="shared" si="9"/>
        <v>45619.249999999643</v>
      </c>
      <c r="C157" s="65">
        <f t="shared" si="10"/>
        <v>6.2500000000000098</v>
      </c>
      <c r="D157" s="124">
        <v>4.8</v>
      </c>
      <c r="E157" s="124">
        <v>6.1</v>
      </c>
      <c r="F157" s="125">
        <v>18.8</v>
      </c>
    </row>
    <row r="158" spans="2:6" x14ac:dyDescent="0.25">
      <c r="B158" s="64">
        <f t="shared" si="9"/>
        <v>45619.291666666308</v>
      </c>
      <c r="C158" s="65">
        <f t="shared" si="10"/>
        <v>6.2916666666666767</v>
      </c>
      <c r="D158" s="124">
        <v>4.8</v>
      </c>
      <c r="E158" s="124">
        <v>6.1</v>
      </c>
      <c r="F158" s="125">
        <v>18.899999999999999</v>
      </c>
    </row>
    <row r="159" spans="2:6" x14ac:dyDescent="0.25">
      <c r="B159" s="64">
        <f t="shared" si="9"/>
        <v>45619.333333332972</v>
      </c>
      <c r="C159" s="65">
        <f t="shared" si="10"/>
        <v>6.3333333333333437</v>
      </c>
      <c r="D159" s="124">
        <v>5.4</v>
      </c>
      <c r="E159" s="124">
        <v>6.9</v>
      </c>
      <c r="F159" s="125">
        <v>19.2</v>
      </c>
    </row>
    <row r="160" spans="2:6" x14ac:dyDescent="0.25">
      <c r="B160" s="64">
        <f t="shared" si="9"/>
        <v>45619.374999999636</v>
      </c>
      <c r="C160" s="65">
        <f t="shared" si="10"/>
        <v>6.3750000000000107</v>
      </c>
      <c r="D160" s="124">
        <v>6.1</v>
      </c>
      <c r="E160" s="124">
        <v>7.8</v>
      </c>
      <c r="F160" s="125">
        <v>19.600000000000001</v>
      </c>
    </row>
    <row r="161" spans="2:6" x14ac:dyDescent="0.25">
      <c r="B161" s="64">
        <f t="shared" si="9"/>
        <v>45619.4166666663</v>
      </c>
      <c r="C161" s="65">
        <f t="shared" si="10"/>
        <v>6.4166666666666776</v>
      </c>
      <c r="D161" s="124">
        <v>6.8</v>
      </c>
      <c r="E161" s="124">
        <v>8.6</v>
      </c>
      <c r="F161" s="125">
        <v>19.899999999999999</v>
      </c>
    </row>
    <row r="162" spans="2:6" x14ac:dyDescent="0.25">
      <c r="B162" s="64">
        <f t="shared" si="9"/>
        <v>45619.458333332965</v>
      </c>
      <c r="C162" s="65">
        <f t="shared" si="10"/>
        <v>6.4583333333333446</v>
      </c>
      <c r="D162" s="124">
        <v>7.5</v>
      </c>
      <c r="E162" s="124">
        <v>9.4</v>
      </c>
      <c r="F162" s="125">
        <v>20.3</v>
      </c>
    </row>
    <row r="163" spans="2:6" x14ac:dyDescent="0.25">
      <c r="B163" s="64">
        <f t="shared" si="9"/>
        <v>45619.499999999629</v>
      </c>
      <c r="C163" s="65">
        <f t="shared" si="10"/>
        <v>6.5000000000000115</v>
      </c>
      <c r="D163" s="124">
        <v>8.1999999999999993</v>
      </c>
      <c r="E163" s="124">
        <v>10.199999999999999</v>
      </c>
      <c r="F163" s="125">
        <v>20.6</v>
      </c>
    </row>
    <row r="164" spans="2:6" x14ac:dyDescent="0.25">
      <c r="B164" s="64">
        <f t="shared" si="9"/>
        <v>45619.541666666293</v>
      </c>
      <c r="C164" s="65">
        <f t="shared" si="10"/>
        <v>6.5416666666666785</v>
      </c>
      <c r="D164" s="124">
        <v>8.9</v>
      </c>
      <c r="E164" s="124">
        <v>11.1</v>
      </c>
      <c r="F164" s="125">
        <v>20.9</v>
      </c>
    </row>
    <row r="165" spans="2:6" x14ac:dyDescent="0.25">
      <c r="B165" s="64">
        <f t="shared" si="9"/>
        <v>45619.583333332957</v>
      </c>
      <c r="C165" s="65">
        <f t="shared" si="10"/>
        <v>6.5833333333333455</v>
      </c>
      <c r="D165" s="124">
        <v>9</v>
      </c>
      <c r="E165" s="124">
        <v>11.2</v>
      </c>
      <c r="F165" s="125">
        <v>20.399999999999999</v>
      </c>
    </row>
    <row r="166" spans="2:6" x14ac:dyDescent="0.25">
      <c r="B166" s="64">
        <f t="shared" si="9"/>
        <v>45619.624999999622</v>
      </c>
      <c r="C166" s="65">
        <f t="shared" si="10"/>
        <v>6.6250000000000124</v>
      </c>
      <c r="D166" s="124">
        <v>9</v>
      </c>
      <c r="E166" s="124">
        <v>11.3</v>
      </c>
      <c r="F166" s="125">
        <v>20</v>
      </c>
    </row>
    <row r="167" spans="2:6" x14ac:dyDescent="0.25">
      <c r="B167" s="64">
        <f t="shared" si="9"/>
        <v>45619.666666666286</v>
      </c>
      <c r="C167" s="65">
        <f t="shared" si="10"/>
        <v>6.6666666666666794</v>
      </c>
      <c r="D167" s="124">
        <v>9.1</v>
      </c>
      <c r="E167" s="124">
        <v>11.4</v>
      </c>
      <c r="F167" s="125">
        <v>19.5</v>
      </c>
    </row>
    <row r="168" spans="2:6" x14ac:dyDescent="0.25">
      <c r="B168" s="64">
        <f t="shared" si="9"/>
        <v>45619.70833333295</v>
      </c>
      <c r="C168" s="65">
        <f t="shared" si="10"/>
        <v>6.7083333333333464</v>
      </c>
      <c r="D168" s="124">
        <v>9.1999999999999993</v>
      </c>
      <c r="E168" s="124">
        <v>11.5</v>
      </c>
      <c r="F168" s="125">
        <v>19</v>
      </c>
    </row>
    <row r="169" spans="2:6" x14ac:dyDescent="0.25">
      <c r="B169" s="64">
        <f t="shared" si="9"/>
        <v>45619.749999999614</v>
      </c>
      <c r="C169" s="65">
        <f t="shared" si="10"/>
        <v>6.7500000000000133</v>
      </c>
      <c r="D169" s="124">
        <v>9.3000000000000007</v>
      </c>
      <c r="E169" s="124">
        <v>11.6</v>
      </c>
      <c r="F169" s="125">
        <v>18.600000000000001</v>
      </c>
    </row>
    <row r="170" spans="2:6" x14ac:dyDescent="0.25">
      <c r="B170" s="64">
        <f t="shared" si="9"/>
        <v>45619.791666666279</v>
      </c>
      <c r="C170" s="65">
        <f t="shared" si="10"/>
        <v>6.7916666666666803</v>
      </c>
      <c r="D170" s="124">
        <v>9.4</v>
      </c>
      <c r="E170" s="124">
        <v>11.7</v>
      </c>
      <c r="F170" s="125">
        <v>17.899999999999999</v>
      </c>
    </row>
    <row r="171" spans="2:6" x14ac:dyDescent="0.25">
      <c r="B171" s="64">
        <f t="shared" si="9"/>
        <v>45619.833333332943</v>
      </c>
      <c r="C171" s="65">
        <f t="shared" si="10"/>
        <v>6.8333333333333472</v>
      </c>
      <c r="D171" s="124">
        <v>8.6</v>
      </c>
      <c r="E171" s="124">
        <v>10.7</v>
      </c>
      <c r="F171" s="125">
        <v>17.899999999999999</v>
      </c>
    </row>
    <row r="172" spans="2:6" x14ac:dyDescent="0.25">
      <c r="B172" s="64">
        <f t="shared" si="9"/>
        <v>45619.874999999607</v>
      </c>
      <c r="C172" s="65">
        <f t="shared" si="10"/>
        <v>6.8750000000000142</v>
      </c>
      <c r="D172" s="124">
        <v>7.7</v>
      </c>
      <c r="E172" s="124">
        <v>9.6999999999999993</v>
      </c>
      <c r="F172" s="125">
        <v>17.899999999999999</v>
      </c>
    </row>
    <row r="173" spans="2:6" x14ac:dyDescent="0.25">
      <c r="B173" s="64">
        <f t="shared" si="9"/>
        <v>45619.916666666271</v>
      </c>
      <c r="C173" s="65">
        <f t="shared" si="10"/>
        <v>6.9166666666666812</v>
      </c>
      <c r="D173" s="124">
        <v>6.9</v>
      </c>
      <c r="E173" s="124">
        <v>8.6999999999999993</v>
      </c>
      <c r="F173" s="125">
        <v>17.899999999999999</v>
      </c>
    </row>
    <row r="174" spans="2:6" x14ac:dyDescent="0.25">
      <c r="B174" s="64">
        <f t="shared" si="9"/>
        <v>45619.958333332936</v>
      </c>
      <c r="C174" s="65">
        <f t="shared" si="10"/>
        <v>6.9583333333333481</v>
      </c>
      <c r="D174" s="124">
        <v>6.1</v>
      </c>
      <c r="E174" s="124">
        <v>7.7</v>
      </c>
      <c r="F174" s="125">
        <v>17.899999999999999</v>
      </c>
    </row>
    <row r="175" spans="2:6" x14ac:dyDescent="0.25">
      <c r="B175" s="64">
        <f t="shared" si="9"/>
        <v>45619.9999999996</v>
      </c>
      <c r="C175" s="65">
        <f t="shared" si="10"/>
        <v>7.0000000000000151</v>
      </c>
      <c r="D175" s="124">
        <v>5.2</v>
      </c>
      <c r="E175" s="124">
        <v>6.7</v>
      </c>
      <c r="F175" s="125">
        <v>17.899999999999999</v>
      </c>
    </row>
    <row r="176" spans="2:6" x14ac:dyDescent="0.25">
      <c r="B176" s="64">
        <f t="shared" si="9"/>
        <v>45620.041666666264</v>
      </c>
      <c r="C176" s="65">
        <f t="shared" si="10"/>
        <v>7.0416666666666821</v>
      </c>
      <c r="D176" s="124">
        <v>4.4000000000000004</v>
      </c>
      <c r="E176" s="124">
        <v>5.7</v>
      </c>
      <c r="F176" s="125">
        <v>17.899999999999999</v>
      </c>
    </row>
    <row r="177" spans="2:6" x14ac:dyDescent="0.25">
      <c r="B177" s="64">
        <f t="shared" si="9"/>
        <v>45620.083333332928</v>
      </c>
      <c r="C177" s="65">
        <f t="shared" si="10"/>
        <v>7.083333333333349</v>
      </c>
      <c r="D177" s="124">
        <v>4.4000000000000004</v>
      </c>
      <c r="E177" s="124">
        <v>5.7</v>
      </c>
      <c r="F177" s="125">
        <v>17.899999999999999</v>
      </c>
    </row>
    <row r="178" spans="2:6" x14ac:dyDescent="0.25">
      <c r="B178" s="64">
        <f t="shared" si="9"/>
        <v>45620.124999999593</v>
      </c>
      <c r="C178" s="65">
        <f t="shared" si="10"/>
        <v>7.125000000000016</v>
      </c>
      <c r="D178" s="124">
        <v>4.4000000000000004</v>
      </c>
      <c r="E178" s="124">
        <v>5.7</v>
      </c>
      <c r="F178" s="125">
        <v>17.8</v>
      </c>
    </row>
    <row r="179" spans="2:6" x14ac:dyDescent="0.25">
      <c r="B179" s="64">
        <f t="shared" si="9"/>
        <v>45620.166666666257</v>
      </c>
      <c r="C179" s="65">
        <f t="shared" si="10"/>
        <v>7.1666666666666829</v>
      </c>
      <c r="D179" s="124">
        <v>4.4000000000000004</v>
      </c>
      <c r="E179" s="124">
        <v>5.7</v>
      </c>
      <c r="F179" s="125">
        <v>17.8</v>
      </c>
    </row>
    <row r="180" spans="2:6" x14ac:dyDescent="0.25">
      <c r="B180" s="64">
        <f t="shared" si="9"/>
        <v>45620.208333332921</v>
      </c>
      <c r="C180" s="65">
        <f t="shared" si="10"/>
        <v>7.2083333333333499</v>
      </c>
      <c r="D180" s="124">
        <v>4.4000000000000004</v>
      </c>
      <c r="E180" s="124">
        <v>5.7</v>
      </c>
      <c r="F180" s="125">
        <v>17.899999999999999</v>
      </c>
    </row>
    <row r="181" spans="2:6" x14ac:dyDescent="0.25">
      <c r="B181" s="64">
        <f t="shared" si="9"/>
        <v>45620.249999999585</v>
      </c>
      <c r="C181" s="65">
        <f t="shared" si="10"/>
        <v>7.2500000000000169</v>
      </c>
      <c r="D181" s="124">
        <v>4.4000000000000004</v>
      </c>
      <c r="E181" s="124">
        <v>5.7</v>
      </c>
      <c r="F181" s="125">
        <v>18</v>
      </c>
    </row>
    <row r="182" spans="2:6" x14ac:dyDescent="0.25">
      <c r="B182" s="64">
        <f t="shared" si="9"/>
        <v>45620.29166666625</v>
      </c>
      <c r="C182" s="65">
        <f t="shared" si="10"/>
        <v>7.2916666666666838</v>
      </c>
      <c r="D182" s="124">
        <v>4.4000000000000004</v>
      </c>
      <c r="E182" s="124">
        <v>5.7</v>
      </c>
      <c r="F182" s="125">
        <v>18</v>
      </c>
    </row>
    <row r="183" spans="2:6" x14ac:dyDescent="0.25">
      <c r="B183" s="64">
        <f t="shared" si="9"/>
        <v>45620.333333332914</v>
      </c>
      <c r="C183" s="65">
        <f t="shared" si="10"/>
        <v>7.3333333333333508</v>
      </c>
      <c r="D183" s="124">
        <v>4.9000000000000004</v>
      </c>
      <c r="E183" s="124">
        <v>6.3</v>
      </c>
      <c r="F183" s="125">
        <v>18.399999999999999</v>
      </c>
    </row>
    <row r="184" spans="2:6" x14ac:dyDescent="0.25">
      <c r="B184" s="64">
        <f t="shared" si="9"/>
        <v>45620.374999999578</v>
      </c>
      <c r="C184" s="65">
        <f t="shared" si="10"/>
        <v>7.3750000000000178</v>
      </c>
      <c r="D184" s="124">
        <v>5.5</v>
      </c>
      <c r="E184" s="124">
        <v>7</v>
      </c>
      <c r="F184" s="125">
        <v>18.8</v>
      </c>
    </row>
    <row r="185" spans="2:6" x14ac:dyDescent="0.25">
      <c r="B185" s="64">
        <f t="shared" si="9"/>
        <v>45620.416666666242</v>
      </c>
      <c r="C185" s="65">
        <f t="shared" si="10"/>
        <v>7.4166666666666847</v>
      </c>
      <c r="D185" s="124">
        <v>6</v>
      </c>
      <c r="E185" s="124">
        <v>7.7</v>
      </c>
      <c r="F185" s="125">
        <v>19.100000000000001</v>
      </c>
    </row>
    <row r="186" spans="2:6" x14ac:dyDescent="0.25">
      <c r="B186" s="64">
        <f t="shared" si="9"/>
        <v>45620.458333332906</v>
      </c>
      <c r="C186" s="65">
        <f t="shared" si="10"/>
        <v>7.4583333333333517</v>
      </c>
      <c r="D186" s="124">
        <v>6.6</v>
      </c>
      <c r="E186" s="124">
        <v>8.3000000000000007</v>
      </c>
      <c r="F186" s="125">
        <v>19.5</v>
      </c>
    </row>
    <row r="187" spans="2:6" x14ac:dyDescent="0.25">
      <c r="B187" s="64">
        <f t="shared" si="9"/>
        <v>45620.499999999571</v>
      </c>
      <c r="C187" s="65">
        <f t="shared" si="10"/>
        <v>7.5000000000000187</v>
      </c>
      <c r="D187" s="124">
        <v>7.2</v>
      </c>
      <c r="E187" s="124">
        <v>9</v>
      </c>
      <c r="F187" s="125">
        <v>19.8</v>
      </c>
    </row>
    <row r="188" spans="2:6" x14ac:dyDescent="0.25">
      <c r="B188" s="64">
        <f t="shared" si="9"/>
        <v>45620.541666666235</v>
      </c>
      <c r="C188" s="65">
        <f t="shared" si="10"/>
        <v>7.5416666666666856</v>
      </c>
      <c r="D188" s="124">
        <v>7.7</v>
      </c>
      <c r="E188" s="124">
        <v>9.6999999999999993</v>
      </c>
      <c r="F188" s="125">
        <v>20.100000000000001</v>
      </c>
    </row>
    <row r="189" spans="2:6" x14ac:dyDescent="0.25">
      <c r="B189" s="64">
        <f t="shared" si="9"/>
        <v>45620.583333332899</v>
      </c>
      <c r="C189" s="65">
        <f t="shared" si="10"/>
        <v>7.5833333333333526</v>
      </c>
      <c r="D189" s="124">
        <v>7.8</v>
      </c>
      <c r="E189" s="124">
        <v>9.8000000000000007</v>
      </c>
      <c r="F189" s="125">
        <v>19.8</v>
      </c>
    </row>
    <row r="190" spans="2:6" x14ac:dyDescent="0.25">
      <c r="B190" s="64">
        <f t="shared" si="9"/>
        <v>45620.624999999563</v>
      </c>
      <c r="C190" s="65">
        <f t="shared" si="10"/>
        <v>7.6250000000000195</v>
      </c>
      <c r="D190" s="124">
        <v>7.9</v>
      </c>
      <c r="E190" s="124">
        <v>9.8000000000000007</v>
      </c>
      <c r="F190" s="125">
        <v>19.399999999999999</v>
      </c>
    </row>
    <row r="191" spans="2:6" x14ac:dyDescent="0.25">
      <c r="B191" s="64">
        <f t="shared" si="9"/>
        <v>45620.666666666228</v>
      </c>
      <c r="C191" s="65">
        <f t="shared" si="10"/>
        <v>7.6666666666666865</v>
      </c>
      <c r="D191" s="124">
        <v>7.9</v>
      </c>
      <c r="E191" s="124">
        <v>9.9</v>
      </c>
      <c r="F191" s="125">
        <v>19</v>
      </c>
    </row>
    <row r="192" spans="2:6" x14ac:dyDescent="0.25">
      <c r="B192" s="64">
        <f t="shared" si="9"/>
        <v>45620.708333332892</v>
      </c>
      <c r="C192" s="65">
        <f t="shared" si="10"/>
        <v>7.7083333333333535</v>
      </c>
      <c r="D192" s="124">
        <v>8</v>
      </c>
      <c r="E192" s="124">
        <v>10</v>
      </c>
      <c r="F192" s="125">
        <v>18.7</v>
      </c>
    </row>
    <row r="193" spans="2:6" x14ac:dyDescent="0.25">
      <c r="B193" s="64">
        <f t="shared" si="9"/>
        <v>45620.749999999556</v>
      </c>
      <c r="C193" s="65">
        <f t="shared" si="10"/>
        <v>7.7500000000000204</v>
      </c>
      <c r="D193" s="124">
        <v>8.1</v>
      </c>
      <c r="E193" s="124">
        <v>10.1</v>
      </c>
      <c r="F193" s="125">
        <v>18.3</v>
      </c>
    </row>
    <row r="194" spans="2:6" x14ac:dyDescent="0.25">
      <c r="B194" s="64">
        <f t="shared" si="9"/>
        <v>45620.79166666622</v>
      </c>
      <c r="C194" s="65">
        <f t="shared" si="10"/>
        <v>7.7916666666666874</v>
      </c>
      <c r="D194" s="124">
        <v>8.1999999999999993</v>
      </c>
      <c r="E194" s="124">
        <v>10.199999999999999</v>
      </c>
      <c r="F194" s="125">
        <v>17.8</v>
      </c>
    </row>
    <row r="195" spans="2:6" x14ac:dyDescent="0.25">
      <c r="B195" s="64">
        <f t="shared" si="9"/>
        <v>45620.833333332885</v>
      </c>
      <c r="C195" s="65">
        <f t="shared" si="10"/>
        <v>7.8333333333333544</v>
      </c>
      <c r="D195" s="124">
        <v>7.7</v>
      </c>
      <c r="E195" s="124">
        <v>9.6999999999999993</v>
      </c>
      <c r="F195" s="125">
        <v>17.7</v>
      </c>
    </row>
    <row r="196" spans="2:6" x14ac:dyDescent="0.25">
      <c r="B196" s="64">
        <f t="shared" si="9"/>
        <v>45620.874999999549</v>
      </c>
      <c r="C196" s="65">
        <f t="shared" si="10"/>
        <v>7.8750000000000213</v>
      </c>
      <c r="D196" s="124">
        <v>7.3</v>
      </c>
      <c r="E196" s="124">
        <v>9.1999999999999993</v>
      </c>
      <c r="F196" s="125">
        <v>17.600000000000001</v>
      </c>
    </row>
    <row r="197" spans="2:6" x14ac:dyDescent="0.25">
      <c r="B197" s="64">
        <f t="shared" si="9"/>
        <v>45620.916666666213</v>
      </c>
      <c r="C197" s="65">
        <f t="shared" si="10"/>
        <v>7.9166666666666883</v>
      </c>
      <c r="D197" s="124">
        <v>6.9</v>
      </c>
      <c r="E197" s="124">
        <v>8.6999999999999993</v>
      </c>
      <c r="F197" s="125">
        <v>17.5</v>
      </c>
    </row>
    <row r="198" spans="2:6" x14ac:dyDescent="0.25">
      <c r="B198" s="64">
        <f t="shared" si="9"/>
        <v>45620.958333332877</v>
      </c>
      <c r="C198" s="65">
        <f t="shared" si="10"/>
        <v>7.9583333333333552</v>
      </c>
      <c r="D198" s="124">
        <v>6.5</v>
      </c>
      <c r="E198" s="124">
        <v>8.1999999999999993</v>
      </c>
      <c r="F198" s="125">
        <v>17.5</v>
      </c>
    </row>
    <row r="199" spans="2:6" x14ac:dyDescent="0.25">
      <c r="B199" s="64">
        <f t="shared" si="9"/>
        <v>45620.999999999542</v>
      </c>
      <c r="C199" s="65">
        <f t="shared" si="10"/>
        <v>8.0000000000000213</v>
      </c>
      <c r="D199" s="124">
        <v>6</v>
      </c>
      <c r="E199" s="124">
        <v>7.7</v>
      </c>
      <c r="F199" s="125">
        <v>17.399999999999999</v>
      </c>
    </row>
    <row r="200" spans="2:6" x14ac:dyDescent="0.25">
      <c r="B200" s="64">
        <f t="shared" si="9"/>
        <v>45621.041666666206</v>
      </c>
      <c r="C200" s="65">
        <f t="shared" si="10"/>
        <v>8.0416666666666874</v>
      </c>
      <c r="D200" s="124">
        <v>5.6</v>
      </c>
      <c r="E200" s="124">
        <v>7.2</v>
      </c>
      <c r="F200" s="125">
        <v>17.3</v>
      </c>
    </row>
    <row r="201" spans="2:6" x14ac:dyDescent="0.25">
      <c r="B201" s="64">
        <f t="shared" si="9"/>
        <v>45621.08333333287</v>
      </c>
      <c r="C201" s="65">
        <f t="shared" si="10"/>
        <v>8.0833333333333535</v>
      </c>
      <c r="D201" s="124">
        <v>5.5</v>
      </c>
      <c r="E201" s="124">
        <v>7</v>
      </c>
      <c r="F201" s="125">
        <v>17.399999999999999</v>
      </c>
    </row>
    <row r="202" spans="2:6" x14ac:dyDescent="0.25">
      <c r="B202" s="64">
        <f t="shared" si="9"/>
        <v>45621.124999999534</v>
      </c>
      <c r="C202" s="65">
        <f t="shared" si="10"/>
        <v>8.1250000000000195</v>
      </c>
      <c r="D202" s="124">
        <v>5.3</v>
      </c>
      <c r="E202" s="124">
        <v>6.8</v>
      </c>
      <c r="F202" s="125">
        <v>17.5</v>
      </c>
    </row>
    <row r="203" spans="2:6" x14ac:dyDescent="0.25">
      <c r="B203" s="64">
        <f t="shared" ref="B203:B234" si="11">B202+TIME(1,0,0)</f>
        <v>45621.166666666199</v>
      </c>
      <c r="C203" s="65">
        <f t="shared" ref="C203:C234" si="12">C202+TIME(1,0,0)</f>
        <v>8.1666666666666856</v>
      </c>
      <c r="D203" s="124">
        <v>5.2</v>
      </c>
      <c r="E203" s="124">
        <v>6.7</v>
      </c>
      <c r="F203" s="125">
        <v>17.600000000000001</v>
      </c>
    </row>
    <row r="204" spans="2:6" x14ac:dyDescent="0.25">
      <c r="B204" s="64">
        <f t="shared" si="11"/>
        <v>45621.208333332863</v>
      </c>
      <c r="C204" s="65">
        <f t="shared" si="12"/>
        <v>8.2083333333333517</v>
      </c>
      <c r="D204" s="124">
        <v>5.0999999999999996</v>
      </c>
      <c r="E204" s="124">
        <v>6.5</v>
      </c>
      <c r="F204" s="125">
        <v>17.899999999999999</v>
      </c>
    </row>
    <row r="205" spans="2:6" x14ac:dyDescent="0.25">
      <c r="B205" s="64">
        <f t="shared" si="11"/>
        <v>45621.249999999527</v>
      </c>
      <c r="C205" s="65">
        <f t="shared" si="12"/>
        <v>8.2500000000000178</v>
      </c>
      <c r="D205" s="124">
        <v>4.9000000000000004</v>
      </c>
      <c r="E205" s="124">
        <v>6.3</v>
      </c>
      <c r="F205" s="125">
        <v>18.2</v>
      </c>
    </row>
    <row r="206" spans="2:6" x14ac:dyDescent="0.25">
      <c r="B206" s="64">
        <f t="shared" si="11"/>
        <v>45621.291666666191</v>
      </c>
      <c r="C206" s="65">
        <f t="shared" si="12"/>
        <v>8.2916666666666838</v>
      </c>
      <c r="D206" s="124">
        <v>4.8</v>
      </c>
      <c r="E206" s="124">
        <v>6.1</v>
      </c>
      <c r="F206" s="125">
        <v>18.399999999999999</v>
      </c>
    </row>
    <row r="207" spans="2:6" x14ac:dyDescent="0.25">
      <c r="B207" s="64">
        <f t="shared" si="11"/>
        <v>45621.333333332856</v>
      </c>
      <c r="C207" s="65">
        <f t="shared" si="12"/>
        <v>8.3333333333333499</v>
      </c>
      <c r="D207" s="124">
        <v>5.4</v>
      </c>
      <c r="E207" s="124">
        <v>6.9</v>
      </c>
      <c r="F207" s="125">
        <v>18.8</v>
      </c>
    </row>
    <row r="208" spans="2:6" x14ac:dyDescent="0.25">
      <c r="B208" s="64">
        <f t="shared" si="11"/>
        <v>45621.37499999952</v>
      </c>
      <c r="C208" s="65">
        <f t="shared" si="12"/>
        <v>8.375000000000016</v>
      </c>
      <c r="D208" s="124">
        <v>6</v>
      </c>
      <c r="E208" s="124">
        <v>7.7</v>
      </c>
      <c r="F208" s="125">
        <v>19.2</v>
      </c>
    </row>
    <row r="209" spans="2:6" x14ac:dyDescent="0.25">
      <c r="B209" s="64">
        <f t="shared" si="11"/>
        <v>45621.416666666184</v>
      </c>
      <c r="C209" s="65">
        <f t="shared" si="12"/>
        <v>8.4166666666666821</v>
      </c>
      <c r="D209" s="124">
        <v>6.7</v>
      </c>
      <c r="E209" s="124">
        <v>8.4</v>
      </c>
      <c r="F209" s="125">
        <v>19.600000000000001</v>
      </c>
    </row>
    <row r="210" spans="2:6" x14ac:dyDescent="0.25">
      <c r="B210" s="64">
        <f t="shared" si="11"/>
        <v>45621.458333332848</v>
      </c>
      <c r="C210" s="65">
        <f t="shared" si="12"/>
        <v>8.4583333333333481</v>
      </c>
      <c r="D210" s="124">
        <v>7.3</v>
      </c>
      <c r="E210" s="124">
        <v>9.1999999999999993</v>
      </c>
      <c r="F210" s="125">
        <v>20</v>
      </c>
    </row>
    <row r="211" spans="2:6" x14ac:dyDescent="0.25">
      <c r="B211" s="64">
        <f t="shared" si="11"/>
        <v>45621.499999999513</v>
      </c>
      <c r="C211" s="65">
        <f t="shared" si="12"/>
        <v>8.5000000000000142</v>
      </c>
      <c r="D211" s="124">
        <v>8</v>
      </c>
      <c r="E211" s="124">
        <v>10</v>
      </c>
      <c r="F211" s="125">
        <v>20.3</v>
      </c>
    </row>
    <row r="212" spans="2:6" x14ac:dyDescent="0.25">
      <c r="B212" s="64">
        <f t="shared" si="11"/>
        <v>45621.541666666177</v>
      </c>
      <c r="C212" s="65">
        <f t="shared" si="12"/>
        <v>8.5416666666666803</v>
      </c>
      <c r="D212" s="124">
        <v>8.6</v>
      </c>
      <c r="E212" s="124">
        <v>10.7</v>
      </c>
      <c r="F212" s="125">
        <v>20.6</v>
      </c>
    </row>
    <row r="213" spans="2:6" x14ac:dyDescent="0.25">
      <c r="B213" s="64">
        <f t="shared" si="11"/>
        <v>45621.583333332841</v>
      </c>
      <c r="C213" s="65">
        <f t="shared" si="12"/>
        <v>8.5833333333333464</v>
      </c>
      <c r="D213" s="124">
        <v>8.6</v>
      </c>
      <c r="E213" s="124">
        <v>10.8</v>
      </c>
      <c r="F213" s="125">
        <v>20.2</v>
      </c>
    </row>
    <row r="214" spans="2:6" x14ac:dyDescent="0.25">
      <c r="B214" s="64">
        <f t="shared" si="11"/>
        <v>45621.624999999505</v>
      </c>
      <c r="C214" s="65">
        <f t="shared" si="12"/>
        <v>8.6250000000000124</v>
      </c>
      <c r="D214" s="124">
        <v>8.6</v>
      </c>
      <c r="E214" s="124">
        <v>10.8</v>
      </c>
      <c r="F214" s="125">
        <v>19.7</v>
      </c>
    </row>
    <row r="215" spans="2:6" x14ac:dyDescent="0.25">
      <c r="B215" s="64">
        <f t="shared" si="11"/>
        <v>45621.666666666169</v>
      </c>
      <c r="C215" s="65">
        <f t="shared" si="12"/>
        <v>8.6666666666666785</v>
      </c>
      <c r="D215" s="124">
        <v>8.6999999999999993</v>
      </c>
      <c r="E215" s="124">
        <v>10.8</v>
      </c>
      <c r="F215" s="125">
        <v>19.3</v>
      </c>
    </row>
    <row r="216" spans="2:6" x14ac:dyDescent="0.25">
      <c r="B216" s="64">
        <f t="shared" si="11"/>
        <v>45621.708333332834</v>
      </c>
      <c r="C216" s="65">
        <f t="shared" si="12"/>
        <v>8.7083333333333446</v>
      </c>
      <c r="D216" s="124">
        <v>8.6999999999999993</v>
      </c>
      <c r="E216" s="124">
        <v>10.8</v>
      </c>
      <c r="F216" s="125">
        <v>18.8</v>
      </c>
    </row>
    <row r="217" spans="2:6" x14ac:dyDescent="0.25">
      <c r="B217" s="64">
        <f t="shared" si="11"/>
        <v>45621.749999999498</v>
      </c>
      <c r="C217" s="65">
        <f t="shared" si="12"/>
        <v>8.7500000000000107</v>
      </c>
      <c r="D217" s="124">
        <v>8.6999999999999993</v>
      </c>
      <c r="E217" s="124">
        <v>10.9</v>
      </c>
      <c r="F217" s="125">
        <v>18.399999999999999</v>
      </c>
    </row>
    <row r="218" spans="2:6" x14ac:dyDescent="0.25">
      <c r="B218" s="64">
        <f t="shared" si="11"/>
        <v>45621.791666666162</v>
      </c>
      <c r="C218" s="65">
        <f t="shared" si="12"/>
        <v>8.7916666666666767</v>
      </c>
      <c r="D218" s="124">
        <v>8.6999999999999993</v>
      </c>
      <c r="E218" s="124">
        <v>10.9</v>
      </c>
      <c r="F218" s="125">
        <v>17.7</v>
      </c>
    </row>
    <row r="219" spans="2:6" x14ac:dyDescent="0.25">
      <c r="B219" s="64">
        <f t="shared" si="11"/>
        <v>45621.833333332826</v>
      </c>
      <c r="C219" s="65">
        <f t="shared" si="12"/>
        <v>8.8333333333333428</v>
      </c>
      <c r="D219" s="124"/>
      <c r="E219" s="124"/>
      <c r="F219" s="125"/>
    </row>
    <row r="220" spans="2:6" x14ac:dyDescent="0.25">
      <c r="B220" s="64">
        <f t="shared" si="11"/>
        <v>45621.874999999491</v>
      </c>
      <c r="C220" s="65">
        <f t="shared" si="12"/>
        <v>8.8750000000000089</v>
      </c>
      <c r="D220" s="124"/>
      <c r="E220" s="124"/>
      <c r="F220" s="125"/>
    </row>
    <row r="221" spans="2:6" x14ac:dyDescent="0.25">
      <c r="B221" s="64">
        <f t="shared" si="11"/>
        <v>45621.916666666155</v>
      </c>
      <c r="C221" s="65">
        <f t="shared" si="12"/>
        <v>8.916666666666675</v>
      </c>
      <c r="D221" s="124"/>
      <c r="E221" s="124"/>
      <c r="F221" s="125"/>
    </row>
    <row r="222" spans="2:6" x14ac:dyDescent="0.25">
      <c r="B222" s="64">
        <f t="shared" si="11"/>
        <v>45621.958333332819</v>
      </c>
      <c r="C222" s="65">
        <f t="shared" si="12"/>
        <v>8.958333333333341</v>
      </c>
      <c r="D222" s="124"/>
      <c r="E222" s="124"/>
      <c r="F222" s="125"/>
    </row>
    <row r="223" spans="2:6" x14ac:dyDescent="0.25">
      <c r="B223" s="64">
        <f t="shared" si="11"/>
        <v>45621.999999999483</v>
      </c>
      <c r="C223" s="65">
        <f t="shared" si="12"/>
        <v>9.0000000000000071</v>
      </c>
      <c r="D223" s="124"/>
      <c r="E223" s="124"/>
      <c r="F223" s="125"/>
    </row>
    <row r="224" spans="2:6" x14ac:dyDescent="0.25">
      <c r="B224" s="64">
        <f t="shared" si="11"/>
        <v>45622.041666666148</v>
      </c>
      <c r="C224" s="65">
        <f t="shared" si="12"/>
        <v>9.0416666666666732</v>
      </c>
      <c r="D224" s="124"/>
      <c r="E224" s="124"/>
      <c r="F224" s="125"/>
    </row>
    <row r="225" spans="2:6" x14ac:dyDescent="0.25">
      <c r="B225" s="64">
        <f t="shared" si="11"/>
        <v>45622.083333332812</v>
      </c>
      <c r="C225" s="65">
        <f t="shared" si="12"/>
        <v>9.0833333333333393</v>
      </c>
      <c r="D225" s="124"/>
      <c r="E225" s="124"/>
      <c r="F225" s="125"/>
    </row>
    <row r="226" spans="2:6" x14ac:dyDescent="0.25">
      <c r="B226" s="64">
        <f t="shared" si="11"/>
        <v>45622.124999999476</v>
      </c>
      <c r="C226" s="65">
        <f t="shared" si="12"/>
        <v>9.1250000000000053</v>
      </c>
      <c r="D226" s="124"/>
      <c r="E226" s="124"/>
      <c r="F226" s="125"/>
    </row>
    <row r="227" spans="2:6" x14ac:dyDescent="0.25">
      <c r="B227" s="64">
        <f t="shared" si="11"/>
        <v>45622.16666666614</v>
      </c>
      <c r="C227" s="65">
        <f t="shared" si="12"/>
        <v>9.1666666666666714</v>
      </c>
      <c r="D227" s="124"/>
      <c r="E227" s="124"/>
      <c r="F227" s="125"/>
    </row>
    <row r="228" spans="2:6" x14ac:dyDescent="0.25">
      <c r="B228" s="64">
        <f t="shared" si="11"/>
        <v>45622.208333332805</v>
      </c>
      <c r="C228" s="65">
        <f t="shared" si="12"/>
        <v>9.2083333333333375</v>
      </c>
      <c r="D228" s="124"/>
      <c r="E228" s="124"/>
      <c r="F228" s="125"/>
    </row>
    <row r="229" spans="2:6" x14ac:dyDescent="0.25">
      <c r="B229" s="64">
        <f t="shared" si="11"/>
        <v>45622.249999999469</v>
      </c>
      <c r="C229" s="65">
        <f t="shared" si="12"/>
        <v>9.2500000000000036</v>
      </c>
      <c r="D229" s="124"/>
      <c r="E229" s="124"/>
      <c r="F229" s="125"/>
    </row>
    <row r="230" spans="2:6" x14ac:dyDescent="0.25">
      <c r="B230" s="64">
        <f t="shared" si="11"/>
        <v>45622.291666666133</v>
      </c>
      <c r="C230" s="65">
        <f t="shared" si="12"/>
        <v>9.2916666666666696</v>
      </c>
      <c r="D230" s="124"/>
      <c r="E230" s="124"/>
      <c r="F230" s="125"/>
    </row>
    <row r="231" spans="2:6" x14ac:dyDescent="0.25">
      <c r="B231" s="64">
        <f t="shared" si="11"/>
        <v>45622.333333332797</v>
      </c>
      <c r="C231" s="65">
        <f t="shared" si="12"/>
        <v>9.3333333333333357</v>
      </c>
      <c r="D231" s="124"/>
      <c r="E231" s="124"/>
      <c r="F231" s="125"/>
    </row>
    <row r="232" spans="2:6" x14ac:dyDescent="0.25">
      <c r="B232" s="64">
        <f t="shared" si="11"/>
        <v>45622.374999999462</v>
      </c>
      <c r="C232" s="65">
        <f t="shared" si="12"/>
        <v>9.3750000000000018</v>
      </c>
      <c r="D232" s="124"/>
      <c r="E232" s="124"/>
      <c r="F232" s="125"/>
    </row>
    <row r="233" spans="2:6" x14ac:dyDescent="0.25">
      <c r="B233" s="64">
        <f t="shared" si="11"/>
        <v>45622.416666666126</v>
      </c>
      <c r="C233" s="65">
        <f t="shared" si="12"/>
        <v>9.4166666666666679</v>
      </c>
      <c r="D233" s="124"/>
      <c r="E233" s="124"/>
      <c r="F233" s="125"/>
    </row>
    <row r="234" spans="2:6" x14ac:dyDescent="0.25">
      <c r="B234" s="64">
        <f t="shared" si="11"/>
        <v>45622.45833333279</v>
      </c>
      <c r="C234" s="65">
        <f t="shared" si="12"/>
        <v>9.4583333333333339</v>
      </c>
      <c r="D234" s="124"/>
      <c r="E234" s="124"/>
      <c r="F234" s="125"/>
    </row>
    <row r="235" spans="2:6" x14ac:dyDescent="0.25">
      <c r="B235" s="64">
        <f t="shared" ref="B235:B245" si="13">B234+TIME(1,0,0)</f>
        <v>45622.499999999454</v>
      </c>
      <c r="C235" s="65">
        <f t="shared" ref="C235:C245" si="14">C234+TIME(1,0,0)</f>
        <v>9.5</v>
      </c>
      <c r="D235" s="124"/>
      <c r="E235" s="124"/>
      <c r="F235" s="125"/>
    </row>
    <row r="236" spans="2:6" x14ac:dyDescent="0.25">
      <c r="B236" s="64">
        <f t="shared" si="13"/>
        <v>45622.541666666119</v>
      </c>
      <c r="C236" s="65">
        <f t="shared" si="14"/>
        <v>9.5416666666666661</v>
      </c>
      <c r="D236" s="124"/>
      <c r="E236" s="124"/>
      <c r="F236" s="125"/>
    </row>
    <row r="237" spans="2:6" x14ac:dyDescent="0.25">
      <c r="B237" s="64">
        <f t="shared" si="13"/>
        <v>45622.583333332783</v>
      </c>
      <c r="C237" s="65">
        <f t="shared" si="14"/>
        <v>9.5833333333333321</v>
      </c>
      <c r="D237" s="124"/>
      <c r="E237" s="124"/>
      <c r="F237" s="125"/>
    </row>
    <row r="238" spans="2:6" x14ac:dyDescent="0.25">
      <c r="B238" s="64">
        <f t="shared" si="13"/>
        <v>45622.624999999447</v>
      </c>
      <c r="C238" s="65">
        <f t="shared" si="14"/>
        <v>9.6249999999999982</v>
      </c>
      <c r="D238" s="124"/>
      <c r="E238" s="124"/>
      <c r="F238" s="125"/>
    </row>
    <row r="239" spans="2:6" x14ac:dyDescent="0.25">
      <c r="B239" s="64">
        <f t="shared" si="13"/>
        <v>45622.666666666111</v>
      </c>
      <c r="C239" s="65">
        <f t="shared" si="14"/>
        <v>9.6666666666666643</v>
      </c>
      <c r="D239" s="124"/>
      <c r="E239" s="124"/>
      <c r="F239" s="125"/>
    </row>
    <row r="240" spans="2:6" x14ac:dyDescent="0.25">
      <c r="B240" s="64">
        <f t="shared" si="13"/>
        <v>45622.708333332776</v>
      </c>
      <c r="C240" s="65">
        <f t="shared" si="14"/>
        <v>9.7083333333333304</v>
      </c>
      <c r="D240" s="124"/>
      <c r="E240" s="124"/>
      <c r="F240" s="125"/>
    </row>
    <row r="241" spans="2:6" x14ac:dyDescent="0.25">
      <c r="B241" s="64">
        <f t="shared" si="13"/>
        <v>45622.74999999944</v>
      </c>
      <c r="C241" s="65">
        <f t="shared" si="14"/>
        <v>9.7499999999999964</v>
      </c>
      <c r="D241" s="124"/>
      <c r="E241" s="124"/>
      <c r="F241" s="125"/>
    </row>
    <row r="242" spans="2:6" x14ac:dyDescent="0.25">
      <c r="B242" s="64">
        <f t="shared" si="13"/>
        <v>45622.791666666104</v>
      </c>
      <c r="C242" s="65">
        <f t="shared" si="14"/>
        <v>9.7916666666666625</v>
      </c>
      <c r="D242" s="124"/>
      <c r="E242" s="124"/>
      <c r="F242" s="125"/>
    </row>
    <row r="243" spans="2:6" x14ac:dyDescent="0.25">
      <c r="B243" s="64">
        <f t="shared" si="13"/>
        <v>45622.833333332768</v>
      </c>
      <c r="C243" s="65">
        <f t="shared" si="14"/>
        <v>9.8333333333333286</v>
      </c>
      <c r="D243" s="124"/>
      <c r="E243" s="124"/>
      <c r="F243" s="125"/>
    </row>
    <row r="244" spans="2:6" x14ac:dyDescent="0.25">
      <c r="B244" s="64">
        <f t="shared" si="13"/>
        <v>45622.874999999432</v>
      </c>
      <c r="C244" s="65">
        <f t="shared" si="14"/>
        <v>9.8749999999999947</v>
      </c>
      <c r="D244" s="124"/>
      <c r="E244" s="124"/>
      <c r="F244" s="125"/>
    </row>
    <row r="245" spans="2:6" ht="15.75" thickBot="1" x14ac:dyDescent="0.3">
      <c r="B245" s="66">
        <f t="shared" si="13"/>
        <v>45622.916666666097</v>
      </c>
      <c r="C245" s="67">
        <f t="shared" si="14"/>
        <v>9.9166666666666607</v>
      </c>
      <c r="D245" s="126"/>
      <c r="E245" s="126"/>
      <c r="F245" s="127"/>
    </row>
    <row r="246" spans="2:6" ht="3.6" customHeight="1" x14ac:dyDescent="0.25">
      <c r="D246" t="s">
        <v>210</v>
      </c>
      <c r="E246" t="s">
        <v>210</v>
      </c>
      <c r="F246" t="s">
        <v>210</v>
      </c>
    </row>
  </sheetData>
  <mergeCells count="5">
    <mergeCell ref="E4:F4"/>
    <mergeCell ref="E3:F3"/>
    <mergeCell ref="J2:L2"/>
    <mergeCell ref="I7:J7"/>
    <mergeCell ref="C7:E7"/>
  </mergeCells>
  <hyperlinks>
    <hyperlink ref="C7" r:id="rId1" display="https://www.darwin4res.com/Forecaster/Wind" xr:uid="{414A5FA5-C1BE-4E68-AEE5-AAB0655CD0B8}"/>
  </hyperlinks>
  <pageMargins left="0.7" right="0.7" top="0.75" bottom="0.75" header="0.3" footer="0.3"/>
  <pageSetup orientation="portrait" horizontalDpi="360" verticalDpi="36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02007-4054-4DE8-918C-46F10C984450}">
  <sheetPr codeName="Sheet5">
    <tabColor theme="8"/>
  </sheetPr>
  <dimension ref="A1:HY76"/>
  <sheetViews>
    <sheetView showGridLines="0" zoomScaleNormal="100" zoomScaleSheetLayoutView="85" workbookViewId="0">
      <pane xSplit="6" ySplit="18" topLeftCell="G40" activePane="bottomRight" state="frozen"/>
      <selection activeCell="A16" sqref="A16"/>
      <selection pane="topRight" activeCell="G16" sqref="G16"/>
      <selection pane="bottomLeft" activeCell="A19" sqref="A19"/>
      <selection pane="bottomRight" activeCell="W60" sqref="W60"/>
    </sheetView>
  </sheetViews>
  <sheetFormatPr defaultColWidth="0" defaultRowHeight="12" x14ac:dyDescent="0.2"/>
  <cols>
    <col min="1" max="1" width="2" style="27" customWidth="1"/>
    <col min="2" max="2" width="12" style="18" customWidth="1"/>
    <col min="3" max="3" width="5.42578125" style="18" customWidth="1"/>
    <col min="4" max="4" width="6.7109375" style="18" bestFit="1" customWidth="1"/>
    <col min="5" max="5" width="11.28515625" style="18" bestFit="1" customWidth="1"/>
    <col min="6" max="6" width="15.7109375" style="18" bestFit="1" customWidth="1"/>
    <col min="7" max="7" width="4.42578125" style="18" bestFit="1" customWidth="1"/>
    <col min="8" max="8" width="4.28515625" style="18" customWidth="1"/>
    <col min="9" max="52" width="4.28515625" style="18" bestFit="1" customWidth="1"/>
    <col min="53" max="232" width="4.28515625" style="18" hidden="1" customWidth="1"/>
    <col min="233" max="233" width="1.85546875" style="18" customWidth="1"/>
    <col min="234" max="16384" width="8.85546875" style="18" hidden="1"/>
  </cols>
  <sheetData>
    <row r="1" spans="1:232" ht="76.150000000000006" hidden="1" customHeight="1" x14ac:dyDescent="0.2">
      <c r="G1" s="35">
        <f>'Plantilla Datos'!E3+1+'Plantilla Datos'!E4</f>
        <v>45613.083333333336</v>
      </c>
      <c r="H1" s="35">
        <f>G1+TIME(1,0,0)</f>
        <v>45613.125</v>
      </c>
      <c r="I1" s="35">
        <f t="shared" ref="I1:BT1" si="0">H1+TIME(1,0,0)</f>
        <v>45613.166666666664</v>
      </c>
      <c r="J1" s="35">
        <f t="shared" si="0"/>
        <v>45613.208333333328</v>
      </c>
      <c r="K1" s="35">
        <f t="shared" si="0"/>
        <v>45613.249999999993</v>
      </c>
      <c r="L1" s="35">
        <f t="shared" si="0"/>
        <v>45613.291666666657</v>
      </c>
      <c r="M1" s="35">
        <f t="shared" si="0"/>
        <v>45613.333333333321</v>
      </c>
      <c r="N1" s="35">
        <f t="shared" si="0"/>
        <v>45613.374999999985</v>
      </c>
      <c r="O1" s="35">
        <f t="shared" si="0"/>
        <v>45613.41666666665</v>
      </c>
      <c r="P1" s="35">
        <f t="shared" si="0"/>
        <v>45613.458333333314</v>
      </c>
      <c r="Q1" s="35">
        <f t="shared" si="0"/>
        <v>45613.499999999978</v>
      </c>
      <c r="R1" s="35">
        <f t="shared" si="0"/>
        <v>45613.541666666642</v>
      </c>
      <c r="S1" s="35">
        <f t="shared" si="0"/>
        <v>45613.583333333307</v>
      </c>
      <c r="T1" s="35">
        <f t="shared" si="0"/>
        <v>45613.624999999971</v>
      </c>
      <c r="U1" s="35">
        <f t="shared" si="0"/>
        <v>45613.666666666635</v>
      </c>
      <c r="V1" s="35">
        <f t="shared" si="0"/>
        <v>45613.708333333299</v>
      </c>
      <c r="W1" s="35">
        <f t="shared" si="0"/>
        <v>45613.749999999964</v>
      </c>
      <c r="X1" s="35">
        <f t="shared" si="0"/>
        <v>45613.791666666628</v>
      </c>
      <c r="Y1" s="35">
        <f t="shared" si="0"/>
        <v>45613.833333333292</v>
      </c>
      <c r="Z1" s="35">
        <f t="shared" si="0"/>
        <v>45613.874999999956</v>
      </c>
      <c r="AA1" s="35">
        <f t="shared" si="0"/>
        <v>45613.916666666621</v>
      </c>
      <c r="AB1" s="35">
        <f t="shared" si="0"/>
        <v>45613.958333333285</v>
      </c>
      <c r="AC1" s="35">
        <f t="shared" si="0"/>
        <v>45613.999999999949</v>
      </c>
      <c r="AD1" s="35">
        <f t="shared" si="0"/>
        <v>45614.041666666613</v>
      </c>
      <c r="AE1" s="35">
        <f t="shared" si="0"/>
        <v>45614.083333333278</v>
      </c>
      <c r="AF1" s="35">
        <f t="shared" si="0"/>
        <v>45614.124999999942</v>
      </c>
      <c r="AG1" s="35">
        <f t="shared" si="0"/>
        <v>45614.166666666606</v>
      </c>
      <c r="AH1" s="35">
        <f t="shared" si="0"/>
        <v>45614.20833333327</v>
      </c>
      <c r="AI1" s="35">
        <f t="shared" si="0"/>
        <v>45614.249999999935</v>
      </c>
      <c r="AJ1" s="35">
        <f t="shared" si="0"/>
        <v>45614.291666666599</v>
      </c>
      <c r="AK1" s="35">
        <f t="shared" si="0"/>
        <v>45614.333333333263</v>
      </c>
      <c r="AL1" s="35">
        <f t="shared" si="0"/>
        <v>45614.374999999927</v>
      </c>
      <c r="AM1" s="35">
        <f t="shared" si="0"/>
        <v>45614.416666666591</v>
      </c>
      <c r="AN1" s="35">
        <f t="shared" si="0"/>
        <v>45614.458333333256</v>
      </c>
      <c r="AO1" s="35">
        <f t="shared" si="0"/>
        <v>45614.49999999992</v>
      </c>
      <c r="AP1" s="35">
        <f t="shared" si="0"/>
        <v>45614.541666666584</v>
      </c>
      <c r="AQ1" s="35">
        <f t="shared" si="0"/>
        <v>45614.583333333248</v>
      </c>
      <c r="AR1" s="35">
        <f t="shared" si="0"/>
        <v>45614.624999999913</v>
      </c>
      <c r="AS1" s="35">
        <f t="shared" si="0"/>
        <v>45614.666666666577</v>
      </c>
      <c r="AT1" s="35">
        <f t="shared" si="0"/>
        <v>45614.708333333241</v>
      </c>
      <c r="AU1" s="35">
        <f t="shared" si="0"/>
        <v>45614.749999999905</v>
      </c>
      <c r="AV1" s="35">
        <f t="shared" si="0"/>
        <v>45614.79166666657</v>
      </c>
      <c r="AW1" s="35">
        <f t="shared" si="0"/>
        <v>45614.833333333234</v>
      </c>
      <c r="AX1" s="35">
        <f t="shared" si="0"/>
        <v>45614.874999999898</v>
      </c>
      <c r="AY1" s="35">
        <f t="shared" si="0"/>
        <v>45614.916666666562</v>
      </c>
      <c r="AZ1" s="35">
        <f t="shared" si="0"/>
        <v>45614.958333333227</v>
      </c>
      <c r="BA1" s="35">
        <f t="shared" si="0"/>
        <v>45614.999999999891</v>
      </c>
      <c r="BB1" s="35">
        <f t="shared" si="0"/>
        <v>45615.041666666555</v>
      </c>
      <c r="BC1" s="35">
        <f t="shared" si="0"/>
        <v>45615.083333333219</v>
      </c>
      <c r="BD1" s="35">
        <f t="shared" si="0"/>
        <v>45615.124999999884</v>
      </c>
      <c r="BE1" s="35">
        <f t="shared" si="0"/>
        <v>45615.166666666548</v>
      </c>
      <c r="BF1" s="35">
        <f t="shared" si="0"/>
        <v>45615.208333333212</v>
      </c>
      <c r="BG1" s="35">
        <f t="shared" si="0"/>
        <v>45615.249999999876</v>
      </c>
      <c r="BH1" s="35">
        <f t="shared" si="0"/>
        <v>45615.291666666541</v>
      </c>
      <c r="BI1" s="35">
        <f t="shared" si="0"/>
        <v>45615.333333333205</v>
      </c>
      <c r="BJ1" s="35">
        <f t="shared" si="0"/>
        <v>45615.374999999869</v>
      </c>
      <c r="BK1" s="35">
        <f t="shared" si="0"/>
        <v>45615.416666666533</v>
      </c>
      <c r="BL1" s="35">
        <f t="shared" si="0"/>
        <v>45615.458333333198</v>
      </c>
      <c r="BM1" s="35">
        <f t="shared" si="0"/>
        <v>45615.499999999862</v>
      </c>
      <c r="BN1" s="35">
        <f t="shared" si="0"/>
        <v>45615.541666666526</v>
      </c>
      <c r="BO1" s="35">
        <f t="shared" si="0"/>
        <v>45615.58333333319</v>
      </c>
      <c r="BP1" s="35">
        <f t="shared" si="0"/>
        <v>45615.624999999854</v>
      </c>
      <c r="BQ1" s="35">
        <f t="shared" si="0"/>
        <v>45615.666666666519</v>
      </c>
      <c r="BR1" s="35">
        <f t="shared" si="0"/>
        <v>45615.708333333183</v>
      </c>
      <c r="BS1" s="35">
        <f t="shared" si="0"/>
        <v>45615.749999999847</v>
      </c>
      <c r="BT1" s="35">
        <f t="shared" si="0"/>
        <v>45615.791666666511</v>
      </c>
      <c r="BU1" s="35">
        <f t="shared" ref="BU1:EF1" si="1">BT1+TIME(1,0,0)</f>
        <v>45615.833333333176</v>
      </c>
      <c r="BV1" s="35">
        <f t="shared" si="1"/>
        <v>45615.87499999984</v>
      </c>
      <c r="BW1" s="35">
        <f t="shared" si="1"/>
        <v>45615.916666666504</v>
      </c>
      <c r="BX1" s="35">
        <f t="shared" si="1"/>
        <v>45615.958333333168</v>
      </c>
      <c r="BY1" s="35">
        <f t="shared" si="1"/>
        <v>45615.999999999833</v>
      </c>
      <c r="BZ1" s="35">
        <f t="shared" si="1"/>
        <v>45616.041666666497</v>
      </c>
      <c r="CA1" s="35">
        <f t="shared" si="1"/>
        <v>45616.083333333161</v>
      </c>
      <c r="CB1" s="35">
        <f t="shared" si="1"/>
        <v>45616.124999999825</v>
      </c>
      <c r="CC1" s="35">
        <f t="shared" si="1"/>
        <v>45616.16666666649</v>
      </c>
      <c r="CD1" s="35">
        <f t="shared" si="1"/>
        <v>45616.208333333154</v>
      </c>
      <c r="CE1" s="35">
        <f t="shared" si="1"/>
        <v>45616.249999999818</v>
      </c>
      <c r="CF1" s="35">
        <f t="shared" si="1"/>
        <v>45616.291666666482</v>
      </c>
      <c r="CG1" s="35">
        <f t="shared" si="1"/>
        <v>45616.333333333147</v>
      </c>
      <c r="CH1" s="35">
        <f t="shared" si="1"/>
        <v>45616.374999999811</v>
      </c>
      <c r="CI1" s="35">
        <f t="shared" si="1"/>
        <v>45616.416666666475</v>
      </c>
      <c r="CJ1" s="35">
        <f t="shared" si="1"/>
        <v>45616.458333333139</v>
      </c>
      <c r="CK1" s="35">
        <f t="shared" si="1"/>
        <v>45616.499999999804</v>
      </c>
      <c r="CL1" s="35">
        <f t="shared" si="1"/>
        <v>45616.541666666468</v>
      </c>
      <c r="CM1" s="35">
        <f t="shared" si="1"/>
        <v>45616.583333333132</v>
      </c>
      <c r="CN1" s="35">
        <f t="shared" si="1"/>
        <v>45616.624999999796</v>
      </c>
      <c r="CO1" s="35">
        <f t="shared" si="1"/>
        <v>45616.666666666461</v>
      </c>
      <c r="CP1" s="35">
        <f t="shared" si="1"/>
        <v>45616.708333333125</v>
      </c>
      <c r="CQ1" s="35">
        <f t="shared" si="1"/>
        <v>45616.749999999789</v>
      </c>
      <c r="CR1" s="35">
        <f t="shared" si="1"/>
        <v>45616.791666666453</v>
      </c>
      <c r="CS1" s="35">
        <f t="shared" si="1"/>
        <v>45616.833333333117</v>
      </c>
      <c r="CT1" s="35">
        <f t="shared" si="1"/>
        <v>45616.874999999782</v>
      </c>
      <c r="CU1" s="35">
        <f t="shared" si="1"/>
        <v>45616.916666666446</v>
      </c>
      <c r="CV1" s="35">
        <f t="shared" si="1"/>
        <v>45616.95833333311</v>
      </c>
      <c r="CW1" s="35">
        <f t="shared" si="1"/>
        <v>45616.999999999774</v>
      </c>
      <c r="CX1" s="35">
        <f t="shared" si="1"/>
        <v>45617.041666666439</v>
      </c>
      <c r="CY1" s="35">
        <f t="shared" si="1"/>
        <v>45617.083333333103</v>
      </c>
      <c r="CZ1" s="35">
        <f t="shared" si="1"/>
        <v>45617.124999999767</v>
      </c>
      <c r="DA1" s="35">
        <f t="shared" si="1"/>
        <v>45617.166666666431</v>
      </c>
      <c r="DB1" s="35">
        <f t="shared" si="1"/>
        <v>45617.208333333096</v>
      </c>
      <c r="DC1" s="35">
        <f t="shared" si="1"/>
        <v>45617.24999999976</v>
      </c>
      <c r="DD1" s="35">
        <f t="shared" si="1"/>
        <v>45617.291666666424</v>
      </c>
      <c r="DE1" s="35">
        <f t="shared" si="1"/>
        <v>45617.333333333088</v>
      </c>
      <c r="DF1" s="35">
        <f t="shared" si="1"/>
        <v>45617.374999999753</v>
      </c>
      <c r="DG1" s="35">
        <f t="shared" si="1"/>
        <v>45617.416666666417</v>
      </c>
      <c r="DH1" s="35">
        <f t="shared" si="1"/>
        <v>45617.458333333081</v>
      </c>
      <c r="DI1" s="35">
        <f t="shared" si="1"/>
        <v>45617.499999999745</v>
      </c>
      <c r="DJ1" s="35">
        <f t="shared" si="1"/>
        <v>45617.54166666641</v>
      </c>
      <c r="DK1" s="35">
        <f t="shared" si="1"/>
        <v>45617.583333333074</v>
      </c>
      <c r="DL1" s="35">
        <f t="shared" si="1"/>
        <v>45617.624999999738</v>
      </c>
      <c r="DM1" s="35">
        <f t="shared" si="1"/>
        <v>45617.666666666402</v>
      </c>
      <c r="DN1" s="35">
        <f t="shared" si="1"/>
        <v>45617.708333333067</v>
      </c>
      <c r="DO1" s="35">
        <f t="shared" si="1"/>
        <v>45617.749999999731</v>
      </c>
      <c r="DP1" s="35">
        <f t="shared" si="1"/>
        <v>45617.791666666395</v>
      </c>
      <c r="DQ1" s="35">
        <f t="shared" si="1"/>
        <v>45617.833333333059</v>
      </c>
      <c r="DR1" s="35">
        <f t="shared" si="1"/>
        <v>45617.874999999724</v>
      </c>
      <c r="DS1" s="35">
        <f t="shared" si="1"/>
        <v>45617.916666666388</v>
      </c>
      <c r="DT1" s="35">
        <f t="shared" si="1"/>
        <v>45617.958333333052</v>
      </c>
      <c r="DU1" s="35">
        <f t="shared" si="1"/>
        <v>45617.999999999716</v>
      </c>
      <c r="DV1" s="35">
        <f t="shared" si="1"/>
        <v>45618.04166666638</v>
      </c>
      <c r="DW1" s="35">
        <f t="shared" si="1"/>
        <v>45618.083333333045</v>
      </c>
      <c r="DX1" s="35">
        <f t="shared" si="1"/>
        <v>45618.124999999709</v>
      </c>
      <c r="DY1" s="35">
        <f t="shared" si="1"/>
        <v>45618.166666666373</v>
      </c>
      <c r="DZ1" s="35">
        <f t="shared" si="1"/>
        <v>45618.208333333037</v>
      </c>
      <c r="EA1" s="35">
        <f t="shared" si="1"/>
        <v>45618.249999999702</v>
      </c>
      <c r="EB1" s="35">
        <f t="shared" si="1"/>
        <v>45618.291666666366</v>
      </c>
      <c r="EC1" s="35">
        <f t="shared" si="1"/>
        <v>45618.33333333303</v>
      </c>
      <c r="ED1" s="35">
        <f t="shared" si="1"/>
        <v>45618.374999999694</v>
      </c>
      <c r="EE1" s="35">
        <f t="shared" si="1"/>
        <v>45618.416666666359</v>
      </c>
      <c r="EF1" s="35">
        <f t="shared" si="1"/>
        <v>45618.458333333023</v>
      </c>
      <c r="EG1" s="35">
        <f t="shared" ref="EG1:GR1" si="2">EF1+TIME(1,0,0)</f>
        <v>45618.499999999687</v>
      </c>
      <c r="EH1" s="35">
        <f t="shared" si="2"/>
        <v>45618.541666666351</v>
      </c>
      <c r="EI1" s="35">
        <f t="shared" si="2"/>
        <v>45618.583333333016</v>
      </c>
      <c r="EJ1" s="35">
        <f t="shared" si="2"/>
        <v>45618.62499999968</v>
      </c>
      <c r="EK1" s="35">
        <f t="shared" si="2"/>
        <v>45618.666666666344</v>
      </c>
      <c r="EL1" s="35">
        <f t="shared" si="2"/>
        <v>45618.708333333008</v>
      </c>
      <c r="EM1" s="35">
        <f t="shared" si="2"/>
        <v>45618.749999999673</v>
      </c>
      <c r="EN1" s="35">
        <f t="shared" si="2"/>
        <v>45618.791666666337</v>
      </c>
      <c r="EO1" s="35">
        <f t="shared" si="2"/>
        <v>45618.833333333001</v>
      </c>
      <c r="EP1" s="35">
        <f t="shared" si="2"/>
        <v>45618.874999999665</v>
      </c>
      <c r="EQ1" s="35">
        <f t="shared" si="2"/>
        <v>45618.91666666633</v>
      </c>
      <c r="ER1" s="35">
        <f t="shared" si="2"/>
        <v>45618.958333332994</v>
      </c>
      <c r="ES1" s="35">
        <f t="shared" si="2"/>
        <v>45618.999999999658</v>
      </c>
      <c r="ET1" s="35">
        <f t="shared" si="2"/>
        <v>45619.041666666322</v>
      </c>
      <c r="EU1" s="35">
        <f t="shared" si="2"/>
        <v>45619.083333332987</v>
      </c>
      <c r="EV1" s="35">
        <f t="shared" si="2"/>
        <v>45619.124999999651</v>
      </c>
      <c r="EW1" s="35">
        <f t="shared" si="2"/>
        <v>45619.166666666315</v>
      </c>
      <c r="EX1" s="35">
        <f t="shared" si="2"/>
        <v>45619.208333332979</v>
      </c>
      <c r="EY1" s="35">
        <f t="shared" si="2"/>
        <v>45619.249999999643</v>
      </c>
      <c r="EZ1" s="35">
        <f t="shared" si="2"/>
        <v>45619.291666666308</v>
      </c>
      <c r="FA1" s="35">
        <f t="shared" si="2"/>
        <v>45619.333333332972</v>
      </c>
      <c r="FB1" s="35">
        <f t="shared" si="2"/>
        <v>45619.374999999636</v>
      </c>
      <c r="FC1" s="35">
        <f t="shared" si="2"/>
        <v>45619.4166666663</v>
      </c>
      <c r="FD1" s="35">
        <f t="shared" si="2"/>
        <v>45619.458333332965</v>
      </c>
      <c r="FE1" s="35">
        <f t="shared" si="2"/>
        <v>45619.499999999629</v>
      </c>
      <c r="FF1" s="35">
        <f t="shared" si="2"/>
        <v>45619.541666666293</v>
      </c>
      <c r="FG1" s="35">
        <f t="shared" si="2"/>
        <v>45619.583333332957</v>
      </c>
      <c r="FH1" s="35">
        <f t="shared" si="2"/>
        <v>45619.624999999622</v>
      </c>
      <c r="FI1" s="35">
        <f t="shared" si="2"/>
        <v>45619.666666666286</v>
      </c>
      <c r="FJ1" s="35">
        <f t="shared" si="2"/>
        <v>45619.70833333295</v>
      </c>
      <c r="FK1" s="35">
        <f t="shared" si="2"/>
        <v>45619.749999999614</v>
      </c>
      <c r="FL1" s="35">
        <f t="shared" si="2"/>
        <v>45619.791666666279</v>
      </c>
      <c r="FM1" s="35">
        <f t="shared" si="2"/>
        <v>45619.833333332943</v>
      </c>
      <c r="FN1" s="35">
        <f t="shared" si="2"/>
        <v>45619.874999999607</v>
      </c>
      <c r="FO1" s="35">
        <f t="shared" si="2"/>
        <v>45619.916666666271</v>
      </c>
      <c r="FP1" s="35">
        <f t="shared" si="2"/>
        <v>45619.958333332936</v>
      </c>
      <c r="FQ1" s="35">
        <f t="shared" si="2"/>
        <v>45619.9999999996</v>
      </c>
      <c r="FR1" s="35">
        <f t="shared" si="2"/>
        <v>45620.041666666264</v>
      </c>
      <c r="FS1" s="35">
        <f t="shared" si="2"/>
        <v>45620.083333332928</v>
      </c>
      <c r="FT1" s="35">
        <f t="shared" si="2"/>
        <v>45620.124999999593</v>
      </c>
      <c r="FU1" s="35">
        <f t="shared" si="2"/>
        <v>45620.166666666257</v>
      </c>
      <c r="FV1" s="35">
        <f t="shared" si="2"/>
        <v>45620.208333332921</v>
      </c>
      <c r="FW1" s="35">
        <f t="shared" si="2"/>
        <v>45620.249999999585</v>
      </c>
      <c r="FX1" s="35">
        <f t="shared" si="2"/>
        <v>45620.29166666625</v>
      </c>
      <c r="FY1" s="35">
        <f t="shared" si="2"/>
        <v>45620.333333332914</v>
      </c>
      <c r="FZ1" s="35">
        <f t="shared" si="2"/>
        <v>45620.374999999578</v>
      </c>
      <c r="GA1" s="35">
        <f t="shared" si="2"/>
        <v>45620.416666666242</v>
      </c>
      <c r="GB1" s="35">
        <f t="shared" si="2"/>
        <v>45620.458333332906</v>
      </c>
      <c r="GC1" s="35">
        <f t="shared" si="2"/>
        <v>45620.499999999571</v>
      </c>
      <c r="GD1" s="35">
        <f t="shared" si="2"/>
        <v>45620.541666666235</v>
      </c>
      <c r="GE1" s="35">
        <f t="shared" si="2"/>
        <v>45620.583333332899</v>
      </c>
      <c r="GF1" s="35">
        <f t="shared" si="2"/>
        <v>45620.624999999563</v>
      </c>
      <c r="GG1" s="35">
        <f t="shared" si="2"/>
        <v>45620.666666666228</v>
      </c>
      <c r="GH1" s="35">
        <f t="shared" si="2"/>
        <v>45620.708333332892</v>
      </c>
      <c r="GI1" s="35">
        <f t="shared" si="2"/>
        <v>45620.749999999556</v>
      </c>
      <c r="GJ1" s="35">
        <f t="shared" si="2"/>
        <v>45620.79166666622</v>
      </c>
      <c r="GK1" s="35">
        <f t="shared" si="2"/>
        <v>45620.833333332885</v>
      </c>
      <c r="GL1" s="35">
        <f t="shared" si="2"/>
        <v>45620.874999999549</v>
      </c>
      <c r="GM1" s="35">
        <f t="shared" si="2"/>
        <v>45620.916666666213</v>
      </c>
      <c r="GN1" s="35">
        <f t="shared" si="2"/>
        <v>45620.958333332877</v>
      </c>
      <c r="GO1" s="35">
        <f t="shared" si="2"/>
        <v>45620.999999999542</v>
      </c>
      <c r="GP1" s="35">
        <f t="shared" si="2"/>
        <v>45621.041666666206</v>
      </c>
      <c r="GQ1" s="35">
        <f t="shared" si="2"/>
        <v>45621.08333333287</v>
      </c>
      <c r="GR1" s="35">
        <f t="shared" si="2"/>
        <v>45621.124999999534</v>
      </c>
      <c r="GS1" s="35">
        <f t="shared" ref="GS1:HX1" si="3">GR1+TIME(1,0,0)</f>
        <v>45621.166666666199</v>
      </c>
      <c r="GT1" s="35">
        <f t="shared" si="3"/>
        <v>45621.208333332863</v>
      </c>
      <c r="GU1" s="35">
        <f t="shared" si="3"/>
        <v>45621.249999999527</v>
      </c>
      <c r="GV1" s="35">
        <f t="shared" si="3"/>
        <v>45621.291666666191</v>
      </c>
      <c r="GW1" s="35">
        <f t="shared" si="3"/>
        <v>45621.333333332856</v>
      </c>
      <c r="GX1" s="35">
        <f t="shared" si="3"/>
        <v>45621.37499999952</v>
      </c>
      <c r="GY1" s="35">
        <f t="shared" si="3"/>
        <v>45621.416666666184</v>
      </c>
      <c r="GZ1" s="35">
        <f t="shared" si="3"/>
        <v>45621.458333332848</v>
      </c>
      <c r="HA1" s="35">
        <f t="shared" si="3"/>
        <v>45621.499999999513</v>
      </c>
      <c r="HB1" s="35">
        <f t="shared" si="3"/>
        <v>45621.541666666177</v>
      </c>
      <c r="HC1" s="35">
        <f t="shared" si="3"/>
        <v>45621.583333332841</v>
      </c>
      <c r="HD1" s="35">
        <f t="shared" si="3"/>
        <v>45621.624999999505</v>
      </c>
      <c r="HE1" s="35">
        <f t="shared" si="3"/>
        <v>45621.666666666169</v>
      </c>
      <c r="HF1" s="35">
        <f t="shared" si="3"/>
        <v>45621.708333332834</v>
      </c>
      <c r="HG1" s="35">
        <f t="shared" si="3"/>
        <v>45621.749999999498</v>
      </c>
      <c r="HH1" s="35">
        <f t="shared" si="3"/>
        <v>45621.791666666162</v>
      </c>
      <c r="HI1" s="35">
        <f t="shared" si="3"/>
        <v>45621.833333332826</v>
      </c>
      <c r="HJ1" s="35">
        <f t="shared" si="3"/>
        <v>45621.874999999491</v>
      </c>
      <c r="HK1" s="35">
        <f t="shared" si="3"/>
        <v>45621.916666666155</v>
      </c>
      <c r="HL1" s="35">
        <f t="shared" si="3"/>
        <v>45621.958333332819</v>
      </c>
      <c r="HM1" s="35">
        <f t="shared" si="3"/>
        <v>45621.999999999483</v>
      </c>
      <c r="HN1" s="35">
        <f t="shared" si="3"/>
        <v>45622.041666666148</v>
      </c>
      <c r="HO1" s="35">
        <f t="shared" si="3"/>
        <v>45622.083333332812</v>
      </c>
      <c r="HP1" s="35">
        <f t="shared" si="3"/>
        <v>45622.124999999476</v>
      </c>
      <c r="HQ1" s="35">
        <f t="shared" si="3"/>
        <v>45622.16666666614</v>
      </c>
      <c r="HR1" s="35">
        <f t="shared" si="3"/>
        <v>45622.208333332805</v>
      </c>
      <c r="HS1" s="35">
        <f t="shared" si="3"/>
        <v>45622.249999999469</v>
      </c>
      <c r="HT1" s="35">
        <f t="shared" si="3"/>
        <v>45622.291666666133</v>
      </c>
      <c r="HU1" s="35">
        <f t="shared" si="3"/>
        <v>45622.333333332797</v>
      </c>
      <c r="HV1" s="35">
        <f t="shared" si="3"/>
        <v>45622.374999999462</v>
      </c>
      <c r="HW1" s="35">
        <f t="shared" si="3"/>
        <v>45622.416666666126</v>
      </c>
      <c r="HX1" s="35">
        <f t="shared" si="3"/>
        <v>45622.45833333279</v>
      </c>
    </row>
    <row r="2" spans="1:232" hidden="1" x14ac:dyDescent="0.2">
      <c r="E2" s="18" t="s">
        <v>127</v>
      </c>
      <c r="F2" s="18" t="s">
        <v>133</v>
      </c>
      <c r="G2" s="18">
        <f>COUNTIFS(G$19:G$75,"=1",$C$19:$C$75,"A",$D$19:$D$75,"5.2",$E$19:$E$75,"Lomitas",$F$19:$F$75,"Cerro")</f>
        <v>6</v>
      </c>
      <c r="H2" s="18">
        <f t="shared" ref="H2:AL2" si="4">COUNTIFS(H$19:H$75,"=1",$C$19:$C$75,"A",$D$19:$D$75,"5.2",$E$19:$E$75,"Lomitas",$F$19:$F$75,"Cerro")</f>
        <v>6</v>
      </c>
      <c r="I2" s="18">
        <f t="shared" si="4"/>
        <v>6</v>
      </c>
      <c r="J2" s="18">
        <f t="shared" si="4"/>
        <v>6</v>
      </c>
      <c r="K2" s="18">
        <f t="shared" si="4"/>
        <v>6</v>
      </c>
      <c r="L2" s="18">
        <f t="shared" si="4"/>
        <v>6</v>
      </c>
      <c r="M2" s="18">
        <f t="shared" si="4"/>
        <v>6</v>
      </c>
      <c r="N2" s="18">
        <f t="shared" si="4"/>
        <v>6</v>
      </c>
      <c r="O2" s="18">
        <f t="shared" si="4"/>
        <v>6</v>
      </c>
      <c r="P2" s="18">
        <f t="shared" si="4"/>
        <v>6</v>
      </c>
      <c r="Q2" s="18">
        <f t="shared" si="4"/>
        <v>6</v>
      </c>
      <c r="R2" s="18">
        <f t="shared" si="4"/>
        <v>6</v>
      </c>
      <c r="S2" s="18">
        <f t="shared" si="4"/>
        <v>6</v>
      </c>
      <c r="T2" s="18">
        <f t="shared" si="4"/>
        <v>6</v>
      </c>
      <c r="U2" s="18">
        <f t="shared" si="4"/>
        <v>6</v>
      </c>
      <c r="V2" s="18">
        <f t="shared" si="4"/>
        <v>6</v>
      </c>
      <c r="W2" s="18">
        <f t="shared" si="4"/>
        <v>6</v>
      </c>
      <c r="X2" s="18">
        <f t="shared" si="4"/>
        <v>6</v>
      </c>
      <c r="Y2" s="18">
        <f t="shared" si="4"/>
        <v>6</v>
      </c>
      <c r="Z2" s="18">
        <f t="shared" si="4"/>
        <v>6</v>
      </c>
      <c r="AA2" s="18">
        <f t="shared" si="4"/>
        <v>6</v>
      </c>
      <c r="AB2" s="18">
        <f t="shared" si="4"/>
        <v>6</v>
      </c>
      <c r="AC2" s="18">
        <f t="shared" si="4"/>
        <v>6</v>
      </c>
      <c r="AD2" s="18">
        <f t="shared" si="4"/>
        <v>6</v>
      </c>
      <c r="AE2" s="18">
        <f t="shared" si="4"/>
        <v>6</v>
      </c>
      <c r="AF2" s="18">
        <f t="shared" si="4"/>
        <v>6</v>
      </c>
      <c r="AG2" s="18">
        <f t="shared" si="4"/>
        <v>6</v>
      </c>
      <c r="AH2" s="18">
        <f t="shared" si="4"/>
        <v>6</v>
      </c>
      <c r="AI2" s="18">
        <f t="shared" si="4"/>
        <v>6</v>
      </c>
      <c r="AJ2" s="18">
        <f t="shared" si="4"/>
        <v>6</v>
      </c>
      <c r="AK2" s="18">
        <f t="shared" si="4"/>
        <v>6</v>
      </c>
      <c r="AL2" s="18">
        <f t="shared" si="4"/>
        <v>6</v>
      </c>
      <c r="AM2" s="18">
        <f t="shared" ref="AM2:BS2" si="5">COUNTIFS(AM$19:AM$75,"=1",$C$19:$C$75,"A",$D$19:$D$75,"5.2",$E$19:$E$75,"Lomitas",$F$19:$F$75,"Cerro")</f>
        <v>6</v>
      </c>
      <c r="AN2" s="18">
        <f t="shared" si="5"/>
        <v>6</v>
      </c>
      <c r="AO2" s="18">
        <f t="shared" si="5"/>
        <v>6</v>
      </c>
      <c r="AP2" s="18">
        <f t="shared" si="5"/>
        <v>6</v>
      </c>
      <c r="AQ2" s="18">
        <f t="shared" si="5"/>
        <v>6</v>
      </c>
      <c r="AR2" s="18">
        <f t="shared" si="5"/>
        <v>6</v>
      </c>
      <c r="AS2" s="18">
        <f t="shared" si="5"/>
        <v>6</v>
      </c>
      <c r="AT2" s="18">
        <f t="shared" si="5"/>
        <v>6</v>
      </c>
      <c r="AU2" s="18">
        <f t="shared" si="5"/>
        <v>6</v>
      </c>
      <c r="AV2" s="18">
        <f t="shared" si="5"/>
        <v>6</v>
      </c>
      <c r="AW2" s="18">
        <f t="shared" si="5"/>
        <v>6</v>
      </c>
      <c r="AX2" s="18">
        <f t="shared" si="5"/>
        <v>6</v>
      </c>
      <c r="AY2" s="18">
        <f t="shared" si="5"/>
        <v>6</v>
      </c>
      <c r="AZ2" s="18">
        <f t="shared" si="5"/>
        <v>6</v>
      </c>
      <c r="BA2" s="18">
        <f t="shared" si="5"/>
        <v>5</v>
      </c>
      <c r="BB2" s="18">
        <f t="shared" si="5"/>
        <v>5</v>
      </c>
      <c r="BC2" s="18">
        <f t="shared" si="5"/>
        <v>5</v>
      </c>
      <c r="BD2" s="18">
        <f t="shared" si="5"/>
        <v>5</v>
      </c>
      <c r="BE2" s="18">
        <f t="shared" si="5"/>
        <v>5</v>
      </c>
      <c r="BF2" s="18">
        <f t="shared" si="5"/>
        <v>5</v>
      </c>
      <c r="BG2" s="18">
        <f t="shared" si="5"/>
        <v>5</v>
      </c>
      <c r="BH2" s="18">
        <f t="shared" si="5"/>
        <v>5</v>
      </c>
      <c r="BI2" s="18">
        <f t="shared" si="5"/>
        <v>5</v>
      </c>
      <c r="BJ2" s="18">
        <f t="shared" si="5"/>
        <v>5</v>
      </c>
      <c r="BK2" s="18">
        <f t="shared" si="5"/>
        <v>5</v>
      </c>
      <c r="BL2" s="18">
        <f t="shared" si="5"/>
        <v>5</v>
      </c>
      <c r="BM2" s="18">
        <f t="shared" si="5"/>
        <v>5</v>
      </c>
      <c r="BN2" s="18">
        <f t="shared" si="5"/>
        <v>5</v>
      </c>
      <c r="BO2" s="18">
        <f t="shared" si="5"/>
        <v>5</v>
      </c>
      <c r="BP2" s="18">
        <f t="shared" si="5"/>
        <v>5</v>
      </c>
      <c r="BQ2" s="18">
        <f t="shared" si="5"/>
        <v>5</v>
      </c>
      <c r="BR2" s="18">
        <f t="shared" si="5"/>
        <v>5</v>
      </c>
      <c r="BS2" s="18">
        <f t="shared" si="5"/>
        <v>5</v>
      </c>
      <c r="BT2" s="18">
        <f t="shared" ref="BT2:EE2" si="6">COUNTIFS(BT$19:BT$75,"=1",$C$19:$C$75,"A",$D$19:$D$75,"5.2",$E$19:$E$75,"Lomitas",$F$19:$F$75,"Cerro")</f>
        <v>5</v>
      </c>
      <c r="BU2" s="18">
        <f t="shared" si="6"/>
        <v>5</v>
      </c>
      <c r="BV2" s="18">
        <f t="shared" si="6"/>
        <v>5</v>
      </c>
      <c r="BW2" s="18">
        <f t="shared" si="6"/>
        <v>5</v>
      </c>
      <c r="BX2" s="18">
        <f t="shared" si="6"/>
        <v>5</v>
      </c>
      <c r="BY2" s="18">
        <f t="shared" si="6"/>
        <v>5</v>
      </c>
      <c r="BZ2" s="18">
        <f t="shared" si="6"/>
        <v>5</v>
      </c>
      <c r="CA2" s="18">
        <f t="shared" si="6"/>
        <v>5</v>
      </c>
      <c r="CB2" s="18">
        <f t="shared" si="6"/>
        <v>5</v>
      </c>
      <c r="CC2" s="18">
        <f t="shared" si="6"/>
        <v>5</v>
      </c>
      <c r="CD2" s="18">
        <f t="shared" si="6"/>
        <v>5</v>
      </c>
      <c r="CE2" s="18">
        <f t="shared" si="6"/>
        <v>5</v>
      </c>
      <c r="CF2" s="18">
        <f t="shared" si="6"/>
        <v>5</v>
      </c>
      <c r="CG2" s="18">
        <f t="shared" si="6"/>
        <v>5</v>
      </c>
      <c r="CH2" s="18">
        <f t="shared" si="6"/>
        <v>5</v>
      </c>
      <c r="CI2" s="18">
        <f t="shared" si="6"/>
        <v>5</v>
      </c>
      <c r="CJ2" s="18">
        <f t="shared" si="6"/>
        <v>5</v>
      </c>
      <c r="CK2" s="18">
        <f t="shared" si="6"/>
        <v>5</v>
      </c>
      <c r="CL2" s="18">
        <f t="shared" si="6"/>
        <v>5</v>
      </c>
      <c r="CM2" s="18">
        <f t="shared" si="6"/>
        <v>5</v>
      </c>
      <c r="CN2" s="18">
        <f t="shared" si="6"/>
        <v>5</v>
      </c>
      <c r="CO2" s="18">
        <f t="shared" si="6"/>
        <v>5</v>
      </c>
      <c r="CP2" s="18">
        <f t="shared" si="6"/>
        <v>5</v>
      </c>
      <c r="CQ2" s="18">
        <f t="shared" si="6"/>
        <v>5</v>
      </c>
      <c r="CR2" s="18">
        <f t="shared" si="6"/>
        <v>5</v>
      </c>
      <c r="CS2" s="18">
        <f t="shared" si="6"/>
        <v>5</v>
      </c>
      <c r="CT2" s="18">
        <f t="shared" si="6"/>
        <v>5</v>
      </c>
      <c r="CU2" s="18">
        <f t="shared" si="6"/>
        <v>5</v>
      </c>
      <c r="CV2" s="18">
        <f t="shared" si="6"/>
        <v>5</v>
      </c>
      <c r="CW2" s="18">
        <f t="shared" si="6"/>
        <v>5</v>
      </c>
      <c r="CX2" s="18">
        <f t="shared" si="6"/>
        <v>5</v>
      </c>
      <c r="CY2" s="18">
        <f t="shared" si="6"/>
        <v>5</v>
      </c>
      <c r="CZ2" s="18">
        <f t="shared" si="6"/>
        <v>5</v>
      </c>
      <c r="DA2" s="18">
        <f t="shared" si="6"/>
        <v>5</v>
      </c>
      <c r="DB2" s="18">
        <f t="shared" si="6"/>
        <v>5</v>
      </c>
      <c r="DC2" s="18">
        <f t="shared" si="6"/>
        <v>5</v>
      </c>
      <c r="DD2" s="18">
        <f t="shared" si="6"/>
        <v>5</v>
      </c>
      <c r="DE2" s="18">
        <f t="shared" si="6"/>
        <v>5</v>
      </c>
      <c r="DF2" s="18">
        <f t="shared" si="6"/>
        <v>5</v>
      </c>
      <c r="DG2" s="18">
        <f t="shared" si="6"/>
        <v>5</v>
      </c>
      <c r="DH2" s="18">
        <f t="shared" si="6"/>
        <v>5</v>
      </c>
      <c r="DI2" s="18">
        <f t="shared" si="6"/>
        <v>5</v>
      </c>
      <c r="DJ2" s="18">
        <f t="shared" si="6"/>
        <v>5</v>
      </c>
      <c r="DK2" s="18">
        <f t="shared" si="6"/>
        <v>5</v>
      </c>
      <c r="DL2" s="18">
        <f t="shared" si="6"/>
        <v>5</v>
      </c>
      <c r="DM2" s="18">
        <f t="shared" si="6"/>
        <v>5</v>
      </c>
      <c r="DN2" s="18">
        <f t="shared" si="6"/>
        <v>5</v>
      </c>
      <c r="DO2" s="18">
        <f t="shared" si="6"/>
        <v>5</v>
      </c>
      <c r="DP2" s="18">
        <f t="shared" si="6"/>
        <v>5</v>
      </c>
      <c r="DQ2" s="18">
        <f t="shared" si="6"/>
        <v>5</v>
      </c>
      <c r="DR2" s="18">
        <f t="shared" si="6"/>
        <v>5</v>
      </c>
      <c r="DS2" s="18">
        <f t="shared" si="6"/>
        <v>5</v>
      </c>
      <c r="DT2" s="18">
        <f t="shared" si="6"/>
        <v>5</v>
      </c>
      <c r="DU2" s="18">
        <f t="shared" si="6"/>
        <v>5</v>
      </c>
      <c r="DV2" s="18">
        <f t="shared" si="6"/>
        <v>5</v>
      </c>
      <c r="DW2" s="18">
        <f t="shared" si="6"/>
        <v>5</v>
      </c>
      <c r="DX2" s="18">
        <f t="shared" si="6"/>
        <v>5</v>
      </c>
      <c r="DY2" s="18">
        <f t="shared" si="6"/>
        <v>5</v>
      </c>
      <c r="DZ2" s="18">
        <f t="shared" si="6"/>
        <v>5</v>
      </c>
      <c r="EA2" s="18">
        <f t="shared" si="6"/>
        <v>5</v>
      </c>
      <c r="EB2" s="18">
        <f t="shared" si="6"/>
        <v>5</v>
      </c>
      <c r="EC2" s="18">
        <f t="shared" si="6"/>
        <v>5</v>
      </c>
      <c r="ED2" s="18">
        <f t="shared" si="6"/>
        <v>5</v>
      </c>
      <c r="EE2" s="18">
        <f t="shared" si="6"/>
        <v>5</v>
      </c>
      <c r="EF2" s="18">
        <f t="shared" ref="EF2:GQ2" si="7">COUNTIFS(EF$19:EF$75,"=1",$C$19:$C$75,"A",$D$19:$D$75,"5.2",$E$19:$E$75,"Lomitas",$F$19:$F$75,"Cerro")</f>
        <v>5</v>
      </c>
      <c r="EG2" s="18">
        <f t="shared" si="7"/>
        <v>5</v>
      </c>
      <c r="EH2" s="18">
        <f t="shared" si="7"/>
        <v>5</v>
      </c>
      <c r="EI2" s="18">
        <f t="shared" si="7"/>
        <v>5</v>
      </c>
      <c r="EJ2" s="18">
        <f t="shared" si="7"/>
        <v>5</v>
      </c>
      <c r="EK2" s="18">
        <f t="shared" si="7"/>
        <v>5</v>
      </c>
      <c r="EL2" s="18">
        <f t="shared" si="7"/>
        <v>5</v>
      </c>
      <c r="EM2" s="18">
        <f t="shared" si="7"/>
        <v>5</v>
      </c>
      <c r="EN2" s="18">
        <f t="shared" si="7"/>
        <v>5</v>
      </c>
      <c r="EO2" s="18">
        <f t="shared" si="7"/>
        <v>5</v>
      </c>
      <c r="EP2" s="18">
        <f t="shared" si="7"/>
        <v>5</v>
      </c>
      <c r="EQ2" s="18">
        <f t="shared" si="7"/>
        <v>5</v>
      </c>
      <c r="ER2" s="18">
        <f t="shared" si="7"/>
        <v>5</v>
      </c>
      <c r="ES2" s="18">
        <f t="shared" si="7"/>
        <v>5</v>
      </c>
      <c r="ET2" s="18">
        <f t="shared" si="7"/>
        <v>5</v>
      </c>
      <c r="EU2" s="18">
        <f t="shared" si="7"/>
        <v>5</v>
      </c>
      <c r="EV2" s="18">
        <f t="shared" si="7"/>
        <v>5</v>
      </c>
      <c r="EW2" s="18">
        <f t="shared" si="7"/>
        <v>5</v>
      </c>
      <c r="EX2" s="18">
        <f t="shared" si="7"/>
        <v>5</v>
      </c>
      <c r="EY2" s="18">
        <f t="shared" si="7"/>
        <v>5</v>
      </c>
      <c r="EZ2" s="18">
        <f t="shared" si="7"/>
        <v>5</v>
      </c>
      <c r="FA2" s="18">
        <f t="shared" si="7"/>
        <v>5</v>
      </c>
      <c r="FB2" s="18">
        <f t="shared" si="7"/>
        <v>5</v>
      </c>
      <c r="FC2" s="18">
        <f t="shared" si="7"/>
        <v>5</v>
      </c>
      <c r="FD2" s="18">
        <f t="shared" si="7"/>
        <v>5</v>
      </c>
      <c r="FE2" s="18">
        <f t="shared" si="7"/>
        <v>5</v>
      </c>
      <c r="FF2" s="18">
        <f t="shared" si="7"/>
        <v>5</v>
      </c>
      <c r="FG2" s="18">
        <f t="shared" si="7"/>
        <v>5</v>
      </c>
      <c r="FH2" s="18">
        <f t="shared" si="7"/>
        <v>5</v>
      </c>
      <c r="FI2" s="18">
        <f t="shared" si="7"/>
        <v>5</v>
      </c>
      <c r="FJ2" s="18">
        <f t="shared" si="7"/>
        <v>5</v>
      </c>
      <c r="FK2" s="18">
        <f t="shared" si="7"/>
        <v>5</v>
      </c>
      <c r="FL2" s="18">
        <f t="shared" si="7"/>
        <v>5</v>
      </c>
      <c r="FM2" s="18">
        <f t="shared" si="7"/>
        <v>5</v>
      </c>
      <c r="FN2" s="18">
        <f t="shared" si="7"/>
        <v>5</v>
      </c>
      <c r="FO2" s="18">
        <f t="shared" si="7"/>
        <v>5</v>
      </c>
      <c r="FP2" s="18">
        <f t="shared" si="7"/>
        <v>5</v>
      </c>
      <c r="FQ2" s="18">
        <f t="shared" si="7"/>
        <v>5</v>
      </c>
      <c r="FR2" s="18">
        <f t="shared" si="7"/>
        <v>5</v>
      </c>
      <c r="FS2" s="18">
        <f t="shared" si="7"/>
        <v>5</v>
      </c>
      <c r="FT2" s="18">
        <f t="shared" si="7"/>
        <v>5</v>
      </c>
      <c r="FU2" s="18">
        <f t="shared" si="7"/>
        <v>5</v>
      </c>
      <c r="FV2" s="18">
        <f t="shared" si="7"/>
        <v>5</v>
      </c>
      <c r="FW2" s="18">
        <f t="shared" si="7"/>
        <v>5</v>
      </c>
      <c r="FX2" s="18">
        <f t="shared" si="7"/>
        <v>5</v>
      </c>
      <c r="FY2" s="18">
        <f t="shared" si="7"/>
        <v>5</v>
      </c>
      <c r="FZ2" s="18">
        <f t="shared" si="7"/>
        <v>5</v>
      </c>
      <c r="GA2" s="18">
        <f t="shared" si="7"/>
        <v>5</v>
      </c>
      <c r="GB2" s="18">
        <f t="shared" si="7"/>
        <v>5</v>
      </c>
      <c r="GC2" s="18">
        <f t="shared" si="7"/>
        <v>5</v>
      </c>
      <c r="GD2" s="18">
        <f t="shared" si="7"/>
        <v>5</v>
      </c>
      <c r="GE2" s="18">
        <f t="shared" si="7"/>
        <v>5</v>
      </c>
      <c r="GF2" s="18">
        <f t="shared" si="7"/>
        <v>5</v>
      </c>
      <c r="GG2" s="18">
        <f t="shared" si="7"/>
        <v>5</v>
      </c>
      <c r="GH2" s="18">
        <f t="shared" si="7"/>
        <v>5</v>
      </c>
      <c r="GI2" s="18">
        <f t="shared" si="7"/>
        <v>5</v>
      </c>
      <c r="GJ2" s="18">
        <f t="shared" si="7"/>
        <v>5</v>
      </c>
      <c r="GK2" s="18">
        <f t="shared" si="7"/>
        <v>5</v>
      </c>
      <c r="GL2" s="18">
        <f t="shared" si="7"/>
        <v>5</v>
      </c>
      <c r="GM2" s="18">
        <f t="shared" si="7"/>
        <v>5</v>
      </c>
      <c r="GN2" s="18">
        <f t="shared" si="7"/>
        <v>5</v>
      </c>
      <c r="GO2" s="18">
        <f t="shared" si="7"/>
        <v>5</v>
      </c>
      <c r="GP2" s="18">
        <f t="shared" si="7"/>
        <v>5</v>
      </c>
      <c r="GQ2" s="18">
        <f t="shared" si="7"/>
        <v>5</v>
      </c>
      <c r="GR2" s="18">
        <f t="shared" ref="GR2:HX2" si="8">COUNTIFS(GR$19:GR$75,"=1",$C$19:$C$75,"A",$D$19:$D$75,"5.2",$E$19:$E$75,"Lomitas",$F$19:$F$75,"Cerro")</f>
        <v>5</v>
      </c>
      <c r="GS2" s="18">
        <f t="shared" si="8"/>
        <v>5</v>
      </c>
      <c r="GT2" s="18">
        <f t="shared" si="8"/>
        <v>5</v>
      </c>
      <c r="GU2" s="18">
        <f t="shared" si="8"/>
        <v>5</v>
      </c>
      <c r="GV2" s="18">
        <f t="shared" si="8"/>
        <v>5</v>
      </c>
      <c r="GW2" s="18">
        <f t="shared" si="8"/>
        <v>5</v>
      </c>
      <c r="GX2" s="18">
        <f t="shared" si="8"/>
        <v>5</v>
      </c>
      <c r="GY2" s="18">
        <f t="shared" si="8"/>
        <v>5</v>
      </c>
      <c r="GZ2" s="18">
        <f t="shared" si="8"/>
        <v>5</v>
      </c>
      <c r="HA2" s="18">
        <f t="shared" si="8"/>
        <v>5</v>
      </c>
      <c r="HB2" s="18">
        <f t="shared" si="8"/>
        <v>5</v>
      </c>
      <c r="HC2" s="18">
        <f t="shared" si="8"/>
        <v>5</v>
      </c>
      <c r="HD2" s="18">
        <f t="shared" si="8"/>
        <v>5</v>
      </c>
      <c r="HE2" s="18">
        <f t="shared" si="8"/>
        <v>5</v>
      </c>
      <c r="HF2" s="18">
        <f t="shared" si="8"/>
        <v>5</v>
      </c>
      <c r="HG2" s="18">
        <f t="shared" si="8"/>
        <v>5</v>
      </c>
      <c r="HH2" s="18">
        <f t="shared" si="8"/>
        <v>5</v>
      </c>
      <c r="HI2" s="18">
        <f t="shared" si="8"/>
        <v>5</v>
      </c>
      <c r="HJ2" s="18">
        <f t="shared" si="8"/>
        <v>5</v>
      </c>
      <c r="HK2" s="18">
        <f t="shared" si="8"/>
        <v>5</v>
      </c>
      <c r="HL2" s="18">
        <f t="shared" si="8"/>
        <v>5</v>
      </c>
      <c r="HM2" s="18">
        <f t="shared" si="8"/>
        <v>5</v>
      </c>
      <c r="HN2" s="18">
        <f t="shared" si="8"/>
        <v>5</v>
      </c>
      <c r="HO2" s="18">
        <f t="shared" si="8"/>
        <v>5</v>
      </c>
      <c r="HP2" s="18">
        <f t="shared" si="8"/>
        <v>5</v>
      </c>
      <c r="HQ2" s="18">
        <f t="shared" si="8"/>
        <v>5</v>
      </c>
      <c r="HR2" s="18">
        <f t="shared" si="8"/>
        <v>5</v>
      </c>
      <c r="HS2" s="18">
        <f t="shared" si="8"/>
        <v>5</v>
      </c>
      <c r="HT2" s="18">
        <f t="shared" si="8"/>
        <v>5</v>
      </c>
      <c r="HU2" s="18">
        <f t="shared" si="8"/>
        <v>5</v>
      </c>
      <c r="HV2" s="18">
        <f t="shared" si="8"/>
        <v>5</v>
      </c>
      <c r="HW2" s="18">
        <f t="shared" si="8"/>
        <v>5</v>
      </c>
      <c r="HX2" s="18">
        <f t="shared" si="8"/>
        <v>5</v>
      </c>
    </row>
    <row r="3" spans="1:232" hidden="1" x14ac:dyDescent="0.2">
      <c r="E3" s="18" t="s">
        <v>127</v>
      </c>
      <c r="F3" s="18" t="s">
        <v>134</v>
      </c>
      <c r="G3" s="18">
        <f t="shared" ref="G3:AL3" si="9">COUNTIFS(G$19:G$75,"=1",$C$19:$C$75,"A",$D$19:$D$75,"5.2",$E$19:$E$75,"Lomitas",$F$19:$F$75,"Medio")</f>
        <v>7</v>
      </c>
      <c r="H3" s="18">
        <f t="shared" si="9"/>
        <v>7</v>
      </c>
      <c r="I3" s="18">
        <f t="shared" si="9"/>
        <v>7</v>
      </c>
      <c r="J3" s="18">
        <f t="shared" si="9"/>
        <v>7</v>
      </c>
      <c r="K3" s="18">
        <f t="shared" si="9"/>
        <v>7</v>
      </c>
      <c r="L3" s="18">
        <f t="shared" si="9"/>
        <v>7</v>
      </c>
      <c r="M3" s="18">
        <f t="shared" si="9"/>
        <v>7</v>
      </c>
      <c r="N3" s="18">
        <f t="shared" si="9"/>
        <v>7</v>
      </c>
      <c r="O3" s="18">
        <f t="shared" si="9"/>
        <v>7</v>
      </c>
      <c r="P3" s="18">
        <f t="shared" si="9"/>
        <v>7</v>
      </c>
      <c r="Q3" s="18">
        <f t="shared" si="9"/>
        <v>7</v>
      </c>
      <c r="R3" s="18">
        <f t="shared" si="9"/>
        <v>7</v>
      </c>
      <c r="S3" s="18">
        <f t="shared" si="9"/>
        <v>7</v>
      </c>
      <c r="T3" s="18">
        <f t="shared" si="9"/>
        <v>7</v>
      </c>
      <c r="U3" s="18">
        <f t="shared" si="9"/>
        <v>7</v>
      </c>
      <c r="V3" s="18">
        <f t="shared" si="9"/>
        <v>7</v>
      </c>
      <c r="W3" s="18">
        <f t="shared" si="9"/>
        <v>7</v>
      </c>
      <c r="X3" s="18">
        <f t="shared" si="9"/>
        <v>7</v>
      </c>
      <c r="Y3" s="18">
        <f t="shared" si="9"/>
        <v>7</v>
      </c>
      <c r="Z3" s="18">
        <f t="shared" si="9"/>
        <v>7</v>
      </c>
      <c r="AA3" s="18">
        <f t="shared" si="9"/>
        <v>7</v>
      </c>
      <c r="AB3" s="18">
        <f t="shared" si="9"/>
        <v>7</v>
      </c>
      <c r="AC3" s="18">
        <f t="shared" si="9"/>
        <v>7</v>
      </c>
      <c r="AD3" s="18">
        <f t="shared" si="9"/>
        <v>7</v>
      </c>
      <c r="AE3" s="18">
        <f t="shared" si="9"/>
        <v>7</v>
      </c>
      <c r="AF3" s="18">
        <f t="shared" si="9"/>
        <v>7</v>
      </c>
      <c r="AG3" s="18">
        <f t="shared" si="9"/>
        <v>7</v>
      </c>
      <c r="AH3" s="18">
        <f t="shared" si="9"/>
        <v>7</v>
      </c>
      <c r="AI3" s="18">
        <f t="shared" si="9"/>
        <v>7</v>
      </c>
      <c r="AJ3" s="18">
        <f t="shared" si="9"/>
        <v>7</v>
      </c>
      <c r="AK3" s="18">
        <f t="shared" si="9"/>
        <v>7</v>
      </c>
      <c r="AL3" s="18">
        <f t="shared" si="9"/>
        <v>7</v>
      </c>
      <c r="AM3" s="18">
        <f t="shared" ref="AM3:BS3" si="10">COUNTIFS(AM$19:AM$75,"=1",$C$19:$C$75,"A",$D$19:$D$75,"5.2",$E$19:$E$75,"Lomitas",$F$19:$F$75,"Medio")</f>
        <v>7</v>
      </c>
      <c r="AN3" s="18">
        <f t="shared" si="10"/>
        <v>7</v>
      </c>
      <c r="AO3" s="18">
        <f t="shared" si="10"/>
        <v>7</v>
      </c>
      <c r="AP3" s="18">
        <f t="shared" si="10"/>
        <v>7</v>
      </c>
      <c r="AQ3" s="18">
        <f t="shared" si="10"/>
        <v>7</v>
      </c>
      <c r="AR3" s="18">
        <f t="shared" si="10"/>
        <v>7</v>
      </c>
      <c r="AS3" s="18">
        <f t="shared" si="10"/>
        <v>7</v>
      </c>
      <c r="AT3" s="18">
        <f t="shared" si="10"/>
        <v>7</v>
      </c>
      <c r="AU3" s="18">
        <f t="shared" si="10"/>
        <v>7</v>
      </c>
      <c r="AV3" s="18">
        <f t="shared" si="10"/>
        <v>7</v>
      </c>
      <c r="AW3" s="18">
        <f t="shared" si="10"/>
        <v>7</v>
      </c>
      <c r="AX3" s="18">
        <f t="shared" si="10"/>
        <v>7</v>
      </c>
      <c r="AY3" s="18">
        <f t="shared" si="10"/>
        <v>7</v>
      </c>
      <c r="AZ3" s="18">
        <f t="shared" si="10"/>
        <v>7</v>
      </c>
      <c r="BA3" s="18">
        <f t="shared" si="10"/>
        <v>6</v>
      </c>
      <c r="BB3" s="18">
        <f t="shared" si="10"/>
        <v>6</v>
      </c>
      <c r="BC3" s="18">
        <f t="shared" si="10"/>
        <v>6</v>
      </c>
      <c r="BD3" s="18">
        <f t="shared" si="10"/>
        <v>6</v>
      </c>
      <c r="BE3" s="18">
        <f t="shared" si="10"/>
        <v>6</v>
      </c>
      <c r="BF3" s="18">
        <f t="shared" si="10"/>
        <v>6</v>
      </c>
      <c r="BG3" s="18">
        <f t="shared" si="10"/>
        <v>6</v>
      </c>
      <c r="BH3" s="18">
        <f t="shared" si="10"/>
        <v>6</v>
      </c>
      <c r="BI3" s="18">
        <f t="shared" si="10"/>
        <v>6</v>
      </c>
      <c r="BJ3" s="18">
        <f t="shared" si="10"/>
        <v>6</v>
      </c>
      <c r="BK3" s="18">
        <f t="shared" si="10"/>
        <v>6</v>
      </c>
      <c r="BL3" s="18">
        <f t="shared" si="10"/>
        <v>7</v>
      </c>
      <c r="BM3" s="18">
        <f t="shared" si="10"/>
        <v>8</v>
      </c>
      <c r="BN3" s="18">
        <f t="shared" si="10"/>
        <v>8</v>
      </c>
      <c r="BO3" s="18">
        <f t="shared" si="10"/>
        <v>8</v>
      </c>
      <c r="BP3" s="18">
        <f t="shared" si="10"/>
        <v>8</v>
      </c>
      <c r="BQ3" s="18">
        <f t="shared" si="10"/>
        <v>8</v>
      </c>
      <c r="BR3" s="18">
        <f t="shared" si="10"/>
        <v>8</v>
      </c>
      <c r="BS3" s="18">
        <f t="shared" si="10"/>
        <v>8</v>
      </c>
      <c r="BT3" s="18">
        <f t="shared" ref="BT3:EE3" si="11">COUNTIFS(BT$19:BT$75,"=1",$C$19:$C$75,"A",$D$19:$D$75,"5.2",$E$19:$E$75,"Lomitas",$F$19:$F$75,"Medio")</f>
        <v>8</v>
      </c>
      <c r="BU3" s="18">
        <f t="shared" si="11"/>
        <v>8</v>
      </c>
      <c r="BV3" s="18">
        <f t="shared" si="11"/>
        <v>8</v>
      </c>
      <c r="BW3" s="18">
        <f t="shared" si="11"/>
        <v>8</v>
      </c>
      <c r="BX3" s="18">
        <f t="shared" si="11"/>
        <v>8</v>
      </c>
      <c r="BY3" s="18">
        <f t="shared" si="11"/>
        <v>7</v>
      </c>
      <c r="BZ3" s="18">
        <f t="shared" si="11"/>
        <v>7</v>
      </c>
      <c r="CA3" s="18">
        <f t="shared" si="11"/>
        <v>7</v>
      </c>
      <c r="CB3" s="18">
        <f t="shared" si="11"/>
        <v>7</v>
      </c>
      <c r="CC3" s="18">
        <f t="shared" si="11"/>
        <v>7</v>
      </c>
      <c r="CD3" s="18">
        <f t="shared" si="11"/>
        <v>7</v>
      </c>
      <c r="CE3" s="18">
        <f t="shared" si="11"/>
        <v>7</v>
      </c>
      <c r="CF3" s="18">
        <f t="shared" si="11"/>
        <v>7</v>
      </c>
      <c r="CG3" s="18">
        <f t="shared" si="11"/>
        <v>7</v>
      </c>
      <c r="CH3" s="18">
        <f t="shared" si="11"/>
        <v>7</v>
      </c>
      <c r="CI3" s="18">
        <f t="shared" si="11"/>
        <v>7</v>
      </c>
      <c r="CJ3" s="18">
        <f t="shared" si="11"/>
        <v>8</v>
      </c>
      <c r="CK3" s="18">
        <f t="shared" si="11"/>
        <v>8</v>
      </c>
      <c r="CL3" s="18">
        <f t="shared" si="11"/>
        <v>8</v>
      </c>
      <c r="CM3" s="18">
        <f t="shared" si="11"/>
        <v>8</v>
      </c>
      <c r="CN3" s="18">
        <f t="shared" si="11"/>
        <v>8</v>
      </c>
      <c r="CO3" s="18">
        <f t="shared" si="11"/>
        <v>8</v>
      </c>
      <c r="CP3" s="18">
        <f t="shared" si="11"/>
        <v>8</v>
      </c>
      <c r="CQ3" s="18">
        <f t="shared" si="11"/>
        <v>8</v>
      </c>
      <c r="CR3" s="18">
        <f t="shared" si="11"/>
        <v>8</v>
      </c>
      <c r="CS3" s="18">
        <f t="shared" si="11"/>
        <v>8</v>
      </c>
      <c r="CT3" s="18">
        <f t="shared" si="11"/>
        <v>8</v>
      </c>
      <c r="CU3" s="18">
        <f t="shared" si="11"/>
        <v>8</v>
      </c>
      <c r="CV3" s="18">
        <f t="shared" si="11"/>
        <v>8</v>
      </c>
      <c r="CW3" s="18">
        <f t="shared" si="11"/>
        <v>7</v>
      </c>
      <c r="CX3" s="18">
        <f t="shared" si="11"/>
        <v>7</v>
      </c>
      <c r="CY3" s="18">
        <f t="shared" si="11"/>
        <v>7</v>
      </c>
      <c r="CZ3" s="18">
        <f t="shared" si="11"/>
        <v>7</v>
      </c>
      <c r="DA3" s="18">
        <f t="shared" si="11"/>
        <v>7</v>
      </c>
      <c r="DB3" s="18">
        <f t="shared" si="11"/>
        <v>7</v>
      </c>
      <c r="DC3" s="18">
        <f t="shared" si="11"/>
        <v>7</v>
      </c>
      <c r="DD3" s="18">
        <f t="shared" si="11"/>
        <v>7</v>
      </c>
      <c r="DE3" s="18">
        <f t="shared" si="11"/>
        <v>7</v>
      </c>
      <c r="DF3" s="18">
        <f t="shared" si="11"/>
        <v>7</v>
      </c>
      <c r="DG3" s="18">
        <f t="shared" si="11"/>
        <v>7</v>
      </c>
      <c r="DH3" s="18">
        <f t="shared" si="11"/>
        <v>8</v>
      </c>
      <c r="DI3" s="18">
        <f t="shared" si="11"/>
        <v>8</v>
      </c>
      <c r="DJ3" s="18">
        <f t="shared" si="11"/>
        <v>8</v>
      </c>
      <c r="DK3" s="18">
        <f t="shared" si="11"/>
        <v>8</v>
      </c>
      <c r="DL3" s="18">
        <f t="shared" si="11"/>
        <v>8</v>
      </c>
      <c r="DM3" s="18">
        <f t="shared" si="11"/>
        <v>8</v>
      </c>
      <c r="DN3" s="18">
        <f t="shared" si="11"/>
        <v>8</v>
      </c>
      <c r="DO3" s="18">
        <f t="shared" si="11"/>
        <v>8</v>
      </c>
      <c r="DP3" s="18">
        <f t="shared" si="11"/>
        <v>8</v>
      </c>
      <c r="DQ3" s="18">
        <f t="shared" si="11"/>
        <v>8</v>
      </c>
      <c r="DR3" s="18">
        <f t="shared" si="11"/>
        <v>8</v>
      </c>
      <c r="DS3" s="18">
        <f t="shared" si="11"/>
        <v>8</v>
      </c>
      <c r="DT3" s="18">
        <f t="shared" si="11"/>
        <v>8</v>
      </c>
      <c r="DU3" s="18">
        <f t="shared" si="11"/>
        <v>7</v>
      </c>
      <c r="DV3" s="18">
        <f t="shared" si="11"/>
        <v>7</v>
      </c>
      <c r="DW3" s="18">
        <f t="shared" si="11"/>
        <v>7</v>
      </c>
      <c r="DX3" s="18">
        <f t="shared" si="11"/>
        <v>7</v>
      </c>
      <c r="DY3" s="18">
        <f t="shared" si="11"/>
        <v>7</v>
      </c>
      <c r="DZ3" s="18">
        <f t="shared" si="11"/>
        <v>7</v>
      </c>
      <c r="EA3" s="18">
        <f t="shared" si="11"/>
        <v>7</v>
      </c>
      <c r="EB3" s="18">
        <f t="shared" si="11"/>
        <v>7</v>
      </c>
      <c r="EC3" s="18">
        <f t="shared" si="11"/>
        <v>7</v>
      </c>
      <c r="ED3" s="18">
        <f t="shared" si="11"/>
        <v>7</v>
      </c>
      <c r="EE3" s="18">
        <f t="shared" si="11"/>
        <v>7</v>
      </c>
      <c r="EF3" s="18">
        <f t="shared" ref="EF3:GQ3" si="12">COUNTIFS(EF$19:EF$75,"=1",$C$19:$C$75,"A",$D$19:$D$75,"5.2",$E$19:$E$75,"Lomitas",$F$19:$F$75,"Medio")</f>
        <v>8</v>
      </c>
      <c r="EG3" s="18">
        <f t="shared" si="12"/>
        <v>8</v>
      </c>
      <c r="EH3" s="18">
        <f t="shared" si="12"/>
        <v>8</v>
      </c>
      <c r="EI3" s="18">
        <f t="shared" si="12"/>
        <v>8</v>
      </c>
      <c r="EJ3" s="18">
        <f t="shared" si="12"/>
        <v>8</v>
      </c>
      <c r="EK3" s="18">
        <f t="shared" si="12"/>
        <v>8</v>
      </c>
      <c r="EL3" s="18">
        <f t="shared" si="12"/>
        <v>8</v>
      </c>
      <c r="EM3" s="18">
        <f t="shared" si="12"/>
        <v>8</v>
      </c>
      <c r="EN3" s="18">
        <f t="shared" si="12"/>
        <v>8</v>
      </c>
      <c r="EO3" s="18">
        <f t="shared" si="12"/>
        <v>8</v>
      </c>
      <c r="EP3" s="18">
        <f t="shared" si="12"/>
        <v>8</v>
      </c>
      <c r="EQ3" s="18">
        <f t="shared" si="12"/>
        <v>8</v>
      </c>
      <c r="ER3" s="18">
        <f t="shared" si="12"/>
        <v>8</v>
      </c>
      <c r="ES3" s="18">
        <f t="shared" si="12"/>
        <v>7</v>
      </c>
      <c r="ET3" s="18">
        <f t="shared" si="12"/>
        <v>7</v>
      </c>
      <c r="EU3" s="18">
        <f t="shared" si="12"/>
        <v>7</v>
      </c>
      <c r="EV3" s="18">
        <f t="shared" si="12"/>
        <v>7</v>
      </c>
      <c r="EW3" s="18">
        <f t="shared" si="12"/>
        <v>7</v>
      </c>
      <c r="EX3" s="18">
        <f t="shared" si="12"/>
        <v>7</v>
      </c>
      <c r="EY3" s="18">
        <f t="shared" si="12"/>
        <v>7</v>
      </c>
      <c r="EZ3" s="18">
        <f t="shared" si="12"/>
        <v>7</v>
      </c>
      <c r="FA3" s="18">
        <f t="shared" si="12"/>
        <v>7</v>
      </c>
      <c r="FB3" s="18">
        <f t="shared" si="12"/>
        <v>7</v>
      </c>
      <c r="FC3" s="18">
        <f t="shared" si="12"/>
        <v>7</v>
      </c>
      <c r="FD3" s="18">
        <f t="shared" si="12"/>
        <v>8</v>
      </c>
      <c r="FE3" s="18">
        <f t="shared" si="12"/>
        <v>8</v>
      </c>
      <c r="FF3" s="18">
        <f t="shared" si="12"/>
        <v>8</v>
      </c>
      <c r="FG3" s="18">
        <f t="shared" si="12"/>
        <v>8</v>
      </c>
      <c r="FH3" s="18">
        <f t="shared" si="12"/>
        <v>8</v>
      </c>
      <c r="FI3" s="18">
        <f t="shared" si="12"/>
        <v>8</v>
      </c>
      <c r="FJ3" s="18">
        <f t="shared" si="12"/>
        <v>8</v>
      </c>
      <c r="FK3" s="18">
        <f t="shared" si="12"/>
        <v>8</v>
      </c>
      <c r="FL3" s="18">
        <f t="shared" si="12"/>
        <v>8</v>
      </c>
      <c r="FM3" s="18">
        <f t="shared" si="12"/>
        <v>8</v>
      </c>
      <c r="FN3" s="18">
        <f t="shared" si="12"/>
        <v>8</v>
      </c>
      <c r="FO3" s="18">
        <f t="shared" si="12"/>
        <v>8</v>
      </c>
      <c r="FP3" s="18">
        <f t="shared" si="12"/>
        <v>8</v>
      </c>
      <c r="FQ3" s="18">
        <f t="shared" si="12"/>
        <v>7</v>
      </c>
      <c r="FR3" s="18">
        <f t="shared" si="12"/>
        <v>7</v>
      </c>
      <c r="FS3" s="18">
        <f t="shared" si="12"/>
        <v>7</v>
      </c>
      <c r="FT3" s="18">
        <f t="shared" si="12"/>
        <v>7</v>
      </c>
      <c r="FU3" s="18">
        <f t="shared" si="12"/>
        <v>7</v>
      </c>
      <c r="FV3" s="18">
        <f t="shared" si="12"/>
        <v>7</v>
      </c>
      <c r="FW3" s="18">
        <f t="shared" si="12"/>
        <v>7</v>
      </c>
      <c r="FX3" s="18">
        <f t="shared" si="12"/>
        <v>7</v>
      </c>
      <c r="FY3" s="18">
        <f t="shared" si="12"/>
        <v>7</v>
      </c>
      <c r="FZ3" s="18">
        <f t="shared" si="12"/>
        <v>7</v>
      </c>
      <c r="GA3" s="18">
        <f t="shared" si="12"/>
        <v>7</v>
      </c>
      <c r="GB3" s="18">
        <f t="shared" si="12"/>
        <v>8</v>
      </c>
      <c r="GC3" s="18">
        <f t="shared" si="12"/>
        <v>8</v>
      </c>
      <c r="GD3" s="18">
        <f t="shared" si="12"/>
        <v>8</v>
      </c>
      <c r="GE3" s="18">
        <f t="shared" si="12"/>
        <v>8</v>
      </c>
      <c r="GF3" s="18">
        <f t="shared" si="12"/>
        <v>8</v>
      </c>
      <c r="GG3" s="18">
        <f t="shared" si="12"/>
        <v>8</v>
      </c>
      <c r="GH3" s="18">
        <f t="shared" si="12"/>
        <v>8</v>
      </c>
      <c r="GI3" s="18">
        <f t="shared" si="12"/>
        <v>8</v>
      </c>
      <c r="GJ3" s="18">
        <f t="shared" si="12"/>
        <v>8</v>
      </c>
      <c r="GK3" s="18">
        <f t="shared" si="12"/>
        <v>8</v>
      </c>
      <c r="GL3" s="18">
        <f t="shared" si="12"/>
        <v>8</v>
      </c>
      <c r="GM3" s="18">
        <f t="shared" si="12"/>
        <v>8</v>
      </c>
      <c r="GN3" s="18">
        <f t="shared" si="12"/>
        <v>8</v>
      </c>
      <c r="GO3" s="18">
        <f t="shared" si="12"/>
        <v>7</v>
      </c>
      <c r="GP3" s="18">
        <f t="shared" si="12"/>
        <v>7</v>
      </c>
      <c r="GQ3" s="18">
        <f t="shared" si="12"/>
        <v>7</v>
      </c>
      <c r="GR3" s="18">
        <f t="shared" ref="GR3:HX3" si="13">COUNTIFS(GR$19:GR$75,"=1",$C$19:$C$75,"A",$D$19:$D$75,"5.2",$E$19:$E$75,"Lomitas",$F$19:$F$75,"Medio")</f>
        <v>7</v>
      </c>
      <c r="GS3" s="18">
        <f t="shared" si="13"/>
        <v>7</v>
      </c>
      <c r="GT3" s="18">
        <f t="shared" si="13"/>
        <v>7</v>
      </c>
      <c r="GU3" s="18">
        <f t="shared" si="13"/>
        <v>7</v>
      </c>
      <c r="GV3" s="18">
        <f t="shared" si="13"/>
        <v>7</v>
      </c>
      <c r="GW3" s="18">
        <f t="shared" si="13"/>
        <v>7</v>
      </c>
      <c r="GX3" s="18">
        <f t="shared" si="13"/>
        <v>7</v>
      </c>
      <c r="GY3" s="18">
        <f t="shared" si="13"/>
        <v>7</v>
      </c>
      <c r="GZ3" s="18">
        <f t="shared" si="13"/>
        <v>8</v>
      </c>
      <c r="HA3" s="18">
        <f t="shared" si="13"/>
        <v>8</v>
      </c>
      <c r="HB3" s="18">
        <f t="shared" si="13"/>
        <v>8</v>
      </c>
      <c r="HC3" s="18">
        <f t="shared" si="13"/>
        <v>8</v>
      </c>
      <c r="HD3" s="18">
        <f t="shared" si="13"/>
        <v>8</v>
      </c>
      <c r="HE3" s="18">
        <f t="shared" si="13"/>
        <v>8</v>
      </c>
      <c r="HF3" s="18">
        <f t="shared" si="13"/>
        <v>8</v>
      </c>
      <c r="HG3" s="18">
        <f t="shared" si="13"/>
        <v>8</v>
      </c>
      <c r="HH3" s="18">
        <f t="shared" si="13"/>
        <v>8</v>
      </c>
      <c r="HI3" s="18">
        <f t="shared" si="13"/>
        <v>8</v>
      </c>
      <c r="HJ3" s="18">
        <f t="shared" si="13"/>
        <v>8</v>
      </c>
      <c r="HK3" s="18">
        <f t="shared" si="13"/>
        <v>8</v>
      </c>
      <c r="HL3" s="18">
        <f t="shared" si="13"/>
        <v>8</v>
      </c>
      <c r="HM3" s="18">
        <f t="shared" si="13"/>
        <v>7</v>
      </c>
      <c r="HN3" s="18">
        <f t="shared" si="13"/>
        <v>7</v>
      </c>
      <c r="HO3" s="18">
        <f t="shared" si="13"/>
        <v>7</v>
      </c>
      <c r="HP3" s="18">
        <f t="shared" si="13"/>
        <v>7</v>
      </c>
      <c r="HQ3" s="18">
        <f t="shared" si="13"/>
        <v>7</v>
      </c>
      <c r="HR3" s="18">
        <f t="shared" si="13"/>
        <v>7</v>
      </c>
      <c r="HS3" s="18">
        <f t="shared" si="13"/>
        <v>7</v>
      </c>
      <c r="HT3" s="18">
        <f t="shared" si="13"/>
        <v>7</v>
      </c>
      <c r="HU3" s="18">
        <f t="shared" si="13"/>
        <v>7</v>
      </c>
      <c r="HV3" s="18">
        <f t="shared" si="13"/>
        <v>7</v>
      </c>
      <c r="HW3" s="18">
        <f t="shared" si="13"/>
        <v>7</v>
      </c>
      <c r="HX3" s="18">
        <f t="shared" si="13"/>
        <v>8</v>
      </c>
    </row>
    <row r="4" spans="1:232" hidden="1" x14ac:dyDescent="0.2">
      <c r="E4" s="18" t="s">
        <v>127</v>
      </c>
      <c r="F4" s="18" t="s">
        <v>135</v>
      </c>
      <c r="G4" s="18">
        <f t="shared" ref="G4:AL4" si="14">COUNTIFS(G$19:G$75,"=1",$C$19:$C$75,"A",$D$19:$D$75,"5.2",$E$19:$E$75,"Lomitas",$F$19:$F$75,"Mar")</f>
        <v>10</v>
      </c>
      <c r="H4" s="18">
        <f t="shared" si="14"/>
        <v>10</v>
      </c>
      <c r="I4" s="18">
        <f t="shared" si="14"/>
        <v>10</v>
      </c>
      <c r="J4" s="18">
        <f t="shared" si="14"/>
        <v>10</v>
      </c>
      <c r="K4" s="18">
        <f t="shared" si="14"/>
        <v>10</v>
      </c>
      <c r="L4" s="18">
        <f t="shared" si="14"/>
        <v>10</v>
      </c>
      <c r="M4" s="18">
        <f t="shared" si="14"/>
        <v>10</v>
      </c>
      <c r="N4" s="18">
        <f t="shared" si="14"/>
        <v>10</v>
      </c>
      <c r="O4" s="18">
        <f t="shared" si="14"/>
        <v>10</v>
      </c>
      <c r="P4" s="18">
        <f t="shared" si="14"/>
        <v>10</v>
      </c>
      <c r="Q4" s="18">
        <f t="shared" si="14"/>
        <v>10</v>
      </c>
      <c r="R4" s="18">
        <f t="shared" si="14"/>
        <v>10</v>
      </c>
      <c r="S4" s="18">
        <f t="shared" si="14"/>
        <v>10</v>
      </c>
      <c r="T4" s="18">
        <f t="shared" si="14"/>
        <v>10</v>
      </c>
      <c r="U4" s="18">
        <f t="shared" si="14"/>
        <v>10</v>
      </c>
      <c r="V4" s="18">
        <f t="shared" si="14"/>
        <v>10</v>
      </c>
      <c r="W4" s="18">
        <f t="shared" si="14"/>
        <v>10</v>
      </c>
      <c r="X4" s="18">
        <f t="shared" si="14"/>
        <v>10</v>
      </c>
      <c r="Y4" s="18">
        <f t="shared" si="14"/>
        <v>10</v>
      </c>
      <c r="Z4" s="18">
        <f t="shared" si="14"/>
        <v>10</v>
      </c>
      <c r="AA4" s="18">
        <f t="shared" si="14"/>
        <v>10</v>
      </c>
      <c r="AB4" s="18">
        <f t="shared" si="14"/>
        <v>10</v>
      </c>
      <c r="AC4" s="18">
        <f t="shared" si="14"/>
        <v>10</v>
      </c>
      <c r="AD4" s="18">
        <f t="shared" si="14"/>
        <v>10</v>
      </c>
      <c r="AE4" s="18">
        <f t="shared" si="14"/>
        <v>10</v>
      </c>
      <c r="AF4" s="18">
        <f t="shared" si="14"/>
        <v>10</v>
      </c>
      <c r="AG4" s="18">
        <f t="shared" si="14"/>
        <v>10</v>
      </c>
      <c r="AH4" s="18">
        <f t="shared" si="14"/>
        <v>10</v>
      </c>
      <c r="AI4" s="18">
        <f t="shared" si="14"/>
        <v>10</v>
      </c>
      <c r="AJ4" s="18">
        <f t="shared" si="14"/>
        <v>10</v>
      </c>
      <c r="AK4" s="18">
        <f t="shared" si="14"/>
        <v>10</v>
      </c>
      <c r="AL4" s="18">
        <f t="shared" si="14"/>
        <v>10</v>
      </c>
      <c r="AM4" s="18">
        <f t="shared" ref="AM4:BS4" si="15">COUNTIFS(AM$19:AM$75,"=1",$C$19:$C$75,"A",$D$19:$D$75,"5.2",$E$19:$E$75,"Lomitas",$F$19:$F$75,"Mar")</f>
        <v>10</v>
      </c>
      <c r="AN4" s="18">
        <f t="shared" si="15"/>
        <v>10</v>
      </c>
      <c r="AO4" s="18">
        <f t="shared" si="15"/>
        <v>10</v>
      </c>
      <c r="AP4" s="18">
        <f t="shared" si="15"/>
        <v>10</v>
      </c>
      <c r="AQ4" s="18">
        <f t="shared" si="15"/>
        <v>10</v>
      </c>
      <c r="AR4" s="18">
        <f t="shared" si="15"/>
        <v>10</v>
      </c>
      <c r="AS4" s="18">
        <f t="shared" si="15"/>
        <v>10</v>
      </c>
      <c r="AT4" s="18">
        <f t="shared" si="15"/>
        <v>10</v>
      </c>
      <c r="AU4" s="18">
        <f t="shared" si="15"/>
        <v>10</v>
      </c>
      <c r="AV4" s="18">
        <f t="shared" si="15"/>
        <v>10</v>
      </c>
      <c r="AW4" s="18">
        <f t="shared" si="15"/>
        <v>10</v>
      </c>
      <c r="AX4" s="18">
        <f t="shared" si="15"/>
        <v>10</v>
      </c>
      <c r="AY4" s="18">
        <f t="shared" si="15"/>
        <v>10</v>
      </c>
      <c r="AZ4" s="18">
        <f t="shared" si="15"/>
        <v>10</v>
      </c>
      <c r="BA4" s="18">
        <f t="shared" si="15"/>
        <v>9</v>
      </c>
      <c r="BB4" s="18">
        <f t="shared" si="15"/>
        <v>9</v>
      </c>
      <c r="BC4" s="18">
        <f t="shared" si="15"/>
        <v>9</v>
      </c>
      <c r="BD4" s="18">
        <f t="shared" si="15"/>
        <v>9</v>
      </c>
      <c r="BE4" s="18">
        <f t="shared" si="15"/>
        <v>9</v>
      </c>
      <c r="BF4" s="18">
        <f t="shared" si="15"/>
        <v>9</v>
      </c>
      <c r="BG4" s="18">
        <f t="shared" si="15"/>
        <v>9</v>
      </c>
      <c r="BH4" s="18">
        <f t="shared" si="15"/>
        <v>9</v>
      </c>
      <c r="BI4" s="18">
        <f t="shared" si="15"/>
        <v>9</v>
      </c>
      <c r="BJ4" s="18">
        <f t="shared" si="15"/>
        <v>9</v>
      </c>
      <c r="BK4" s="18">
        <f t="shared" si="15"/>
        <v>9</v>
      </c>
      <c r="BL4" s="18">
        <f t="shared" si="15"/>
        <v>10</v>
      </c>
      <c r="BM4" s="18">
        <f t="shared" si="15"/>
        <v>12</v>
      </c>
      <c r="BN4" s="18">
        <f t="shared" si="15"/>
        <v>12</v>
      </c>
      <c r="BO4" s="18">
        <f t="shared" si="15"/>
        <v>12</v>
      </c>
      <c r="BP4" s="18">
        <f t="shared" si="15"/>
        <v>12</v>
      </c>
      <c r="BQ4" s="18">
        <f t="shared" si="15"/>
        <v>12</v>
      </c>
      <c r="BR4" s="18">
        <f t="shared" si="15"/>
        <v>12</v>
      </c>
      <c r="BS4" s="18">
        <f t="shared" si="15"/>
        <v>12</v>
      </c>
      <c r="BT4" s="18">
        <f t="shared" ref="BT4:EE4" si="16">COUNTIFS(BT$19:BT$75,"=1",$C$19:$C$75,"A",$D$19:$D$75,"5.2",$E$19:$E$75,"Lomitas",$F$19:$F$75,"Mar")</f>
        <v>12</v>
      </c>
      <c r="BU4" s="18">
        <f t="shared" si="16"/>
        <v>12</v>
      </c>
      <c r="BV4" s="18">
        <f t="shared" si="16"/>
        <v>12</v>
      </c>
      <c r="BW4" s="18">
        <f t="shared" si="16"/>
        <v>12</v>
      </c>
      <c r="BX4" s="18">
        <f t="shared" si="16"/>
        <v>12</v>
      </c>
      <c r="BY4" s="18">
        <f t="shared" si="16"/>
        <v>11</v>
      </c>
      <c r="BZ4" s="18">
        <f t="shared" si="16"/>
        <v>11</v>
      </c>
      <c r="CA4" s="18">
        <f t="shared" si="16"/>
        <v>11</v>
      </c>
      <c r="CB4" s="18">
        <f t="shared" si="16"/>
        <v>11</v>
      </c>
      <c r="CC4" s="18">
        <f t="shared" si="16"/>
        <v>11</v>
      </c>
      <c r="CD4" s="18">
        <f t="shared" si="16"/>
        <v>11</v>
      </c>
      <c r="CE4" s="18">
        <f t="shared" si="16"/>
        <v>11</v>
      </c>
      <c r="CF4" s="18">
        <f t="shared" si="16"/>
        <v>11</v>
      </c>
      <c r="CG4" s="18">
        <f t="shared" si="16"/>
        <v>11</v>
      </c>
      <c r="CH4" s="18">
        <f t="shared" si="16"/>
        <v>11</v>
      </c>
      <c r="CI4" s="18">
        <f t="shared" si="16"/>
        <v>11</v>
      </c>
      <c r="CJ4" s="18">
        <f t="shared" si="16"/>
        <v>12</v>
      </c>
      <c r="CK4" s="18">
        <f t="shared" si="16"/>
        <v>12</v>
      </c>
      <c r="CL4" s="18">
        <f t="shared" si="16"/>
        <v>12</v>
      </c>
      <c r="CM4" s="18">
        <f t="shared" si="16"/>
        <v>12</v>
      </c>
      <c r="CN4" s="18">
        <f t="shared" si="16"/>
        <v>12</v>
      </c>
      <c r="CO4" s="18">
        <f t="shared" si="16"/>
        <v>12</v>
      </c>
      <c r="CP4" s="18">
        <f t="shared" si="16"/>
        <v>12</v>
      </c>
      <c r="CQ4" s="18">
        <f t="shared" si="16"/>
        <v>12</v>
      </c>
      <c r="CR4" s="18">
        <f t="shared" si="16"/>
        <v>12</v>
      </c>
      <c r="CS4" s="18">
        <f t="shared" si="16"/>
        <v>12</v>
      </c>
      <c r="CT4" s="18">
        <f t="shared" si="16"/>
        <v>12</v>
      </c>
      <c r="CU4" s="18">
        <f t="shared" si="16"/>
        <v>12</v>
      </c>
      <c r="CV4" s="18">
        <f t="shared" si="16"/>
        <v>12</v>
      </c>
      <c r="CW4" s="18">
        <f t="shared" si="16"/>
        <v>11</v>
      </c>
      <c r="CX4" s="18">
        <f t="shared" si="16"/>
        <v>11</v>
      </c>
      <c r="CY4" s="18">
        <f t="shared" si="16"/>
        <v>11</v>
      </c>
      <c r="CZ4" s="18">
        <f t="shared" si="16"/>
        <v>11</v>
      </c>
      <c r="DA4" s="18">
        <f t="shared" si="16"/>
        <v>11</v>
      </c>
      <c r="DB4" s="18">
        <f t="shared" si="16"/>
        <v>11</v>
      </c>
      <c r="DC4" s="18">
        <f t="shared" si="16"/>
        <v>11</v>
      </c>
      <c r="DD4" s="18">
        <f t="shared" si="16"/>
        <v>11</v>
      </c>
      <c r="DE4" s="18">
        <f t="shared" si="16"/>
        <v>11</v>
      </c>
      <c r="DF4" s="18">
        <f t="shared" si="16"/>
        <v>11</v>
      </c>
      <c r="DG4" s="18">
        <f t="shared" si="16"/>
        <v>11</v>
      </c>
      <c r="DH4" s="18">
        <f t="shared" si="16"/>
        <v>12</v>
      </c>
      <c r="DI4" s="18">
        <f t="shared" si="16"/>
        <v>12</v>
      </c>
      <c r="DJ4" s="18">
        <f t="shared" si="16"/>
        <v>12</v>
      </c>
      <c r="DK4" s="18">
        <f t="shared" si="16"/>
        <v>12</v>
      </c>
      <c r="DL4" s="18">
        <f t="shared" si="16"/>
        <v>12</v>
      </c>
      <c r="DM4" s="18">
        <f t="shared" si="16"/>
        <v>12</v>
      </c>
      <c r="DN4" s="18">
        <f t="shared" si="16"/>
        <v>12</v>
      </c>
      <c r="DO4" s="18">
        <f t="shared" si="16"/>
        <v>12</v>
      </c>
      <c r="DP4" s="18">
        <f t="shared" si="16"/>
        <v>12</v>
      </c>
      <c r="DQ4" s="18">
        <f t="shared" si="16"/>
        <v>12</v>
      </c>
      <c r="DR4" s="18">
        <f t="shared" si="16"/>
        <v>12</v>
      </c>
      <c r="DS4" s="18">
        <f t="shared" si="16"/>
        <v>12</v>
      </c>
      <c r="DT4" s="18">
        <f t="shared" si="16"/>
        <v>12</v>
      </c>
      <c r="DU4" s="18">
        <f t="shared" si="16"/>
        <v>11</v>
      </c>
      <c r="DV4" s="18">
        <f t="shared" si="16"/>
        <v>11</v>
      </c>
      <c r="DW4" s="18">
        <f t="shared" si="16"/>
        <v>11</v>
      </c>
      <c r="DX4" s="18">
        <f t="shared" si="16"/>
        <v>11</v>
      </c>
      <c r="DY4" s="18">
        <f t="shared" si="16"/>
        <v>11</v>
      </c>
      <c r="DZ4" s="18">
        <f t="shared" si="16"/>
        <v>11</v>
      </c>
      <c r="EA4" s="18">
        <f t="shared" si="16"/>
        <v>11</v>
      </c>
      <c r="EB4" s="18">
        <f t="shared" si="16"/>
        <v>11</v>
      </c>
      <c r="EC4" s="18">
        <f t="shared" si="16"/>
        <v>11</v>
      </c>
      <c r="ED4" s="18">
        <f t="shared" si="16"/>
        <v>11</v>
      </c>
      <c r="EE4" s="18">
        <f t="shared" si="16"/>
        <v>11</v>
      </c>
      <c r="EF4" s="18">
        <f t="shared" ref="EF4:GQ4" si="17">COUNTIFS(EF$19:EF$75,"=1",$C$19:$C$75,"A",$D$19:$D$75,"5.2",$E$19:$E$75,"Lomitas",$F$19:$F$75,"Mar")</f>
        <v>12</v>
      </c>
      <c r="EG4" s="18">
        <f t="shared" si="17"/>
        <v>12</v>
      </c>
      <c r="EH4" s="18">
        <f t="shared" si="17"/>
        <v>12</v>
      </c>
      <c r="EI4" s="18">
        <f t="shared" si="17"/>
        <v>12</v>
      </c>
      <c r="EJ4" s="18">
        <f t="shared" si="17"/>
        <v>12</v>
      </c>
      <c r="EK4" s="18">
        <f t="shared" si="17"/>
        <v>12</v>
      </c>
      <c r="EL4" s="18">
        <f t="shared" si="17"/>
        <v>12</v>
      </c>
      <c r="EM4" s="18">
        <f t="shared" si="17"/>
        <v>12</v>
      </c>
      <c r="EN4" s="18">
        <f t="shared" si="17"/>
        <v>12</v>
      </c>
      <c r="EO4" s="18">
        <f t="shared" si="17"/>
        <v>12</v>
      </c>
      <c r="EP4" s="18">
        <f t="shared" si="17"/>
        <v>12</v>
      </c>
      <c r="EQ4" s="18">
        <f t="shared" si="17"/>
        <v>12</v>
      </c>
      <c r="ER4" s="18">
        <f t="shared" si="17"/>
        <v>12</v>
      </c>
      <c r="ES4" s="18">
        <f t="shared" si="17"/>
        <v>11</v>
      </c>
      <c r="ET4" s="18">
        <f t="shared" si="17"/>
        <v>11</v>
      </c>
      <c r="EU4" s="18">
        <f t="shared" si="17"/>
        <v>11</v>
      </c>
      <c r="EV4" s="18">
        <f t="shared" si="17"/>
        <v>11</v>
      </c>
      <c r="EW4" s="18">
        <f t="shared" si="17"/>
        <v>11</v>
      </c>
      <c r="EX4" s="18">
        <f t="shared" si="17"/>
        <v>11</v>
      </c>
      <c r="EY4" s="18">
        <f t="shared" si="17"/>
        <v>11</v>
      </c>
      <c r="EZ4" s="18">
        <f t="shared" si="17"/>
        <v>11</v>
      </c>
      <c r="FA4" s="18">
        <f t="shared" si="17"/>
        <v>11</v>
      </c>
      <c r="FB4" s="18">
        <f t="shared" si="17"/>
        <v>11</v>
      </c>
      <c r="FC4" s="18">
        <f t="shared" si="17"/>
        <v>11</v>
      </c>
      <c r="FD4" s="18">
        <f t="shared" si="17"/>
        <v>12</v>
      </c>
      <c r="FE4" s="18">
        <f t="shared" si="17"/>
        <v>12</v>
      </c>
      <c r="FF4" s="18">
        <f t="shared" si="17"/>
        <v>12</v>
      </c>
      <c r="FG4" s="18">
        <f t="shared" si="17"/>
        <v>12</v>
      </c>
      <c r="FH4" s="18">
        <f t="shared" si="17"/>
        <v>12</v>
      </c>
      <c r="FI4" s="18">
        <f t="shared" si="17"/>
        <v>12</v>
      </c>
      <c r="FJ4" s="18">
        <f t="shared" si="17"/>
        <v>12</v>
      </c>
      <c r="FK4" s="18">
        <f t="shared" si="17"/>
        <v>12</v>
      </c>
      <c r="FL4" s="18">
        <f t="shared" si="17"/>
        <v>12</v>
      </c>
      <c r="FM4" s="18">
        <f t="shared" si="17"/>
        <v>12</v>
      </c>
      <c r="FN4" s="18">
        <f t="shared" si="17"/>
        <v>12</v>
      </c>
      <c r="FO4" s="18">
        <f t="shared" si="17"/>
        <v>12</v>
      </c>
      <c r="FP4" s="18">
        <f t="shared" si="17"/>
        <v>12</v>
      </c>
      <c r="FQ4" s="18">
        <f t="shared" si="17"/>
        <v>11</v>
      </c>
      <c r="FR4" s="18">
        <f t="shared" si="17"/>
        <v>11</v>
      </c>
      <c r="FS4" s="18">
        <f t="shared" si="17"/>
        <v>11</v>
      </c>
      <c r="FT4" s="18">
        <f t="shared" si="17"/>
        <v>11</v>
      </c>
      <c r="FU4" s="18">
        <f t="shared" si="17"/>
        <v>11</v>
      </c>
      <c r="FV4" s="18">
        <f t="shared" si="17"/>
        <v>11</v>
      </c>
      <c r="FW4" s="18">
        <f t="shared" si="17"/>
        <v>11</v>
      </c>
      <c r="FX4" s="18">
        <f t="shared" si="17"/>
        <v>11</v>
      </c>
      <c r="FY4" s="18">
        <f t="shared" si="17"/>
        <v>11</v>
      </c>
      <c r="FZ4" s="18">
        <f t="shared" si="17"/>
        <v>11</v>
      </c>
      <c r="GA4" s="18">
        <f t="shared" si="17"/>
        <v>11</v>
      </c>
      <c r="GB4" s="18">
        <f t="shared" si="17"/>
        <v>12</v>
      </c>
      <c r="GC4" s="18">
        <f t="shared" si="17"/>
        <v>12</v>
      </c>
      <c r="GD4" s="18">
        <f t="shared" si="17"/>
        <v>12</v>
      </c>
      <c r="GE4" s="18">
        <f t="shared" si="17"/>
        <v>12</v>
      </c>
      <c r="GF4" s="18">
        <f t="shared" si="17"/>
        <v>12</v>
      </c>
      <c r="GG4" s="18">
        <f t="shared" si="17"/>
        <v>12</v>
      </c>
      <c r="GH4" s="18">
        <f t="shared" si="17"/>
        <v>12</v>
      </c>
      <c r="GI4" s="18">
        <f t="shared" si="17"/>
        <v>12</v>
      </c>
      <c r="GJ4" s="18">
        <f t="shared" si="17"/>
        <v>12</v>
      </c>
      <c r="GK4" s="18">
        <f t="shared" si="17"/>
        <v>12</v>
      </c>
      <c r="GL4" s="18">
        <f t="shared" si="17"/>
        <v>12</v>
      </c>
      <c r="GM4" s="18">
        <f t="shared" si="17"/>
        <v>12</v>
      </c>
      <c r="GN4" s="18">
        <f t="shared" si="17"/>
        <v>12</v>
      </c>
      <c r="GO4" s="18">
        <f t="shared" si="17"/>
        <v>11</v>
      </c>
      <c r="GP4" s="18">
        <f t="shared" si="17"/>
        <v>11</v>
      </c>
      <c r="GQ4" s="18">
        <f t="shared" si="17"/>
        <v>11</v>
      </c>
      <c r="GR4" s="18">
        <f t="shared" ref="GR4:HX4" si="18">COUNTIFS(GR$19:GR$75,"=1",$C$19:$C$75,"A",$D$19:$D$75,"5.2",$E$19:$E$75,"Lomitas",$F$19:$F$75,"Mar")</f>
        <v>11</v>
      </c>
      <c r="GS4" s="18">
        <f t="shared" si="18"/>
        <v>11</v>
      </c>
      <c r="GT4" s="18">
        <f t="shared" si="18"/>
        <v>11</v>
      </c>
      <c r="GU4" s="18">
        <f t="shared" si="18"/>
        <v>11</v>
      </c>
      <c r="GV4" s="18">
        <f t="shared" si="18"/>
        <v>11</v>
      </c>
      <c r="GW4" s="18">
        <f t="shared" si="18"/>
        <v>11</v>
      </c>
      <c r="GX4" s="18">
        <f t="shared" si="18"/>
        <v>11</v>
      </c>
      <c r="GY4" s="18">
        <f t="shared" si="18"/>
        <v>11</v>
      </c>
      <c r="GZ4" s="18">
        <f t="shared" si="18"/>
        <v>12</v>
      </c>
      <c r="HA4" s="18">
        <f t="shared" si="18"/>
        <v>12</v>
      </c>
      <c r="HB4" s="18">
        <f t="shared" si="18"/>
        <v>12</v>
      </c>
      <c r="HC4" s="18">
        <f t="shared" si="18"/>
        <v>12</v>
      </c>
      <c r="HD4" s="18">
        <f t="shared" si="18"/>
        <v>12</v>
      </c>
      <c r="HE4" s="18">
        <f t="shared" si="18"/>
        <v>12</v>
      </c>
      <c r="HF4" s="18">
        <f t="shared" si="18"/>
        <v>12</v>
      </c>
      <c r="HG4" s="18">
        <f t="shared" si="18"/>
        <v>12</v>
      </c>
      <c r="HH4" s="18">
        <f t="shared" si="18"/>
        <v>12</v>
      </c>
      <c r="HI4" s="18">
        <f t="shared" si="18"/>
        <v>12</v>
      </c>
      <c r="HJ4" s="18">
        <f t="shared" si="18"/>
        <v>12</v>
      </c>
      <c r="HK4" s="18">
        <f t="shared" si="18"/>
        <v>12</v>
      </c>
      <c r="HL4" s="18">
        <f t="shared" si="18"/>
        <v>12</v>
      </c>
      <c r="HM4" s="18">
        <f t="shared" si="18"/>
        <v>11</v>
      </c>
      <c r="HN4" s="18">
        <f t="shared" si="18"/>
        <v>11</v>
      </c>
      <c r="HO4" s="18">
        <f t="shared" si="18"/>
        <v>11</v>
      </c>
      <c r="HP4" s="18">
        <f t="shared" si="18"/>
        <v>11</v>
      </c>
      <c r="HQ4" s="18">
        <f t="shared" si="18"/>
        <v>11</v>
      </c>
      <c r="HR4" s="18">
        <f t="shared" si="18"/>
        <v>11</v>
      </c>
      <c r="HS4" s="18">
        <f t="shared" si="18"/>
        <v>11</v>
      </c>
      <c r="HT4" s="18">
        <f t="shared" si="18"/>
        <v>11</v>
      </c>
      <c r="HU4" s="18">
        <f t="shared" si="18"/>
        <v>11</v>
      </c>
      <c r="HV4" s="18">
        <f t="shared" si="18"/>
        <v>11</v>
      </c>
      <c r="HW4" s="18">
        <f t="shared" si="18"/>
        <v>11</v>
      </c>
      <c r="HX4" s="18">
        <f t="shared" si="18"/>
        <v>12</v>
      </c>
    </row>
    <row r="5" spans="1:232" hidden="1" x14ac:dyDescent="0.2">
      <c r="A5" s="71"/>
      <c r="B5" s="36"/>
      <c r="E5" s="18" t="s">
        <v>128</v>
      </c>
      <c r="F5" s="18" t="s">
        <v>133</v>
      </c>
      <c r="G5" s="18">
        <f t="shared" ref="G5:AL5" si="19">COUNTIFS(G$19:G$75,"=1",$C$19:$C$75,"A",$D$19:$D$75,"5.2",$E$19:$E$75,"Expansión",$F$19:$F$75,"Cerro")</f>
        <v>2</v>
      </c>
      <c r="H5" s="18">
        <f t="shared" si="19"/>
        <v>2</v>
      </c>
      <c r="I5" s="18">
        <f t="shared" si="19"/>
        <v>2</v>
      </c>
      <c r="J5" s="18">
        <f t="shared" si="19"/>
        <v>2</v>
      </c>
      <c r="K5" s="18">
        <f t="shared" si="19"/>
        <v>2</v>
      </c>
      <c r="L5" s="18">
        <f t="shared" si="19"/>
        <v>2</v>
      </c>
      <c r="M5" s="18">
        <f t="shared" si="19"/>
        <v>2</v>
      </c>
      <c r="N5" s="18">
        <f t="shared" si="19"/>
        <v>2</v>
      </c>
      <c r="O5" s="18">
        <f t="shared" si="19"/>
        <v>2</v>
      </c>
      <c r="P5" s="18">
        <f t="shared" si="19"/>
        <v>2</v>
      </c>
      <c r="Q5" s="18">
        <f t="shared" si="19"/>
        <v>2</v>
      </c>
      <c r="R5" s="18">
        <f t="shared" si="19"/>
        <v>2</v>
      </c>
      <c r="S5" s="18">
        <f t="shared" si="19"/>
        <v>2</v>
      </c>
      <c r="T5" s="18">
        <f t="shared" si="19"/>
        <v>2</v>
      </c>
      <c r="U5" s="18">
        <f t="shared" si="19"/>
        <v>2</v>
      </c>
      <c r="V5" s="18">
        <f t="shared" si="19"/>
        <v>2</v>
      </c>
      <c r="W5" s="18">
        <f t="shared" si="19"/>
        <v>2</v>
      </c>
      <c r="X5" s="18">
        <f t="shared" si="19"/>
        <v>2</v>
      </c>
      <c r="Y5" s="18">
        <f t="shared" si="19"/>
        <v>2</v>
      </c>
      <c r="Z5" s="18">
        <f t="shared" si="19"/>
        <v>2</v>
      </c>
      <c r="AA5" s="18">
        <f t="shared" si="19"/>
        <v>2</v>
      </c>
      <c r="AB5" s="18">
        <f t="shared" si="19"/>
        <v>2</v>
      </c>
      <c r="AC5" s="18">
        <f t="shared" si="19"/>
        <v>2</v>
      </c>
      <c r="AD5" s="18">
        <f t="shared" si="19"/>
        <v>2</v>
      </c>
      <c r="AE5" s="18">
        <f t="shared" si="19"/>
        <v>2</v>
      </c>
      <c r="AF5" s="18">
        <f t="shared" si="19"/>
        <v>2</v>
      </c>
      <c r="AG5" s="18">
        <f t="shared" si="19"/>
        <v>2</v>
      </c>
      <c r="AH5" s="18">
        <f t="shared" si="19"/>
        <v>2</v>
      </c>
      <c r="AI5" s="18">
        <f t="shared" si="19"/>
        <v>2</v>
      </c>
      <c r="AJ5" s="18">
        <f t="shared" si="19"/>
        <v>2</v>
      </c>
      <c r="AK5" s="18">
        <f t="shared" si="19"/>
        <v>2</v>
      </c>
      <c r="AL5" s="18">
        <f t="shared" si="19"/>
        <v>2</v>
      </c>
      <c r="AM5" s="18">
        <f t="shared" ref="AM5:BS5" si="20">COUNTIFS(AM$19:AM$75,"=1",$C$19:$C$75,"A",$D$19:$D$75,"5.2",$E$19:$E$75,"Expansión",$F$19:$F$75,"Cerro")</f>
        <v>2</v>
      </c>
      <c r="AN5" s="18">
        <f t="shared" si="20"/>
        <v>2</v>
      </c>
      <c r="AO5" s="18">
        <f t="shared" si="20"/>
        <v>2</v>
      </c>
      <c r="AP5" s="18">
        <f t="shared" si="20"/>
        <v>2</v>
      </c>
      <c r="AQ5" s="18">
        <f t="shared" si="20"/>
        <v>2</v>
      </c>
      <c r="AR5" s="18">
        <f t="shared" si="20"/>
        <v>2</v>
      </c>
      <c r="AS5" s="18">
        <f t="shared" si="20"/>
        <v>2</v>
      </c>
      <c r="AT5" s="18">
        <f t="shared" si="20"/>
        <v>2</v>
      </c>
      <c r="AU5" s="18">
        <f t="shared" si="20"/>
        <v>2</v>
      </c>
      <c r="AV5" s="18">
        <f t="shared" si="20"/>
        <v>2</v>
      </c>
      <c r="AW5" s="18">
        <f t="shared" si="20"/>
        <v>2</v>
      </c>
      <c r="AX5" s="18">
        <f t="shared" si="20"/>
        <v>2</v>
      </c>
      <c r="AY5" s="18">
        <f t="shared" si="20"/>
        <v>2</v>
      </c>
      <c r="AZ5" s="18">
        <f t="shared" si="20"/>
        <v>2</v>
      </c>
      <c r="BA5" s="18">
        <f t="shared" si="20"/>
        <v>1</v>
      </c>
      <c r="BB5" s="18">
        <f t="shared" si="20"/>
        <v>1</v>
      </c>
      <c r="BC5" s="18">
        <f t="shared" si="20"/>
        <v>1</v>
      </c>
      <c r="BD5" s="18">
        <f t="shared" si="20"/>
        <v>1</v>
      </c>
      <c r="BE5" s="18">
        <f t="shared" si="20"/>
        <v>1</v>
      </c>
      <c r="BF5" s="18">
        <f t="shared" si="20"/>
        <v>1</v>
      </c>
      <c r="BG5" s="18">
        <f t="shared" si="20"/>
        <v>1</v>
      </c>
      <c r="BH5" s="18">
        <f t="shared" si="20"/>
        <v>1</v>
      </c>
      <c r="BI5" s="18">
        <f t="shared" si="20"/>
        <v>1</v>
      </c>
      <c r="BJ5" s="18">
        <f t="shared" si="20"/>
        <v>1</v>
      </c>
      <c r="BK5" s="18">
        <f t="shared" si="20"/>
        <v>1</v>
      </c>
      <c r="BL5" s="18">
        <f t="shared" si="20"/>
        <v>1</v>
      </c>
      <c r="BM5" s="18">
        <f t="shared" si="20"/>
        <v>1</v>
      </c>
      <c r="BN5" s="18">
        <f t="shared" si="20"/>
        <v>1</v>
      </c>
      <c r="BO5" s="18">
        <f t="shared" si="20"/>
        <v>1</v>
      </c>
      <c r="BP5" s="18">
        <f t="shared" si="20"/>
        <v>1</v>
      </c>
      <c r="BQ5" s="18">
        <f t="shared" si="20"/>
        <v>1</v>
      </c>
      <c r="BR5" s="18">
        <f t="shared" si="20"/>
        <v>1</v>
      </c>
      <c r="BS5" s="18">
        <f t="shared" si="20"/>
        <v>1</v>
      </c>
      <c r="BT5" s="18">
        <f t="shared" ref="BT5:EE5" si="21">COUNTIFS(BT$19:BT$75,"=1",$C$19:$C$75,"A",$D$19:$D$75,"5.2",$E$19:$E$75,"Expansión",$F$19:$F$75,"Cerro")</f>
        <v>1</v>
      </c>
      <c r="BU5" s="18">
        <f t="shared" si="21"/>
        <v>1</v>
      </c>
      <c r="BV5" s="18">
        <f t="shared" si="21"/>
        <v>1</v>
      </c>
      <c r="BW5" s="18">
        <f t="shared" si="21"/>
        <v>1</v>
      </c>
      <c r="BX5" s="18">
        <f t="shared" si="21"/>
        <v>1</v>
      </c>
      <c r="BY5" s="18">
        <f t="shared" si="21"/>
        <v>1</v>
      </c>
      <c r="BZ5" s="18">
        <f t="shared" si="21"/>
        <v>1</v>
      </c>
      <c r="CA5" s="18">
        <f t="shared" si="21"/>
        <v>1</v>
      </c>
      <c r="CB5" s="18">
        <f t="shared" si="21"/>
        <v>1</v>
      </c>
      <c r="CC5" s="18">
        <f t="shared" si="21"/>
        <v>1</v>
      </c>
      <c r="CD5" s="18">
        <f t="shared" si="21"/>
        <v>1</v>
      </c>
      <c r="CE5" s="18">
        <f t="shared" si="21"/>
        <v>1</v>
      </c>
      <c r="CF5" s="18">
        <f t="shared" si="21"/>
        <v>1</v>
      </c>
      <c r="CG5" s="18">
        <f t="shared" si="21"/>
        <v>1</v>
      </c>
      <c r="CH5" s="18">
        <f t="shared" si="21"/>
        <v>1</v>
      </c>
      <c r="CI5" s="18">
        <f t="shared" si="21"/>
        <v>1</v>
      </c>
      <c r="CJ5" s="18">
        <f t="shared" si="21"/>
        <v>1</v>
      </c>
      <c r="CK5" s="18">
        <f t="shared" si="21"/>
        <v>1</v>
      </c>
      <c r="CL5" s="18">
        <f t="shared" si="21"/>
        <v>1</v>
      </c>
      <c r="CM5" s="18">
        <f t="shared" si="21"/>
        <v>1</v>
      </c>
      <c r="CN5" s="18">
        <f t="shared" si="21"/>
        <v>1</v>
      </c>
      <c r="CO5" s="18">
        <f t="shared" si="21"/>
        <v>1</v>
      </c>
      <c r="CP5" s="18">
        <f t="shared" si="21"/>
        <v>1</v>
      </c>
      <c r="CQ5" s="18">
        <f t="shared" si="21"/>
        <v>1</v>
      </c>
      <c r="CR5" s="18">
        <f t="shared" si="21"/>
        <v>1</v>
      </c>
      <c r="CS5" s="18">
        <f t="shared" si="21"/>
        <v>1</v>
      </c>
      <c r="CT5" s="18">
        <f t="shared" si="21"/>
        <v>1</v>
      </c>
      <c r="CU5" s="18">
        <f t="shared" si="21"/>
        <v>1</v>
      </c>
      <c r="CV5" s="18">
        <f t="shared" si="21"/>
        <v>1</v>
      </c>
      <c r="CW5" s="18">
        <f t="shared" si="21"/>
        <v>1</v>
      </c>
      <c r="CX5" s="18">
        <f t="shared" si="21"/>
        <v>1</v>
      </c>
      <c r="CY5" s="18">
        <f t="shared" si="21"/>
        <v>1</v>
      </c>
      <c r="CZ5" s="18">
        <f t="shared" si="21"/>
        <v>1</v>
      </c>
      <c r="DA5" s="18">
        <f t="shared" si="21"/>
        <v>1</v>
      </c>
      <c r="DB5" s="18">
        <f t="shared" si="21"/>
        <v>1</v>
      </c>
      <c r="DC5" s="18">
        <f t="shared" si="21"/>
        <v>1</v>
      </c>
      <c r="DD5" s="18">
        <f t="shared" si="21"/>
        <v>1</v>
      </c>
      <c r="DE5" s="18">
        <f t="shared" si="21"/>
        <v>1</v>
      </c>
      <c r="DF5" s="18">
        <f t="shared" si="21"/>
        <v>1</v>
      </c>
      <c r="DG5" s="18">
        <f t="shared" si="21"/>
        <v>1</v>
      </c>
      <c r="DH5" s="18">
        <f t="shared" si="21"/>
        <v>1</v>
      </c>
      <c r="DI5" s="18">
        <f t="shared" si="21"/>
        <v>1</v>
      </c>
      <c r="DJ5" s="18">
        <f t="shared" si="21"/>
        <v>1</v>
      </c>
      <c r="DK5" s="18">
        <f t="shared" si="21"/>
        <v>1</v>
      </c>
      <c r="DL5" s="18">
        <f t="shared" si="21"/>
        <v>1</v>
      </c>
      <c r="DM5" s="18">
        <f t="shared" si="21"/>
        <v>1</v>
      </c>
      <c r="DN5" s="18">
        <f t="shared" si="21"/>
        <v>1</v>
      </c>
      <c r="DO5" s="18">
        <f t="shared" si="21"/>
        <v>1</v>
      </c>
      <c r="DP5" s="18">
        <f t="shared" si="21"/>
        <v>1</v>
      </c>
      <c r="DQ5" s="18">
        <f t="shared" si="21"/>
        <v>1</v>
      </c>
      <c r="DR5" s="18">
        <f t="shared" si="21"/>
        <v>1</v>
      </c>
      <c r="DS5" s="18">
        <f t="shared" si="21"/>
        <v>1</v>
      </c>
      <c r="DT5" s="18">
        <f t="shared" si="21"/>
        <v>1</v>
      </c>
      <c r="DU5" s="18">
        <f t="shared" si="21"/>
        <v>1</v>
      </c>
      <c r="DV5" s="18">
        <f t="shared" si="21"/>
        <v>1</v>
      </c>
      <c r="DW5" s="18">
        <f t="shared" si="21"/>
        <v>1</v>
      </c>
      <c r="DX5" s="18">
        <f t="shared" si="21"/>
        <v>1</v>
      </c>
      <c r="DY5" s="18">
        <f t="shared" si="21"/>
        <v>1</v>
      </c>
      <c r="DZ5" s="18">
        <f t="shared" si="21"/>
        <v>1</v>
      </c>
      <c r="EA5" s="18">
        <f t="shared" si="21"/>
        <v>1</v>
      </c>
      <c r="EB5" s="18">
        <f t="shared" si="21"/>
        <v>1</v>
      </c>
      <c r="EC5" s="18">
        <f t="shared" si="21"/>
        <v>1</v>
      </c>
      <c r="ED5" s="18">
        <f t="shared" si="21"/>
        <v>1</v>
      </c>
      <c r="EE5" s="18">
        <f t="shared" si="21"/>
        <v>1</v>
      </c>
      <c r="EF5" s="18">
        <f t="shared" ref="EF5:GQ5" si="22">COUNTIFS(EF$19:EF$75,"=1",$C$19:$C$75,"A",$D$19:$D$75,"5.2",$E$19:$E$75,"Expansión",$F$19:$F$75,"Cerro")</f>
        <v>1</v>
      </c>
      <c r="EG5" s="18">
        <f t="shared" si="22"/>
        <v>1</v>
      </c>
      <c r="EH5" s="18">
        <f t="shared" si="22"/>
        <v>1</v>
      </c>
      <c r="EI5" s="18">
        <f t="shared" si="22"/>
        <v>1</v>
      </c>
      <c r="EJ5" s="18">
        <f t="shared" si="22"/>
        <v>1</v>
      </c>
      <c r="EK5" s="18">
        <f t="shared" si="22"/>
        <v>1</v>
      </c>
      <c r="EL5" s="18">
        <f t="shared" si="22"/>
        <v>1</v>
      </c>
      <c r="EM5" s="18">
        <f t="shared" si="22"/>
        <v>1</v>
      </c>
      <c r="EN5" s="18">
        <f t="shared" si="22"/>
        <v>1</v>
      </c>
      <c r="EO5" s="18">
        <f t="shared" si="22"/>
        <v>1</v>
      </c>
      <c r="EP5" s="18">
        <f t="shared" si="22"/>
        <v>1</v>
      </c>
      <c r="EQ5" s="18">
        <f t="shared" si="22"/>
        <v>1</v>
      </c>
      <c r="ER5" s="18">
        <f t="shared" si="22"/>
        <v>1</v>
      </c>
      <c r="ES5" s="18">
        <f t="shared" si="22"/>
        <v>1</v>
      </c>
      <c r="ET5" s="18">
        <f t="shared" si="22"/>
        <v>1</v>
      </c>
      <c r="EU5" s="18">
        <f t="shared" si="22"/>
        <v>1</v>
      </c>
      <c r="EV5" s="18">
        <f t="shared" si="22"/>
        <v>1</v>
      </c>
      <c r="EW5" s="18">
        <f t="shared" si="22"/>
        <v>1</v>
      </c>
      <c r="EX5" s="18">
        <f t="shared" si="22"/>
        <v>1</v>
      </c>
      <c r="EY5" s="18">
        <f t="shared" si="22"/>
        <v>1</v>
      </c>
      <c r="EZ5" s="18">
        <f t="shared" si="22"/>
        <v>1</v>
      </c>
      <c r="FA5" s="18">
        <f t="shared" si="22"/>
        <v>1</v>
      </c>
      <c r="FB5" s="18">
        <f t="shared" si="22"/>
        <v>1</v>
      </c>
      <c r="FC5" s="18">
        <f t="shared" si="22"/>
        <v>1</v>
      </c>
      <c r="FD5" s="18">
        <f t="shared" si="22"/>
        <v>1</v>
      </c>
      <c r="FE5" s="18">
        <f t="shared" si="22"/>
        <v>1</v>
      </c>
      <c r="FF5" s="18">
        <f t="shared" si="22"/>
        <v>1</v>
      </c>
      <c r="FG5" s="18">
        <f t="shared" si="22"/>
        <v>1</v>
      </c>
      <c r="FH5" s="18">
        <f t="shared" si="22"/>
        <v>1</v>
      </c>
      <c r="FI5" s="18">
        <f t="shared" si="22"/>
        <v>1</v>
      </c>
      <c r="FJ5" s="18">
        <f t="shared" si="22"/>
        <v>1</v>
      </c>
      <c r="FK5" s="18">
        <f t="shared" si="22"/>
        <v>1</v>
      </c>
      <c r="FL5" s="18">
        <f t="shared" si="22"/>
        <v>1</v>
      </c>
      <c r="FM5" s="18">
        <f t="shared" si="22"/>
        <v>1</v>
      </c>
      <c r="FN5" s="18">
        <f t="shared" si="22"/>
        <v>1</v>
      </c>
      <c r="FO5" s="18">
        <f t="shared" si="22"/>
        <v>1</v>
      </c>
      <c r="FP5" s="18">
        <f t="shared" si="22"/>
        <v>1</v>
      </c>
      <c r="FQ5" s="18">
        <f t="shared" si="22"/>
        <v>1</v>
      </c>
      <c r="FR5" s="18">
        <f t="shared" si="22"/>
        <v>1</v>
      </c>
      <c r="FS5" s="18">
        <f t="shared" si="22"/>
        <v>1</v>
      </c>
      <c r="FT5" s="18">
        <f t="shared" si="22"/>
        <v>1</v>
      </c>
      <c r="FU5" s="18">
        <f t="shared" si="22"/>
        <v>1</v>
      </c>
      <c r="FV5" s="18">
        <f t="shared" si="22"/>
        <v>1</v>
      </c>
      <c r="FW5" s="18">
        <f t="shared" si="22"/>
        <v>1</v>
      </c>
      <c r="FX5" s="18">
        <f t="shared" si="22"/>
        <v>1</v>
      </c>
      <c r="FY5" s="18">
        <f t="shared" si="22"/>
        <v>1</v>
      </c>
      <c r="FZ5" s="18">
        <f t="shared" si="22"/>
        <v>1</v>
      </c>
      <c r="GA5" s="18">
        <f t="shared" si="22"/>
        <v>1</v>
      </c>
      <c r="GB5" s="18">
        <f t="shared" si="22"/>
        <v>1</v>
      </c>
      <c r="GC5" s="18">
        <f t="shared" si="22"/>
        <v>1</v>
      </c>
      <c r="GD5" s="18">
        <f t="shared" si="22"/>
        <v>1</v>
      </c>
      <c r="GE5" s="18">
        <f t="shared" si="22"/>
        <v>1</v>
      </c>
      <c r="GF5" s="18">
        <f t="shared" si="22"/>
        <v>1</v>
      </c>
      <c r="GG5" s="18">
        <f t="shared" si="22"/>
        <v>1</v>
      </c>
      <c r="GH5" s="18">
        <f t="shared" si="22"/>
        <v>1</v>
      </c>
      <c r="GI5" s="18">
        <f t="shared" si="22"/>
        <v>1</v>
      </c>
      <c r="GJ5" s="18">
        <f t="shared" si="22"/>
        <v>1</v>
      </c>
      <c r="GK5" s="18">
        <f t="shared" si="22"/>
        <v>1</v>
      </c>
      <c r="GL5" s="18">
        <f t="shared" si="22"/>
        <v>1</v>
      </c>
      <c r="GM5" s="18">
        <f t="shared" si="22"/>
        <v>1</v>
      </c>
      <c r="GN5" s="18">
        <f t="shared" si="22"/>
        <v>1</v>
      </c>
      <c r="GO5" s="18">
        <f t="shared" si="22"/>
        <v>1</v>
      </c>
      <c r="GP5" s="18">
        <f t="shared" si="22"/>
        <v>1</v>
      </c>
      <c r="GQ5" s="18">
        <f t="shared" si="22"/>
        <v>1</v>
      </c>
      <c r="GR5" s="18">
        <f t="shared" ref="GR5:HX5" si="23">COUNTIFS(GR$19:GR$75,"=1",$C$19:$C$75,"A",$D$19:$D$75,"5.2",$E$19:$E$75,"Expansión",$F$19:$F$75,"Cerro")</f>
        <v>1</v>
      </c>
      <c r="GS5" s="18">
        <f t="shared" si="23"/>
        <v>1</v>
      </c>
      <c r="GT5" s="18">
        <f t="shared" si="23"/>
        <v>1</v>
      </c>
      <c r="GU5" s="18">
        <f t="shared" si="23"/>
        <v>1</v>
      </c>
      <c r="GV5" s="18">
        <f t="shared" si="23"/>
        <v>1</v>
      </c>
      <c r="GW5" s="18">
        <f t="shared" si="23"/>
        <v>1</v>
      </c>
      <c r="GX5" s="18">
        <f t="shared" si="23"/>
        <v>1</v>
      </c>
      <c r="GY5" s="18">
        <f t="shared" si="23"/>
        <v>1</v>
      </c>
      <c r="GZ5" s="18">
        <f t="shared" si="23"/>
        <v>1</v>
      </c>
      <c r="HA5" s="18">
        <f t="shared" si="23"/>
        <v>1</v>
      </c>
      <c r="HB5" s="18">
        <f t="shared" si="23"/>
        <v>1</v>
      </c>
      <c r="HC5" s="18">
        <f t="shared" si="23"/>
        <v>1</v>
      </c>
      <c r="HD5" s="18">
        <f t="shared" si="23"/>
        <v>1</v>
      </c>
      <c r="HE5" s="18">
        <f t="shared" si="23"/>
        <v>1</v>
      </c>
      <c r="HF5" s="18">
        <f t="shared" si="23"/>
        <v>1</v>
      </c>
      <c r="HG5" s="18">
        <f t="shared" si="23"/>
        <v>1</v>
      </c>
      <c r="HH5" s="18">
        <f t="shared" si="23"/>
        <v>1</v>
      </c>
      <c r="HI5" s="18">
        <f t="shared" si="23"/>
        <v>1</v>
      </c>
      <c r="HJ5" s="18">
        <f t="shared" si="23"/>
        <v>1</v>
      </c>
      <c r="HK5" s="18">
        <f t="shared" si="23"/>
        <v>1</v>
      </c>
      <c r="HL5" s="18">
        <f t="shared" si="23"/>
        <v>1</v>
      </c>
      <c r="HM5" s="18">
        <f t="shared" si="23"/>
        <v>1</v>
      </c>
      <c r="HN5" s="18">
        <f t="shared" si="23"/>
        <v>1</v>
      </c>
      <c r="HO5" s="18">
        <f t="shared" si="23"/>
        <v>1</v>
      </c>
      <c r="HP5" s="18">
        <f t="shared" si="23"/>
        <v>1</v>
      </c>
      <c r="HQ5" s="18">
        <f t="shared" si="23"/>
        <v>1</v>
      </c>
      <c r="HR5" s="18">
        <f t="shared" si="23"/>
        <v>1</v>
      </c>
      <c r="HS5" s="18">
        <f t="shared" si="23"/>
        <v>1</v>
      </c>
      <c r="HT5" s="18">
        <f t="shared" si="23"/>
        <v>1</v>
      </c>
      <c r="HU5" s="18">
        <f t="shared" si="23"/>
        <v>1</v>
      </c>
      <c r="HV5" s="18">
        <f t="shared" si="23"/>
        <v>1</v>
      </c>
      <c r="HW5" s="18">
        <f t="shared" si="23"/>
        <v>1</v>
      </c>
      <c r="HX5" s="18">
        <f t="shared" si="23"/>
        <v>1</v>
      </c>
    </row>
    <row r="6" spans="1:232" hidden="1" x14ac:dyDescent="0.2">
      <c r="A6" s="71"/>
      <c r="B6" s="36"/>
      <c r="E6" s="18" t="s">
        <v>128</v>
      </c>
      <c r="F6" s="18" t="s">
        <v>134</v>
      </c>
      <c r="G6" s="18">
        <f>COUNTIFS(G$19:G$75,"=1",$C$19:$C$75,"A",$D$19:$D$75,"5.2",$E$19:$E$75,"Expansión",$F$19:$F$75,"Medio")</f>
        <v>1</v>
      </c>
      <c r="H6" s="18">
        <f t="shared" ref="H6:BS6" si="24">COUNTIFS(H$19:H$75,"=1",$C$19:$C$75,"A",$D$19:$D$75,"5.2",$E$19:$E$75,"Expansión",$F$19:$F$75,"Medio")</f>
        <v>1</v>
      </c>
      <c r="I6" s="18">
        <f t="shared" si="24"/>
        <v>1</v>
      </c>
      <c r="J6" s="18">
        <f t="shared" si="24"/>
        <v>1</v>
      </c>
      <c r="K6" s="18">
        <f t="shared" si="24"/>
        <v>1</v>
      </c>
      <c r="L6" s="18">
        <f t="shared" si="24"/>
        <v>1</v>
      </c>
      <c r="M6" s="18">
        <f t="shared" si="24"/>
        <v>1</v>
      </c>
      <c r="N6" s="18">
        <f t="shared" si="24"/>
        <v>1</v>
      </c>
      <c r="O6" s="18">
        <f t="shared" si="24"/>
        <v>1</v>
      </c>
      <c r="P6" s="18">
        <f t="shared" si="24"/>
        <v>1</v>
      </c>
      <c r="Q6" s="18">
        <f t="shared" si="24"/>
        <v>1</v>
      </c>
      <c r="R6" s="18">
        <f t="shared" si="24"/>
        <v>1</v>
      </c>
      <c r="S6" s="18">
        <f t="shared" si="24"/>
        <v>1</v>
      </c>
      <c r="T6" s="18">
        <f t="shared" si="24"/>
        <v>1</v>
      </c>
      <c r="U6" s="18">
        <f t="shared" si="24"/>
        <v>1</v>
      </c>
      <c r="V6" s="18">
        <f t="shared" si="24"/>
        <v>1</v>
      </c>
      <c r="W6" s="18">
        <f t="shared" si="24"/>
        <v>1</v>
      </c>
      <c r="X6" s="18">
        <f t="shared" si="24"/>
        <v>1</v>
      </c>
      <c r="Y6" s="18">
        <f t="shared" si="24"/>
        <v>1</v>
      </c>
      <c r="Z6" s="18">
        <f t="shared" si="24"/>
        <v>1</v>
      </c>
      <c r="AA6" s="18">
        <f t="shared" si="24"/>
        <v>1</v>
      </c>
      <c r="AB6" s="18">
        <f t="shared" si="24"/>
        <v>1</v>
      </c>
      <c r="AC6" s="18">
        <f t="shared" si="24"/>
        <v>1</v>
      </c>
      <c r="AD6" s="18">
        <f t="shared" si="24"/>
        <v>1</v>
      </c>
      <c r="AE6" s="18">
        <f t="shared" si="24"/>
        <v>1</v>
      </c>
      <c r="AF6" s="18">
        <f t="shared" si="24"/>
        <v>1</v>
      </c>
      <c r="AG6" s="18">
        <f t="shared" si="24"/>
        <v>1</v>
      </c>
      <c r="AH6" s="18">
        <f t="shared" si="24"/>
        <v>1</v>
      </c>
      <c r="AI6" s="18">
        <f t="shared" si="24"/>
        <v>1</v>
      </c>
      <c r="AJ6" s="18">
        <f t="shared" si="24"/>
        <v>1</v>
      </c>
      <c r="AK6" s="18">
        <f t="shared" si="24"/>
        <v>1</v>
      </c>
      <c r="AL6" s="18">
        <f t="shared" si="24"/>
        <v>1</v>
      </c>
      <c r="AM6" s="18">
        <f t="shared" si="24"/>
        <v>1</v>
      </c>
      <c r="AN6" s="18">
        <f t="shared" si="24"/>
        <v>1</v>
      </c>
      <c r="AO6" s="18">
        <f t="shared" si="24"/>
        <v>1</v>
      </c>
      <c r="AP6" s="18">
        <f t="shared" si="24"/>
        <v>1</v>
      </c>
      <c r="AQ6" s="18">
        <f t="shared" si="24"/>
        <v>1</v>
      </c>
      <c r="AR6" s="18">
        <f t="shared" si="24"/>
        <v>1</v>
      </c>
      <c r="AS6" s="18">
        <f t="shared" si="24"/>
        <v>1</v>
      </c>
      <c r="AT6" s="18">
        <f t="shared" si="24"/>
        <v>1</v>
      </c>
      <c r="AU6" s="18">
        <f t="shared" si="24"/>
        <v>1</v>
      </c>
      <c r="AV6" s="18">
        <f t="shared" si="24"/>
        <v>1</v>
      </c>
      <c r="AW6" s="18">
        <f t="shared" si="24"/>
        <v>1</v>
      </c>
      <c r="AX6" s="18">
        <f t="shared" si="24"/>
        <v>1</v>
      </c>
      <c r="AY6" s="18">
        <f t="shared" si="24"/>
        <v>1</v>
      </c>
      <c r="AZ6" s="18">
        <f t="shared" si="24"/>
        <v>1</v>
      </c>
      <c r="BA6" s="18">
        <f t="shared" si="24"/>
        <v>1</v>
      </c>
      <c r="BB6" s="18">
        <f t="shared" si="24"/>
        <v>1</v>
      </c>
      <c r="BC6" s="18">
        <f t="shared" si="24"/>
        <v>1</v>
      </c>
      <c r="BD6" s="18">
        <f t="shared" si="24"/>
        <v>1</v>
      </c>
      <c r="BE6" s="18">
        <f t="shared" si="24"/>
        <v>1</v>
      </c>
      <c r="BF6" s="18">
        <f t="shared" si="24"/>
        <v>1</v>
      </c>
      <c r="BG6" s="18">
        <f t="shared" si="24"/>
        <v>1</v>
      </c>
      <c r="BH6" s="18">
        <f t="shared" si="24"/>
        <v>1</v>
      </c>
      <c r="BI6" s="18">
        <f t="shared" si="24"/>
        <v>1</v>
      </c>
      <c r="BJ6" s="18">
        <f t="shared" si="24"/>
        <v>1</v>
      </c>
      <c r="BK6" s="18">
        <f t="shared" si="24"/>
        <v>1</v>
      </c>
      <c r="BL6" s="18">
        <f t="shared" si="24"/>
        <v>1</v>
      </c>
      <c r="BM6" s="18">
        <f t="shared" si="24"/>
        <v>1</v>
      </c>
      <c r="BN6" s="18">
        <f t="shared" si="24"/>
        <v>1</v>
      </c>
      <c r="BO6" s="18">
        <f t="shared" si="24"/>
        <v>1</v>
      </c>
      <c r="BP6" s="18">
        <f t="shared" si="24"/>
        <v>1</v>
      </c>
      <c r="BQ6" s="18">
        <f t="shared" si="24"/>
        <v>1</v>
      </c>
      <c r="BR6" s="18">
        <f t="shared" si="24"/>
        <v>1</v>
      </c>
      <c r="BS6" s="18">
        <f t="shared" si="24"/>
        <v>1</v>
      </c>
      <c r="BT6" s="18">
        <f t="shared" ref="BT6:EE6" si="25">COUNTIFS(BT$19:BT$75,"=1",$C$19:$C$75,"A",$D$19:$D$75,"5.2",$E$19:$E$75,"Expansión",$F$19:$F$75,"Medio")</f>
        <v>1</v>
      </c>
      <c r="BU6" s="18">
        <f t="shared" si="25"/>
        <v>1</v>
      </c>
      <c r="BV6" s="18">
        <f t="shared" si="25"/>
        <v>1</v>
      </c>
      <c r="BW6" s="18">
        <f t="shared" si="25"/>
        <v>1</v>
      </c>
      <c r="BX6" s="18">
        <f t="shared" si="25"/>
        <v>1</v>
      </c>
      <c r="BY6" s="18">
        <f t="shared" si="25"/>
        <v>1</v>
      </c>
      <c r="BZ6" s="18">
        <f t="shared" si="25"/>
        <v>1</v>
      </c>
      <c r="CA6" s="18">
        <f t="shared" si="25"/>
        <v>1</v>
      </c>
      <c r="CB6" s="18">
        <f t="shared" si="25"/>
        <v>1</v>
      </c>
      <c r="CC6" s="18">
        <f t="shared" si="25"/>
        <v>1</v>
      </c>
      <c r="CD6" s="18">
        <f t="shared" si="25"/>
        <v>1</v>
      </c>
      <c r="CE6" s="18">
        <f t="shared" si="25"/>
        <v>1</v>
      </c>
      <c r="CF6" s="18">
        <f t="shared" si="25"/>
        <v>1</v>
      </c>
      <c r="CG6" s="18">
        <f t="shared" si="25"/>
        <v>1</v>
      </c>
      <c r="CH6" s="18">
        <f t="shared" si="25"/>
        <v>1</v>
      </c>
      <c r="CI6" s="18">
        <f t="shared" si="25"/>
        <v>1</v>
      </c>
      <c r="CJ6" s="18">
        <f t="shared" si="25"/>
        <v>1</v>
      </c>
      <c r="CK6" s="18">
        <f t="shared" si="25"/>
        <v>1</v>
      </c>
      <c r="CL6" s="18">
        <f t="shared" si="25"/>
        <v>1</v>
      </c>
      <c r="CM6" s="18">
        <f t="shared" si="25"/>
        <v>1</v>
      </c>
      <c r="CN6" s="18">
        <f t="shared" si="25"/>
        <v>1</v>
      </c>
      <c r="CO6" s="18">
        <f t="shared" si="25"/>
        <v>1</v>
      </c>
      <c r="CP6" s="18">
        <f t="shared" si="25"/>
        <v>1</v>
      </c>
      <c r="CQ6" s="18">
        <f t="shared" si="25"/>
        <v>1</v>
      </c>
      <c r="CR6" s="18">
        <f t="shared" si="25"/>
        <v>1</v>
      </c>
      <c r="CS6" s="18">
        <f t="shared" si="25"/>
        <v>1</v>
      </c>
      <c r="CT6" s="18">
        <f t="shared" si="25"/>
        <v>1</v>
      </c>
      <c r="CU6" s="18">
        <f t="shared" si="25"/>
        <v>1</v>
      </c>
      <c r="CV6" s="18">
        <f t="shared" si="25"/>
        <v>1</v>
      </c>
      <c r="CW6" s="18">
        <f t="shared" si="25"/>
        <v>1</v>
      </c>
      <c r="CX6" s="18">
        <f t="shared" si="25"/>
        <v>1</v>
      </c>
      <c r="CY6" s="18">
        <f t="shared" si="25"/>
        <v>1</v>
      </c>
      <c r="CZ6" s="18">
        <f t="shared" si="25"/>
        <v>1</v>
      </c>
      <c r="DA6" s="18">
        <f t="shared" si="25"/>
        <v>1</v>
      </c>
      <c r="DB6" s="18">
        <f t="shared" si="25"/>
        <v>1</v>
      </c>
      <c r="DC6" s="18">
        <f t="shared" si="25"/>
        <v>1</v>
      </c>
      <c r="DD6" s="18">
        <f t="shared" si="25"/>
        <v>1</v>
      </c>
      <c r="DE6" s="18">
        <f t="shared" si="25"/>
        <v>1</v>
      </c>
      <c r="DF6" s="18">
        <f t="shared" si="25"/>
        <v>1</v>
      </c>
      <c r="DG6" s="18">
        <f t="shared" si="25"/>
        <v>1</v>
      </c>
      <c r="DH6" s="18">
        <f t="shared" si="25"/>
        <v>1</v>
      </c>
      <c r="DI6" s="18">
        <f t="shared" si="25"/>
        <v>1</v>
      </c>
      <c r="DJ6" s="18">
        <f t="shared" si="25"/>
        <v>1</v>
      </c>
      <c r="DK6" s="18">
        <f t="shared" si="25"/>
        <v>1</v>
      </c>
      <c r="DL6" s="18">
        <f t="shared" si="25"/>
        <v>1</v>
      </c>
      <c r="DM6" s="18">
        <f t="shared" si="25"/>
        <v>1</v>
      </c>
      <c r="DN6" s="18">
        <f t="shared" si="25"/>
        <v>1</v>
      </c>
      <c r="DO6" s="18">
        <f t="shared" si="25"/>
        <v>1</v>
      </c>
      <c r="DP6" s="18">
        <f t="shared" si="25"/>
        <v>1</v>
      </c>
      <c r="DQ6" s="18">
        <f t="shared" si="25"/>
        <v>1</v>
      </c>
      <c r="DR6" s="18">
        <f t="shared" si="25"/>
        <v>1</v>
      </c>
      <c r="DS6" s="18">
        <f t="shared" si="25"/>
        <v>1</v>
      </c>
      <c r="DT6" s="18">
        <f t="shared" si="25"/>
        <v>1</v>
      </c>
      <c r="DU6" s="18">
        <f t="shared" si="25"/>
        <v>1</v>
      </c>
      <c r="DV6" s="18">
        <f t="shared" si="25"/>
        <v>1</v>
      </c>
      <c r="DW6" s="18">
        <f t="shared" si="25"/>
        <v>1</v>
      </c>
      <c r="DX6" s="18">
        <f t="shared" si="25"/>
        <v>1</v>
      </c>
      <c r="DY6" s="18">
        <f t="shared" si="25"/>
        <v>1</v>
      </c>
      <c r="DZ6" s="18">
        <f t="shared" si="25"/>
        <v>1</v>
      </c>
      <c r="EA6" s="18">
        <f t="shared" si="25"/>
        <v>1</v>
      </c>
      <c r="EB6" s="18">
        <f t="shared" si="25"/>
        <v>1</v>
      </c>
      <c r="EC6" s="18">
        <f t="shared" si="25"/>
        <v>1</v>
      </c>
      <c r="ED6" s="18">
        <f t="shared" si="25"/>
        <v>1</v>
      </c>
      <c r="EE6" s="18">
        <f t="shared" si="25"/>
        <v>1</v>
      </c>
      <c r="EF6" s="18">
        <f t="shared" ref="EF6:GQ6" si="26">COUNTIFS(EF$19:EF$75,"=1",$C$19:$C$75,"A",$D$19:$D$75,"5.2",$E$19:$E$75,"Expansión",$F$19:$F$75,"Medio")</f>
        <v>1</v>
      </c>
      <c r="EG6" s="18">
        <f t="shared" si="26"/>
        <v>1</v>
      </c>
      <c r="EH6" s="18">
        <f t="shared" si="26"/>
        <v>1</v>
      </c>
      <c r="EI6" s="18">
        <f t="shared" si="26"/>
        <v>1</v>
      </c>
      <c r="EJ6" s="18">
        <f t="shared" si="26"/>
        <v>1</v>
      </c>
      <c r="EK6" s="18">
        <f t="shared" si="26"/>
        <v>1</v>
      </c>
      <c r="EL6" s="18">
        <f t="shared" si="26"/>
        <v>1</v>
      </c>
      <c r="EM6" s="18">
        <f t="shared" si="26"/>
        <v>1</v>
      </c>
      <c r="EN6" s="18">
        <f t="shared" si="26"/>
        <v>1</v>
      </c>
      <c r="EO6" s="18">
        <f t="shared" si="26"/>
        <v>1</v>
      </c>
      <c r="EP6" s="18">
        <f t="shared" si="26"/>
        <v>1</v>
      </c>
      <c r="EQ6" s="18">
        <f t="shared" si="26"/>
        <v>1</v>
      </c>
      <c r="ER6" s="18">
        <f t="shared" si="26"/>
        <v>1</v>
      </c>
      <c r="ES6" s="18">
        <f t="shared" si="26"/>
        <v>1</v>
      </c>
      <c r="ET6" s="18">
        <f t="shared" si="26"/>
        <v>1</v>
      </c>
      <c r="EU6" s="18">
        <f t="shared" si="26"/>
        <v>1</v>
      </c>
      <c r="EV6" s="18">
        <f t="shared" si="26"/>
        <v>1</v>
      </c>
      <c r="EW6" s="18">
        <f t="shared" si="26"/>
        <v>1</v>
      </c>
      <c r="EX6" s="18">
        <f t="shared" si="26"/>
        <v>1</v>
      </c>
      <c r="EY6" s="18">
        <f t="shared" si="26"/>
        <v>1</v>
      </c>
      <c r="EZ6" s="18">
        <f t="shared" si="26"/>
        <v>1</v>
      </c>
      <c r="FA6" s="18">
        <f t="shared" si="26"/>
        <v>1</v>
      </c>
      <c r="FB6" s="18">
        <f t="shared" si="26"/>
        <v>1</v>
      </c>
      <c r="FC6" s="18">
        <f t="shared" si="26"/>
        <v>1</v>
      </c>
      <c r="FD6" s="18">
        <f t="shared" si="26"/>
        <v>1</v>
      </c>
      <c r="FE6" s="18">
        <f t="shared" si="26"/>
        <v>1</v>
      </c>
      <c r="FF6" s="18">
        <f t="shared" si="26"/>
        <v>1</v>
      </c>
      <c r="FG6" s="18">
        <f t="shared" si="26"/>
        <v>1</v>
      </c>
      <c r="FH6" s="18">
        <f t="shared" si="26"/>
        <v>1</v>
      </c>
      <c r="FI6" s="18">
        <f t="shared" si="26"/>
        <v>1</v>
      </c>
      <c r="FJ6" s="18">
        <f t="shared" si="26"/>
        <v>1</v>
      </c>
      <c r="FK6" s="18">
        <f t="shared" si="26"/>
        <v>1</v>
      </c>
      <c r="FL6" s="18">
        <f t="shared" si="26"/>
        <v>1</v>
      </c>
      <c r="FM6" s="18">
        <f t="shared" si="26"/>
        <v>1</v>
      </c>
      <c r="FN6" s="18">
        <f t="shared" si="26"/>
        <v>1</v>
      </c>
      <c r="FO6" s="18">
        <f t="shared" si="26"/>
        <v>1</v>
      </c>
      <c r="FP6" s="18">
        <f t="shared" si="26"/>
        <v>1</v>
      </c>
      <c r="FQ6" s="18">
        <f t="shared" si="26"/>
        <v>1</v>
      </c>
      <c r="FR6" s="18">
        <f t="shared" si="26"/>
        <v>1</v>
      </c>
      <c r="FS6" s="18">
        <f t="shared" si="26"/>
        <v>1</v>
      </c>
      <c r="FT6" s="18">
        <f t="shared" si="26"/>
        <v>1</v>
      </c>
      <c r="FU6" s="18">
        <f t="shared" si="26"/>
        <v>1</v>
      </c>
      <c r="FV6" s="18">
        <f t="shared" si="26"/>
        <v>1</v>
      </c>
      <c r="FW6" s="18">
        <f t="shared" si="26"/>
        <v>1</v>
      </c>
      <c r="FX6" s="18">
        <f t="shared" si="26"/>
        <v>1</v>
      </c>
      <c r="FY6" s="18">
        <f t="shared" si="26"/>
        <v>1</v>
      </c>
      <c r="FZ6" s="18">
        <f t="shared" si="26"/>
        <v>1</v>
      </c>
      <c r="GA6" s="18">
        <f t="shared" si="26"/>
        <v>1</v>
      </c>
      <c r="GB6" s="18">
        <f t="shared" si="26"/>
        <v>1</v>
      </c>
      <c r="GC6" s="18">
        <f t="shared" si="26"/>
        <v>1</v>
      </c>
      <c r="GD6" s="18">
        <f t="shared" si="26"/>
        <v>1</v>
      </c>
      <c r="GE6" s="18">
        <f t="shared" si="26"/>
        <v>1</v>
      </c>
      <c r="GF6" s="18">
        <f t="shared" si="26"/>
        <v>1</v>
      </c>
      <c r="GG6" s="18">
        <f t="shared" si="26"/>
        <v>1</v>
      </c>
      <c r="GH6" s="18">
        <f t="shared" si="26"/>
        <v>1</v>
      </c>
      <c r="GI6" s="18">
        <f t="shared" si="26"/>
        <v>1</v>
      </c>
      <c r="GJ6" s="18">
        <f t="shared" si="26"/>
        <v>1</v>
      </c>
      <c r="GK6" s="18">
        <f t="shared" si="26"/>
        <v>1</v>
      </c>
      <c r="GL6" s="18">
        <f t="shared" si="26"/>
        <v>1</v>
      </c>
      <c r="GM6" s="18">
        <f t="shared" si="26"/>
        <v>1</v>
      </c>
      <c r="GN6" s="18">
        <f t="shared" si="26"/>
        <v>1</v>
      </c>
      <c r="GO6" s="18">
        <f t="shared" si="26"/>
        <v>1</v>
      </c>
      <c r="GP6" s="18">
        <f t="shared" si="26"/>
        <v>1</v>
      </c>
      <c r="GQ6" s="18">
        <f t="shared" si="26"/>
        <v>1</v>
      </c>
      <c r="GR6" s="18">
        <f t="shared" ref="GR6:HX6" si="27">COUNTIFS(GR$19:GR$75,"=1",$C$19:$C$75,"A",$D$19:$D$75,"5.2",$E$19:$E$75,"Expansión",$F$19:$F$75,"Medio")</f>
        <v>1</v>
      </c>
      <c r="GS6" s="18">
        <f t="shared" si="27"/>
        <v>1</v>
      </c>
      <c r="GT6" s="18">
        <f t="shared" si="27"/>
        <v>1</v>
      </c>
      <c r="GU6" s="18">
        <f t="shared" si="27"/>
        <v>1</v>
      </c>
      <c r="GV6" s="18">
        <f t="shared" si="27"/>
        <v>1</v>
      </c>
      <c r="GW6" s="18">
        <f t="shared" si="27"/>
        <v>1</v>
      </c>
      <c r="GX6" s="18">
        <f t="shared" si="27"/>
        <v>1</v>
      </c>
      <c r="GY6" s="18">
        <f t="shared" si="27"/>
        <v>1</v>
      </c>
      <c r="GZ6" s="18">
        <f t="shared" si="27"/>
        <v>1</v>
      </c>
      <c r="HA6" s="18">
        <f t="shared" si="27"/>
        <v>1</v>
      </c>
      <c r="HB6" s="18">
        <f t="shared" si="27"/>
        <v>1</v>
      </c>
      <c r="HC6" s="18">
        <f t="shared" si="27"/>
        <v>1</v>
      </c>
      <c r="HD6" s="18">
        <f t="shared" si="27"/>
        <v>1</v>
      </c>
      <c r="HE6" s="18">
        <f t="shared" si="27"/>
        <v>1</v>
      </c>
      <c r="HF6" s="18">
        <f t="shared" si="27"/>
        <v>1</v>
      </c>
      <c r="HG6" s="18">
        <f t="shared" si="27"/>
        <v>1</v>
      </c>
      <c r="HH6" s="18">
        <f t="shared" si="27"/>
        <v>1</v>
      </c>
      <c r="HI6" s="18">
        <f t="shared" si="27"/>
        <v>1</v>
      </c>
      <c r="HJ6" s="18">
        <f t="shared" si="27"/>
        <v>1</v>
      </c>
      <c r="HK6" s="18">
        <f t="shared" si="27"/>
        <v>1</v>
      </c>
      <c r="HL6" s="18">
        <f t="shared" si="27"/>
        <v>1</v>
      </c>
      <c r="HM6" s="18">
        <f t="shared" si="27"/>
        <v>1</v>
      </c>
      <c r="HN6" s="18">
        <f t="shared" si="27"/>
        <v>1</v>
      </c>
      <c r="HO6" s="18">
        <f t="shared" si="27"/>
        <v>1</v>
      </c>
      <c r="HP6" s="18">
        <f t="shared" si="27"/>
        <v>1</v>
      </c>
      <c r="HQ6" s="18">
        <f t="shared" si="27"/>
        <v>1</v>
      </c>
      <c r="HR6" s="18">
        <f t="shared" si="27"/>
        <v>1</v>
      </c>
      <c r="HS6" s="18">
        <f t="shared" si="27"/>
        <v>1</v>
      </c>
      <c r="HT6" s="18">
        <f t="shared" si="27"/>
        <v>1</v>
      </c>
      <c r="HU6" s="18">
        <f t="shared" si="27"/>
        <v>1</v>
      </c>
      <c r="HV6" s="18">
        <f t="shared" si="27"/>
        <v>1</v>
      </c>
      <c r="HW6" s="18">
        <f t="shared" si="27"/>
        <v>1</v>
      </c>
      <c r="HX6" s="18">
        <f t="shared" si="27"/>
        <v>1</v>
      </c>
    </row>
    <row r="7" spans="1:232" hidden="1" x14ac:dyDescent="0.2">
      <c r="A7" s="71"/>
      <c r="B7" s="36"/>
      <c r="E7" s="18" t="s">
        <v>128</v>
      </c>
      <c r="F7" s="18" t="s">
        <v>135</v>
      </c>
      <c r="G7" s="18">
        <f>COUNTIFS(G$19:G$75,"=1",$C$19:$C$75,"A",$D$19:$D$75,"5.2",$E$19:$E$75,"Expansión",$F$19:$F$75,"Mar")</f>
        <v>0</v>
      </c>
      <c r="H7" s="18">
        <f t="shared" ref="H7:BS7" si="28">COUNTIFS(H$19:H$75,"=1",$C$19:$C$75,"A",$D$19:$D$75,"5.2",$E$19:$E$75,"Expansión",$F$19:$F$75,"Mar")</f>
        <v>0</v>
      </c>
      <c r="I7" s="18">
        <f t="shared" si="28"/>
        <v>0</v>
      </c>
      <c r="J7" s="18">
        <f t="shared" si="28"/>
        <v>0</v>
      </c>
      <c r="K7" s="18">
        <f t="shared" si="28"/>
        <v>0</v>
      </c>
      <c r="L7" s="18">
        <f t="shared" si="28"/>
        <v>0</v>
      </c>
      <c r="M7" s="18">
        <f t="shared" si="28"/>
        <v>0</v>
      </c>
      <c r="N7" s="18">
        <f t="shared" si="28"/>
        <v>0</v>
      </c>
      <c r="O7" s="18">
        <f t="shared" si="28"/>
        <v>0</v>
      </c>
      <c r="P7" s="18">
        <f t="shared" si="28"/>
        <v>0</v>
      </c>
      <c r="Q7" s="18">
        <f t="shared" si="28"/>
        <v>0</v>
      </c>
      <c r="R7" s="18">
        <f t="shared" si="28"/>
        <v>0</v>
      </c>
      <c r="S7" s="18">
        <f t="shared" si="28"/>
        <v>0</v>
      </c>
      <c r="T7" s="18">
        <f t="shared" si="28"/>
        <v>0</v>
      </c>
      <c r="U7" s="18">
        <f t="shared" si="28"/>
        <v>0</v>
      </c>
      <c r="V7" s="18">
        <f t="shared" si="28"/>
        <v>0</v>
      </c>
      <c r="W7" s="18">
        <f t="shared" si="28"/>
        <v>0</v>
      </c>
      <c r="X7" s="18">
        <f t="shared" si="28"/>
        <v>0</v>
      </c>
      <c r="Y7" s="18">
        <f t="shared" si="28"/>
        <v>0</v>
      </c>
      <c r="Z7" s="18">
        <f t="shared" si="28"/>
        <v>0</v>
      </c>
      <c r="AA7" s="18">
        <f t="shared" si="28"/>
        <v>0</v>
      </c>
      <c r="AB7" s="18">
        <f t="shared" si="28"/>
        <v>0</v>
      </c>
      <c r="AC7" s="18">
        <f t="shared" si="28"/>
        <v>0</v>
      </c>
      <c r="AD7" s="18">
        <f t="shared" si="28"/>
        <v>0</v>
      </c>
      <c r="AE7" s="18">
        <f t="shared" si="28"/>
        <v>0</v>
      </c>
      <c r="AF7" s="18">
        <f t="shared" si="28"/>
        <v>0</v>
      </c>
      <c r="AG7" s="18">
        <f t="shared" si="28"/>
        <v>0</v>
      </c>
      <c r="AH7" s="18">
        <f t="shared" si="28"/>
        <v>0</v>
      </c>
      <c r="AI7" s="18">
        <f t="shared" si="28"/>
        <v>0</v>
      </c>
      <c r="AJ7" s="18">
        <f t="shared" si="28"/>
        <v>0</v>
      </c>
      <c r="AK7" s="18">
        <f t="shared" si="28"/>
        <v>0</v>
      </c>
      <c r="AL7" s="18">
        <f t="shared" si="28"/>
        <v>0</v>
      </c>
      <c r="AM7" s="18">
        <f t="shared" si="28"/>
        <v>0</v>
      </c>
      <c r="AN7" s="18">
        <f t="shared" si="28"/>
        <v>0</v>
      </c>
      <c r="AO7" s="18">
        <f t="shared" si="28"/>
        <v>0</v>
      </c>
      <c r="AP7" s="18">
        <f t="shared" si="28"/>
        <v>0</v>
      </c>
      <c r="AQ7" s="18">
        <f t="shared" si="28"/>
        <v>0</v>
      </c>
      <c r="AR7" s="18">
        <f t="shared" si="28"/>
        <v>0</v>
      </c>
      <c r="AS7" s="18">
        <f t="shared" si="28"/>
        <v>0</v>
      </c>
      <c r="AT7" s="18">
        <f t="shared" si="28"/>
        <v>0</v>
      </c>
      <c r="AU7" s="18">
        <f t="shared" si="28"/>
        <v>0</v>
      </c>
      <c r="AV7" s="18">
        <f t="shared" si="28"/>
        <v>0</v>
      </c>
      <c r="AW7" s="18">
        <f t="shared" si="28"/>
        <v>0</v>
      </c>
      <c r="AX7" s="18">
        <f t="shared" si="28"/>
        <v>0</v>
      </c>
      <c r="AY7" s="18">
        <f t="shared" si="28"/>
        <v>0</v>
      </c>
      <c r="AZ7" s="18">
        <f t="shared" si="28"/>
        <v>0</v>
      </c>
      <c r="BA7" s="18">
        <f t="shared" si="28"/>
        <v>0</v>
      </c>
      <c r="BB7" s="18">
        <f t="shared" si="28"/>
        <v>0</v>
      </c>
      <c r="BC7" s="18">
        <f t="shared" si="28"/>
        <v>0</v>
      </c>
      <c r="BD7" s="18">
        <f t="shared" si="28"/>
        <v>0</v>
      </c>
      <c r="BE7" s="18">
        <f t="shared" si="28"/>
        <v>0</v>
      </c>
      <c r="BF7" s="18">
        <f t="shared" si="28"/>
        <v>0</v>
      </c>
      <c r="BG7" s="18">
        <f t="shared" si="28"/>
        <v>0</v>
      </c>
      <c r="BH7" s="18">
        <f t="shared" si="28"/>
        <v>0</v>
      </c>
      <c r="BI7" s="18">
        <f t="shared" si="28"/>
        <v>0</v>
      </c>
      <c r="BJ7" s="18">
        <f t="shared" si="28"/>
        <v>0</v>
      </c>
      <c r="BK7" s="18">
        <f t="shared" si="28"/>
        <v>0</v>
      </c>
      <c r="BL7" s="18">
        <f t="shared" si="28"/>
        <v>0</v>
      </c>
      <c r="BM7" s="18">
        <f t="shared" si="28"/>
        <v>0</v>
      </c>
      <c r="BN7" s="18">
        <f t="shared" si="28"/>
        <v>0</v>
      </c>
      <c r="BO7" s="18">
        <f t="shared" si="28"/>
        <v>0</v>
      </c>
      <c r="BP7" s="18">
        <f t="shared" si="28"/>
        <v>0</v>
      </c>
      <c r="BQ7" s="18">
        <f t="shared" si="28"/>
        <v>0</v>
      </c>
      <c r="BR7" s="18">
        <f t="shared" si="28"/>
        <v>0</v>
      </c>
      <c r="BS7" s="18">
        <f t="shared" si="28"/>
        <v>0</v>
      </c>
      <c r="BT7" s="18">
        <f t="shared" ref="BT7:EE7" si="29">COUNTIFS(BT$19:BT$75,"=1",$C$19:$C$75,"A",$D$19:$D$75,"5.2",$E$19:$E$75,"Expansión",$F$19:$F$75,"Mar")</f>
        <v>0</v>
      </c>
      <c r="BU7" s="18">
        <f t="shared" si="29"/>
        <v>0</v>
      </c>
      <c r="BV7" s="18">
        <f t="shared" si="29"/>
        <v>0</v>
      </c>
      <c r="BW7" s="18">
        <f t="shared" si="29"/>
        <v>0</v>
      </c>
      <c r="BX7" s="18">
        <f t="shared" si="29"/>
        <v>0</v>
      </c>
      <c r="BY7" s="18">
        <f t="shared" si="29"/>
        <v>0</v>
      </c>
      <c r="BZ7" s="18">
        <f t="shared" si="29"/>
        <v>0</v>
      </c>
      <c r="CA7" s="18">
        <f t="shared" si="29"/>
        <v>0</v>
      </c>
      <c r="CB7" s="18">
        <f t="shared" si="29"/>
        <v>0</v>
      </c>
      <c r="CC7" s="18">
        <f t="shared" si="29"/>
        <v>0</v>
      </c>
      <c r="CD7" s="18">
        <f t="shared" si="29"/>
        <v>0</v>
      </c>
      <c r="CE7" s="18">
        <f t="shared" si="29"/>
        <v>0</v>
      </c>
      <c r="CF7" s="18">
        <f t="shared" si="29"/>
        <v>0</v>
      </c>
      <c r="CG7" s="18">
        <f t="shared" si="29"/>
        <v>0</v>
      </c>
      <c r="CH7" s="18">
        <f t="shared" si="29"/>
        <v>0</v>
      </c>
      <c r="CI7" s="18">
        <f t="shared" si="29"/>
        <v>0</v>
      </c>
      <c r="CJ7" s="18">
        <f t="shared" si="29"/>
        <v>0</v>
      </c>
      <c r="CK7" s="18">
        <f t="shared" si="29"/>
        <v>0</v>
      </c>
      <c r="CL7" s="18">
        <f t="shared" si="29"/>
        <v>0</v>
      </c>
      <c r="CM7" s="18">
        <f t="shared" si="29"/>
        <v>0</v>
      </c>
      <c r="CN7" s="18">
        <f t="shared" si="29"/>
        <v>0</v>
      </c>
      <c r="CO7" s="18">
        <f t="shared" si="29"/>
        <v>0</v>
      </c>
      <c r="CP7" s="18">
        <f t="shared" si="29"/>
        <v>0</v>
      </c>
      <c r="CQ7" s="18">
        <f t="shared" si="29"/>
        <v>0</v>
      </c>
      <c r="CR7" s="18">
        <f t="shared" si="29"/>
        <v>0</v>
      </c>
      <c r="CS7" s="18">
        <f t="shared" si="29"/>
        <v>0</v>
      </c>
      <c r="CT7" s="18">
        <f t="shared" si="29"/>
        <v>0</v>
      </c>
      <c r="CU7" s="18">
        <f t="shared" si="29"/>
        <v>0</v>
      </c>
      <c r="CV7" s="18">
        <f t="shared" si="29"/>
        <v>0</v>
      </c>
      <c r="CW7" s="18">
        <f t="shared" si="29"/>
        <v>0</v>
      </c>
      <c r="CX7" s="18">
        <f t="shared" si="29"/>
        <v>0</v>
      </c>
      <c r="CY7" s="18">
        <f t="shared" si="29"/>
        <v>0</v>
      </c>
      <c r="CZ7" s="18">
        <f t="shared" si="29"/>
        <v>0</v>
      </c>
      <c r="DA7" s="18">
        <f t="shared" si="29"/>
        <v>0</v>
      </c>
      <c r="DB7" s="18">
        <f t="shared" si="29"/>
        <v>0</v>
      </c>
      <c r="DC7" s="18">
        <f t="shared" si="29"/>
        <v>0</v>
      </c>
      <c r="DD7" s="18">
        <f t="shared" si="29"/>
        <v>0</v>
      </c>
      <c r="DE7" s="18">
        <f t="shared" si="29"/>
        <v>0</v>
      </c>
      <c r="DF7" s="18">
        <f t="shared" si="29"/>
        <v>0</v>
      </c>
      <c r="DG7" s="18">
        <f t="shared" si="29"/>
        <v>0</v>
      </c>
      <c r="DH7" s="18">
        <f t="shared" si="29"/>
        <v>0</v>
      </c>
      <c r="DI7" s="18">
        <f t="shared" si="29"/>
        <v>0</v>
      </c>
      <c r="DJ7" s="18">
        <f t="shared" si="29"/>
        <v>0</v>
      </c>
      <c r="DK7" s="18">
        <f t="shared" si="29"/>
        <v>0</v>
      </c>
      <c r="DL7" s="18">
        <f t="shared" si="29"/>
        <v>0</v>
      </c>
      <c r="DM7" s="18">
        <f t="shared" si="29"/>
        <v>0</v>
      </c>
      <c r="DN7" s="18">
        <f t="shared" si="29"/>
        <v>0</v>
      </c>
      <c r="DO7" s="18">
        <f t="shared" si="29"/>
        <v>0</v>
      </c>
      <c r="DP7" s="18">
        <f t="shared" si="29"/>
        <v>0</v>
      </c>
      <c r="DQ7" s="18">
        <f t="shared" si="29"/>
        <v>0</v>
      </c>
      <c r="DR7" s="18">
        <f t="shared" si="29"/>
        <v>0</v>
      </c>
      <c r="DS7" s="18">
        <f t="shared" si="29"/>
        <v>0</v>
      </c>
      <c r="DT7" s="18">
        <f t="shared" si="29"/>
        <v>0</v>
      </c>
      <c r="DU7" s="18">
        <f t="shared" si="29"/>
        <v>0</v>
      </c>
      <c r="DV7" s="18">
        <f t="shared" si="29"/>
        <v>0</v>
      </c>
      <c r="DW7" s="18">
        <f t="shared" si="29"/>
        <v>0</v>
      </c>
      <c r="DX7" s="18">
        <f t="shared" si="29"/>
        <v>0</v>
      </c>
      <c r="DY7" s="18">
        <f t="shared" si="29"/>
        <v>0</v>
      </c>
      <c r="DZ7" s="18">
        <f t="shared" si="29"/>
        <v>0</v>
      </c>
      <c r="EA7" s="18">
        <f t="shared" si="29"/>
        <v>0</v>
      </c>
      <c r="EB7" s="18">
        <f t="shared" si="29"/>
        <v>0</v>
      </c>
      <c r="EC7" s="18">
        <f t="shared" si="29"/>
        <v>0</v>
      </c>
      <c r="ED7" s="18">
        <f t="shared" si="29"/>
        <v>0</v>
      </c>
      <c r="EE7" s="18">
        <f t="shared" si="29"/>
        <v>0</v>
      </c>
      <c r="EF7" s="18">
        <f t="shared" ref="EF7:GQ7" si="30">COUNTIFS(EF$19:EF$75,"=1",$C$19:$C$75,"A",$D$19:$D$75,"5.2",$E$19:$E$75,"Expansión",$F$19:$F$75,"Mar")</f>
        <v>0</v>
      </c>
      <c r="EG7" s="18">
        <f t="shared" si="30"/>
        <v>0</v>
      </c>
      <c r="EH7" s="18">
        <f t="shared" si="30"/>
        <v>0</v>
      </c>
      <c r="EI7" s="18">
        <f t="shared" si="30"/>
        <v>0</v>
      </c>
      <c r="EJ7" s="18">
        <f t="shared" si="30"/>
        <v>0</v>
      </c>
      <c r="EK7" s="18">
        <f t="shared" si="30"/>
        <v>0</v>
      </c>
      <c r="EL7" s="18">
        <f t="shared" si="30"/>
        <v>0</v>
      </c>
      <c r="EM7" s="18">
        <f t="shared" si="30"/>
        <v>0</v>
      </c>
      <c r="EN7" s="18">
        <f t="shared" si="30"/>
        <v>0</v>
      </c>
      <c r="EO7" s="18">
        <f t="shared" si="30"/>
        <v>0</v>
      </c>
      <c r="EP7" s="18">
        <f t="shared" si="30"/>
        <v>0</v>
      </c>
      <c r="EQ7" s="18">
        <f t="shared" si="30"/>
        <v>0</v>
      </c>
      <c r="ER7" s="18">
        <f t="shared" si="30"/>
        <v>0</v>
      </c>
      <c r="ES7" s="18">
        <f t="shared" si="30"/>
        <v>0</v>
      </c>
      <c r="ET7" s="18">
        <f t="shared" si="30"/>
        <v>0</v>
      </c>
      <c r="EU7" s="18">
        <f t="shared" si="30"/>
        <v>0</v>
      </c>
      <c r="EV7" s="18">
        <f t="shared" si="30"/>
        <v>0</v>
      </c>
      <c r="EW7" s="18">
        <f t="shared" si="30"/>
        <v>0</v>
      </c>
      <c r="EX7" s="18">
        <f t="shared" si="30"/>
        <v>0</v>
      </c>
      <c r="EY7" s="18">
        <f t="shared" si="30"/>
        <v>0</v>
      </c>
      <c r="EZ7" s="18">
        <f t="shared" si="30"/>
        <v>0</v>
      </c>
      <c r="FA7" s="18">
        <f t="shared" si="30"/>
        <v>0</v>
      </c>
      <c r="FB7" s="18">
        <f t="shared" si="30"/>
        <v>0</v>
      </c>
      <c r="FC7" s="18">
        <f t="shared" si="30"/>
        <v>0</v>
      </c>
      <c r="FD7" s="18">
        <f t="shared" si="30"/>
        <v>0</v>
      </c>
      <c r="FE7" s="18">
        <f t="shared" si="30"/>
        <v>0</v>
      </c>
      <c r="FF7" s="18">
        <f t="shared" si="30"/>
        <v>0</v>
      </c>
      <c r="FG7" s="18">
        <f t="shared" si="30"/>
        <v>0</v>
      </c>
      <c r="FH7" s="18">
        <f t="shared" si="30"/>
        <v>0</v>
      </c>
      <c r="FI7" s="18">
        <f t="shared" si="30"/>
        <v>0</v>
      </c>
      <c r="FJ7" s="18">
        <f t="shared" si="30"/>
        <v>0</v>
      </c>
      <c r="FK7" s="18">
        <f t="shared" si="30"/>
        <v>0</v>
      </c>
      <c r="FL7" s="18">
        <f t="shared" si="30"/>
        <v>0</v>
      </c>
      <c r="FM7" s="18">
        <f t="shared" si="30"/>
        <v>0</v>
      </c>
      <c r="FN7" s="18">
        <f t="shared" si="30"/>
        <v>0</v>
      </c>
      <c r="FO7" s="18">
        <f t="shared" si="30"/>
        <v>0</v>
      </c>
      <c r="FP7" s="18">
        <f t="shared" si="30"/>
        <v>0</v>
      </c>
      <c r="FQ7" s="18">
        <f t="shared" si="30"/>
        <v>0</v>
      </c>
      <c r="FR7" s="18">
        <f t="shared" si="30"/>
        <v>0</v>
      </c>
      <c r="FS7" s="18">
        <f t="shared" si="30"/>
        <v>0</v>
      </c>
      <c r="FT7" s="18">
        <f t="shared" si="30"/>
        <v>0</v>
      </c>
      <c r="FU7" s="18">
        <f t="shared" si="30"/>
        <v>0</v>
      </c>
      <c r="FV7" s="18">
        <f t="shared" si="30"/>
        <v>0</v>
      </c>
      <c r="FW7" s="18">
        <f t="shared" si="30"/>
        <v>0</v>
      </c>
      <c r="FX7" s="18">
        <f t="shared" si="30"/>
        <v>0</v>
      </c>
      <c r="FY7" s="18">
        <f t="shared" si="30"/>
        <v>0</v>
      </c>
      <c r="FZ7" s="18">
        <f t="shared" si="30"/>
        <v>0</v>
      </c>
      <c r="GA7" s="18">
        <f t="shared" si="30"/>
        <v>0</v>
      </c>
      <c r="GB7" s="18">
        <f t="shared" si="30"/>
        <v>0</v>
      </c>
      <c r="GC7" s="18">
        <f t="shared" si="30"/>
        <v>0</v>
      </c>
      <c r="GD7" s="18">
        <f t="shared" si="30"/>
        <v>0</v>
      </c>
      <c r="GE7" s="18">
        <f t="shared" si="30"/>
        <v>0</v>
      </c>
      <c r="GF7" s="18">
        <f t="shared" si="30"/>
        <v>0</v>
      </c>
      <c r="GG7" s="18">
        <f t="shared" si="30"/>
        <v>0</v>
      </c>
      <c r="GH7" s="18">
        <f t="shared" si="30"/>
        <v>0</v>
      </c>
      <c r="GI7" s="18">
        <f t="shared" si="30"/>
        <v>0</v>
      </c>
      <c r="GJ7" s="18">
        <f t="shared" si="30"/>
        <v>0</v>
      </c>
      <c r="GK7" s="18">
        <f t="shared" si="30"/>
        <v>0</v>
      </c>
      <c r="GL7" s="18">
        <f t="shared" si="30"/>
        <v>0</v>
      </c>
      <c r="GM7" s="18">
        <f t="shared" si="30"/>
        <v>0</v>
      </c>
      <c r="GN7" s="18">
        <f t="shared" si="30"/>
        <v>0</v>
      </c>
      <c r="GO7" s="18">
        <f t="shared" si="30"/>
        <v>0</v>
      </c>
      <c r="GP7" s="18">
        <f t="shared" si="30"/>
        <v>0</v>
      </c>
      <c r="GQ7" s="18">
        <f t="shared" si="30"/>
        <v>0</v>
      </c>
      <c r="GR7" s="18">
        <f t="shared" ref="GR7:HX7" si="31">COUNTIFS(GR$19:GR$75,"=1",$C$19:$C$75,"A",$D$19:$D$75,"5.2",$E$19:$E$75,"Expansión",$F$19:$F$75,"Mar")</f>
        <v>0</v>
      </c>
      <c r="GS7" s="18">
        <f t="shared" si="31"/>
        <v>0</v>
      </c>
      <c r="GT7" s="18">
        <f t="shared" si="31"/>
        <v>0</v>
      </c>
      <c r="GU7" s="18">
        <f t="shared" si="31"/>
        <v>0</v>
      </c>
      <c r="GV7" s="18">
        <f t="shared" si="31"/>
        <v>0</v>
      </c>
      <c r="GW7" s="18">
        <f t="shared" si="31"/>
        <v>0</v>
      </c>
      <c r="GX7" s="18">
        <f t="shared" si="31"/>
        <v>0</v>
      </c>
      <c r="GY7" s="18">
        <f t="shared" si="31"/>
        <v>0</v>
      </c>
      <c r="GZ7" s="18">
        <f t="shared" si="31"/>
        <v>0</v>
      </c>
      <c r="HA7" s="18">
        <f t="shared" si="31"/>
        <v>0</v>
      </c>
      <c r="HB7" s="18">
        <f t="shared" si="31"/>
        <v>0</v>
      </c>
      <c r="HC7" s="18">
        <f t="shared" si="31"/>
        <v>0</v>
      </c>
      <c r="HD7" s="18">
        <f t="shared" si="31"/>
        <v>0</v>
      </c>
      <c r="HE7" s="18">
        <f t="shared" si="31"/>
        <v>0</v>
      </c>
      <c r="HF7" s="18">
        <f t="shared" si="31"/>
        <v>0</v>
      </c>
      <c r="HG7" s="18">
        <f t="shared" si="31"/>
        <v>0</v>
      </c>
      <c r="HH7" s="18">
        <f t="shared" si="31"/>
        <v>0</v>
      </c>
      <c r="HI7" s="18">
        <f t="shared" si="31"/>
        <v>0</v>
      </c>
      <c r="HJ7" s="18">
        <f t="shared" si="31"/>
        <v>0</v>
      </c>
      <c r="HK7" s="18">
        <f t="shared" si="31"/>
        <v>0</v>
      </c>
      <c r="HL7" s="18">
        <f t="shared" si="31"/>
        <v>0</v>
      </c>
      <c r="HM7" s="18">
        <f t="shared" si="31"/>
        <v>0</v>
      </c>
      <c r="HN7" s="18">
        <f t="shared" si="31"/>
        <v>0</v>
      </c>
      <c r="HO7" s="18">
        <f t="shared" si="31"/>
        <v>0</v>
      </c>
      <c r="HP7" s="18">
        <f t="shared" si="31"/>
        <v>0</v>
      </c>
      <c r="HQ7" s="18">
        <f t="shared" si="31"/>
        <v>0</v>
      </c>
      <c r="HR7" s="18">
        <f t="shared" si="31"/>
        <v>0</v>
      </c>
      <c r="HS7" s="18">
        <f t="shared" si="31"/>
        <v>0</v>
      </c>
      <c r="HT7" s="18">
        <f t="shared" si="31"/>
        <v>0</v>
      </c>
      <c r="HU7" s="18">
        <f t="shared" si="31"/>
        <v>0</v>
      </c>
      <c r="HV7" s="18">
        <f t="shared" si="31"/>
        <v>0</v>
      </c>
      <c r="HW7" s="18">
        <f t="shared" si="31"/>
        <v>0</v>
      </c>
      <c r="HX7" s="18">
        <f t="shared" si="31"/>
        <v>0</v>
      </c>
    </row>
    <row r="8" spans="1:232" hidden="1" x14ac:dyDescent="0.2">
      <c r="E8" s="18" t="s">
        <v>127</v>
      </c>
      <c r="F8" s="18" t="s">
        <v>136</v>
      </c>
      <c r="G8" s="18">
        <f>COUNTIFS(G$19:G$75,"=1",$C$19:$C$75,"B",$D$19:$D$75,"5.2",$E$19:$E$75,"Lomitas",$F$19:$F$75,"Cerro")</f>
        <v>0</v>
      </c>
      <c r="H8" s="18">
        <f t="shared" ref="H8:BS8" si="32">COUNTIFS(H$19:H$75,"=1",$C$19:$C$75,"B",$D$19:$D$75,"5.2",$E$19:$E$75,"Lomitas",$F$19:$F$75,"Cerro")</f>
        <v>0</v>
      </c>
      <c r="I8" s="18">
        <f t="shared" si="32"/>
        <v>0</v>
      </c>
      <c r="J8" s="18">
        <f t="shared" si="32"/>
        <v>0</v>
      </c>
      <c r="K8" s="18">
        <f t="shared" si="32"/>
        <v>0</v>
      </c>
      <c r="L8" s="18">
        <f t="shared" si="32"/>
        <v>0</v>
      </c>
      <c r="M8" s="18">
        <f t="shared" si="32"/>
        <v>0</v>
      </c>
      <c r="N8" s="18">
        <f t="shared" si="32"/>
        <v>0</v>
      </c>
      <c r="O8" s="18">
        <f t="shared" si="32"/>
        <v>0</v>
      </c>
      <c r="P8" s="18">
        <f t="shared" si="32"/>
        <v>0</v>
      </c>
      <c r="Q8" s="18">
        <f t="shared" si="32"/>
        <v>0</v>
      </c>
      <c r="R8" s="18">
        <f t="shared" si="32"/>
        <v>0</v>
      </c>
      <c r="S8" s="18">
        <f t="shared" si="32"/>
        <v>0</v>
      </c>
      <c r="T8" s="18">
        <f t="shared" si="32"/>
        <v>0</v>
      </c>
      <c r="U8" s="18">
        <f t="shared" si="32"/>
        <v>0</v>
      </c>
      <c r="V8" s="18">
        <f t="shared" si="32"/>
        <v>0</v>
      </c>
      <c r="W8" s="18">
        <f t="shared" si="32"/>
        <v>0</v>
      </c>
      <c r="X8" s="18">
        <f t="shared" si="32"/>
        <v>0</v>
      </c>
      <c r="Y8" s="18">
        <f t="shared" si="32"/>
        <v>0</v>
      </c>
      <c r="Z8" s="18">
        <f t="shared" si="32"/>
        <v>0</v>
      </c>
      <c r="AA8" s="18">
        <f t="shared" si="32"/>
        <v>0</v>
      </c>
      <c r="AB8" s="18">
        <f t="shared" si="32"/>
        <v>0</v>
      </c>
      <c r="AC8" s="18">
        <f t="shared" si="32"/>
        <v>0</v>
      </c>
      <c r="AD8" s="18">
        <f t="shared" si="32"/>
        <v>0</v>
      </c>
      <c r="AE8" s="18">
        <f t="shared" si="32"/>
        <v>0</v>
      </c>
      <c r="AF8" s="18">
        <f t="shared" si="32"/>
        <v>0</v>
      </c>
      <c r="AG8" s="18">
        <f t="shared" si="32"/>
        <v>0</v>
      </c>
      <c r="AH8" s="18">
        <f t="shared" si="32"/>
        <v>0</v>
      </c>
      <c r="AI8" s="18">
        <f t="shared" si="32"/>
        <v>0</v>
      </c>
      <c r="AJ8" s="18">
        <f t="shared" si="32"/>
        <v>0</v>
      </c>
      <c r="AK8" s="18">
        <f t="shared" si="32"/>
        <v>0</v>
      </c>
      <c r="AL8" s="18">
        <f t="shared" si="32"/>
        <v>0</v>
      </c>
      <c r="AM8" s="18">
        <f t="shared" si="32"/>
        <v>0</v>
      </c>
      <c r="AN8" s="18">
        <f t="shared" si="32"/>
        <v>0</v>
      </c>
      <c r="AO8" s="18">
        <f t="shared" si="32"/>
        <v>0</v>
      </c>
      <c r="AP8" s="18">
        <f t="shared" si="32"/>
        <v>0</v>
      </c>
      <c r="AQ8" s="18">
        <f t="shared" si="32"/>
        <v>0</v>
      </c>
      <c r="AR8" s="18">
        <f t="shared" si="32"/>
        <v>0</v>
      </c>
      <c r="AS8" s="18">
        <f t="shared" si="32"/>
        <v>0</v>
      </c>
      <c r="AT8" s="18">
        <f t="shared" si="32"/>
        <v>0</v>
      </c>
      <c r="AU8" s="18">
        <f t="shared" si="32"/>
        <v>0</v>
      </c>
      <c r="AV8" s="18">
        <f t="shared" si="32"/>
        <v>0</v>
      </c>
      <c r="AW8" s="18">
        <f t="shared" si="32"/>
        <v>0</v>
      </c>
      <c r="AX8" s="18">
        <f t="shared" si="32"/>
        <v>0</v>
      </c>
      <c r="AY8" s="18">
        <f t="shared" si="32"/>
        <v>0</v>
      </c>
      <c r="AZ8" s="18">
        <f t="shared" si="32"/>
        <v>0</v>
      </c>
      <c r="BA8" s="18">
        <f t="shared" si="32"/>
        <v>0</v>
      </c>
      <c r="BB8" s="18">
        <f t="shared" si="32"/>
        <v>0</v>
      </c>
      <c r="BC8" s="18">
        <f t="shared" si="32"/>
        <v>0</v>
      </c>
      <c r="BD8" s="18">
        <f t="shared" si="32"/>
        <v>0</v>
      </c>
      <c r="BE8" s="18">
        <f t="shared" si="32"/>
        <v>0</v>
      </c>
      <c r="BF8" s="18">
        <f t="shared" si="32"/>
        <v>0</v>
      </c>
      <c r="BG8" s="18">
        <f t="shared" si="32"/>
        <v>0</v>
      </c>
      <c r="BH8" s="18">
        <f t="shared" si="32"/>
        <v>0</v>
      </c>
      <c r="BI8" s="18">
        <f t="shared" si="32"/>
        <v>0</v>
      </c>
      <c r="BJ8" s="18">
        <f t="shared" si="32"/>
        <v>0</v>
      </c>
      <c r="BK8" s="18">
        <f t="shared" si="32"/>
        <v>0</v>
      </c>
      <c r="BL8" s="18">
        <f t="shared" si="32"/>
        <v>0</v>
      </c>
      <c r="BM8" s="18">
        <f t="shared" si="32"/>
        <v>0</v>
      </c>
      <c r="BN8" s="18">
        <f t="shared" si="32"/>
        <v>0</v>
      </c>
      <c r="BO8" s="18">
        <f t="shared" si="32"/>
        <v>0</v>
      </c>
      <c r="BP8" s="18">
        <f t="shared" si="32"/>
        <v>0</v>
      </c>
      <c r="BQ8" s="18">
        <f t="shared" si="32"/>
        <v>0</v>
      </c>
      <c r="BR8" s="18">
        <f t="shared" si="32"/>
        <v>0</v>
      </c>
      <c r="BS8" s="18">
        <f t="shared" si="32"/>
        <v>0</v>
      </c>
      <c r="BT8" s="18">
        <f t="shared" ref="BT8:EE8" si="33">COUNTIFS(BT$19:BT$75,"=1",$C$19:$C$75,"B",$D$19:$D$75,"5.2",$E$19:$E$75,"Lomitas",$F$19:$F$75,"Cerro")</f>
        <v>0</v>
      </c>
      <c r="BU8" s="18">
        <f t="shared" si="33"/>
        <v>0</v>
      </c>
      <c r="BV8" s="18">
        <f t="shared" si="33"/>
        <v>0</v>
      </c>
      <c r="BW8" s="18">
        <f t="shared" si="33"/>
        <v>0</v>
      </c>
      <c r="BX8" s="18">
        <f t="shared" si="33"/>
        <v>0</v>
      </c>
      <c r="BY8" s="18">
        <f t="shared" si="33"/>
        <v>0</v>
      </c>
      <c r="BZ8" s="18">
        <f t="shared" si="33"/>
        <v>0</v>
      </c>
      <c r="CA8" s="18">
        <f t="shared" si="33"/>
        <v>0</v>
      </c>
      <c r="CB8" s="18">
        <f t="shared" si="33"/>
        <v>0</v>
      </c>
      <c r="CC8" s="18">
        <f t="shared" si="33"/>
        <v>0</v>
      </c>
      <c r="CD8" s="18">
        <f t="shared" si="33"/>
        <v>0</v>
      </c>
      <c r="CE8" s="18">
        <f t="shared" si="33"/>
        <v>0</v>
      </c>
      <c r="CF8" s="18">
        <f t="shared" si="33"/>
        <v>0</v>
      </c>
      <c r="CG8" s="18">
        <f t="shared" si="33"/>
        <v>0</v>
      </c>
      <c r="CH8" s="18">
        <f t="shared" si="33"/>
        <v>0</v>
      </c>
      <c r="CI8" s="18">
        <f t="shared" si="33"/>
        <v>0</v>
      </c>
      <c r="CJ8" s="18">
        <f t="shared" si="33"/>
        <v>0</v>
      </c>
      <c r="CK8" s="18">
        <f t="shared" si="33"/>
        <v>0</v>
      </c>
      <c r="CL8" s="18">
        <f t="shared" si="33"/>
        <v>0</v>
      </c>
      <c r="CM8" s="18">
        <f t="shared" si="33"/>
        <v>0</v>
      </c>
      <c r="CN8" s="18">
        <f t="shared" si="33"/>
        <v>0</v>
      </c>
      <c r="CO8" s="18">
        <f t="shared" si="33"/>
        <v>0</v>
      </c>
      <c r="CP8" s="18">
        <f t="shared" si="33"/>
        <v>0</v>
      </c>
      <c r="CQ8" s="18">
        <f t="shared" si="33"/>
        <v>0</v>
      </c>
      <c r="CR8" s="18">
        <f t="shared" si="33"/>
        <v>0</v>
      </c>
      <c r="CS8" s="18">
        <f t="shared" si="33"/>
        <v>0</v>
      </c>
      <c r="CT8" s="18">
        <f t="shared" si="33"/>
        <v>0</v>
      </c>
      <c r="CU8" s="18">
        <f t="shared" si="33"/>
        <v>0</v>
      </c>
      <c r="CV8" s="18">
        <f t="shared" si="33"/>
        <v>0</v>
      </c>
      <c r="CW8" s="18">
        <f t="shared" si="33"/>
        <v>0</v>
      </c>
      <c r="CX8" s="18">
        <f t="shared" si="33"/>
        <v>0</v>
      </c>
      <c r="CY8" s="18">
        <f t="shared" si="33"/>
        <v>0</v>
      </c>
      <c r="CZ8" s="18">
        <f t="shared" si="33"/>
        <v>0</v>
      </c>
      <c r="DA8" s="18">
        <f t="shared" si="33"/>
        <v>0</v>
      </c>
      <c r="DB8" s="18">
        <f t="shared" si="33"/>
        <v>0</v>
      </c>
      <c r="DC8" s="18">
        <f t="shared" si="33"/>
        <v>0</v>
      </c>
      <c r="DD8" s="18">
        <f t="shared" si="33"/>
        <v>0</v>
      </c>
      <c r="DE8" s="18">
        <f t="shared" si="33"/>
        <v>0</v>
      </c>
      <c r="DF8" s="18">
        <f t="shared" si="33"/>
        <v>0</v>
      </c>
      <c r="DG8" s="18">
        <f t="shared" si="33"/>
        <v>0</v>
      </c>
      <c r="DH8" s="18">
        <f t="shared" si="33"/>
        <v>0</v>
      </c>
      <c r="DI8" s="18">
        <f t="shared" si="33"/>
        <v>0</v>
      </c>
      <c r="DJ8" s="18">
        <f t="shared" si="33"/>
        <v>0</v>
      </c>
      <c r="DK8" s="18">
        <f t="shared" si="33"/>
        <v>0</v>
      </c>
      <c r="DL8" s="18">
        <f t="shared" si="33"/>
        <v>0</v>
      </c>
      <c r="DM8" s="18">
        <f t="shared" si="33"/>
        <v>0</v>
      </c>
      <c r="DN8" s="18">
        <f t="shared" si="33"/>
        <v>0</v>
      </c>
      <c r="DO8" s="18">
        <f t="shared" si="33"/>
        <v>0</v>
      </c>
      <c r="DP8" s="18">
        <f t="shared" si="33"/>
        <v>0</v>
      </c>
      <c r="DQ8" s="18">
        <f t="shared" si="33"/>
        <v>0</v>
      </c>
      <c r="DR8" s="18">
        <f t="shared" si="33"/>
        <v>0</v>
      </c>
      <c r="DS8" s="18">
        <f t="shared" si="33"/>
        <v>0</v>
      </c>
      <c r="DT8" s="18">
        <f t="shared" si="33"/>
        <v>0</v>
      </c>
      <c r="DU8" s="18">
        <f t="shared" si="33"/>
        <v>0</v>
      </c>
      <c r="DV8" s="18">
        <f t="shared" si="33"/>
        <v>0</v>
      </c>
      <c r="DW8" s="18">
        <f t="shared" si="33"/>
        <v>0</v>
      </c>
      <c r="DX8" s="18">
        <f t="shared" si="33"/>
        <v>0</v>
      </c>
      <c r="DY8" s="18">
        <f t="shared" si="33"/>
        <v>0</v>
      </c>
      <c r="DZ8" s="18">
        <f t="shared" si="33"/>
        <v>0</v>
      </c>
      <c r="EA8" s="18">
        <f t="shared" si="33"/>
        <v>0</v>
      </c>
      <c r="EB8" s="18">
        <f t="shared" si="33"/>
        <v>0</v>
      </c>
      <c r="EC8" s="18">
        <f t="shared" si="33"/>
        <v>0</v>
      </c>
      <c r="ED8" s="18">
        <f t="shared" si="33"/>
        <v>0</v>
      </c>
      <c r="EE8" s="18">
        <f t="shared" si="33"/>
        <v>0</v>
      </c>
      <c r="EF8" s="18">
        <f t="shared" ref="EF8:GQ8" si="34">COUNTIFS(EF$19:EF$75,"=1",$C$19:$C$75,"B",$D$19:$D$75,"5.2",$E$19:$E$75,"Lomitas",$F$19:$F$75,"Cerro")</f>
        <v>0</v>
      </c>
      <c r="EG8" s="18">
        <f t="shared" si="34"/>
        <v>0</v>
      </c>
      <c r="EH8" s="18">
        <f t="shared" si="34"/>
        <v>0</v>
      </c>
      <c r="EI8" s="18">
        <f t="shared" si="34"/>
        <v>0</v>
      </c>
      <c r="EJ8" s="18">
        <f t="shared" si="34"/>
        <v>0</v>
      </c>
      <c r="EK8" s="18">
        <f t="shared" si="34"/>
        <v>0</v>
      </c>
      <c r="EL8" s="18">
        <f t="shared" si="34"/>
        <v>0</v>
      </c>
      <c r="EM8" s="18">
        <f t="shared" si="34"/>
        <v>0</v>
      </c>
      <c r="EN8" s="18">
        <f t="shared" si="34"/>
        <v>0</v>
      </c>
      <c r="EO8" s="18">
        <f t="shared" si="34"/>
        <v>0</v>
      </c>
      <c r="EP8" s="18">
        <f t="shared" si="34"/>
        <v>0</v>
      </c>
      <c r="EQ8" s="18">
        <f t="shared" si="34"/>
        <v>0</v>
      </c>
      <c r="ER8" s="18">
        <f t="shared" si="34"/>
        <v>0</v>
      </c>
      <c r="ES8" s="18">
        <f t="shared" si="34"/>
        <v>0</v>
      </c>
      <c r="ET8" s="18">
        <f t="shared" si="34"/>
        <v>0</v>
      </c>
      <c r="EU8" s="18">
        <f t="shared" si="34"/>
        <v>0</v>
      </c>
      <c r="EV8" s="18">
        <f t="shared" si="34"/>
        <v>0</v>
      </c>
      <c r="EW8" s="18">
        <f t="shared" si="34"/>
        <v>0</v>
      </c>
      <c r="EX8" s="18">
        <f t="shared" si="34"/>
        <v>0</v>
      </c>
      <c r="EY8" s="18">
        <f t="shared" si="34"/>
        <v>0</v>
      </c>
      <c r="EZ8" s="18">
        <f t="shared" si="34"/>
        <v>0</v>
      </c>
      <c r="FA8" s="18">
        <f t="shared" si="34"/>
        <v>0</v>
      </c>
      <c r="FB8" s="18">
        <f t="shared" si="34"/>
        <v>0</v>
      </c>
      <c r="FC8" s="18">
        <f t="shared" si="34"/>
        <v>0</v>
      </c>
      <c r="FD8" s="18">
        <f t="shared" si="34"/>
        <v>0</v>
      </c>
      <c r="FE8" s="18">
        <f t="shared" si="34"/>
        <v>0</v>
      </c>
      <c r="FF8" s="18">
        <f t="shared" si="34"/>
        <v>0</v>
      </c>
      <c r="FG8" s="18">
        <f t="shared" si="34"/>
        <v>0</v>
      </c>
      <c r="FH8" s="18">
        <f t="shared" si="34"/>
        <v>0</v>
      </c>
      <c r="FI8" s="18">
        <f t="shared" si="34"/>
        <v>0</v>
      </c>
      <c r="FJ8" s="18">
        <f t="shared" si="34"/>
        <v>0</v>
      </c>
      <c r="FK8" s="18">
        <f t="shared" si="34"/>
        <v>0</v>
      </c>
      <c r="FL8" s="18">
        <f t="shared" si="34"/>
        <v>0</v>
      </c>
      <c r="FM8" s="18">
        <f t="shared" si="34"/>
        <v>0</v>
      </c>
      <c r="FN8" s="18">
        <f t="shared" si="34"/>
        <v>0</v>
      </c>
      <c r="FO8" s="18">
        <f t="shared" si="34"/>
        <v>0</v>
      </c>
      <c r="FP8" s="18">
        <f t="shared" si="34"/>
        <v>0</v>
      </c>
      <c r="FQ8" s="18">
        <f t="shared" si="34"/>
        <v>0</v>
      </c>
      <c r="FR8" s="18">
        <f t="shared" si="34"/>
        <v>0</v>
      </c>
      <c r="FS8" s="18">
        <f t="shared" si="34"/>
        <v>0</v>
      </c>
      <c r="FT8" s="18">
        <f t="shared" si="34"/>
        <v>0</v>
      </c>
      <c r="FU8" s="18">
        <f t="shared" si="34"/>
        <v>0</v>
      </c>
      <c r="FV8" s="18">
        <f t="shared" si="34"/>
        <v>0</v>
      </c>
      <c r="FW8" s="18">
        <f t="shared" si="34"/>
        <v>0</v>
      </c>
      <c r="FX8" s="18">
        <f t="shared" si="34"/>
        <v>0</v>
      </c>
      <c r="FY8" s="18">
        <f t="shared" si="34"/>
        <v>0</v>
      </c>
      <c r="FZ8" s="18">
        <f t="shared" si="34"/>
        <v>0</v>
      </c>
      <c r="GA8" s="18">
        <f t="shared" si="34"/>
        <v>0</v>
      </c>
      <c r="GB8" s="18">
        <f t="shared" si="34"/>
        <v>0</v>
      </c>
      <c r="GC8" s="18">
        <f t="shared" si="34"/>
        <v>0</v>
      </c>
      <c r="GD8" s="18">
        <f t="shared" si="34"/>
        <v>0</v>
      </c>
      <c r="GE8" s="18">
        <f t="shared" si="34"/>
        <v>0</v>
      </c>
      <c r="GF8" s="18">
        <f t="shared" si="34"/>
        <v>0</v>
      </c>
      <c r="GG8" s="18">
        <f t="shared" si="34"/>
        <v>0</v>
      </c>
      <c r="GH8" s="18">
        <f t="shared" si="34"/>
        <v>0</v>
      </c>
      <c r="GI8" s="18">
        <f t="shared" si="34"/>
        <v>0</v>
      </c>
      <c r="GJ8" s="18">
        <f t="shared" si="34"/>
        <v>0</v>
      </c>
      <c r="GK8" s="18">
        <f t="shared" si="34"/>
        <v>0</v>
      </c>
      <c r="GL8" s="18">
        <f t="shared" si="34"/>
        <v>0</v>
      </c>
      <c r="GM8" s="18">
        <f t="shared" si="34"/>
        <v>0</v>
      </c>
      <c r="GN8" s="18">
        <f t="shared" si="34"/>
        <v>0</v>
      </c>
      <c r="GO8" s="18">
        <f t="shared" si="34"/>
        <v>0</v>
      </c>
      <c r="GP8" s="18">
        <f t="shared" si="34"/>
        <v>0</v>
      </c>
      <c r="GQ8" s="18">
        <f t="shared" si="34"/>
        <v>0</v>
      </c>
      <c r="GR8" s="18">
        <f t="shared" ref="GR8:HX8" si="35">COUNTIFS(GR$19:GR$75,"=1",$C$19:$C$75,"B",$D$19:$D$75,"5.2",$E$19:$E$75,"Lomitas",$F$19:$F$75,"Cerro")</f>
        <v>0</v>
      </c>
      <c r="GS8" s="18">
        <f t="shared" si="35"/>
        <v>0</v>
      </c>
      <c r="GT8" s="18">
        <f t="shared" si="35"/>
        <v>0</v>
      </c>
      <c r="GU8" s="18">
        <f t="shared" si="35"/>
        <v>0</v>
      </c>
      <c r="GV8" s="18">
        <f t="shared" si="35"/>
        <v>0</v>
      </c>
      <c r="GW8" s="18">
        <f t="shared" si="35"/>
        <v>0</v>
      </c>
      <c r="GX8" s="18">
        <f t="shared" si="35"/>
        <v>0</v>
      </c>
      <c r="GY8" s="18">
        <f t="shared" si="35"/>
        <v>0</v>
      </c>
      <c r="GZ8" s="18">
        <f t="shared" si="35"/>
        <v>0</v>
      </c>
      <c r="HA8" s="18">
        <f t="shared" si="35"/>
        <v>0</v>
      </c>
      <c r="HB8" s="18">
        <f t="shared" si="35"/>
        <v>0</v>
      </c>
      <c r="HC8" s="18">
        <f t="shared" si="35"/>
        <v>0</v>
      </c>
      <c r="HD8" s="18">
        <f t="shared" si="35"/>
        <v>0</v>
      </c>
      <c r="HE8" s="18">
        <f t="shared" si="35"/>
        <v>0</v>
      </c>
      <c r="HF8" s="18">
        <f t="shared" si="35"/>
        <v>0</v>
      </c>
      <c r="HG8" s="18">
        <f t="shared" si="35"/>
        <v>0</v>
      </c>
      <c r="HH8" s="18">
        <f t="shared" si="35"/>
        <v>0</v>
      </c>
      <c r="HI8" s="18">
        <f t="shared" si="35"/>
        <v>0</v>
      </c>
      <c r="HJ8" s="18">
        <f t="shared" si="35"/>
        <v>0</v>
      </c>
      <c r="HK8" s="18">
        <f t="shared" si="35"/>
        <v>0</v>
      </c>
      <c r="HL8" s="18">
        <f t="shared" si="35"/>
        <v>0</v>
      </c>
      <c r="HM8" s="18">
        <f t="shared" si="35"/>
        <v>0</v>
      </c>
      <c r="HN8" s="18">
        <f t="shared" si="35"/>
        <v>0</v>
      </c>
      <c r="HO8" s="18">
        <f t="shared" si="35"/>
        <v>0</v>
      </c>
      <c r="HP8" s="18">
        <f t="shared" si="35"/>
        <v>0</v>
      </c>
      <c r="HQ8" s="18">
        <f t="shared" si="35"/>
        <v>0</v>
      </c>
      <c r="HR8" s="18">
        <f t="shared" si="35"/>
        <v>0</v>
      </c>
      <c r="HS8" s="18">
        <f t="shared" si="35"/>
        <v>0</v>
      </c>
      <c r="HT8" s="18">
        <f t="shared" si="35"/>
        <v>0</v>
      </c>
      <c r="HU8" s="18">
        <f t="shared" si="35"/>
        <v>0</v>
      </c>
      <c r="HV8" s="18">
        <f t="shared" si="35"/>
        <v>0</v>
      </c>
      <c r="HW8" s="18">
        <f t="shared" si="35"/>
        <v>0</v>
      </c>
      <c r="HX8" s="18">
        <f t="shared" si="35"/>
        <v>0</v>
      </c>
    </row>
    <row r="9" spans="1:232" hidden="1" x14ac:dyDescent="0.2">
      <c r="E9" s="18" t="s">
        <v>127</v>
      </c>
      <c r="F9" s="18" t="s">
        <v>137</v>
      </c>
      <c r="G9" s="18">
        <f>COUNTIFS(G$19:G$75,"=1",$C$19:$C$75,"B",$D$19:$D$75,"5.2",$E$19:$E$75,"Lomitas",$F$19:$F$75,"Medio")</f>
        <v>3</v>
      </c>
      <c r="H9" s="18">
        <f t="shared" ref="H9:BS9" si="36">COUNTIFS(H$19:H$75,"=1",$C$19:$C$75,"B",$D$19:$D$75,"5.2",$E$19:$E$75,"Lomitas",$F$19:$F$75,"Medio")</f>
        <v>3</v>
      </c>
      <c r="I9" s="18">
        <f t="shared" si="36"/>
        <v>3</v>
      </c>
      <c r="J9" s="18">
        <f t="shared" si="36"/>
        <v>3</v>
      </c>
      <c r="K9" s="18">
        <f t="shared" si="36"/>
        <v>3</v>
      </c>
      <c r="L9" s="18">
        <f t="shared" si="36"/>
        <v>3</v>
      </c>
      <c r="M9" s="18">
        <f t="shared" si="36"/>
        <v>3</v>
      </c>
      <c r="N9" s="18">
        <f t="shared" si="36"/>
        <v>3</v>
      </c>
      <c r="O9" s="18">
        <f t="shared" si="36"/>
        <v>3</v>
      </c>
      <c r="P9" s="18">
        <f t="shared" si="36"/>
        <v>3</v>
      </c>
      <c r="Q9" s="18">
        <f t="shared" si="36"/>
        <v>3</v>
      </c>
      <c r="R9" s="18">
        <f t="shared" si="36"/>
        <v>3</v>
      </c>
      <c r="S9" s="18">
        <f t="shared" si="36"/>
        <v>3</v>
      </c>
      <c r="T9" s="18">
        <f t="shared" si="36"/>
        <v>3</v>
      </c>
      <c r="U9" s="18">
        <f t="shared" si="36"/>
        <v>3</v>
      </c>
      <c r="V9" s="18">
        <f t="shared" si="36"/>
        <v>3</v>
      </c>
      <c r="W9" s="18">
        <f t="shared" si="36"/>
        <v>3</v>
      </c>
      <c r="X9" s="18">
        <f t="shared" si="36"/>
        <v>3</v>
      </c>
      <c r="Y9" s="18">
        <f t="shared" si="36"/>
        <v>3</v>
      </c>
      <c r="Z9" s="18">
        <f t="shared" si="36"/>
        <v>3</v>
      </c>
      <c r="AA9" s="18">
        <f t="shared" si="36"/>
        <v>3</v>
      </c>
      <c r="AB9" s="18">
        <f t="shared" si="36"/>
        <v>3</v>
      </c>
      <c r="AC9" s="18">
        <f t="shared" si="36"/>
        <v>3</v>
      </c>
      <c r="AD9" s="18">
        <f t="shared" si="36"/>
        <v>3</v>
      </c>
      <c r="AE9" s="18">
        <f t="shared" si="36"/>
        <v>3</v>
      </c>
      <c r="AF9" s="18">
        <f t="shared" si="36"/>
        <v>3</v>
      </c>
      <c r="AG9" s="18">
        <f t="shared" si="36"/>
        <v>3</v>
      </c>
      <c r="AH9" s="18">
        <f t="shared" si="36"/>
        <v>3</v>
      </c>
      <c r="AI9" s="18">
        <f t="shared" si="36"/>
        <v>3</v>
      </c>
      <c r="AJ9" s="18">
        <f t="shared" si="36"/>
        <v>3</v>
      </c>
      <c r="AK9" s="18">
        <f t="shared" si="36"/>
        <v>3</v>
      </c>
      <c r="AL9" s="18">
        <f t="shared" si="36"/>
        <v>3</v>
      </c>
      <c r="AM9" s="18">
        <f t="shared" si="36"/>
        <v>3</v>
      </c>
      <c r="AN9" s="18">
        <f t="shared" si="36"/>
        <v>3</v>
      </c>
      <c r="AO9" s="18">
        <f t="shared" si="36"/>
        <v>3</v>
      </c>
      <c r="AP9" s="18">
        <f t="shared" si="36"/>
        <v>3</v>
      </c>
      <c r="AQ9" s="18">
        <f t="shared" si="36"/>
        <v>3</v>
      </c>
      <c r="AR9" s="18">
        <f t="shared" si="36"/>
        <v>3</v>
      </c>
      <c r="AS9" s="18">
        <f t="shared" si="36"/>
        <v>3</v>
      </c>
      <c r="AT9" s="18">
        <f t="shared" si="36"/>
        <v>3</v>
      </c>
      <c r="AU9" s="18">
        <f t="shared" si="36"/>
        <v>3</v>
      </c>
      <c r="AV9" s="18">
        <f t="shared" si="36"/>
        <v>3</v>
      </c>
      <c r="AW9" s="18">
        <f t="shared" si="36"/>
        <v>3</v>
      </c>
      <c r="AX9" s="18">
        <f t="shared" si="36"/>
        <v>3</v>
      </c>
      <c r="AY9" s="18">
        <f t="shared" si="36"/>
        <v>3</v>
      </c>
      <c r="AZ9" s="18">
        <f t="shared" si="36"/>
        <v>3</v>
      </c>
      <c r="BA9" s="18">
        <f t="shared" si="36"/>
        <v>3</v>
      </c>
      <c r="BB9" s="18">
        <f t="shared" si="36"/>
        <v>3</v>
      </c>
      <c r="BC9" s="18">
        <f t="shared" si="36"/>
        <v>3</v>
      </c>
      <c r="BD9" s="18">
        <f t="shared" si="36"/>
        <v>3</v>
      </c>
      <c r="BE9" s="18">
        <f t="shared" si="36"/>
        <v>3</v>
      </c>
      <c r="BF9" s="18">
        <f t="shared" si="36"/>
        <v>3</v>
      </c>
      <c r="BG9" s="18">
        <f t="shared" si="36"/>
        <v>3</v>
      </c>
      <c r="BH9" s="18">
        <f t="shared" si="36"/>
        <v>3</v>
      </c>
      <c r="BI9" s="18">
        <f t="shared" si="36"/>
        <v>3</v>
      </c>
      <c r="BJ9" s="18">
        <f t="shared" si="36"/>
        <v>3</v>
      </c>
      <c r="BK9" s="18">
        <f t="shared" si="36"/>
        <v>3</v>
      </c>
      <c r="BL9" s="18">
        <f t="shared" si="36"/>
        <v>3</v>
      </c>
      <c r="BM9" s="18">
        <f t="shared" si="36"/>
        <v>3</v>
      </c>
      <c r="BN9" s="18">
        <f t="shared" si="36"/>
        <v>3</v>
      </c>
      <c r="BO9" s="18">
        <f t="shared" si="36"/>
        <v>3</v>
      </c>
      <c r="BP9" s="18">
        <f t="shared" si="36"/>
        <v>3</v>
      </c>
      <c r="BQ9" s="18">
        <f t="shared" si="36"/>
        <v>3</v>
      </c>
      <c r="BR9" s="18">
        <f t="shared" si="36"/>
        <v>3</v>
      </c>
      <c r="BS9" s="18">
        <f t="shared" si="36"/>
        <v>3</v>
      </c>
      <c r="BT9" s="18">
        <f t="shared" ref="BT9:EE9" si="37">COUNTIFS(BT$19:BT$75,"=1",$C$19:$C$75,"B",$D$19:$D$75,"5.2",$E$19:$E$75,"Lomitas",$F$19:$F$75,"Medio")</f>
        <v>3</v>
      </c>
      <c r="BU9" s="18">
        <f t="shared" si="37"/>
        <v>3</v>
      </c>
      <c r="BV9" s="18">
        <f t="shared" si="37"/>
        <v>3</v>
      </c>
      <c r="BW9" s="18">
        <f t="shared" si="37"/>
        <v>3</v>
      </c>
      <c r="BX9" s="18">
        <f t="shared" si="37"/>
        <v>3</v>
      </c>
      <c r="BY9" s="18">
        <f t="shared" si="37"/>
        <v>3</v>
      </c>
      <c r="BZ9" s="18">
        <f t="shared" si="37"/>
        <v>3</v>
      </c>
      <c r="CA9" s="18">
        <f t="shared" si="37"/>
        <v>3</v>
      </c>
      <c r="CB9" s="18">
        <f t="shared" si="37"/>
        <v>3</v>
      </c>
      <c r="CC9" s="18">
        <f t="shared" si="37"/>
        <v>3</v>
      </c>
      <c r="CD9" s="18">
        <f t="shared" si="37"/>
        <v>3</v>
      </c>
      <c r="CE9" s="18">
        <f t="shared" si="37"/>
        <v>3</v>
      </c>
      <c r="CF9" s="18">
        <f t="shared" si="37"/>
        <v>3</v>
      </c>
      <c r="CG9" s="18">
        <f t="shared" si="37"/>
        <v>3</v>
      </c>
      <c r="CH9" s="18">
        <f t="shared" si="37"/>
        <v>3</v>
      </c>
      <c r="CI9" s="18">
        <f t="shared" si="37"/>
        <v>3</v>
      </c>
      <c r="CJ9" s="18">
        <f t="shared" si="37"/>
        <v>3</v>
      </c>
      <c r="CK9" s="18">
        <f t="shared" si="37"/>
        <v>3</v>
      </c>
      <c r="CL9" s="18">
        <f t="shared" si="37"/>
        <v>3</v>
      </c>
      <c r="CM9" s="18">
        <f t="shared" si="37"/>
        <v>3</v>
      </c>
      <c r="CN9" s="18">
        <f t="shared" si="37"/>
        <v>3</v>
      </c>
      <c r="CO9" s="18">
        <f t="shared" si="37"/>
        <v>3</v>
      </c>
      <c r="CP9" s="18">
        <f t="shared" si="37"/>
        <v>3</v>
      </c>
      <c r="CQ9" s="18">
        <f t="shared" si="37"/>
        <v>3</v>
      </c>
      <c r="CR9" s="18">
        <f t="shared" si="37"/>
        <v>3</v>
      </c>
      <c r="CS9" s="18">
        <f t="shared" si="37"/>
        <v>3</v>
      </c>
      <c r="CT9" s="18">
        <f t="shared" si="37"/>
        <v>3</v>
      </c>
      <c r="CU9" s="18">
        <f t="shared" si="37"/>
        <v>3</v>
      </c>
      <c r="CV9" s="18">
        <f t="shared" si="37"/>
        <v>3</v>
      </c>
      <c r="CW9" s="18">
        <f t="shared" si="37"/>
        <v>3</v>
      </c>
      <c r="CX9" s="18">
        <f t="shared" si="37"/>
        <v>3</v>
      </c>
      <c r="CY9" s="18">
        <f t="shared" si="37"/>
        <v>3</v>
      </c>
      <c r="CZ9" s="18">
        <f t="shared" si="37"/>
        <v>3</v>
      </c>
      <c r="DA9" s="18">
        <f t="shared" si="37"/>
        <v>3</v>
      </c>
      <c r="DB9" s="18">
        <f t="shared" si="37"/>
        <v>3</v>
      </c>
      <c r="DC9" s="18">
        <f t="shared" si="37"/>
        <v>3</v>
      </c>
      <c r="DD9" s="18">
        <f t="shared" si="37"/>
        <v>3</v>
      </c>
      <c r="DE9" s="18">
        <f t="shared" si="37"/>
        <v>3</v>
      </c>
      <c r="DF9" s="18">
        <f t="shared" si="37"/>
        <v>3</v>
      </c>
      <c r="DG9" s="18">
        <f t="shared" si="37"/>
        <v>3</v>
      </c>
      <c r="DH9" s="18">
        <f t="shared" si="37"/>
        <v>3</v>
      </c>
      <c r="DI9" s="18">
        <f t="shared" si="37"/>
        <v>3</v>
      </c>
      <c r="DJ9" s="18">
        <f t="shared" si="37"/>
        <v>3</v>
      </c>
      <c r="DK9" s="18">
        <f t="shared" si="37"/>
        <v>3</v>
      </c>
      <c r="DL9" s="18">
        <f t="shared" si="37"/>
        <v>3</v>
      </c>
      <c r="DM9" s="18">
        <f t="shared" si="37"/>
        <v>3</v>
      </c>
      <c r="DN9" s="18">
        <f t="shared" si="37"/>
        <v>3</v>
      </c>
      <c r="DO9" s="18">
        <f t="shared" si="37"/>
        <v>3</v>
      </c>
      <c r="DP9" s="18">
        <f t="shared" si="37"/>
        <v>3</v>
      </c>
      <c r="DQ9" s="18">
        <f t="shared" si="37"/>
        <v>3</v>
      </c>
      <c r="DR9" s="18">
        <f t="shared" si="37"/>
        <v>3</v>
      </c>
      <c r="DS9" s="18">
        <f t="shared" si="37"/>
        <v>3</v>
      </c>
      <c r="DT9" s="18">
        <f t="shared" si="37"/>
        <v>3</v>
      </c>
      <c r="DU9" s="18">
        <f t="shared" si="37"/>
        <v>3</v>
      </c>
      <c r="DV9" s="18">
        <f t="shared" si="37"/>
        <v>3</v>
      </c>
      <c r="DW9" s="18">
        <f t="shared" si="37"/>
        <v>3</v>
      </c>
      <c r="DX9" s="18">
        <f t="shared" si="37"/>
        <v>3</v>
      </c>
      <c r="DY9" s="18">
        <f t="shared" si="37"/>
        <v>3</v>
      </c>
      <c r="DZ9" s="18">
        <f t="shared" si="37"/>
        <v>3</v>
      </c>
      <c r="EA9" s="18">
        <f t="shared" si="37"/>
        <v>3</v>
      </c>
      <c r="EB9" s="18">
        <f t="shared" si="37"/>
        <v>3</v>
      </c>
      <c r="EC9" s="18">
        <f t="shared" si="37"/>
        <v>3</v>
      </c>
      <c r="ED9" s="18">
        <f t="shared" si="37"/>
        <v>3</v>
      </c>
      <c r="EE9" s="18">
        <f t="shared" si="37"/>
        <v>3</v>
      </c>
      <c r="EF9" s="18">
        <f t="shared" ref="EF9:GQ9" si="38">COUNTIFS(EF$19:EF$75,"=1",$C$19:$C$75,"B",$D$19:$D$75,"5.2",$E$19:$E$75,"Lomitas",$F$19:$F$75,"Medio")</f>
        <v>3</v>
      </c>
      <c r="EG9" s="18">
        <f t="shared" si="38"/>
        <v>3</v>
      </c>
      <c r="EH9" s="18">
        <f t="shared" si="38"/>
        <v>3</v>
      </c>
      <c r="EI9" s="18">
        <f t="shared" si="38"/>
        <v>3</v>
      </c>
      <c r="EJ9" s="18">
        <f t="shared" si="38"/>
        <v>3</v>
      </c>
      <c r="EK9" s="18">
        <f t="shared" si="38"/>
        <v>3</v>
      </c>
      <c r="EL9" s="18">
        <f t="shared" si="38"/>
        <v>3</v>
      </c>
      <c r="EM9" s="18">
        <f t="shared" si="38"/>
        <v>3</v>
      </c>
      <c r="EN9" s="18">
        <f t="shared" si="38"/>
        <v>3</v>
      </c>
      <c r="EO9" s="18">
        <f t="shared" si="38"/>
        <v>3</v>
      </c>
      <c r="EP9" s="18">
        <f t="shared" si="38"/>
        <v>3</v>
      </c>
      <c r="EQ9" s="18">
        <f t="shared" si="38"/>
        <v>3</v>
      </c>
      <c r="ER9" s="18">
        <f t="shared" si="38"/>
        <v>3</v>
      </c>
      <c r="ES9" s="18">
        <f t="shared" si="38"/>
        <v>3</v>
      </c>
      <c r="ET9" s="18">
        <f t="shared" si="38"/>
        <v>3</v>
      </c>
      <c r="EU9" s="18">
        <f t="shared" si="38"/>
        <v>3</v>
      </c>
      <c r="EV9" s="18">
        <f t="shared" si="38"/>
        <v>3</v>
      </c>
      <c r="EW9" s="18">
        <f t="shared" si="38"/>
        <v>3</v>
      </c>
      <c r="EX9" s="18">
        <f t="shared" si="38"/>
        <v>3</v>
      </c>
      <c r="EY9" s="18">
        <f t="shared" si="38"/>
        <v>3</v>
      </c>
      <c r="EZ9" s="18">
        <f t="shared" si="38"/>
        <v>3</v>
      </c>
      <c r="FA9" s="18">
        <f t="shared" si="38"/>
        <v>3</v>
      </c>
      <c r="FB9" s="18">
        <f t="shared" si="38"/>
        <v>3</v>
      </c>
      <c r="FC9" s="18">
        <f t="shared" si="38"/>
        <v>3</v>
      </c>
      <c r="FD9" s="18">
        <f t="shared" si="38"/>
        <v>3</v>
      </c>
      <c r="FE9" s="18">
        <f t="shared" si="38"/>
        <v>3</v>
      </c>
      <c r="FF9" s="18">
        <f t="shared" si="38"/>
        <v>3</v>
      </c>
      <c r="FG9" s="18">
        <f t="shared" si="38"/>
        <v>3</v>
      </c>
      <c r="FH9" s="18">
        <f t="shared" si="38"/>
        <v>3</v>
      </c>
      <c r="FI9" s="18">
        <f t="shared" si="38"/>
        <v>3</v>
      </c>
      <c r="FJ9" s="18">
        <f t="shared" si="38"/>
        <v>3</v>
      </c>
      <c r="FK9" s="18">
        <f t="shared" si="38"/>
        <v>3</v>
      </c>
      <c r="FL9" s="18">
        <f t="shared" si="38"/>
        <v>3</v>
      </c>
      <c r="FM9" s="18">
        <f t="shared" si="38"/>
        <v>3</v>
      </c>
      <c r="FN9" s="18">
        <f t="shared" si="38"/>
        <v>3</v>
      </c>
      <c r="FO9" s="18">
        <f t="shared" si="38"/>
        <v>3</v>
      </c>
      <c r="FP9" s="18">
        <f t="shared" si="38"/>
        <v>3</v>
      </c>
      <c r="FQ9" s="18">
        <f t="shared" si="38"/>
        <v>3</v>
      </c>
      <c r="FR9" s="18">
        <f t="shared" si="38"/>
        <v>3</v>
      </c>
      <c r="FS9" s="18">
        <f t="shared" si="38"/>
        <v>3</v>
      </c>
      <c r="FT9" s="18">
        <f t="shared" si="38"/>
        <v>3</v>
      </c>
      <c r="FU9" s="18">
        <f t="shared" si="38"/>
        <v>3</v>
      </c>
      <c r="FV9" s="18">
        <f t="shared" si="38"/>
        <v>3</v>
      </c>
      <c r="FW9" s="18">
        <f t="shared" si="38"/>
        <v>3</v>
      </c>
      <c r="FX9" s="18">
        <f t="shared" si="38"/>
        <v>3</v>
      </c>
      <c r="FY9" s="18">
        <f t="shared" si="38"/>
        <v>3</v>
      </c>
      <c r="FZ9" s="18">
        <f t="shared" si="38"/>
        <v>3</v>
      </c>
      <c r="GA9" s="18">
        <f t="shared" si="38"/>
        <v>3</v>
      </c>
      <c r="GB9" s="18">
        <f t="shared" si="38"/>
        <v>3</v>
      </c>
      <c r="GC9" s="18">
        <f t="shared" si="38"/>
        <v>3</v>
      </c>
      <c r="GD9" s="18">
        <f t="shared" si="38"/>
        <v>3</v>
      </c>
      <c r="GE9" s="18">
        <f t="shared" si="38"/>
        <v>3</v>
      </c>
      <c r="GF9" s="18">
        <f t="shared" si="38"/>
        <v>3</v>
      </c>
      <c r="GG9" s="18">
        <f t="shared" si="38"/>
        <v>3</v>
      </c>
      <c r="GH9" s="18">
        <f t="shared" si="38"/>
        <v>3</v>
      </c>
      <c r="GI9" s="18">
        <f t="shared" si="38"/>
        <v>3</v>
      </c>
      <c r="GJ9" s="18">
        <f t="shared" si="38"/>
        <v>3</v>
      </c>
      <c r="GK9" s="18">
        <f t="shared" si="38"/>
        <v>3</v>
      </c>
      <c r="GL9" s="18">
        <f t="shared" si="38"/>
        <v>3</v>
      </c>
      <c r="GM9" s="18">
        <f t="shared" si="38"/>
        <v>3</v>
      </c>
      <c r="GN9" s="18">
        <f t="shared" si="38"/>
        <v>3</v>
      </c>
      <c r="GO9" s="18">
        <f t="shared" si="38"/>
        <v>3</v>
      </c>
      <c r="GP9" s="18">
        <f t="shared" si="38"/>
        <v>3</v>
      </c>
      <c r="GQ9" s="18">
        <f t="shared" si="38"/>
        <v>3</v>
      </c>
      <c r="GR9" s="18">
        <f t="shared" ref="GR9:HX9" si="39">COUNTIFS(GR$19:GR$75,"=1",$C$19:$C$75,"B",$D$19:$D$75,"5.2",$E$19:$E$75,"Lomitas",$F$19:$F$75,"Medio")</f>
        <v>3</v>
      </c>
      <c r="GS9" s="18">
        <f t="shared" si="39"/>
        <v>3</v>
      </c>
      <c r="GT9" s="18">
        <f t="shared" si="39"/>
        <v>3</v>
      </c>
      <c r="GU9" s="18">
        <f t="shared" si="39"/>
        <v>3</v>
      </c>
      <c r="GV9" s="18">
        <f t="shared" si="39"/>
        <v>3</v>
      </c>
      <c r="GW9" s="18">
        <f t="shared" si="39"/>
        <v>3</v>
      </c>
      <c r="GX9" s="18">
        <f t="shared" si="39"/>
        <v>3</v>
      </c>
      <c r="GY9" s="18">
        <f t="shared" si="39"/>
        <v>3</v>
      </c>
      <c r="GZ9" s="18">
        <f t="shared" si="39"/>
        <v>3</v>
      </c>
      <c r="HA9" s="18">
        <f t="shared" si="39"/>
        <v>3</v>
      </c>
      <c r="HB9" s="18">
        <f t="shared" si="39"/>
        <v>3</v>
      </c>
      <c r="HC9" s="18">
        <f t="shared" si="39"/>
        <v>3</v>
      </c>
      <c r="HD9" s="18">
        <f t="shared" si="39"/>
        <v>3</v>
      </c>
      <c r="HE9" s="18">
        <f t="shared" si="39"/>
        <v>3</v>
      </c>
      <c r="HF9" s="18">
        <f t="shared" si="39"/>
        <v>3</v>
      </c>
      <c r="HG9" s="18">
        <f t="shared" si="39"/>
        <v>3</v>
      </c>
      <c r="HH9" s="18">
        <f t="shared" si="39"/>
        <v>3</v>
      </c>
      <c r="HI9" s="18">
        <f t="shared" si="39"/>
        <v>3</v>
      </c>
      <c r="HJ9" s="18">
        <f t="shared" si="39"/>
        <v>3</v>
      </c>
      <c r="HK9" s="18">
        <f t="shared" si="39"/>
        <v>3</v>
      </c>
      <c r="HL9" s="18">
        <f t="shared" si="39"/>
        <v>3</v>
      </c>
      <c r="HM9" s="18">
        <f t="shared" si="39"/>
        <v>3</v>
      </c>
      <c r="HN9" s="18">
        <f t="shared" si="39"/>
        <v>3</v>
      </c>
      <c r="HO9" s="18">
        <f t="shared" si="39"/>
        <v>3</v>
      </c>
      <c r="HP9" s="18">
        <f t="shared" si="39"/>
        <v>3</v>
      </c>
      <c r="HQ9" s="18">
        <f t="shared" si="39"/>
        <v>3</v>
      </c>
      <c r="HR9" s="18">
        <f t="shared" si="39"/>
        <v>3</v>
      </c>
      <c r="HS9" s="18">
        <f t="shared" si="39"/>
        <v>3</v>
      </c>
      <c r="HT9" s="18">
        <f t="shared" si="39"/>
        <v>3</v>
      </c>
      <c r="HU9" s="18">
        <f t="shared" si="39"/>
        <v>3</v>
      </c>
      <c r="HV9" s="18">
        <f t="shared" si="39"/>
        <v>3</v>
      </c>
      <c r="HW9" s="18">
        <f t="shared" si="39"/>
        <v>3</v>
      </c>
      <c r="HX9" s="18">
        <f t="shared" si="39"/>
        <v>3</v>
      </c>
    </row>
    <row r="10" spans="1:232" hidden="1" x14ac:dyDescent="0.2">
      <c r="E10" s="18" t="s">
        <v>127</v>
      </c>
      <c r="F10" s="18" t="s">
        <v>138</v>
      </c>
      <c r="G10" s="18">
        <f>COUNTIFS(G$19:G$75,"=1",$C$19:$C$75,"B",$D$19:$D$75,"5.2",$E$19:$E$75,"Lomitas",$F$19:$F$75,"Mar")</f>
        <v>12</v>
      </c>
      <c r="H10" s="18">
        <f t="shared" ref="H10:BS10" si="40">COUNTIFS(H$19:H$75,"=1",$C$19:$C$75,"B",$D$19:$D$75,"5.2",$E$19:$E$75,"Lomitas",$F$19:$F$75,"Mar")</f>
        <v>12</v>
      </c>
      <c r="I10" s="18">
        <f t="shared" si="40"/>
        <v>12</v>
      </c>
      <c r="J10" s="18">
        <f t="shared" si="40"/>
        <v>12</v>
      </c>
      <c r="K10" s="18">
        <f t="shared" si="40"/>
        <v>12</v>
      </c>
      <c r="L10" s="18">
        <f t="shared" si="40"/>
        <v>12</v>
      </c>
      <c r="M10" s="18">
        <f t="shared" si="40"/>
        <v>12</v>
      </c>
      <c r="N10" s="18">
        <f t="shared" si="40"/>
        <v>12</v>
      </c>
      <c r="O10" s="18">
        <f t="shared" si="40"/>
        <v>12</v>
      </c>
      <c r="P10" s="18">
        <f t="shared" si="40"/>
        <v>12</v>
      </c>
      <c r="Q10" s="18">
        <f t="shared" si="40"/>
        <v>12</v>
      </c>
      <c r="R10" s="18">
        <f t="shared" si="40"/>
        <v>12</v>
      </c>
      <c r="S10" s="18">
        <f t="shared" si="40"/>
        <v>12</v>
      </c>
      <c r="T10" s="18">
        <f t="shared" si="40"/>
        <v>12</v>
      </c>
      <c r="U10" s="18">
        <f t="shared" si="40"/>
        <v>12</v>
      </c>
      <c r="V10" s="18">
        <f t="shared" si="40"/>
        <v>12</v>
      </c>
      <c r="W10" s="18">
        <f t="shared" si="40"/>
        <v>12</v>
      </c>
      <c r="X10" s="18">
        <f t="shared" si="40"/>
        <v>12</v>
      </c>
      <c r="Y10" s="18">
        <f t="shared" si="40"/>
        <v>12</v>
      </c>
      <c r="Z10" s="18">
        <f t="shared" si="40"/>
        <v>12</v>
      </c>
      <c r="AA10" s="18">
        <f t="shared" si="40"/>
        <v>12</v>
      </c>
      <c r="AB10" s="18">
        <f t="shared" si="40"/>
        <v>12</v>
      </c>
      <c r="AC10" s="18">
        <f t="shared" si="40"/>
        <v>12</v>
      </c>
      <c r="AD10" s="18">
        <f t="shared" si="40"/>
        <v>12</v>
      </c>
      <c r="AE10" s="18">
        <f t="shared" si="40"/>
        <v>12</v>
      </c>
      <c r="AF10" s="18">
        <f t="shared" si="40"/>
        <v>12</v>
      </c>
      <c r="AG10" s="18">
        <f t="shared" si="40"/>
        <v>12</v>
      </c>
      <c r="AH10" s="18">
        <f t="shared" si="40"/>
        <v>12</v>
      </c>
      <c r="AI10" s="18">
        <f t="shared" si="40"/>
        <v>12</v>
      </c>
      <c r="AJ10" s="18">
        <f t="shared" si="40"/>
        <v>12</v>
      </c>
      <c r="AK10" s="18">
        <f t="shared" si="40"/>
        <v>12</v>
      </c>
      <c r="AL10" s="18">
        <f t="shared" si="40"/>
        <v>12</v>
      </c>
      <c r="AM10" s="18">
        <f t="shared" si="40"/>
        <v>12</v>
      </c>
      <c r="AN10" s="18">
        <f t="shared" si="40"/>
        <v>12</v>
      </c>
      <c r="AO10" s="18">
        <f t="shared" si="40"/>
        <v>12</v>
      </c>
      <c r="AP10" s="18">
        <f t="shared" si="40"/>
        <v>12</v>
      </c>
      <c r="AQ10" s="18">
        <f t="shared" si="40"/>
        <v>12</v>
      </c>
      <c r="AR10" s="18">
        <f t="shared" si="40"/>
        <v>12</v>
      </c>
      <c r="AS10" s="18">
        <f t="shared" si="40"/>
        <v>12</v>
      </c>
      <c r="AT10" s="18">
        <f t="shared" si="40"/>
        <v>12</v>
      </c>
      <c r="AU10" s="18">
        <f t="shared" si="40"/>
        <v>12</v>
      </c>
      <c r="AV10" s="18">
        <f t="shared" si="40"/>
        <v>12</v>
      </c>
      <c r="AW10" s="18">
        <f t="shared" si="40"/>
        <v>12</v>
      </c>
      <c r="AX10" s="18">
        <f t="shared" si="40"/>
        <v>12</v>
      </c>
      <c r="AY10" s="18">
        <f t="shared" si="40"/>
        <v>12</v>
      </c>
      <c r="AZ10" s="18">
        <f t="shared" si="40"/>
        <v>12</v>
      </c>
      <c r="BA10" s="18">
        <f t="shared" si="40"/>
        <v>11</v>
      </c>
      <c r="BB10" s="18">
        <f t="shared" si="40"/>
        <v>11</v>
      </c>
      <c r="BC10" s="18">
        <f t="shared" si="40"/>
        <v>11</v>
      </c>
      <c r="BD10" s="18">
        <f t="shared" si="40"/>
        <v>11</v>
      </c>
      <c r="BE10" s="18">
        <f t="shared" si="40"/>
        <v>11</v>
      </c>
      <c r="BF10" s="18">
        <f t="shared" si="40"/>
        <v>11</v>
      </c>
      <c r="BG10" s="18">
        <f t="shared" si="40"/>
        <v>11</v>
      </c>
      <c r="BH10" s="18">
        <f t="shared" si="40"/>
        <v>11</v>
      </c>
      <c r="BI10" s="18">
        <f t="shared" si="40"/>
        <v>11</v>
      </c>
      <c r="BJ10" s="18">
        <f t="shared" si="40"/>
        <v>11</v>
      </c>
      <c r="BK10" s="18">
        <f t="shared" si="40"/>
        <v>11</v>
      </c>
      <c r="BL10" s="18">
        <f t="shared" si="40"/>
        <v>11</v>
      </c>
      <c r="BM10" s="18">
        <f t="shared" si="40"/>
        <v>12</v>
      </c>
      <c r="BN10" s="18">
        <f t="shared" si="40"/>
        <v>12</v>
      </c>
      <c r="BO10" s="18">
        <f t="shared" si="40"/>
        <v>12</v>
      </c>
      <c r="BP10" s="18">
        <f t="shared" si="40"/>
        <v>12</v>
      </c>
      <c r="BQ10" s="18">
        <f t="shared" si="40"/>
        <v>12</v>
      </c>
      <c r="BR10" s="18">
        <f t="shared" si="40"/>
        <v>12</v>
      </c>
      <c r="BS10" s="18">
        <f t="shared" si="40"/>
        <v>12</v>
      </c>
      <c r="BT10" s="18">
        <f t="shared" ref="BT10:EE10" si="41">COUNTIFS(BT$19:BT$75,"=1",$C$19:$C$75,"B",$D$19:$D$75,"5.2",$E$19:$E$75,"Lomitas",$F$19:$F$75,"Mar")</f>
        <v>12</v>
      </c>
      <c r="BU10" s="18">
        <f t="shared" si="41"/>
        <v>12</v>
      </c>
      <c r="BV10" s="18">
        <f t="shared" si="41"/>
        <v>12</v>
      </c>
      <c r="BW10" s="18">
        <f t="shared" si="41"/>
        <v>12</v>
      </c>
      <c r="BX10" s="18">
        <f t="shared" si="41"/>
        <v>12</v>
      </c>
      <c r="BY10" s="18">
        <f t="shared" si="41"/>
        <v>12</v>
      </c>
      <c r="BZ10" s="18">
        <f t="shared" si="41"/>
        <v>12</v>
      </c>
      <c r="CA10" s="18">
        <f t="shared" si="41"/>
        <v>12</v>
      </c>
      <c r="CB10" s="18">
        <f t="shared" si="41"/>
        <v>12</v>
      </c>
      <c r="CC10" s="18">
        <f t="shared" si="41"/>
        <v>12</v>
      </c>
      <c r="CD10" s="18">
        <f t="shared" si="41"/>
        <v>12</v>
      </c>
      <c r="CE10" s="18">
        <f t="shared" si="41"/>
        <v>12</v>
      </c>
      <c r="CF10" s="18">
        <f t="shared" si="41"/>
        <v>12</v>
      </c>
      <c r="CG10" s="18">
        <f t="shared" si="41"/>
        <v>12</v>
      </c>
      <c r="CH10" s="18">
        <f t="shared" si="41"/>
        <v>12</v>
      </c>
      <c r="CI10" s="18">
        <f t="shared" si="41"/>
        <v>12</v>
      </c>
      <c r="CJ10" s="18">
        <f t="shared" si="41"/>
        <v>12</v>
      </c>
      <c r="CK10" s="18">
        <f t="shared" si="41"/>
        <v>12</v>
      </c>
      <c r="CL10" s="18">
        <f t="shared" si="41"/>
        <v>12</v>
      </c>
      <c r="CM10" s="18">
        <f t="shared" si="41"/>
        <v>12</v>
      </c>
      <c r="CN10" s="18">
        <f t="shared" si="41"/>
        <v>12</v>
      </c>
      <c r="CO10" s="18">
        <f t="shared" si="41"/>
        <v>12</v>
      </c>
      <c r="CP10" s="18">
        <f t="shared" si="41"/>
        <v>12</v>
      </c>
      <c r="CQ10" s="18">
        <f t="shared" si="41"/>
        <v>12</v>
      </c>
      <c r="CR10" s="18">
        <f t="shared" si="41"/>
        <v>12</v>
      </c>
      <c r="CS10" s="18">
        <f t="shared" si="41"/>
        <v>12</v>
      </c>
      <c r="CT10" s="18">
        <f t="shared" si="41"/>
        <v>12</v>
      </c>
      <c r="CU10" s="18">
        <f t="shared" si="41"/>
        <v>12</v>
      </c>
      <c r="CV10" s="18">
        <f t="shared" si="41"/>
        <v>12</v>
      </c>
      <c r="CW10" s="18">
        <f t="shared" si="41"/>
        <v>12</v>
      </c>
      <c r="CX10" s="18">
        <f t="shared" si="41"/>
        <v>12</v>
      </c>
      <c r="CY10" s="18">
        <f t="shared" si="41"/>
        <v>12</v>
      </c>
      <c r="CZ10" s="18">
        <f t="shared" si="41"/>
        <v>12</v>
      </c>
      <c r="DA10" s="18">
        <f t="shared" si="41"/>
        <v>12</v>
      </c>
      <c r="DB10" s="18">
        <f t="shared" si="41"/>
        <v>12</v>
      </c>
      <c r="DC10" s="18">
        <f t="shared" si="41"/>
        <v>12</v>
      </c>
      <c r="DD10" s="18">
        <f t="shared" si="41"/>
        <v>12</v>
      </c>
      <c r="DE10" s="18">
        <f t="shared" si="41"/>
        <v>12</v>
      </c>
      <c r="DF10" s="18">
        <f t="shared" si="41"/>
        <v>12</v>
      </c>
      <c r="DG10" s="18">
        <f t="shared" si="41"/>
        <v>12</v>
      </c>
      <c r="DH10" s="18">
        <f t="shared" si="41"/>
        <v>12</v>
      </c>
      <c r="DI10" s="18">
        <f t="shared" si="41"/>
        <v>12</v>
      </c>
      <c r="DJ10" s="18">
        <f t="shared" si="41"/>
        <v>12</v>
      </c>
      <c r="DK10" s="18">
        <f t="shared" si="41"/>
        <v>12</v>
      </c>
      <c r="DL10" s="18">
        <f t="shared" si="41"/>
        <v>12</v>
      </c>
      <c r="DM10" s="18">
        <f t="shared" si="41"/>
        <v>12</v>
      </c>
      <c r="DN10" s="18">
        <f t="shared" si="41"/>
        <v>12</v>
      </c>
      <c r="DO10" s="18">
        <f t="shared" si="41"/>
        <v>12</v>
      </c>
      <c r="DP10" s="18">
        <f t="shared" si="41"/>
        <v>12</v>
      </c>
      <c r="DQ10" s="18">
        <f t="shared" si="41"/>
        <v>12</v>
      </c>
      <c r="DR10" s="18">
        <f t="shared" si="41"/>
        <v>12</v>
      </c>
      <c r="DS10" s="18">
        <f t="shared" si="41"/>
        <v>12</v>
      </c>
      <c r="DT10" s="18">
        <f t="shared" si="41"/>
        <v>12</v>
      </c>
      <c r="DU10" s="18">
        <f t="shared" si="41"/>
        <v>12</v>
      </c>
      <c r="DV10" s="18">
        <f t="shared" si="41"/>
        <v>12</v>
      </c>
      <c r="DW10" s="18">
        <f t="shared" si="41"/>
        <v>12</v>
      </c>
      <c r="DX10" s="18">
        <f t="shared" si="41"/>
        <v>12</v>
      </c>
      <c r="DY10" s="18">
        <f t="shared" si="41"/>
        <v>12</v>
      </c>
      <c r="DZ10" s="18">
        <f t="shared" si="41"/>
        <v>12</v>
      </c>
      <c r="EA10" s="18">
        <f t="shared" si="41"/>
        <v>12</v>
      </c>
      <c r="EB10" s="18">
        <f t="shared" si="41"/>
        <v>12</v>
      </c>
      <c r="EC10" s="18">
        <f t="shared" si="41"/>
        <v>12</v>
      </c>
      <c r="ED10" s="18">
        <f t="shared" si="41"/>
        <v>12</v>
      </c>
      <c r="EE10" s="18">
        <f t="shared" si="41"/>
        <v>12</v>
      </c>
      <c r="EF10" s="18">
        <f t="shared" ref="EF10:GQ10" si="42">COUNTIFS(EF$19:EF$75,"=1",$C$19:$C$75,"B",$D$19:$D$75,"5.2",$E$19:$E$75,"Lomitas",$F$19:$F$75,"Mar")</f>
        <v>12</v>
      </c>
      <c r="EG10" s="18">
        <f t="shared" si="42"/>
        <v>12</v>
      </c>
      <c r="EH10" s="18">
        <f t="shared" si="42"/>
        <v>12</v>
      </c>
      <c r="EI10" s="18">
        <f t="shared" si="42"/>
        <v>12</v>
      </c>
      <c r="EJ10" s="18">
        <f t="shared" si="42"/>
        <v>12</v>
      </c>
      <c r="EK10" s="18">
        <f t="shared" si="42"/>
        <v>12</v>
      </c>
      <c r="EL10" s="18">
        <f t="shared" si="42"/>
        <v>12</v>
      </c>
      <c r="EM10" s="18">
        <f t="shared" si="42"/>
        <v>12</v>
      </c>
      <c r="EN10" s="18">
        <f t="shared" si="42"/>
        <v>12</v>
      </c>
      <c r="EO10" s="18">
        <f t="shared" si="42"/>
        <v>12</v>
      </c>
      <c r="EP10" s="18">
        <f t="shared" si="42"/>
        <v>12</v>
      </c>
      <c r="EQ10" s="18">
        <f t="shared" si="42"/>
        <v>12</v>
      </c>
      <c r="ER10" s="18">
        <f t="shared" si="42"/>
        <v>12</v>
      </c>
      <c r="ES10" s="18">
        <f t="shared" si="42"/>
        <v>12</v>
      </c>
      <c r="ET10" s="18">
        <f t="shared" si="42"/>
        <v>12</v>
      </c>
      <c r="EU10" s="18">
        <f t="shared" si="42"/>
        <v>12</v>
      </c>
      <c r="EV10" s="18">
        <f t="shared" si="42"/>
        <v>12</v>
      </c>
      <c r="EW10" s="18">
        <f t="shared" si="42"/>
        <v>12</v>
      </c>
      <c r="EX10" s="18">
        <f t="shared" si="42"/>
        <v>12</v>
      </c>
      <c r="EY10" s="18">
        <f t="shared" si="42"/>
        <v>12</v>
      </c>
      <c r="EZ10" s="18">
        <f t="shared" si="42"/>
        <v>12</v>
      </c>
      <c r="FA10" s="18">
        <f t="shared" si="42"/>
        <v>12</v>
      </c>
      <c r="FB10" s="18">
        <f t="shared" si="42"/>
        <v>12</v>
      </c>
      <c r="FC10" s="18">
        <f t="shared" si="42"/>
        <v>12</v>
      </c>
      <c r="FD10" s="18">
        <f t="shared" si="42"/>
        <v>12</v>
      </c>
      <c r="FE10" s="18">
        <f t="shared" si="42"/>
        <v>12</v>
      </c>
      <c r="FF10" s="18">
        <f t="shared" si="42"/>
        <v>12</v>
      </c>
      <c r="FG10" s="18">
        <f t="shared" si="42"/>
        <v>12</v>
      </c>
      <c r="FH10" s="18">
        <f t="shared" si="42"/>
        <v>12</v>
      </c>
      <c r="FI10" s="18">
        <f t="shared" si="42"/>
        <v>12</v>
      </c>
      <c r="FJ10" s="18">
        <f t="shared" si="42"/>
        <v>12</v>
      </c>
      <c r="FK10" s="18">
        <f t="shared" si="42"/>
        <v>12</v>
      </c>
      <c r="FL10" s="18">
        <f t="shared" si="42"/>
        <v>12</v>
      </c>
      <c r="FM10" s="18">
        <f t="shared" si="42"/>
        <v>12</v>
      </c>
      <c r="FN10" s="18">
        <f t="shared" si="42"/>
        <v>12</v>
      </c>
      <c r="FO10" s="18">
        <f t="shared" si="42"/>
        <v>12</v>
      </c>
      <c r="FP10" s="18">
        <f t="shared" si="42"/>
        <v>12</v>
      </c>
      <c r="FQ10" s="18">
        <f t="shared" si="42"/>
        <v>12</v>
      </c>
      <c r="FR10" s="18">
        <f t="shared" si="42"/>
        <v>12</v>
      </c>
      <c r="FS10" s="18">
        <f t="shared" si="42"/>
        <v>12</v>
      </c>
      <c r="FT10" s="18">
        <f t="shared" si="42"/>
        <v>12</v>
      </c>
      <c r="FU10" s="18">
        <f t="shared" si="42"/>
        <v>12</v>
      </c>
      <c r="FV10" s="18">
        <f t="shared" si="42"/>
        <v>12</v>
      </c>
      <c r="FW10" s="18">
        <f t="shared" si="42"/>
        <v>12</v>
      </c>
      <c r="FX10" s="18">
        <f t="shared" si="42"/>
        <v>12</v>
      </c>
      <c r="FY10" s="18">
        <f t="shared" si="42"/>
        <v>12</v>
      </c>
      <c r="FZ10" s="18">
        <f t="shared" si="42"/>
        <v>12</v>
      </c>
      <c r="GA10" s="18">
        <f t="shared" si="42"/>
        <v>12</v>
      </c>
      <c r="GB10" s="18">
        <f t="shared" si="42"/>
        <v>12</v>
      </c>
      <c r="GC10" s="18">
        <f t="shared" si="42"/>
        <v>12</v>
      </c>
      <c r="GD10" s="18">
        <f t="shared" si="42"/>
        <v>12</v>
      </c>
      <c r="GE10" s="18">
        <f t="shared" si="42"/>
        <v>12</v>
      </c>
      <c r="GF10" s="18">
        <f t="shared" si="42"/>
        <v>12</v>
      </c>
      <c r="GG10" s="18">
        <f t="shared" si="42"/>
        <v>12</v>
      </c>
      <c r="GH10" s="18">
        <f t="shared" si="42"/>
        <v>12</v>
      </c>
      <c r="GI10" s="18">
        <f t="shared" si="42"/>
        <v>12</v>
      </c>
      <c r="GJ10" s="18">
        <f t="shared" si="42"/>
        <v>12</v>
      </c>
      <c r="GK10" s="18">
        <f t="shared" si="42"/>
        <v>12</v>
      </c>
      <c r="GL10" s="18">
        <f t="shared" si="42"/>
        <v>12</v>
      </c>
      <c r="GM10" s="18">
        <f t="shared" si="42"/>
        <v>12</v>
      </c>
      <c r="GN10" s="18">
        <f t="shared" si="42"/>
        <v>12</v>
      </c>
      <c r="GO10" s="18">
        <f t="shared" si="42"/>
        <v>12</v>
      </c>
      <c r="GP10" s="18">
        <f t="shared" si="42"/>
        <v>12</v>
      </c>
      <c r="GQ10" s="18">
        <f t="shared" si="42"/>
        <v>12</v>
      </c>
      <c r="GR10" s="18">
        <f t="shared" ref="GR10:HX10" si="43">COUNTIFS(GR$19:GR$75,"=1",$C$19:$C$75,"B",$D$19:$D$75,"5.2",$E$19:$E$75,"Lomitas",$F$19:$F$75,"Mar")</f>
        <v>12</v>
      </c>
      <c r="GS10" s="18">
        <f t="shared" si="43"/>
        <v>12</v>
      </c>
      <c r="GT10" s="18">
        <f t="shared" si="43"/>
        <v>12</v>
      </c>
      <c r="GU10" s="18">
        <f t="shared" si="43"/>
        <v>12</v>
      </c>
      <c r="GV10" s="18">
        <f t="shared" si="43"/>
        <v>12</v>
      </c>
      <c r="GW10" s="18">
        <f t="shared" si="43"/>
        <v>12</v>
      </c>
      <c r="GX10" s="18">
        <f t="shared" si="43"/>
        <v>12</v>
      </c>
      <c r="GY10" s="18">
        <f t="shared" si="43"/>
        <v>12</v>
      </c>
      <c r="GZ10" s="18">
        <f t="shared" si="43"/>
        <v>12</v>
      </c>
      <c r="HA10" s="18">
        <f t="shared" si="43"/>
        <v>12</v>
      </c>
      <c r="HB10" s="18">
        <f t="shared" si="43"/>
        <v>12</v>
      </c>
      <c r="HC10" s="18">
        <f t="shared" si="43"/>
        <v>12</v>
      </c>
      <c r="HD10" s="18">
        <f t="shared" si="43"/>
        <v>12</v>
      </c>
      <c r="HE10" s="18">
        <f t="shared" si="43"/>
        <v>12</v>
      </c>
      <c r="HF10" s="18">
        <f t="shared" si="43"/>
        <v>12</v>
      </c>
      <c r="HG10" s="18">
        <f t="shared" si="43"/>
        <v>12</v>
      </c>
      <c r="HH10" s="18">
        <f t="shared" si="43"/>
        <v>12</v>
      </c>
      <c r="HI10" s="18">
        <f t="shared" si="43"/>
        <v>12</v>
      </c>
      <c r="HJ10" s="18">
        <f t="shared" si="43"/>
        <v>12</v>
      </c>
      <c r="HK10" s="18">
        <f t="shared" si="43"/>
        <v>12</v>
      </c>
      <c r="HL10" s="18">
        <f t="shared" si="43"/>
        <v>12</v>
      </c>
      <c r="HM10" s="18">
        <f t="shared" si="43"/>
        <v>12</v>
      </c>
      <c r="HN10" s="18">
        <f t="shared" si="43"/>
        <v>12</v>
      </c>
      <c r="HO10" s="18">
        <f t="shared" si="43"/>
        <v>12</v>
      </c>
      <c r="HP10" s="18">
        <f t="shared" si="43"/>
        <v>12</v>
      </c>
      <c r="HQ10" s="18">
        <f t="shared" si="43"/>
        <v>12</v>
      </c>
      <c r="HR10" s="18">
        <f t="shared" si="43"/>
        <v>12</v>
      </c>
      <c r="HS10" s="18">
        <f t="shared" si="43"/>
        <v>12</v>
      </c>
      <c r="HT10" s="18">
        <f t="shared" si="43"/>
        <v>12</v>
      </c>
      <c r="HU10" s="18">
        <f t="shared" si="43"/>
        <v>12</v>
      </c>
      <c r="HV10" s="18">
        <f t="shared" si="43"/>
        <v>12</v>
      </c>
      <c r="HW10" s="18">
        <f t="shared" si="43"/>
        <v>12</v>
      </c>
      <c r="HX10" s="18">
        <f t="shared" si="43"/>
        <v>12</v>
      </c>
    </row>
    <row r="11" spans="1:232" hidden="1" x14ac:dyDescent="0.2">
      <c r="E11" s="18" t="s">
        <v>127</v>
      </c>
      <c r="F11" s="18" t="s">
        <v>139</v>
      </c>
      <c r="G11" s="18">
        <f>COUNTIFS(G$19:G$75,"=1",$C$19:$C$75,"B",$D$19:$D$75,"5.0",$E$19:$E$75,"Lomitas",$F$19:$F$75,"Cerro")</f>
        <v>1</v>
      </c>
      <c r="H11" s="18">
        <f t="shared" ref="H11:BS11" si="44">COUNTIFS(H$19:H$75,"=1",$C$19:$C$75,"B",$D$19:$D$75,"5.0",$E$19:$E$75,"Lomitas",$F$19:$F$75,"Cerro")</f>
        <v>1</v>
      </c>
      <c r="I11" s="18">
        <f t="shared" si="44"/>
        <v>1</v>
      </c>
      <c r="J11" s="18">
        <f t="shared" si="44"/>
        <v>1</v>
      </c>
      <c r="K11" s="18">
        <f t="shared" si="44"/>
        <v>1</v>
      </c>
      <c r="L11" s="18">
        <f t="shared" si="44"/>
        <v>1</v>
      </c>
      <c r="M11" s="18">
        <f t="shared" si="44"/>
        <v>1</v>
      </c>
      <c r="N11" s="18">
        <f t="shared" si="44"/>
        <v>1</v>
      </c>
      <c r="O11" s="18">
        <f t="shared" si="44"/>
        <v>1</v>
      </c>
      <c r="P11" s="18">
        <f t="shared" si="44"/>
        <v>1</v>
      </c>
      <c r="Q11" s="18">
        <f t="shared" si="44"/>
        <v>1</v>
      </c>
      <c r="R11" s="18">
        <f t="shared" si="44"/>
        <v>1</v>
      </c>
      <c r="S11" s="18">
        <f t="shared" si="44"/>
        <v>1</v>
      </c>
      <c r="T11" s="18">
        <f t="shared" si="44"/>
        <v>1</v>
      </c>
      <c r="U11" s="18">
        <f t="shared" si="44"/>
        <v>1</v>
      </c>
      <c r="V11" s="18">
        <f t="shared" si="44"/>
        <v>1</v>
      </c>
      <c r="W11" s="18">
        <f t="shared" si="44"/>
        <v>1</v>
      </c>
      <c r="X11" s="18">
        <f t="shared" si="44"/>
        <v>1</v>
      </c>
      <c r="Y11" s="18">
        <f t="shared" si="44"/>
        <v>1</v>
      </c>
      <c r="Z11" s="18">
        <f t="shared" si="44"/>
        <v>1</v>
      </c>
      <c r="AA11" s="18">
        <f t="shared" si="44"/>
        <v>1</v>
      </c>
      <c r="AB11" s="18">
        <f t="shared" si="44"/>
        <v>1</v>
      </c>
      <c r="AC11" s="18">
        <f t="shared" si="44"/>
        <v>1</v>
      </c>
      <c r="AD11" s="18">
        <f t="shared" si="44"/>
        <v>1</v>
      </c>
      <c r="AE11" s="18">
        <f t="shared" si="44"/>
        <v>1</v>
      </c>
      <c r="AF11" s="18">
        <f t="shared" si="44"/>
        <v>1</v>
      </c>
      <c r="AG11" s="18">
        <f t="shared" si="44"/>
        <v>1</v>
      </c>
      <c r="AH11" s="18">
        <f t="shared" si="44"/>
        <v>1</v>
      </c>
      <c r="AI11" s="18">
        <f t="shared" si="44"/>
        <v>1</v>
      </c>
      <c r="AJ11" s="18">
        <f t="shared" si="44"/>
        <v>1</v>
      </c>
      <c r="AK11" s="18">
        <f t="shared" si="44"/>
        <v>1</v>
      </c>
      <c r="AL11" s="18">
        <f t="shared" si="44"/>
        <v>1</v>
      </c>
      <c r="AM11" s="18">
        <f t="shared" si="44"/>
        <v>1</v>
      </c>
      <c r="AN11" s="18">
        <f t="shared" si="44"/>
        <v>1</v>
      </c>
      <c r="AO11" s="18">
        <f t="shared" si="44"/>
        <v>1</v>
      </c>
      <c r="AP11" s="18">
        <f t="shared" si="44"/>
        <v>1</v>
      </c>
      <c r="AQ11" s="18">
        <f t="shared" si="44"/>
        <v>1</v>
      </c>
      <c r="AR11" s="18">
        <f t="shared" si="44"/>
        <v>1</v>
      </c>
      <c r="AS11" s="18">
        <f t="shared" si="44"/>
        <v>1</v>
      </c>
      <c r="AT11" s="18">
        <f t="shared" si="44"/>
        <v>1</v>
      </c>
      <c r="AU11" s="18">
        <f t="shared" si="44"/>
        <v>1</v>
      </c>
      <c r="AV11" s="18">
        <f t="shared" si="44"/>
        <v>1</v>
      </c>
      <c r="AW11" s="18">
        <f t="shared" si="44"/>
        <v>1</v>
      </c>
      <c r="AX11" s="18">
        <f t="shared" si="44"/>
        <v>1</v>
      </c>
      <c r="AY11" s="18">
        <f t="shared" si="44"/>
        <v>1</v>
      </c>
      <c r="AZ11" s="18">
        <f t="shared" si="44"/>
        <v>1</v>
      </c>
      <c r="BA11" s="18">
        <f t="shared" si="44"/>
        <v>1</v>
      </c>
      <c r="BB11" s="18">
        <f t="shared" si="44"/>
        <v>1</v>
      </c>
      <c r="BC11" s="18">
        <f t="shared" si="44"/>
        <v>1</v>
      </c>
      <c r="BD11" s="18">
        <f t="shared" si="44"/>
        <v>1</v>
      </c>
      <c r="BE11" s="18">
        <f t="shared" si="44"/>
        <v>1</v>
      </c>
      <c r="BF11" s="18">
        <f t="shared" si="44"/>
        <v>1</v>
      </c>
      <c r="BG11" s="18">
        <f t="shared" si="44"/>
        <v>1</v>
      </c>
      <c r="BH11" s="18">
        <f t="shared" si="44"/>
        <v>1</v>
      </c>
      <c r="BI11" s="18">
        <f t="shared" si="44"/>
        <v>1</v>
      </c>
      <c r="BJ11" s="18">
        <f t="shared" si="44"/>
        <v>1</v>
      </c>
      <c r="BK11" s="18">
        <f t="shared" si="44"/>
        <v>1</v>
      </c>
      <c r="BL11" s="18">
        <f t="shared" si="44"/>
        <v>1</v>
      </c>
      <c r="BM11" s="18">
        <f t="shared" si="44"/>
        <v>1</v>
      </c>
      <c r="BN11" s="18">
        <f t="shared" si="44"/>
        <v>1</v>
      </c>
      <c r="BO11" s="18">
        <f t="shared" si="44"/>
        <v>1</v>
      </c>
      <c r="BP11" s="18">
        <f t="shared" si="44"/>
        <v>1</v>
      </c>
      <c r="BQ11" s="18">
        <f t="shared" si="44"/>
        <v>1</v>
      </c>
      <c r="BR11" s="18">
        <f t="shared" si="44"/>
        <v>1</v>
      </c>
      <c r="BS11" s="18">
        <f t="shared" si="44"/>
        <v>1</v>
      </c>
      <c r="BT11" s="18">
        <f t="shared" ref="BT11:EE11" si="45">COUNTIFS(BT$19:BT$75,"=1",$C$19:$C$75,"B",$D$19:$D$75,"5.0",$E$19:$E$75,"Lomitas",$F$19:$F$75,"Cerro")</f>
        <v>1</v>
      </c>
      <c r="BU11" s="18">
        <f t="shared" si="45"/>
        <v>1</v>
      </c>
      <c r="BV11" s="18">
        <f t="shared" si="45"/>
        <v>1</v>
      </c>
      <c r="BW11" s="18">
        <f t="shared" si="45"/>
        <v>1</v>
      </c>
      <c r="BX11" s="18">
        <f t="shared" si="45"/>
        <v>1</v>
      </c>
      <c r="BY11" s="18">
        <f t="shared" si="45"/>
        <v>1</v>
      </c>
      <c r="BZ11" s="18">
        <f t="shared" si="45"/>
        <v>1</v>
      </c>
      <c r="CA11" s="18">
        <f t="shared" si="45"/>
        <v>1</v>
      </c>
      <c r="CB11" s="18">
        <f t="shared" si="45"/>
        <v>1</v>
      </c>
      <c r="CC11" s="18">
        <f t="shared" si="45"/>
        <v>1</v>
      </c>
      <c r="CD11" s="18">
        <f t="shared" si="45"/>
        <v>1</v>
      </c>
      <c r="CE11" s="18">
        <f t="shared" si="45"/>
        <v>1</v>
      </c>
      <c r="CF11" s="18">
        <f t="shared" si="45"/>
        <v>1</v>
      </c>
      <c r="CG11" s="18">
        <f t="shared" si="45"/>
        <v>1</v>
      </c>
      <c r="CH11" s="18">
        <f t="shared" si="45"/>
        <v>1</v>
      </c>
      <c r="CI11" s="18">
        <f t="shared" si="45"/>
        <v>1</v>
      </c>
      <c r="CJ11" s="18">
        <f t="shared" si="45"/>
        <v>1</v>
      </c>
      <c r="CK11" s="18">
        <f t="shared" si="45"/>
        <v>1</v>
      </c>
      <c r="CL11" s="18">
        <f t="shared" si="45"/>
        <v>1</v>
      </c>
      <c r="CM11" s="18">
        <f t="shared" si="45"/>
        <v>1</v>
      </c>
      <c r="CN11" s="18">
        <f t="shared" si="45"/>
        <v>1</v>
      </c>
      <c r="CO11" s="18">
        <f t="shared" si="45"/>
        <v>1</v>
      </c>
      <c r="CP11" s="18">
        <f t="shared" si="45"/>
        <v>1</v>
      </c>
      <c r="CQ11" s="18">
        <f t="shared" si="45"/>
        <v>1</v>
      </c>
      <c r="CR11" s="18">
        <f t="shared" si="45"/>
        <v>1</v>
      </c>
      <c r="CS11" s="18">
        <f t="shared" si="45"/>
        <v>1</v>
      </c>
      <c r="CT11" s="18">
        <f t="shared" si="45"/>
        <v>1</v>
      </c>
      <c r="CU11" s="18">
        <f t="shared" si="45"/>
        <v>1</v>
      </c>
      <c r="CV11" s="18">
        <f t="shared" si="45"/>
        <v>1</v>
      </c>
      <c r="CW11" s="18">
        <f t="shared" si="45"/>
        <v>1</v>
      </c>
      <c r="CX11" s="18">
        <f t="shared" si="45"/>
        <v>1</v>
      </c>
      <c r="CY11" s="18">
        <f t="shared" si="45"/>
        <v>1</v>
      </c>
      <c r="CZ11" s="18">
        <f t="shared" si="45"/>
        <v>1</v>
      </c>
      <c r="DA11" s="18">
        <f t="shared" si="45"/>
        <v>1</v>
      </c>
      <c r="DB11" s="18">
        <f t="shared" si="45"/>
        <v>1</v>
      </c>
      <c r="DC11" s="18">
        <f t="shared" si="45"/>
        <v>1</v>
      </c>
      <c r="DD11" s="18">
        <f t="shared" si="45"/>
        <v>1</v>
      </c>
      <c r="DE11" s="18">
        <f t="shared" si="45"/>
        <v>1</v>
      </c>
      <c r="DF11" s="18">
        <f t="shared" si="45"/>
        <v>1</v>
      </c>
      <c r="DG11" s="18">
        <f t="shared" si="45"/>
        <v>1</v>
      </c>
      <c r="DH11" s="18">
        <f t="shared" si="45"/>
        <v>1</v>
      </c>
      <c r="DI11" s="18">
        <f t="shared" si="45"/>
        <v>1</v>
      </c>
      <c r="DJ11" s="18">
        <f t="shared" si="45"/>
        <v>1</v>
      </c>
      <c r="DK11" s="18">
        <f t="shared" si="45"/>
        <v>1</v>
      </c>
      <c r="DL11" s="18">
        <f t="shared" si="45"/>
        <v>1</v>
      </c>
      <c r="DM11" s="18">
        <f t="shared" si="45"/>
        <v>1</v>
      </c>
      <c r="DN11" s="18">
        <f t="shared" si="45"/>
        <v>1</v>
      </c>
      <c r="DO11" s="18">
        <f t="shared" si="45"/>
        <v>1</v>
      </c>
      <c r="DP11" s="18">
        <f t="shared" si="45"/>
        <v>1</v>
      </c>
      <c r="DQ11" s="18">
        <f t="shared" si="45"/>
        <v>1</v>
      </c>
      <c r="DR11" s="18">
        <f t="shared" si="45"/>
        <v>1</v>
      </c>
      <c r="DS11" s="18">
        <f t="shared" si="45"/>
        <v>1</v>
      </c>
      <c r="DT11" s="18">
        <f t="shared" si="45"/>
        <v>1</v>
      </c>
      <c r="DU11" s="18">
        <f t="shared" si="45"/>
        <v>1</v>
      </c>
      <c r="DV11" s="18">
        <f t="shared" si="45"/>
        <v>1</v>
      </c>
      <c r="DW11" s="18">
        <f t="shared" si="45"/>
        <v>1</v>
      </c>
      <c r="DX11" s="18">
        <f t="shared" si="45"/>
        <v>1</v>
      </c>
      <c r="DY11" s="18">
        <f t="shared" si="45"/>
        <v>1</v>
      </c>
      <c r="DZ11" s="18">
        <f t="shared" si="45"/>
        <v>1</v>
      </c>
      <c r="EA11" s="18">
        <f t="shared" si="45"/>
        <v>1</v>
      </c>
      <c r="EB11" s="18">
        <f t="shared" si="45"/>
        <v>1</v>
      </c>
      <c r="EC11" s="18">
        <f t="shared" si="45"/>
        <v>1</v>
      </c>
      <c r="ED11" s="18">
        <f t="shared" si="45"/>
        <v>1</v>
      </c>
      <c r="EE11" s="18">
        <f t="shared" si="45"/>
        <v>1</v>
      </c>
      <c r="EF11" s="18">
        <f t="shared" ref="EF11:GQ11" si="46">COUNTIFS(EF$19:EF$75,"=1",$C$19:$C$75,"B",$D$19:$D$75,"5.0",$E$19:$E$75,"Lomitas",$F$19:$F$75,"Cerro")</f>
        <v>1</v>
      </c>
      <c r="EG11" s="18">
        <f t="shared" si="46"/>
        <v>1</v>
      </c>
      <c r="EH11" s="18">
        <f t="shared" si="46"/>
        <v>1</v>
      </c>
      <c r="EI11" s="18">
        <f t="shared" si="46"/>
        <v>1</v>
      </c>
      <c r="EJ11" s="18">
        <f t="shared" si="46"/>
        <v>1</v>
      </c>
      <c r="EK11" s="18">
        <f t="shared" si="46"/>
        <v>1</v>
      </c>
      <c r="EL11" s="18">
        <f t="shared" si="46"/>
        <v>1</v>
      </c>
      <c r="EM11" s="18">
        <f t="shared" si="46"/>
        <v>1</v>
      </c>
      <c r="EN11" s="18">
        <f t="shared" si="46"/>
        <v>1</v>
      </c>
      <c r="EO11" s="18">
        <f t="shared" si="46"/>
        <v>1</v>
      </c>
      <c r="EP11" s="18">
        <f t="shared" si="46"/>
        <v>1</v>
      </c>
      <c r="EQ11" s="18">
        <f t="shared" si="46"/>
        <v>1</v>
      </c>
      <c r="ER11" s="18">
        <f t="shared" si="46"/>
        <v>1</v>
      </c>
      <c r="ES11" s="18">
        <f t="shared" si="46"/>
        <v>1</v>
      </c>
      <c r="ET11" s="18">
        <f t="shared" si="46"/>
        <v>1</v>
      </c>
      <c r="EU11" s="18">
        <f t="shared" si="46"/>
        <v>1</v>
      </c>
      <c r="EV11" s="18">
        <f t="shared" si="46"/>
        <v>1</v>
      </c>
      <c r="EW11" s="18">
        <f t="shared" si="46"/>
        <v>1</v>
      </c>
      <c r="EX11" s="18">
        <f t="shared" si="46"/>
        <v>1</v>
      </c>
      <c r="EY11" s="18">
        <f t="shared" si="46"/>
        <v>1</v>
      </c>
      <c r="EZ11" s="18">
        <f t="shared" si="46"/>
        <v>1</v>
      </c>
      <c r="FA11" s="18">
        <f t="shared" si="46"/>
        <v>1</v>
      </c>
      <c r="FB11" s="18">
        <f t="shared" si="46"/>
        <v>1</v>
      </c>
      <c r="FC11" s="18">
        <f t="shared" si="46"/>
        <v>1</v>
      </c>
      <c r="FD11" s="18">
        <f t="shared" si="46"/>
        <v>1</v>
      </c>
      <c r="FE11" s="18">
        <f t="shared" si="46"/>
        <v>1</v>
      </c>
      <c r="FF11" s="18">
        <f t="shared" si="46"/>
        <v>1</v>
      </c>
      <c r="FG11" s="18">
        <f t="shared" si="46"/>
        <v>1</v>
      </c>
      <c r="FH11" s="18">
        <f t="shared" si="46"/>
        <v>1</v>
      </c>
      <c r="FI11" s="18">
        <f t="shared" si="46"/>
        <v>1</v>
      </c>
      <c r="FJ11" s="18">
        <f t="shared" si="46"/>
        <v>1</v>
      </c>
      <c r="FK11" s="18">
        <f t="shared" si="46"/>
        <v>1</v>
      </c>
      <c r="FL11" s="18">
        <f t="shared" si="46"/>
        <v>1</v>
      </c>
      <c r="FM11" s="18">
        <f t="shared" si="46"/>
        <v>1</v>
      </c>
      <c r="FN11" s="18">
        <f t="shared" si="46"/>
        <v>1</v>
      </c>
      <c r="FO11" s="18">
        <f t="shared" si="46"/>
        <v>1</v>
      </c>
      <c r="FP11" s="18">
        <f t="shared" si="46"/>
        <v>1</v>
      </c>
      <c r="FQ11" s="18">
        <f t="shared" si="46"/>
        <v>1</v>
      </c>
      <c r="FR11" s="18">
        <f t="shared" si="46"/>
        <v>1</v>
      </c>
      <c r="FS11" s="18">
        <f t="shared" si="46"/>
        <v>1</v>
      </c>
      <c r="FT11" s="18">
        <f t="shared" si="46"/>
        <v>1</v>
      </c>
      <c r="FU11" s="18">
        <f t="shared" si="46"/>
        <v>1</v>
      </c>
      <c r="FV11" s="18">
        <f t="shared" si="46"/>
        <v>1</v>
      </c>
      <c r="FW11" s="18">
        <f t="shared" si="46"/>
        <v>1</v>
      </c>
      <c r="FX11" s="18">
        <f t="shared" si="46"/>
        <v>1</v>
      </c>
      <c r="FY11" s="18">
        <f t="shared" si="46"/>
        <v>1</v>
      </c>
      <c r="FZ11" s="18">
        <f t="shared" si="46"/>
        <v>1</v>
      </c>
      <c r="GA11" s="18">
        <f t="shared" si="46"/>
        <v>1</v>
      </c>
      <c r="GB11" s="18">
        <f t="shared" si="46"/>
        <v>1</v>
      </c>
      <c r="GC11" s="18">
        <f t="shared" si="46"/>
        <v>1</v>
      </c>
      <c r="GD11" s="18">
        <f t="shared" si="46"/>
        <v>1</v>
      </c>
      <c r="GE11" s="18">
        <f t="shared" si="46"/>
        <v>1</v>
      </c>
      <c r="GF11" s="18">
        <f t="shared" si="46"/>
        <v>1</v>
      </c>
      <c r="GG11" s="18">
        <f t="shared" si="46"/>
        <v>1</v>
      </c>
      <c r="GH11" s="18">
        <f t="shared" si="46"/>
        <v>1</v>
      </c>
      <c r="GI11" s="18">
        <f t="shared" si="46"/>
        <v>1</v>
      </c>
      <c r="GJ11" s="18">
        <f t="shared" si="46"/>
        <v>1</v>
      </c>
      <c r="GK11" s="18">
        <f t="shared" si="46"/>
        <v>1</v>
      </c>
      <c r="GL11" s="18">
        <f t="shared" si="46"/>
        <v>1</v>
      </c>
      <c r="GM11" s="18">
        <f t="shared" si="46"/>
        <v>1</v>
      </c>
      <c r="GN11" s="18">
        <f t="shared" si="46"/>
        <v>1</v>
      </c>
      <c r="GO11" s="18">
        <f t="shared" si="46"/>
        <v>1</v>
      </c>
      <c r="GP11" s="18">
        <f t="shared" si="46"/>
        <v>1</v>
      </c>
      <c r="GQ11" s="18">
        <f t="shared" si="46"/>
        <v>1</v>
      </c>
      <c r="GR11" s="18">
        <f t="shared" ref="GR11:HX11" si="47">COUNTIFS(GR$19:GR$75,"=1",$C$19:$C$75,"B",$D$19:$D$75,"5.0",$E$19:$E$75,"Lomitas",$F$19:$F$75,"Cerro")</f>
        <v>1</v>
      </c>
      <c r="GS11" s="18">
        <f t="shared" si="47"/>
        <v>1</v>
      </c>
      <c r="GT11" s="18">
        <f t="shared" si="47"/>
        <v>1</v>
      </c>
      <c r="GU11" s="18">
        <f t="shared" si="47"/>
        <v>1</v>
      </c>
      <c r="GV11" s="18">
        <f t="shared" si="47"/>
        <v>1</v>
      </c>
      <c r="GW11" s="18">
        <f t="shared" si="47"/>
        <v>1</v>
      </c>
      <c r="GX11" s="18">
        <f t="shared" si="47"/>
        <v>1</v>
      </c>
      <c r="GY11" s="18">
        <f t="shared" si="47"/>
        <v>1</v>
      </c>
      <c r="GZ11" s="18">
        <f t="shared" si="47"/>
        <v>1</v>
      </c>
      <c r="HA11" s="18">
        <f t="shared" si="47"/>
        <v>1</v>
      </c>
      <c r="HB11" s="18">
        <f t="shared" si="47"/>
        <v>1</v>
      </c>
      <c r="HC11" s="18">
        <f t="shared" si="47"/>
        <v>1</v>
      </c>
      <c r="HD11" s="18">
        <f t="shared" si="47"/>
        <v>1</v>
      </c>
      <c r="HE11" s="18">
        <f t="shared" si="47"/>
        <v>1</v>
      </c>
      <c r="HF11" s="18">
        <f t="shared" si="47"/>
        <v>1</v>
      </c>
      <c r="HG11" s="18">
        <f t="shared" si="47"/>
        <v>1</v>
      </c>
      <c r="HH11" s="18">
        <f t="shared" si="47"/>
        <v>1</v>
      </c>
      <c r="HI11" s="18">
        <f t="shared" si="47"/>
        <v>1</v>
      </c>
      <c r="HJ11" s="18">
        <f t="shared" si="47"/>
        <v>1</v>
      </c>
      <c r="HK11" s="18">
        <f t="shared" si="47"/>
        <v>1</v>
      </c>
      <c r="HL11" s="18">
        <f t="shared" si="47"/>
        <v>1</v>
      </c>
      <c r="HM11" s="18">
        <f t="shared" si="47"/>
        <v>1</v>
      </c>
      <c r="HN11" s="18">
        <f t="shared" si="47"/>
        <v>1</v>
      </c>
      <c r="HO11" s="18">
        <f t="shared" si="47"/>
        <v>1</v>
      </c>
      <c r="HP11" s="18">
        <f t="shared" si="47"/>
        <v>1</v>
      </c>
      <c r="HQ11" s="18">
        <f t="shared" si="47"/>
        <v>1</v>
      </c>
      <c r="HR11" s="18">
        <f t="shared" si="47"/>
        <v>1</v>
      </c>
      <c r="HS11" s="18">
        <f t="shared" si="47"/>
        <v>1</v>
      </c>
      <c r="HT11" s="18">
        <f t="shared" si="47"/>
        <v>1</v>
      </c>
      <c r="HU11" s="18">
        <f t="shared" si="47"/>
        <v>1</v>
      </c>
      <c r="HV11" s="18">
        <f t="shared" si="47"/>
        <v>1</v>
      </c>
      <c r="HW11" s="18">
        <f t="shared" si="47"/>
        <v>1</v>
      </c>
      <c r="HX11" s="18">
        <f t="shared" si="47"/>
        <v>1</v>
      </c>
    </row>
    <row r="12" spans="1:232" hidden="1" x14ac:dyDescent="0.2">
      <c r="E12" s="18" t="s">
        <v>127</v>
      </c>
      <c r="F12" s="18" t="s">
        <v>140</v>
      </c>
      <c r="G12" s="18">
        <f>COUNTIFS(G$19:G$75,"=1",$C$19:$C$75,"B",$D$19:$D$75,"5.0",$E$19:$E$75,"Lomitas",$F$19:$F$75,"Mar")</f>
        <v>4</v>
      </c>
      <c r="H12" s="18">
        <f t="shared" ref="H12:BS12" si="48">COUNTIFS(H$19:H$75,"=1",$C$19:$C$75,"B",$D$19:$D$75,"5.0",$E$19:$E$75,"Lomitas",$F$19:$F$75,"Mar")</f>
        <v>4</v>
      </c>
      <c r="I12" s="18">
        <f t="shared" si="48"/>
        <v>4</v>
      </c>
      <c r="J12" s="18">
        <f t="shared" si="48"/>
        <v>4</v>
      </c>
      <c r="K12" s="18">
        <f t="shared" si="48"/>
        <v>4</v>
      </c>
      <c r="L12" s="18">
        <f t="shared" si="48"/>
        <v>4</v>
      </c>
      <c r="M12" s="18">
        <f t="shared" si="48"/>
        <v>4</v>
      </c>
      <c r="N12" s="18">
        <f t="shared" si="48"/>
        <v>4</v>
      </c>
      <c r="O12" s="18">
        <f t="shared" si="48"/>
        <v>4</v>
      </c>
      <c r="P12" s="18">
        <f t="shared" si="48"/>
        <v>4</v>
      </c>
      <c r="Q12" s="18">
        <f t="shared" si="48"/>
        <v>4</v>
      </c>
      <c r="R12" s="18">
        <f t="shared" si="48"/>
        <v>4</v>
      </c>
      <c r="S12" s="18">
        <f t="shared" si="48"/>
        <v>4</v>
      </c>
      <c r="T12" s="18">
        <f t="shared" si="48"/>
        <v>4</v>
      </c>
      <c r="U12" s="18">
        <f t="shared" si="48"/>
        <v>4</v>
      </c>
      <c r="V12" s="18">
        <f t="shared" si="48"/>
        <v>4</v>
      </c>
      <c r="W12" s="18">
        <f t="shared" si="48"/>
        <v>4</v>
      </c>
      <c r="X12" s="18">
        <f t="shared" si="48"/>
        <v>4</v>
      </c>
      <c r="Y12" s="18">
        <f t="shared" si="48"/>
        <v>4</v>
      </c>
      <c r="Z12" s="18">
        <f t="shared" si="48"/>
        <v>4</v>
      </c>
      <c r="AA12" s="18">
        <f t="shared" si="48"/>
        <v>4</v>
      </c>
      <c r="AB12" s="18">
        <f t="shared" si="48"/>
        <v>4</v>
      </c>
      <c r="AC12" s="18">
        <f t="shared" si="48"/>
        <v>4</v>
      </c>
      <c r="AD12" s="18">
        <f t="shared" si="48"/>
        <v>4</v>
      </c>
      <c r="AE12" s="18">
        <f t="shared" si="48"/>
        <v>4</v>
      </c>
      <c r="AF12" s="18">
        <f t="shared" si="48"/>
        <v>4</v>
      </c>
      <c r="AG12" s="18">
        <f t="shared" si="48"/>
        <v>4</v>
      </c>
      <c r="AH12" s="18">
        <f t="shared" si="48"/>
        <v>4</v>
      </c>
      <c r="AI12" s="18">
        <f t="shared" si="48"/>
        <v>4</v>
      </c>
      <c r="AJ12" s="18">
        <f t="shared" si="48"/>
        <v>4</v>
      </c>
      <c r="AK12" s="18">
        <f t="shared" si="48"/>
        <v>4</v>
      </c>
      <c r="AL12" s="18">
        <f t="shared" si="48"/>
        <v>4</v>
      </c>
      <c r="AM12" s="18">
        <f t="shared" si="48"/>
        <v>4</v>
      </c>
      <c r="AN12" s="18">
        <f t="shared" si="48"/>
        <v>4</v>
      </c>
      <c r="AO12" s="18">
        <f t="shared" si="48"/>
        <v>4</v>
      </c>
      <c r="AP12" s="18">
        <f t="shared" si="48"/>
        <v>4</v>
      </c>
      <c r="AQ12" s="18">
        <f t="shared" si="48"/>
        <v>4</v>
      </c>
      <c r="AR12" s="18">
        <f t="shared" si="48"/>
        <v>4</v>
      </c>
      <c r="AS12" s="18">
        <f t="shared" si="48"/>
        <v>4</v>
      </c>
      <c r="AT12" s="18">
        <f t="shared" si="48"/>
        <v>4</v>
      </c>
      <c r="AU12" s="18">
        <f t="shared" si="48"/>
        <v>4</v>
      </c>
      <c r="AV12" s="18">
        <f t="shared" si="48"/>
        <v>4</v>
      </c>
      <c r="AW12" s="18">
        <f t="shared" si="48"/>
        <v>4</v>
      </c>
      <c r="AX12" s="18">
        <f t="shared" si="48"/>
        <v>4</v>
      </c>
      <c r="AY12" s="18">
        <f t="shared" si="48"/>
        <v>4</v>
      </c>
      <c r="AZ12" s="18">
        <f t="shared" si="48"/>
        <v>4</v>
      </c>
      <c r="BA12" s="18">
        <f t="shared" si="48"/>
        <v>4</v>
      </c>
      <c r="BB12" s="18">
        <f t="shared" si="48"/>
        <v>4</v>
      </c>
      <c r="BC12" s="18">
        <f t="shared" si="48"/>
        <v>4</v>
      </c>
      <c r="BD12" s="18">
        <f t="shared" si="48"/>
        <v>4</v>
      </c>
      <c r="BE12" s="18">
        <f t="shared" si="48"/>
        <v>4</v>
      </c>
      <c r="BF12" s="18">
        <f t="shared" si="48"/>
        <v>4</v>
      </c>
      <c r="BG12" s="18">
        <f t="shared" si="48"/>
        <v>4</v>
      </c>
      <c r="BH12" s="18">
        <f t="shared" si="48"/>
        <v>4</v>
      </c>
      <c r="BI12" s="18">
        <f t="shared" si="48"/>
        <v>4</v>
      </c>
      <c r="BJ12" s="18">
        <f t="shared" si="48"/>
        <v>4</v>
      </c>
      <c r="BK12" s="18">
        <f t="shared" si="48"/>
        <v>4</v>
      </c>
      <c r="BL12" s="18">
        <f t="shared" si="48"/>
        <v>4</v>
      </c>
      <c r="BM12" s="18">
        <f t="shared" si="48"/>
        <v>7</v>
      </c>
      <c r="BN12" s="18">
        <f t="shared" si="48"/>
        <v>7</v>
      </c>
      <c r="BO12" s="18">
        <f t="shared" si="48"/>
        <v>7</v>
      </c>
      <c r="BP12" s="18">
        <f t="shared" si="48"/>
        <v>7</v>
      </c>
      <c r="BQ12" s="18">
        <f t="shared" si="48"/>
        <v>7</v>
      </c>
      <c r="BR12" s="18">
        <f t="shared" si="48"/>
        <v>7</v>
      </c>
      <c r="BS12" s="18">
        <f t="shared" si="48"/>
        <v>7</v>
      </c>
      <c r="BT12" s="18">
        <f t="shared" ref="BT12:EE12" si="49">COUNTIFS(BT$19:BT$75,"=1",$C$19:$C$75,"B",$D$19:$D$75,"5.0",$E$19:$E$75,"Lomitas",$F$19:$F$75,"Mar")</f>
        <v>7</v>
      </c>
      <c r="BU12" s="18">
        <f t="shared" si="49"/>
        <v>7</v>
      </c>
      <c r="BV12" s="18">
        <f t="shared" si="49"/>
        <v>7</v>
      </c>
      <c r="BW12" s="18">
        <f t="shared" si="49"/>
        <v>7</v>
      </c>
      <c r="BX12" s="18">
        <f t="shared" si="49"/>
        <v>7</v>
      </c>
      <c r="BY12" s="18">
        <f t="shared" si="49"/>
        <v>7</v>
      </c>
      <c r="BZ12" s="18">
        <f t="shared" si="49"/>
        <v>7</v>
      </c>
      <c r="CA12" s="18">
        <f t="shared" si="49"/>
        <v>7</v>
      </c>
      <c r="CB12" s="18">
        <f t="shared" si="49"/>
        <v>7</v>
      </c>
      <c r="CC12" s="18">
        <f t="shared" si="49"/>
        <v>7</v>
      </c>
      <c r="CD12" s="18">
        <f t="shared" si="49"/>
        <v>7</v>
      </c>
      <c r="CE12" s="18">
        <f t="shared" si="49"/>
        <v>7</v>
      </c>
      <c r="CF12" s="18">
        <f t="shared" si="49"/>
        <v>7</v>
      </c>
      <c r="CG12" s="18">
        <f t="shared" si="49"/>
        <v>7</v>
      </c>
      <c r="CH12" s="18">
        <f t="shared" si="49"/>
        <v>7</v>
      </c>
      <c r="CI12" s="18">
        <f t="shared" si="49"/>
        <v>7</v>
      </c>
      <c r="CJ12" s="18">
        <f t="shared" si="49"/>
        <v>7</v>
      </c>
      <c r="CK12" s="18">
        <f t="shared" si="49"/>
        <v>7</v>
      </c>
      <c r="CL12" s="18">
        <f t="shared" si="49"/>
        <v>7</v>
      </c>
      <c r="CM12" s="18">
        <f t="shared" si="49"/>
        <v>7</v>
      </c>
      <c r="CN12" s="18">
        <f t="shared" si="49"/>
        <v>7</v>
      </c>
      <c r="CO12" s="18">
        <f t="shared" si="49"/>
        <v>7</v>
      </c>
      <c r="CP12" s="18">
        <f t="shared" si="49"/>
        <v>7</v>
      </c>
      <c r="CQ12" s="18">
        <f t="shared" si="49"/>
        <v>7</v>
      </c>
      <c r="CR12" s="18">
        <f t="shared" si="49"/>
        <v>7</v>
      </c>
      <c r="CS12" s="18">
        <f t="shared" si="49"/>
        <v>7</v>
      </c>
      <c r="CT12" s="18">
        <f t="shared" si="49"/>
        <v>7</v>
      </c>
      <c r="CU12" s="18">
        <f t="shared" si="49"/>
        <v>7</v>
      </c>
      <c r="CV12" s="18">
        <f t="shared" si="49"/>
        <v>7</v>
      </c>
      <c r="CW12" s="18">
        <f t="shared" si="49"/>
        <v>7</v>
      </c>
      <c r="CX12" s="18">
        <f t="shared" si="49"/>
        <v>7</v>
      </c>
      <c r="CY12" s="18">
        <f t="shared" si="49"/>
        <v>7</v>
      </c>
      <c r="CZ12" s="18">
        <f t="shared" si="49"/>
        <v>7</v>
      </c>
      <c r="DA12" s="18">
        <f t="shared" si="49"/>
        <v>7</v>
      </c>
      <c r="DB12" s="18">
        <f t="shared" si="49"/>
        <v>7</v>
      </c>
      <c r="DC12" s="18">
        <f t="shared" si="49"/>
        <v>7</v>
      </c>
      <c r="DD12" s="18">
        <f t="shared" si="49"/>
        <v>7</v>
      </c>
      <c r="DE12" s="18">
        <f t="shared" si="49"/>
        <v>7</v>
      </c>
      <c r="DF12" s="18">
        <f t="shared" si="49"/>
        <v>7</v>
      </c>
      <c r="DG12" s="18">
        <f t="shared" si="49"/>
        <v>7</v>
      </c>
      <c r="DH12" s="18">
        <f t="shared" si="49"/>
        <v>7</v>
      </c>
      <c r="DI12" s="18">
        <f t="shared" si="49"/>
        <v>7</v>
      </c>
      <c r="DJ12" s="18">
        <f t="shared" si="49"/>
        <v>7</v>
      </c>
      <c r="DK12" s="18">
        <f t="shared" si="49"/>
        <v>7</v>
      </c>
      <c r="DL12" s="18">
        <f t="shared" si="49"/>
        <v>7</v>
      </c>
      <c r="DM12" s="18">
        <f t="shared" si="49"/>
        <v>7</v>
      </c>
      <c r="DN12" s="18">
        <f t="shared" si="49"/>
        <v>7</v>
      </c>
      <c r="DO12" s="18">
        <f t="shared" si="49"/>
        <v>7</v>
      </c>
      <c r="DP12" s="18">
        <f t="shared" si="49"/>
        <v>7</v>
      </c>
      <c r="DQ12" s="18">
        <f t="shared" si="49"/>
        <v>7</v>
      </c>
      <c r="DR12" s="18">
        <f t="shared" si="49"/>
        <v>7</v>
      </c>
      <c r="DS12" s="18">
        <f t="shared" si="49"/>
        <v>7</v>
      </c>
      <c r="DT12" s="18">
        <f t="shared" si="49"/>
        <v>7</v>
      </c>
      <c r="DU12" s="18">
        <f t="shared" si="49"/>
        <v>7</v>
      </c>
      <c r="DV12" s="18">
        <f t="shared" si="49"/>
        <v>7</v>
      </c>
      <c r="DW12" s="18">
        <f t="shared" si="49"/>
        <v>7</v>
      </c>
      <c r="DX12" s="18">
        <f t="shared" si="49"/>
        <v>7</v>
      </c>
      <c r="DY12" s="18">
        <f t="shared" si="49"/>
        <v>7</v>
      </c>
      <c r="DZ12" s="18">
        <f t="shared" si="49"/>
        <v>7</v>
      </c>
      <c r="EA12" s="18">
        <f t="shared" si="49"/>
        <v>7</v>
      </c>
      <c r="EB12" s="18">
        <f t="shared" si="49"/>
        <v>7</v>
      </c>
      <c r="EC12" s="18">
        <f t="shared" si="49"/>
        <v>7</v>
      </c>
      <c r="ED12" s="18">
        <f t="shared" si="49"/>
        <v>7</v>
      </c>
      <c r="EE12" s="18">
        <f t="shared" si="49"/>
        <v>7</v>
      </c>
      <c r="EF12" s="18">
        <f t="shared" ref="EF12:GQ12" si="50">COUNTIFS(EF$19:EF$75,"=1",$C$19:$C$75,"B",$D$19:$D$75,"5.0",$E$19:$E$75,"Lomitas",$F$19:$F$75,"Mar")</f>
        <v>7</v>
      </c>
      <c r="EG12" s="18">
        <f t="shared" si="50"/>
        <v>7</v>
      </c>
      <c r="EH12" s="18">
        <f t="shared" si="50"/>
        <v>7</v>
      </c>
      <c r="EI12" s="18">
        <f t="shared" si="50"/>
        <v>7</v>
      </c>
      <c r="EJ12" s="18">
        <f t="shared" si="50"/>
        <v>7</v>
      </c>
      <c r="EK12" s="18">
        <f t="shared" si="50"/>
        <v>7</v>
      </c>
      <c r="EL12" s="18">
        <f t="shared" si="50"/>
        <v>7</v>
      </c>
      <c r="EM12" s="18">
        <f t="shared" si="50"/>
        <v>7</v>
      </c>
      <c r="EN12" s="18">
        <f t="shared" si="50"/>
        <v>7</v>
      </c>
      <c r="EO12" s="18">
        <f t="shared" si="50"/>
        <v>7</v>
      </c>
      <c r="EP12" s="18">
        <f t="shared" si="50"/>
        <v>7</v>
      </c>
      <c r="EQ12" s="18">
        <f t="shared" si="50"/>
        <v>7</v>
      </c>
      <c r="ER12" s="18">
        <f t="shared" si="50"/>
        <v>7</v>
      </c>
      <c r="ES12" s="18">
        <f t="shared" si="50"/>
        <v>7</v>
      </c>
      <c r="ET12" s="18">
        <f t="shared" si="50"/>
        <v>7</v>
      </c>
      <c r="EU12" s="18">
        <f t="shared" si="50"/>
        <v>7</v>
      </c>
      <c r="EV12" s="18">
        <f t="shared" si="50"/>
        <v>7</v>
      </c>
      <c r="EW12" s="18">
        <f t="shared" si="50"/>
        <v>7</v>
      </c>
      <c r="EX12" s="18">
        <f t="shared" si="50"/>
        <v>7</v>
      </c>
      <c r="EY12" s="18">
        <f t="shared" si="50"/>
        <v>7</v>
      </c>
      <c r="EZ12" s="18">
        <f t="shared" si="50"/>
        <v>7</v>
      </c>
      <c r="FA12" s="18">
        <f t="shared" si="50"/>
        <v>7</v>
      </c>
      <c r="FB12" s="18">
        <f t="shared" si="50"/>
        <v>7</v>
      </c>
      <c r="FC12" s="18">
        <f t="shared" si="50"/>
        <v>7</v>
      </c>
      <c r="FD12" s="18">
        <f t="shared" si="50"/>
        <v>7</v>
      </c>
      <c r="FE12" s="18">
        <f t="shared" si="50"/>
        <v>7</v>
      </c>
      <c r="FF12" s="18">
        <f t="shared" si="50"/>
        <v>7</v>
      </c>
      <c r="FG12" s="18">
        <f t="shared" si="50"/>
        <v>7</v>
      </c>
      <c r="FH12" s="18">
        <f t="shared" si="50"/>
        <v>7</v>
      </c>
      <c r="FI12" s="18">
        <f t="shared" si="50"/>
        <v>7</v>
      </c>
      <c r="FJ12" s="18">
        <f t="shared" si="50"/>
        <v>7</v>
      </c>
      <c r="FK12" s="18">
        <f t="shared" si="50"/>
        <v>7</v>
      </c>
      <c r="FL12" s="18">
        <f t="shared" si="50"/>
        <v>7</v>
      </c>
      <c r="FM12" s="18">
        <f t="shared" si="50"/>
        <v>7</v>
      </c>
      <c r="FN12" s="18">
        <f t="shared" si="50"/>
        <v>7</v>
      </c>
      <c r="FO12" s="18">
        <f t="shared" si="50"/>
        <v>7</v>
      </c>
      <c r="FP12" s="18">
        <f t="shared" si="50"/>
        <v>7</v>
      </c>
      <c r="FQ12" s="18">
        <f t="shared" si="50"/>
        <v>7</v>
      </c>
      <c r="FR12" s="18">
        <f t="shared" si="50"/>
        <v>7</v>
      </c>
      <c r="FS12" s="18">
        <f t="shared" si="50"/>
        <v>7</v>
      </c>
      <c r="FT12" s="18">
        <f t="shared" si="50"/>
        <v>7</v>
      </c>
      <c r="FU12" s="18">
        <f t="shared" si="50"/>
        <v>7</v>
      </c>
      <c r="FV12" s="18">
        <f t="shared" si="50"/>
        <v>7</v>
      </c>
      <c r="FW12" s="18">
        <f t="shared" si="50"/>
        <v>7</v>
      </c>
      <c r="FX12" s="18">
        <f t="shared" si="50"/>
        <v>7</v>
      </c>
      <c r="FY12" s="18">
        <f t="shared" si="50"/>
        <v>7</v>
      </c>
      <c r="FZ12" s="18">
        <f t="shared" si="50"/>
        <v>7</v>
      </c>
      <c r="GA12" s="18">
        <f t="shared" si="50"/>
        <v>7</v>
      </c>
      <c r="GB12" s="18">
        <f t="shared" si="50"/>
        <v>7</v>
      </c>
      <c r="GC12" s="18">
        <f t="shared" si="50"/>
        <v>7</v>
      </c>
      <c r="GD12" s="18">
        <f t="shared" si="50"/>
        <v>7</v>
      </c>
      <c r="GE12" s="18">
        <f t="shared" si="50"/>
        <v>7</v>
      </c>
      <c r="GF12" s="18">
        <f t="shared" si="50"/>
        <v>7</v>
      </c>
      <c r="GG12" s="18">
        <f t="shared" si="50"/>
        <v>7</v>
      </c>
      <c r="GH12" s="18">
        <f t="shared" si="50"/>
        <v>7</v>
      </c>
      <c r="GI12" s="18">
        <f t="shared" si="50"/>
        <v>7</v>
      </c>
      <c r="GJ12" s="18">
        <f t="shared" si="50"/>
        <v>7</v>
      </c>
      <c r="GK12" s="18">
        <f t="shared" si="50"/>
        <v>7</v>
      </c>
      <c r="GL12" s="18">
        <f t="shared" si="50"/>
        <v>7</v>
      </c>
      <c r="GM12" s="18">
        <f t="shared" si="50"/>
        <v>7</v>
      </c>
      <c r="GN12" s="18">
        <f t="shared" si="50"/>
        <v>7</v>
      </c>
      <c r="GO12" s="18">
        <f t="shared" si="50"/>
        <v>7</v>
      </c>
      <c r="GP12" s="18">
        <f t="shared" si="50"/>
        <v>7</v>
      </c>
      <c r="GQ12" s="18">
        <f t="shared" si="50"/>
        <v>7</v>
      </c>
      <c r="GR12" s="18">
        <f t="shared" ref="GR12:HX12" si="51">COUNTIFS(GR$19:GR$75,"=1",$C$19:$C$75,"B",$D$19:$D$75,"5.0",$E$19:$E$75,"Lomitas",$F$19:$F$75,"Mar")</f>
        <v>7</v>
      </c>
      <c r="GS12" s="18">
        <f t="shared" si="51"/>
        <v>7</v>
      </c>
      <c r="GT12" s="18">
        <f t="shared" si="51"/>
        <v>7</v>
      </c>
      <c r="GU12" s="18">
        <f t="shared" si="51"/>
        <v>7</v>
      </c>
      <c r="GV12" s="18">
        <f t="shared" si="51"/>
        <v>7</v>
      </c>
      <c r="GW12" s="18">
        <f t="shared" si="51"/>
        <v>7</v>
      </c>
      <c r="GX12" s="18">
        <f t="shared" si="51"/>
        <v>7</v>
      </c>
      <c r="GY12" s="18">
        <f t="shared" si="51"/>
        <v>7</v>
      </c>
      <c r="GZ12" s="18">
        <f t="shared" si="51"/>
        <v>7</v>
      </c>
      <c r="HA12" s="18">
        <f t="shared" si="51"/>
        <v>7</v>
      </c>
      <c r="HB12" s="18">
        <f t="shared" si="51"/>
        <v>7</v>
      </c>
      <c r="HC12" s="18">
        <f t="shared" si="51"/>
        <v>7</v>
      </c>
      <c r="HD12" s="18">
        <f t="shared" si="51"/>
        <v>7</v>
      </c>
      <c r="HE12" s="18">
        <f t="shared" si="51"/>
        <v>7</v>
      </c>
      <c r="HF12" s="18">
        <f t="shared" si="51"/>
        <v>7</v>
      </c>
      <c r="HG12" s="18">
        <f t="shared" si="51"/>
        <v>7</v>
      </c>
      <c r="HH12" s="18">
        <f t="shared" si="51"/>
        <v>7</v>
      </c>
      <c r="HI12" s="18">
        <f t="shared" si="51"/>
        <v>7</v>
      </c>
      <c r="HJ12" s="18">
        <f t="shared" si="51"/>
        <v>7</v>
      </c>
      <c r="HK12" s="18">
        <f t="shared" si="51"/>
        <v>7</v>
      </c>
      <c r="HL12" s="18">
        <f t="shared" si="51"/>
        <v>7</v>
      </c>
      <c r="HM12" s="18">
        <f t="shared" si="51"/>
        <v>7</v>
      </c>
      <c r="HN12" s="18">
        <f t="shared" si="51"/>
        <v>7</v>
      </c>
      <c r="HO12" s="18">
        <f t="shared" si="51"/>
        <v>7</v>
      </c>
      <c r="HP12" s="18">
        <f t="shared" si="51"/>
        <v>7</v>
      </c>
      <c r="HQ12" s="18">
        <f t="shared" si="51"/>
        <v>7</v>
      </c>
      <c r="HR12" s="18">
        <f t="shared" si="51"/>
        <v>7</v>
      </c>
      <c r="HS12" s="18">
        <f t="shared" si="51"/>
        <v>7</v>
      </c>
      <c r="HT12" s="18">
        <f t="shared" si="51"/>
        <v>7</v>
      </c>
      <c r="HU12" s="18">
        <f t="shared" si="51"/>
        <v>7</v>
      </c>
      <c r="HV12" s="18">
        <f t="shared" si="51"/>
        <v>7</v>
      </c>
      <c r="HW12" s="18">
        <f t="shared" si="51"/>
        <v>7</v>
      </c>
      <c r="HX12" s="18">
        <f t="shared" si="51"/>
        <v>7</v>
      </c>
    </row>
    <row r="13" spans="1:232" hidden="1" x14ac:dyDescent="0.2">
      <c r="E13" s="18" t="s">
        <v>128</v>
      </c>
      <c r="F13" s="18" t="s">
        <v>136</v>
      </c>
      <c r="G13" s="18">
        <f>COUNTIFS(G$19:G$75,"=1",$C$19:$C$75,"B",$D$19:$D$75,"5.2",$E$19:$E$75,"Expansión",$F$19:$F$75,"Cerro")</f>
        <v>3</v>
      </c>
      <c r="H13" s="18">
        <f t="shared" ref="H13:BS13" si="52">COUNTIFS(H$19:H$75,"=1",$C$19:$C$75,"B",$D$19:$D$75,"5.2",$E$19:$E$75,"Expansión",$F$19:$F$75,"Cerro")</f>
        <v>3</v>
      </c>
      <c r="I13" s="18">
        <f t="shared" si="52"/>
        <v>3</v>
      </c>
      <c r="J13" s="18">
        <f t="shared" si="52"/>
        <v>3</v>
      </c>
      <c r="K13" s="18">
        <f t="shared" si="52"/>
        <v>3</v>
      </c>
      <c r="L13" s="18">
        <f t="shared" si="52"/>
        <v>3</v>
      </c>
      <c r="M13" s="18">
        <f t="shared" si="52"/>
        <v>3</v>
      </c>
      <c r="N13" s="18">
        <f t="shared" si="52"/>
        <v>3</v>
      </c>
      <c r="O13" s="18">
        <f t="shared" si="52"/>
        <v>3</v>
      </c>
      <c r="P13" s="18">
        <f t="shared" si="52"/>
        <v>3</v>
      </c>
      <c r="Q13" s="18">
        <f t="shared" si="52"/>
        <v>3</v>
      </c>
      <c r="R13" s="18">
        <f t="shared" si="52"/>
        <v>3</v>
      </c>
      <c r="S13" s="18">
        <f t="shared" si="52"/>
        <v>3</v>
      </c>
      <c r="T13" s="18">
        <f t="shared" si="52"/>
        <v>3</v>
      </c>
      <c r="U13" s="18">
        <f t="shared" si="52"/>
        <v>3</v>
      </c>
      <c r="V13" s="18">
        <f t="shared" si="52"/>
        <v>3</v>
      </c>
      <c r="W13" s="18">
        <f t="shared" si="52"/>
        <v>3</v>
      </c>
      <c r="X13" s="18">
        <f t="shared" si="52"/>
        <v>3</v>
      </c>
      <c r="Y13" s="18">
        <f t="shared" si="52"/>
        <v>3</v>
      </c>
      <c r="Z13" s="18">
        <f t="shared" si="52"/>
        <v>3</v>
      </c>
      <c r="AA13" s="18">
        <f t="shared" si="52"/>
        <v>3</v>
      </c>
      <c r="AB13" s="18">
        <f t="shared" si="52"/>
        <v>3</v>
      </c>
      <c r="AC13" s="18">
        <f t="shared" si="52"/>
        <v>3</v>
      </c>
      <c r="AD13" s="18">
        <f t="shared" si="52"/>
        <v>3</v>
      </c>
      <c r="AE13" s="18">
        <f t="shared" si="52"/>
        <v>3</v>
      </c>
      <c r="AF13" s="18">
        <f t="shared" si="52"/>
        <v>3</v>
      </c>
      <c r="AG13" s="18">
        <f t="shared" si="52"/>
        <v>3</v>
      </c>
      <c r="AH13" s="18">
        <f t="shared" si="52"/>
        <v>3</v>
      </c>
      <c r="AI13" s="18">
        <f t="shared" si="52"/>
        <v>3</v>
      </c>
      <c r="AJ13" s="18">
        <f t="shared" si="52"/>
        <v>3</v>
      </c>
      <c r="AK13" s="18">
        <f t="shared" si="52"/>
        <v>3</v>
      </c>
      <c r="AL13" s="18">
        <f t="shared" si="52"/>
        <v>3</v>
      </c>
      <c r="AM13" s="18">
        <f t="shared" si="52"/>
        <v>3</v>
      </c>
      <c r="AN13" s="18">
        <f t="shared" si="52"/>
        <v>3</v>
      </c>
      <c r="AO13" s="18">
        <f t="shared" si="52"/>
        <v>3</v>
      </c>
      <c r="AP13" s="18">
        <f t="shared" si="52"/>
        <v>3</v>
      </c>
      <c r="AQ13" s="18">
        <f t="shared" si="52"/>
        <v>3</v>
      </c>
      <c r="AR13" s="18">
        <f t="shared" si="52"/>
        <v>3</v>
      </c>
      <c r="AS13" s="18">
        <f t="shared" si="52"/>
        <v>3</v>
      </c>
      <c r="AT13" s="18">
        <f t="shared" si="52"/>
        <v>3</v>
      </c>
      <c r="AU13" s="18">
        <f t="shared" si="52"/>
        <v>3</v>
      </c>
      <c r="AV13" s="18">
        <f t="shared" si="52"/>
        <v>3</v>
      </c>
      <c r="AW13" s="18">
        <f t="shared" si="52"/>
        <v>3</v>
      </c>
      <c r="AX13" s="18">
        <f t="shared" si="52"/>
        <v>3</v>
      </c>
      <c r="AY13" s="18">
        <f t="shared" si="52"/>
        <v>3</v>
      </c>
      <c r="AZ13" s="18">
        <f t="shared" si="52"/>
        <v>3</v>
      </c>
      <c r="BA13" s="18">
        <f t="shared" si="52"/>
        <v>1</v>
      </c>
      <c r="BB13" s="18">
        <f t="shared" si="52"/>
        <v>1</v>
      </c>
      <c r="BC13" s="18">
        <f t="shared" si="52"/>
        <v>1</v>
      </c>
      <c r="BD13" s="18">
        <f t="shared" si="52"/>
        <v>1</v>
      </c>
      <c r="BE13" s="18">
        <f t="shared" si="52"/>
        <v>1</v>
      </c>
      <c r="BF13" s="18">
        <f t="shared" si="52"/>
        <v>1</v>
      </c>
      <c r="BG13" s="18">
        <f t="shared" si="52"/>
        <v>1</v>
      </c>
      <c r="BH13" s="18">
        <f t="shared" si="52"/>
        <v>1</v>
      </c>
      <c r="BI13" s="18">
        <f t="shared" si="52"/>
        <v>1</v>
      </c>
      <c r="BJ13" s="18">
        <f t="shared" si="52"/>
        <v>1</v>
      </c>
      <c r="BK13" s="18">
        <f t="shared" si="52"/>
        <v>1</v>
      </c>
      <c r="BL13" s="18">
        <f t="shared" si="52"/>
        <v>1</v>
      </c>
      <c r="BM13" s="18">
        <f t="shared" si="52"/>
        <v>1</v>
      </c>
      <c r="BN13" s="18">
        <f t="shared" si="52"/>
        <v>1</v>
      </c>
      <c r="BO13" s="18">
        <f t="shared" si="52"/>
        <v>1</v>
      </c>
      <c r="BP13" s="18">
        <f t="shared" si="52"/>
        <v>1</v>
      </c>
      <c r="BQ13" s="18">
        <f t="shared" si="52"/>
        <v>1</v>
      </c>
      <c r="BR13" s="18">
        <f t="shared" si="52"/>
        <v>1</v>
      </c>
      <c r="BS13" s="18">
        <f t="shared" si="52"/>
        <v>1</v>
      </c>
      <c r="BT13" s="18">
        <f t="shared" ref="BT13:EE13" si="53">COUNTIFS(BT$19:BT$75,"=1",$C$19:$C$75,"B",$D$19:$D$75,"5.2",$E$19:$E$75,"Expansión",$F$19:$F$75,"Cerro")</f>
        <v>1</v>
      </c>
      <c r="BU13" s="18">
        <f t="shared" si="53"/>
        <v>1</v>
      </c>
      <c r="BV13" s="18">
        <f t="shared" si="53"/>
        <v>1</v>
      </c>
      <c r="BW13" s="18">
        <f t="shared" si="53"/>
        <v>1</v>
      </c>
      <c r="BX13" s="18">
        <f t="shared" si="53"/>
        <v>1</v>
      </c>
      <c r="BY13" s="18">
        <f t="shared" si="53"/>
        <v>1</v>
      </c>
      <c r="BZ13" s="18">
        <f t="shared" si="53"/>
        <v>1</v>
      </c>
      <c r="CA13" s="18">
        <f t="shared" si="53"/>
        <v>1</v>
      </c>
      <c r="CB13" s="18">
        <f t="shared" si="53"/>
        <v>1</v>
      </c>
      <c r="CC13" s="18">
        <f t="shared" si="53"/>
        <v>1</v>
      </c>
      <c r="CD13" s="18">
        <f t="shared" si="53"/>
        <v>1</v>
      </c>
      <c r="CE13" s="18">
        <f t="shared" si="53"/>
        <v>1</v>
      </c>
      <c r="CF13" s="18">
        <f t="shared" si="53"/>
        <v>1</v>
      </c>
      <c r="CG13" s="18">
        <f t="shared" si="53"/>
        <v>1</v>
      </c>
      <c r="CH13" s="18">
        <f t="shared" si="53"/>
        <v>1</v>
      </c>
      <c r="CI13" s="18">
        <f t="shared" si="53"/>
        <v>1</v>
      </c>
      <c r="CJ13" s="18">
        <f t="shared" si="53"/>
        <v>1</v>
      </c>
      <c r="CK13" s="18">
        <f t="shared" si="53"/>
        <v>1</v>
      </c>
      <c r="CL13" s="18">
        <f t="shared" si="53"/>
        <v>1</v>
      </c>
      <c r="CM13" s="18">
        <f t="shared" si="53"/>
        <v>1</v>
      </c>
      <c r="CN13" s="18">
        <f t="shared" si="53"/>
        <v>1</v>
      </c>
      <c r="CO13" s="18">
        <f t="shared" si="53"/>
        <v>1</v>
      </c>
      <c r="CP13" s="18">
        <f t="shared" si="53"/>
        <v>1</v>
      </c>
      <c r="CQ13" s="18">
        <f t="shared" si="53"/>
        <v>1</v>
      </c>
      <c r="CR13" s="18">
        <f t="shared" si="53"/>
        <v>1</v>
      </c>
      <c r="CS13" s="18">
        <f t="shared" si="53"/>
        <v>1</v>
      </c>
      <c r="CT13" s="18">
        <f t="shared" si="53"/>
        <v>1</v>
      </c>
      <c r="CU13" s="18">
        <f t="shared" si="53"/>
        <v>1</v>
      </c>
      <c r="CV13" s="18">
        <f t="shared" si="53"/>
        <v>1</v>
      </c>
      <c r="CW13" s="18">
        <f t="shared" si="53"/>
        <v>1</v>
      </c>
      <c r="CX13" s="18">
        <f t="shared" si="53"/>
        <v>1</v>
      </c>
      <c r="CY13" s="18">
        <f t="shared" si="53"/>
        <v>1</v>
      </c>
      <c r="CZ13" s="18">
        <f t="shared" si="53"/>
        <v>1</v>
      </c>
      <c r="DA13" s="18">
        <f t="shared" si="53"/>
        <v>1</v>
      </c>
      <c r="DB13" s="18">
        <f t="shared" si="53"/>
        <v>1</v>
      </c>
      <c r="DC13" s="18">
        <f t="shared" si="53"/>
        <v>1</v>
      </c>
      <c r="DD13" s="18">
        <f t="shared" si="53"/>
        <v>1</v>
      </c>
      <c r="DE13" s="18">
        <f t="shared" si="53"/>
        <v>1</v>
      </c>
      <c r="DF13" s="18">
        <f t="shared" si="53"/>
        <v>1</v>
      </c>
      <c r="DG13" s="18">
        <f t="shared" si="53"/>
        <v>1</v>
      </c>
      <c r="DH13" s="18">
        <f t="shared" si="53"/>
        <v>1</v>
      </c>
      <c r="DI13" s="18">
        <f t="shared" si="53"/>
        <v>1</v>
      </c>
      <c r="DJ13" s="18">
        <f t="shared" si="53"/>
        <v>1</v>
      </c>
      <c r="DK13" s="18">
        <f t="shared" si="53"/>
        <v>1</v>
      </c>
      <c r="DL13" s="18">
        <f t="shared" si="53"/>
        <v>1</v>
      </c>
      <c r="DM13" s="18">
        <f t="shared" si="53"/>
        <v>1</v>
      </c>
      <c r="DN13" s="18">
        <f t="shared" si="53"/>
        <v>1</v>
      </c>
      <c r="DO13" s="18">
        <f t="shared" si="53"/>
        <v>1</v>
      </c>
      <c r="DP13" s="18">
        <f t="shared" si="53"/>
        <v>1</v>
      </c>
      <c r="DQ13" s="18">
        <f t="shared" si="53"/>
        <v>1</v>
      </c>
      <c r="DR13" s="18">
        <f t="shared" si="53"/>
        <v>1</v>
      </c>
      <c r="DS13" s="18">
        <f t="shared" si="53"/>
        <v>1</v>
      </c>
      <c r="DT13" s="18">
        <f t="shared" si="53"/>
        <v>1</v>
      </c>
      <c r="DU13" s="18">
        <f t="shared" si="53"/>
        <v>1</v>
      </c>
      <c r="DV13" s="18">
        <f t="shared" si="53"/>
        <v>1</v>
      </c>
      <c r="DW13" s="18">
        <f t="shared" si="53"/>
        <v>1</v>
      </c>
      <c r="DX13" s="18">
        <f t="shared" si="53"/>
        <v>1</v>
      </c>
      <c r="DY13" s="18">
        <f t="shared" si="53"/>
        <v>1</v>
      </c>
      <c r="DZ13" s="18">
        <f t="shared" si="53"/>
        <v>1</v>
      </c>
      <c r="EA13" s="18">
        <f t="shared" si="53"/>
        <v>1</v>
      </c>
      <c r="EB13" s="18">
        <f t="shared" si="53"/>
        <v>1</v>
      </c>
      <c r="EC13" s="18">
        <f t="shared" si="53"/>
        <v>1</v>
      </c>
      <c r="ED13" s="18">
        <f t="shared" si="53"/>
        <v>1</v>
      </c>
      <c r="EE13" s="18">
        <f t="shared" si="53"/>
        <v>1</v>
      </c>
      <c r="EF13" s="18">
        <f t="shared" ref="EF13:GQ13" si="54">COUNTIFS(EF$19:EF$75,"=1",$C$19:$C$75,"B",$D$19:$D$75,"5.2",$E$19:$E$75,"Expansión",$F$19:$F$75,"Cerro")</f>
        <v>1</v>
      </c>
      <c r="EG13" s="18">
        <f t="shared" si="54"/>
        <v>1</v>
      </c>
      <c r="EH13" s="18">
        <f t="shared" si="54"/>
        <v>1</v>
      </c>
      <c r="EI13" s="18">
        <f t="shared" si="54"/>
        <v>1</v>
      </c>
      <c r="EJ13" s="18">
        <f t="shared" si="54"/>
        <v>1</v>
      </c>
      <c r="EK13" s="18">
        <f t="shared" si="54"/>
        <v>1</v>
      </c>
      <c r="EL13" s="18">
        <f t="shared" si="54"/>
        <v>1</v>
      </c>
      <c r="EM13" s="18">
        <f t="shared" si="54"/>
        <v>1</v>
      </c>
      <c r="EN13" s="18">
        <f t="shared" si="54"/>
        <v>1</v>
      </c>
      <c r="EO13" s="18">
        <f t="shared" si="54"/>
        <v>1</v>
      </c>
      <c r="EP13" s="18">
        <f t="shared" si="54"/>
        <v>1</v>
      </c>
      <c r="EQ13" s="18">
        <f t="shared" si="54"/>
        <v>1</v>
      </c>
      <c r="ER13" s="18">
        <f t="shared" si="54"/>
        <v>1</v>
      </c>
      <c r="ES13" s="18">
        <f t="shared" si="54"/>
        <v>1</v>
      </c>
      <c r="ET13" s="18">
        <f t="shared" si="54"/>
        <v>1</v>
      </c>
      <c r="EU13" s="18">
        <f t="shared" si="54"/>
        <v>1</v>
      </c>
      <c r="EV13" s="18">
        <f t="shared" si="54"/>
        <v>1</v>
      </c>
      <c r="EW13" s="18">
        <f t="shared" si="54"/>
        <v>1</v>
      </c>
      <c r="EX13" s="18">
        <f t="shared" si="54"/>
        <v>1</v>
      </c>
      <c r="EY13" s="18">
        <f t="shared" si="54"/>
        <v>1</v>
      </c>
      <c r="EZ13" s="18">
        <f t="shared" si="54"/>
        <v>1</v>
      </c>
      <c r="FA13" s="18">
        <f t="shared" si="54"/>
        <v>1</v>
      </c>
      <c r="FB13" s="18">
        <f t="shared" si="54"/>
        <v>1</v>
      </c>
      <c r="FC13" s="18">
        <f t="shared" si="54"/>
        <v>1</v>
      </c>
      <c r="FD13" s="18">
        <f t="shared" si="54"/>
        <v>1</v>
      </c>
      <c r="FE13" s="18">
        <f t="shared" si="54"/>
        <v>1</v>
      </c>
      <c r="FF13" s="18">
        <f t="shared" si="54"/>
        <v>1</v>
      </c>
      <c r="FG13" s="18">
        <f t="shared" si="54"/>
        <v>1</v>
      </c>
      <c r="FH13" s="18">
        <f t="shared" si="54"/>
        <v>1</v>
      </c>
      <c r="FI13" s="18">
        <f t="shared" si="54"/>
        <v>1</v>
      </c>
      <c r="FJ13" s="18">
        <f t="shared" si="54"/>
        <v>1</v>
      </c>
      <c r="FK13" s="18">
        <f t="shared" si="54"/>
        <v>1</v>
      </c>
      <c r="FL13" s="18">
        <f t="shared" si="54"/>
        <v>1</v>
      </c>
      <c r="FM13" s="18">
        <f t="shared" si="54"/>
        <v>1</v>
      </c>
      <c r="FN13" s="18">
        <f t="shared" si="54"/>
        <v>1</v>
      </c>
      <c r="FO13" s="18">
        <f t="shared" si="54"/>
        <v>1</v>
      </c>
      <c r="FP13" s="18">
        <f t="shared" si="54"/>
        <v>1</v>
      </c>
      <c r="FQ13" s="18">
        <f t="shared" si="54"/>
        <v>1</v>
      </c>
      <c r="FR13" s="18">
        <f t="shared" si="54"/>
        <v>1</v>
      </c>
      <c r="FS13" s="18">
        <f t="shared" si="54"/>
        <v>1</v>
      </c>
      <c r="FT13" s="18">
        <f t="shared" si="54"/>
        <v>1</v>
      </c>
      <c r="FU13" s="18">
        <f t="shared" si="54"/>
        <v>1</v>
      </c>
      <c r="FV13" s="18">
        <f t="shared" si="54"/>
        <v>1</v>
      </c>
      <c r="FW13" s="18">
        <f t="shared" si="54"/>
        <v>1</v>
      </c>
      <c r="FX13" s="18">
        <f t="shared" si="54"/>
        <v>1</v>
      </c>
      <c r="FY13" s="18">
        <f t="shared" si="54"/>
        <v>1</v>
      </c>
      <c r="FZ13" s="18">
        <f t="shared" si="54"/>
        <v>1</v>
      </c>
      <c r="GA13" s="18">
        <f t="shared" si="54"/>
        <v>1</v>
      </c>
      <c r="GB13" s="18">
        <f t="shared" si="54"/>
        <v>1</v>
      </c>
      <c r="GC13" s="18">
        <f t="shared" si="54"/>
        <v>1</v>
      </c>
      <c r="GD13" s="18">
        <f t="shared" si="54"/>
        <v>1</v>
      </c>
      <c r="GE13" s="18">
        <f t="shared" si="54"/>
        <v>1</v>
      </c>
      <c r="GF13" s="18">
        <f t="shared" si="54"/>
        <v>1</v>
      </c>
      <c r="GG13" s="18">
        <f t="shared" si="54"/>
        <v>1</v>
      </c>
      <c r="GH13" s="18">
        <f t="shared" si="54"/>
        <v>1</v>
      </c>
      <c r="GI13" s="18">
        <f t="shared" si="54"/>
        <v>1</v>
      </c>
      <c r="GJ13" s="18">
        <f t="shared" si="54"/>
        <v>1</v>
      </c>
      <c r="GK13" s="18">
        <f t="shared" si="54"/>
        <v>1</v>
      </c>
      <c r="GL13" s="18">
        <f t="shared" si="54"/>
        <v>1</v>
      </c>
      <c r="GM13" s="18">
        <f t="shared" si="54"/>
        <v>1</v>
      </c>
      <c r="GN13" s="18">
        <f t="shared" si="54"/>
        <v>1</v>
      </c>
      <c r="GO13" s="18">
        <f t="shared" si="54"/>
        <v>1</v>
      </c>
      <c r="GP13" s="18">
        <f t="shared" si="54"/>
        <v>1</v>
      </c>
      <c r="GQ13" s="18">
        <f t="shared" si="54"/>
        <v>1</v>
      </c>
      <c r="GR13" s="18">
        <f t="shared" ref="GR13:HX13" si="55">COUNTIFS(GR$19:GR$75,"=1",$C$19:$C$75,"B",$D$19:$D$75,"5.2",$E$19:$E$75,"Expansión",$F$19:$F$75,"Cerro")</f>
        <v>1</v>
      </c>
      <c r="GS13" s="18">
        <f t="shared" si="55"/>
        <v>1</v>
      </c>
      <c r="GT13" s="18">
        <f t="shared" si="55"/>
        <v>1</v>
      </c>
      <c r="GU13" s="18">
        <f t="shared" si="55"/>
        <v>1</v>
      </c>
      <c r="GV13" s="18">
        <f t="shared" si="55"/>
        <v>1</v>
      </c>
      <c r="GW13" s="18">
        <f t="shared" si="55"/>
        <v>1</v>
      </c>
      <c r="GX13" s="18">
        <f t="shared" si="55"/>
        <v>1</v>
      </c>
      <c r="GY13" s="18">
        <f t="shared" si="55"/>
        <v>1</v>
      </c>
      <c r="GZ13" s="18">
        <f t="shared" si="55"/>
        <v>1</v>
      </c>
      <c r="HA13" s="18">
        <f t="shared" si="55"/>
        <v>1</v>
      </c>
      <c r="HB13" s="18">
        <f t="shared" si="55"/>
        <v>1</v>
      </c>
      <c r="HC13" s="18">
        <f t="shared" si="55"/>
        <v>1</v>
      </c>
      <c r="HD13" s="18">
        <f t="shared" si="55"/>
        <v>1</v>
      </c>
      <c r="HE13" s="18">
        <f t="shared" si="55"/>
        <v>1</v>
      </c>
      <c r="HF13" s="18">
        <f t="shared" si="55"/>
        <v>1</v>
      </c>
      <c r="HG13" s="18">
        <f t="shared" si="55"/>
        <v>1</v>
      </c>
      <c r="HH13" s="18">
        <f t="shared" si="55"/>
        <v>1</v>
      </c>
      <c r="HI13" s="18">
        <f t="shared" si="55"/>
        <v>1</v>
      </c>
      <c r="HJ13" s="18">
        <f t="shared" si="55"/>
        <v>1</v>
      </c>
      <c r="HK13" s="18">
        <f t="shared" si="55"/>
        <v>1</v>
      </c>
      <c r="HL13" s="18">
        <f t="shared" si="55"/>
        <v>1</v>
      </c>
      <c r="HM13" s="18">
        <f t="shared" si="55"/>
        <v>1</v>
      </c>
      <c r="HN13" s="18">
        <f t="shared" si="55"/>
        <v>1</v>
      </c>
      <c r="HO13" s="18">
        <f t="shared" si="55"/>
        <v>1</v>
      </c>
      <c r="HP13" s="18">
        <f t="shared" si="55"/>
        <v>1</v>
      </c>
      <c r="HQ13" s="18">
        <f t="shared" si="55"/>
        <v>1</v>
      </c>
      <c r="HR13" s="18">
        <f t="shared" si="55"/>
        <v>1</v>
      </c>
      <c r="HS13" s="18">
        <f t="shared" si="55"/>
        <v>1</v>
      </c>
      <c r="HT13" s="18">
        <f t="shared" si="55"/>
        <v>1</v>
      </c>
      <c r="HU13" s="18">
        <f t="shared" si="55"/>
        <v>1</v>
      </c>
      <c r="HV13" s="18">
        <f t="shared" si="55"/>
        <v>1</v>
      </c>
      <c r="HW13" s="18">
        <f t="shared" si="55"/>
        <v>1</v>
      </c>
      <c r="HX13" s="18">
        <f t="shared" si="55"/>
        <v>1</v>
      </c>
    </row>
    <row r="14" spans="1:232" hidden="1" x14ac:dyDescent="0.2"/>
    <row r="15" spans="1:232" hidden="1" x14ac:dyDescent="0.2"/>
    <row r="17" spans="1:232" ht="78.599999999999994" customHeight="1" x14ac:dyDescent="0.2">
      <c r="B17" s="137" t="s">
        <v>203</v>
      </c>
      <c r="C17" s="137"/>
      <c r="D17" s="137"/>
      <c r="E17" s="137"/>
      <c r="F17" s="137"/>
      <c r="G17" s="105">
        <f t="shared" ref="G17:BR17" si="56">G1</f>
        <v>45613.083333333336</v>
      </c>
      <c r="H17" s="105">
        <f t="shared" si="56"/>
        <v>45613.125</v>
      </c>
      <c r="I17" s="105">
        <f t="shared" si="56"/>
        <v>45613.166666666664</v>
      </c>
      <c r="J17" s="105">
        <f t="shared" si="56"/>
        <v>45613.208333333328</v>
      </c>
      <c r="K17" s="105">
        <f t="shared" si="56"/>
        <v>45613.249999999993</v>
      </c>
      <c r="L17" s="105">
        <f t="shared" si="56"/>
        <v>45613.291666666657</v>
      </c>
      <c r="M17" s="105">
        <f t="shared" si="56"/>
        <v>45613.333333333321</v>
      </c>
      <c r="N17" s="105">
        <f t="shared" si="56"/>
        <v>45613.374999999985</v>
      </c>
      <c r="O17" s="105">
        <f t="shared" si="56"/>
        <v>45613.41666666665</v>
      </c>
      <c r="P17" s="105">
        <f t="shared" si="56"/>
        <v>45613.458333333314</v>
      </c>
      <c r="Q17" s="105">
        <f t="shared" si="56"/>
        <v>45613.499999999978</v>
      </c>
      <c r="R17" s="105">
        <f t="shared" si="56"/>
        <v>45613.541666666642</v>
      </c>
      <c r="S17" s="105">
        <f t="shared" si="56"/>
        <v>45613.583333333307</v>
      </c>
      <c r="T17" s="105">
        <f t="shared" si="56"/>
        <v>45613.624999999971</v>
      </c>
      <c r="U17" s="105">
        <f t="shared" si="56"/>
        <v>45613.666666666635</v>
      </c>
      <c r="V17" s="105">
        <f t="shared" si="56"/>
        <v>45613.708333333299</v>
      </c>
      <c r="W17" s="105">
        <f t="shared" si="56"/>
        <v>45613.749999999964</v>
      </c>
      <c r="X17" s="105">
        <f t="shared" si="56"/>
        <v>45613.791666666628</v>
      </c>
      <c r="Y17" s="105">
        <f t="shared" si="56"/>
        <v>45613.833333333292</v>
      </c>
      <c r="Z17" s="105">
        <f t="shared" si="56"/>
        <v>45613.874999999956</v>
      </c>
      <c r="AA17" s="105">
        <f t="shared" si="56"/>
        <v>45613.916666666621</v>
      </c>
      <c r="AB17" s="105">
        <f t="shared" si="56"/>
        <v>45613.958333333285</v>
      </c>
      <c r="AC17" s="105">
        <f t="shared" si="56"/>
        <v>45613.999999999949</v>
      </c>
      <c r="AD17" s="105">
        <f t="shared" si="56"/>
        <v>45614.041666666613</v>
      </c>
      <c r="AE17" s="105">
        <f t="shared" si="56"/>
        <v>45614.083333333278</v>
      </c>
      <c r="AF17" s="105">
        <f t="shared" si="56"/>
        <v>45614.124999999942</v>
      </c>
      <c r="AG17" s="105">
        <f t="shared" si="56"/>
        <v>45614.166666666606</v>
      </c>
      <c r="AH17" s="105">
        <f t="shared" si="56"/>
        <v>45614.20833333327</v>
      </c>
      <c r="AI17" s="105">
        <f t="shared" si="56"/>
        <v>45614.249999999935</v>
      </c>
      <c r="AJ17" s="105">
        <f t="shared" si="56"/>
        <v>45614.291666666599</v>
      </c>
      <c r="AK17" s="105">
        <f t="shared" si="56"/>
        <v>45614.333333333263</v>
      </c>
      <c r="AL17" s="105">
        <f t="shared" si="56"/>
        <v>45614.374999999927</v>
      </c>
      <c r="AM17" s="105">
        <f t="shared" si="56"/>
        <v>45614.416666666591</v>
      </c>
      <c r="AN17" s="105">
        <f t="shared" si="56"/>
        <v>45614.458333333256</v>
      </c>
      <c r="AO17" s="105">
        <f t="shared" si="56"/>
        <v>45614.49999999992</v>
      </c>
      <c r="AP17" s="105">
        <f t="shared" si="56"/>
        <v>45614.541666666584</v>
      </c>
      <c r="AQ17" s="105">
        <f t="shared" si="56"/>
        <v>45614.583333333248</v>
      </c>
      <c r="AR17" s="105">
        <f t="shared" si="56"/>
        <v>45614.624999999913</v>
      </c>
      <c r="AS17" s="105">
        <f t="shared" si="56"/>
        <v>45614.666666666577</v>
      </c>
      <c r="AT17" s="105">
        <f t="shared" si="56"/>
        <v>45614.708333333241</v>
      </c>
      <c r="AU17" s="105">
        <f t="shared" si="56"/>
        <v>45614.749999999905</v>
      </c>
      <c r="AV17" s="105">
        <f t="shared" si="56"/>
        <v>45614.79166666657</v>
      </c>
      <c r="AW17" s="105">
        <f t="shared" si="56"/>
        <v>45614.833333333234</v>
      </c>
      <c r="AX17" s="105">
        <f t="shared" si="56"/>
        <v>45614.874999999898</v>
      </c>
      <c r="AY17" s="105">
        <f t="shared" si="56"/>
        <v>45614.916666666562</v>
      </c>
      <c r="AZ17" s="105">
        <f t="shared" si="56"/>
        <v>45614.958333333227</v>
      </c>
      <c r="BA17" s="89">
        <f t="shared" si="56"/>
        <v>45614.999999999891</v>
      </c>
      <c r="BB17" s="89">
        <f t="shared" si="56"/>
        <v>45615.041666666555</v>
      </c>
      <c r="BC17" s="89">
        <f t="shared" si="56"/>
        <v>45615.083333333219</v>
      </c>
      <c r="BD17" s="89">
        <f t="shared" si="56"/>
        <v>45615.124999999884</v>
      </c>
      <c r="BE17" s="89">
        <f t="shared" si="56"/>
        <v>45615.166666666548</v>
      </c>
      <c r="BF17" s="89">
        <f t="shared" si="56"/>
        <v>45615.208333333212</v>
      </c>
      <c r="BG17" s="89">
        <f t="shared" si="56"/>
        <v>45615.249999999876</v>
      </c>
      <c r="BH17" s="89">
        <f t="shared" si="56"/>
        <v>45615.291666666541</v>
      </c>
      <c r="BI17" s="89">
        <f t="shared" si="56"/>
        <v>45615.333333333205</v>
      </c>
      <c r="BJ17" s="89">
        <f t="shared" si="56"/>
        <v>45615.374999999869</v>
      </c>
      <c r="BK17" s="89">
        <f t="shared" si="56"/>
        <v>45615.416666666533</v>
      </c>
      <c r="BL17" s="89">
        <f t="shared" si="56"/>
        <v>45615.458333333198</v>
      </c>
      <c r="BM17" s="89">
        <f t="shared" si="56"/>
        <v>45615.499999999862</v>
      </c>
      <c r="BN17" s="89">
        <f t="shared" si="56"/>
        <v>45615.541666666526</v>
      </c>
      <c r="BO17" s="89">
        <f t="shared" si="56"/>
        <v>45615.58333333319</v>
      </c>
      <c r="BP17" s="89">
        <f t="shared" si="56"/>
        <v>45615.624999999854</v>
      </c>
      <c r="BQ17" s="89">
        <f t="shared" si="56"/>
        <v>45615.666666666519</v>
      </c>
      <c r="BR17" s="89">
        <f t="shared" si="56"/>
        <v>45615.708333333183</v>
      </c>
      <c r="BS17" s="89">
        <f t="shared" ref="BS17:ED17" si="57">BS1</f>
        <v>45615.749999999847</v>
      </c>
      <c r="BT17" s="89">
        <f t="shared" si="57"/>
        <v>45615.791666666511</v>
      </c>
      <c r="BU17" s="89">
        <f t="shared" si="57"/>
        <v>45615.833333333176</v>
      </c>
      <c r="BV17" s="89">
        <f t="shared" si="57"/>
        <v>45615.87499999984</v>
      </c>
      <c r="BW17" s="89">
        <f t="shared" si="57"/>
        <v>45615.916666666504</v>
      </c>
      <c r="BX17" s="89">
        <f t="shared" si="57"/>
        <v>45615.958333333168</v>
      </c>
      <c r="BY17" s="89">
        <f t="shared" si="57"/>
        <v>45615.999999999833</v>
      </c>
      <c r="BZ17" s="89">
        <f t="shared" si="57"/>
        <v>45616.041666666497</v>
      </c>
      <c r="CA17" s="89">
        <f t="shared" si="57"/>
        <v>45616.083333333161</v>
      </c>
      <c r="CB17" s="89">
        <f t="shared" si="57"/>
        <v>45616.124999999825</v>
      </c>
      <c r="CC17" s="89">
        <f t="shared" si="57"/>
        <v>45616.16666666649</v>
      </c>
      <c r="CD17" s="89">
        <f t="shared" si="57"/>
        <v>45616.208333333154</v>
      </c>
      <c r="CE17" s="89">
        <f t="shared" si="57"/>
        <v>45616.249999999818</v>
      </c>
      <c r="CF17" s="89">
        <f t="shared" si="57"/>
        <v>45616.291666666482</v>
      </c>
      <c r="CG17" s="89">
        <f t="shared" si="57"/>
        <v>45616.333333333147</v>
      </c>
      <c r="CH17" s="89">
        <f t="shared" si="57"/>
        <v>45616.374999999811</v>
      </c>
      <c r="CI17" s="89">
        <f t="shared" si="57"/>
        <v>45616.416666666475</v>
      </c>
      <c r="CJ17" s="89">
        <f t="shared" si="57"/>
        <v>45616.458333333139</v>
      </c>
      <c r="CK17" s="89">
        <f t="shared" si="57"/>
        <v>45616.499999999804</v>
      </c>
      <c r="CL17" s="89">
        <f t="shared" si="57"/>
        <v>45616.541666666468</v>
      </c>
      <c r="CM17" s="89">
        <f t="shared" si="57"/>
        <v>45616.583333333132</v>
      </c>
      <c r="CN17" s="89">
        <f t="shared" si="57"/>
        <v>45616.624999999796</v>
      </c>
      <c r="CO17" s="89">
        <f t="shared" si="57"/>
        <v>45616.666666666461</v>
      </c>
      <c r="CP17" s="89">
        <f t="shared" si="57"/>
        <v>45616.708333333125</v>
      </c>
      <c r="CQ17" s="89">
        <f t="shared" si="57"/>
        <v>45616.749999999789</v>
      </c>
      <c r="CR17" s="89">
        <f t="shared" si="57"/>
        <v>45616.791666666453</v>
      </c>
      <c r="CS17" s="89">
        <f t="shared" si="57"/>
        <v>45616.833333333117</v>
      </c>
      <c r="CT17" s="89">
        <f t="shared" si="57"/>
        <v>45616.874999999782</v>
      </c>
      <c r="CU17" s="89">
        <f t="shared" si="57"/>
        <v>45616.916666666446</v>
      </c>
      <c r="CV17" s="89">
        <f t="shared" si="57"/>
        <v>45616.95833333311</v>
      </c>
      <c r="CW17" s="89">
        <f t="shared" si="57"/>
        <v>45616.999999999774</v>
      </c>
      <c r="CX17" s="89">
        <f t="shared" si="57"/>
        <v>45617.041666666439</v>
      </c>
      <c r="CY17" s="89">
        <f t="shared" si="57"/>
        <v>45617.083333333103</v>
      </c>
      <c r="CZ17" s="89">
        <f t="shared" si="57"/>
        <v>45617.124999999767</v>
      </c>
      <c r="DA17" s="89">
        <f t="shared" si="57"/>
        <v>45617.166666666431</v>
      </c>
      <c r="DB17" s="89">
        <f t="shared" si="57"/>
        <v>45617.208333333096</v>
      </c>
      <c r="DC17" s="89">
        <f t="shared" si="57"/>
        <v>45617.24999999976</v>
      </c>
      <c r="DD17" s="89">
        <f t="shared" si="57"/>
        <v>45617.291666666424</v>
      </c>
      <c r="DE17" s="89">
        <f t="shared" si="57"/>
        <v>45617.333333333088</v>
      </c>
      <c r="DF17" s="89">
        <f t="shared" si="57"/>
        <v>45617.374999999753</v>
      </c>
      <c r="DG17" s="89">
        <f t="shared" si="57"/>
        <v>45617.416666666417</v>
      </c>
      <c r="DH17" s="89">
        <f t="shared" si="57"/>
        <v>45617.458333333081</v>
      </c>
      <c r="DI17" s="89">
        <f t="shared" si="57"/>
        <v>45617.499999999745</v>
      </c>
      <c r="DJ17" s="89">
        <f t="shared" si="57"/>
        <v>45617.54166666641</v>
      </c>
      <c r="DK17" s="89">
        <f t="shared" si="57"/>
        <v>45617.583333333074</v>
      </c>
      <c r="DL17" s="89">
        <f t="shared" si="57"/>
        <v>45617.624999999738</v>
      </c>
      <c r="DM17" s="89">
        <f t="shared" si="57"/>
        <v>45617.666666666402</v>
      </c>
      <c r="DN17" s="89">
        <f t="shared" si="57"/>
        <v>45617.708333333067</v>
      </c>
      <c r="DO17" s="89">
        <f t="shared" si="57"/>
        <v>45617.749999999731</v>
      </c>
      <c r="DP17" s="89">
        <f t="shared" si="57"/>
        <v>45617.791666666395</v>
      </c>
      <c r="DQ17" s="89">
        <f t="shared" si="57"/>
        <v>45617.833333333059</v>
      </c>
      <c r="DR17" s="89">
        <f t="shared" si="57"/>
        <v>45617.874999999724</v>
      </c>
      <c r="DS17" s="89">
        <f t="shared" si="57"/>
        <v>45617.916666666388</v>
      </c>
      <c r="DT17" s="89">
        <f t="shared" si="57"/>
        <v>45617.958333333052</v>
      </c>
      <c r="DU17" s="89">
        <f t="shared" si="57"/>
        <v>45617.999999999716</v>
      </c>
      <c r="DV17" s="89">
        <f t="shared" si="57"/>
        <v>45618.04166666638</v>
      </c>
      <c r="DW17" s="89">
        <f t="shared" si="57"/>
        <v>45618.083333333045</v>
      </c>
      <c r="DX17" s="89">
        <f t="shared" si="57"/>
        <v>45618.124999999709</v>
      </c>
      <c r="DY17" s="89">
        <f t="shared" si="57"/>
        <v>45618.166666666373</v>
      </c>
      <c r="DZ17" s="89">
        <f t="shared" si="57"/>
        <v>45618.208333333037</v>
      </c>
      <c r="EA17" s="89">
        <f t="shared" si="57"/>
        <v>45618.249999999702</v>
      </c>
      <c r="EB17" s="89">
        <f t="shared" si="57"/>
        <v>45618.291666666366</v>
      </c>
      <c r="EC17" s="89">
        <f t="shared" si="57"/>
        <v>45618.33333333303</v>
      </c>
      <c r="ED17" s="89">
        <f t="shared" si="57"/>
        <v>45618.374999999694</v>
      </c>
      <c r="EE17" s="89">
        <f t="shared" ref="EE17:GP17" si="58">EE1</f>
        <v>45618.416666666359</v>
      </c>
      <c r="EF17" s="89">
        <f t="shared" si="58"/>
        <v>45618.458333333023</v>
      </c>
      <c r="EG17" s="89">
        <f t="shared" si="58"/>
        <v>45618.499999999687</v>
      </c>
      <c r="EH17" s="89">
        <f t="shared" si="58"/>
        <v>45618.541666666351</v>
      </c>
      <c r="EI17" s="89">
        <f t="shared" si="58"/>
        <v>45618.583333333016</v>
      </c>
      <c r="EJ17" s="89">
        <f t="shared" si="58"/>
        <v>45618.62499999968</v>
      </c>
      <c r="EK17" s="89">
        <f t="shared" si="58"/>
        <v>45618.666666666344</v>
      </c>
      <c r="EL17" s="89">
        <f t="shared" si="58"/>
        <v>45618.708333333008</v>
      </c>
      <c r="EM17" s="89">
        <f t="shared" si="58"/>
        <v>45618.749999999673</v>
      </c>
      <c r="EN17" s="89">
        <f t="shared" si="58"/>
        <v>45618.791666666337</v>
      </c>
      <c r="EO17" s="89">
        <f t="shared" si="58"/>
        <v>45618.833333333001</v>
      </c>
      <c r="EP17" s="89">
        <f t="shared" si="58"/>
        <v>45618.874999999665</v>
      </c>
      <c r="EQ17" s="89">
        <f t="shared" si="58"/>
        <v>45618.91666666633</v>
      </c>
      <c r="ER17" s="89">
        <f t="shared" si="58"/>
        <v>45618.958333332994</v>
      </c>
      <c r="ES17" s="89">
        <f t="shared" si="58"/>
        <v>45618.999999999658</v>
      </c>
      <c r="ET17" s="89">
        <f t="shared" si="58"/>
        <v>45619.041666666322</v>
      </c>
      <c r="EU17" s="89">
        <f t="shared" si="58"/>
        <v>45619.083333332987</v>
      </c>
      <c r="EV17" s="89">
        <f t="shared" si="58"/>
        <v>45619.124999999651</v>
      </c>
      <c r="EW17" s="89">
        <f t="shared" si="58"/>
        <v>45619.166666666315</v>
      </c>
      <c r="EX17" s="89">
        <f t="shared" si="58"/>
        <v>45619.208333332979</v>
      </c>
      <c r="EY17" s="89">
        <f t="shared" si="58"/>
        <v>45619.249999999643</v>
      </c>
      <c r="EZ17" s="89">
        <f t="shared" si="58"/>
        <v>45619.291666666308</v>
      </c>
      <c r="FA17" s="89">
        <f t="shared" si="58"/>
        <v>45619.333333332972</v>
      </c>
      <c r="FB17" s="89">
        <f t="shared" si="58"/>
        <v>45619.374999999636</v>
      </c>
      <c r="FC17" s="89">
        <f t="shared" si="58"/>
        <v>45619.4166666663</v>
      </c>
      <c r="FD17" s="89">
        <f t="shared" si="58"/>
        <v>45619.458333332965</v>
      </c>
      <c r="FE17" s="89">
        <f t="shared" si="58"/>
        <v>45619.499999999629</v>
      </c>
      <c r="FF17" s="89">
        <f t="shared" si="58"/>
        <v>45619.541666666293</v>
      </c>
      <c r="FG17" s="89">
        <f t="shared" si="58"/>
        <v>45619.583333332957</v>
      </c>
      <c r="FH17" s="89">
        <f t="shared" si="58"/>
        <v>45619.624999999622</v>
      </c>
      <c r="FI17" s="89">
        <f t="shared" si="58"/>
        <v>45619.666666666286</v>
      </c>
      <c r="FJ17" s="89">
        <f t="shared" si="58"/>
        <v>45619.70833333295</v>
      </c>
      <c r="FK17" s="89">
        <f t="shared" si="58"/>
        <v>45619.749999999614</v>
      </c>
      <c r="FL17" s="89">
        <f t="shared" si="58"/>
        <v>45619.791666666279</v>
      </c>
      <c r="FM17" s="89">
        <f t="shared" si="58"/>
        <v>45619.833333332943</v>
      </c>
      <c r="FN17" s="89">
        <f t="shared" si="58"/>
        <v>45619.874999999607</v>
      </c>
      <c r="FO17" s="89">
        <f t="shared" si="58"/>
        <v>45619.916666666271</v>
      </c>
      <c r="FP17" s="89">
        <f t="shared" si="58"/>
        <v>45619.958333332936</v>
      </c>
      <c r="FQ17" s="89">
        <f t="shared" si="58"/>
        <v>45619.9999999996</v>
      </c>
      <c r="FR17" s="89">
        <f t="shared" si="58"/>
        <v>45620.041666666264</v>
      </c>
      <c r="FS17" s="89">
        <f t="shared" si="58"/>
        <v>45620.083333332928</v>
      </c>
      <c r="FT17" s="89">
        <f t="shared" si="58"/>
        <v>45620.124999999593</v>
      </c>
      <c r="FU17" s="89">
        <f t="shared" si="58"/>
        <v>45620.166666666257</v>
      </c>
      <c r="FV17" s="89">
        <f t="shared" si="58"/>
        <v>45620.208333332921</v>
      </c>
      <c r="FW17" s="89">
        <f t="shared" si="58"/>
        <v>45620.249999999585</v>
      </c>
      <c r="FX17" s="89">
        <f t="shared" si="58"/>
        <v>45620.29166666625</v>
      </c>
      <c r="FY17" s="89">
        <f t="shared" si="58"/>
        <v>45620.333333332914</v>
      </c>
      <c r="FZ17" s="89">
        <f t="shared" si="58"/>
        <v>45620.374999999578</v>
      </c>
      <c r="GA17" s="89">
        <f t="shared" si="58"/>
        <v>45620.416666666242</v>
      </c>
      <c r="GB17" s="89">
        <f t="shared" si="58"/>
        <v>45620.458333332906</v>
      </c>
      <c r="GC17" s="89">
        <f t="shared" si="58"/>
        <v>45620.499999999571</v>
      </c>
      <c r="GD17" s="89">
        <f t="shared" si="58"/>
        <v>45620.541666666235</v>
      </c>
      <c r="GE17" s="89">
        <f t="shared" si="58"/>
        <v>45620.583333332899</v>
      </c>
      <c r="GF17" s="89">
        <f t="shared" si="58"/>
        <v>45620.624999999563</v>
      </c>
      <c r="GG17" s="89">
        <f t="shared" si="58"/>
        <v>45620.666666666228</v>
      </c>
      <c r="GH17" s="89">
        <f t="shared" si="58"/>
        <v>45620.708333332892</v>
      </c>
      <c r="GI17" s="89">
        <f t="shared" si="58"/>
        <v>45620.749999999556</v>
      </c>
      <c r="GJ17" s="89">
        <f t="shared" si="58"/>
        <v>45620.79166666622</v>
      </c>
      <c r="GK17" s="89">
        <f t="shared" si="58"/>
        <v>45620.833333332885</v>
      </c>
      <c r="GL17" s="89">
        <f t="shared" si="58"/>
        <v>45620.874999999549</v>
      </c>
      <c r="GM17" s="89">
        <f t="shared" si="58"/>
        <v>45620.916666666213</v>
      </c>
      <c r="GN17" s="89">
        <f t="shared" si="58"/>
        <v>45620.958333332877</v>
      </c>
      <c r="GO17" s="89">
        <f t="shared" si="58"/>
        <v>45620.999999999542</v>
      </c>
      <c r="GP17" s="89">
        <f t="shared" si="58"/>
        <v>45621.041666666206</v>
      </c>
      <c r="GQ17" s="89">
        <f t="shared" ref="GQ17:HX17" si="59">GQ1</f>
        <v>45621.08333333287</v>
      </c>
      <c r="GR17" s="89">
        <f t="shared" si="59"/>
        <v>45621.124999999534</v>
      </c>
      <c r="GS17" s="89">
        <f t="shared" si="59"/>
        <v>45621.166666666199</v>
      </c>
      <c r="GT17" s="89">
        <f t="shared" si="59"/>
        <v>45621.208333332863</v>
      </c>
      <c r="GU17" s="89">
        <f t="shared" si="59"/>
        <v>45621.249999999527</v>
      </c>
      <c r="GV17" s="89">
        <f t="shared" si="59"/>
        <v>45621.291666666191</v>
      </c>
      <c r="GW17" s="89">
        <f t="shared" si="59"/>
        <v>45621.333333332856</v>
      </c>
      <c r="GX17" s="89">
        <f t="shared" si="59"/>
        <v>45621.37499999952</v>
      </c>
      <c r="GY17" s="89">
        <f t="shared" si="59"/>
        <v>45621.416666666184</v>
      </c>
      <c r="GZ17" s="89">
        <f t="shared" si="59"/>
        <v>45621.458333332848</v>
      </c>
      <c r="HA17" s="89">
        <f t="shared" si="59"/>
        <v>45621.499999999513</v>
      </c>
      <c r="HB17" s="89">
        <f t="shared" si="59"/>
        <v>45621.541666666177</v>
      </c>
      <c r="HC17" s="89">
        <f t="shared" si="59"/>
        <v>45621.583333332841</v>
      </c>
      <c r="HD17" s="89">
        <f t="shared" si="59"/>
        <v>45621.624999999505</v>
      </c>
      <c r="HE17" s="89">
        <f t="shared" si="59"/>
        <v>45621.666666666169</v>
      </c>
      <c r="HF17" s="89">
        <f t="shared" si="59"/>
        <v>45621.708333332834</v>
      </c>
      <c r="HG17" s="89">
        <f t="shared" si="59"/>
        <v>45621.749999999498</v>
      </c>
      <c r="HH17" s="89">
        <f t="shared" si="59"/>
        <v>45621.791666666162</v>
      </c>
      <c r="HI17" s="89">
        <f t="shared" si="59"/>
        <v>45621.833333332826</v>
      </c>
      <c r="HJ17" s="89">
        <f t="shared" si="59"/>
        <v>45621.874999999491</v>
      </c>
      <c r="HK17" s="89">
        <f t="shared" si="59"/>
        <v>45621.916666666155</v>
      </c>
      <c r="HL17" s="89">
        <f t="shared" si="59"/>
        <v>45621.958333332819</v>
      </c>
      <c r="HM17" s="89">
        <f t="shared" si="59"/>
        <v>45621.999999999483</v>
      </c>
      <c r="HN17" s="89">
        <f t="shared" si="59"/>
        <v>45622.041666666148</v>
      </c>
      <c r="HO17" s="89">
        <f t="shared" si="59"/>
        <v>45622.083333332812</v>
      </c>
      <c r="HP17" s="89">
        <f t="shared" si="59"/>
        <v>45622.124999999476</v>
      </c>
      <c r="HQ17" s="89">
        <f t="shared" si="59"/>
        <v>45622.16666666614</v>
      </c>
      <c r="HR17" s="89">
        <f t="shared" si="59"/>
        <v>45622.208333332805</v>
      </c>
      <c r="HS17" s="89">
        <f t="shared" si="59"/>
        <v>45622.249999999469</v>
      </c>
      <c r="HT17" s="89">
        <f t="shared" si="59"/>
        <v>45622.291666666133</v>
      </c>
      <c r="HU17" s="89">
        <f t="shared" si="59"/>
        <v>45622.333333332797</v>
      </c>
      <c r="HV17" s="89">
        <f t="shared" si="59"/>
        <v>45622.374999999462</v>
      </c>
      <c r="HW17" s="89">
        <f t="shared" si="59"/>
        <v>45622.416666666126</v>
      </c>
      <c r="HX17" s="89">
        <f t="shared" si="59"/>
        <v>45622.45833333279</v>
      </c>
    </row>
    <row r="18" spans="1:232" ht="28.15" customHeight="1" x14ac:dyDescent="0.2">
      <c r="B18" s="87" t="s">
        <v>64</v>
      </c>
      <c r="C18" s="87" t="s">
        <v>130</v>
      </c>
      <c r="D18" s="87" t="s">
        <v>129</v>
      </c>
      <c r="E18" s="87" t="s">
        <v>126</v>
      </c>
      <c r="F18" s="87" t="s">
        <v>125</v>
      </c>
      <c r="G18" s="88">
        <f>'Plantilla Datos'!E4</f>
        <v>8.3333333333333329E-2</v>
      </c>
      <c r="H18" s="88">
        <f>G18+TIME(1,0,0)</f>
        <v>0.125</v>
      </c>
      <c r="I18" s="88">
        <f t="shared" ref="I18:AR18" si="60">H18+TIME(1,0,0)</f>
        <v>0.16666666666666666</v>
      </c>
      <c r="J18" s="88">
        <f t="shared" si="60"/>
        <v>0.20833333333333331</v>
      </c>
      <c r="K18" s="88">
        <f t="shared" si="60"/>
        <v>0.24999999999999997</v>
      </c>
      <c r="L18" s="88">
        <f t="shared" si="60"/>
        <v>0.29166666666666663</v>
      </c>
      <c r="M18" s="88">
        <f t="shared" si="60"/>
        <v>0.33333333333333331</v>
      </c>
      <c r="N18" s="88">
        <f t="shared" si="60"/>
        <v>0.375</v>
      </c>
      <c r="O18" s="88">
        <f t="shared" si="60"/>
        <v>0.41666666666666669</v>
      </c>
      <c r="P18" s="88">
        <f t="shared" si="60"/>
        <v>0.45833333333333337</v>
      </c>
      <c r="Q18" s="88">
        <f t="shared" si="60"/>
        <v>0.5</v>
      </c>
      <c r="R18" s="88">
        <f t="shared" si="60"/>
        <v>0.54166666666666663</v>
      </c>
      <c r="S18" s="88">
        <f t="shared" si="60"/>
        <v>0.58333333333333326</v>
      </c>
      <c r="T18" s="88">
        <f t="shared" si="60"/>
        <v>0.62499999999999989</v>
      </c>
      <c r="U18" s="88">
        <f t="shared" si="60"/>
        <v>0.66666666666666652</v>
      </c>
      <c r="V18" s="88">
        <f t="shared" si="60"/>
        <v>0.70833333333333315</v>
      </c>
      <c r="W18" s="88">
        <f t="shared" si="60"/>
        <v>0.74999999999999978</v>
      </c>
      <c r="X18" s="88">
        <f t="shared" si="60"/>
        <v>0.79166666666666641</v>
      </c>
      <c r="Y18" s="88">
        <f t="shared" si="60"/>
        <v>0.83333333333333304</v>
      </c>
      <c r="Z18" s="88">
        <f t="shared" si="60"/>
        <v>0.87499999999999967</v>
      </c>
      <c r="AA18" s="88">
        <f t="shared" si="60"/>
        <v>0.9166666666666663</v>
      </c>
      <c r="AB18" s="88">
        <f t="shared" si="60"/>
        <v>0.95833333333333293</v>
      </c>
      <c r="AC18" s="88">
        <f t="shared" si="60"/>
        <v>0.99999999999999956</v>
      </c>
      <c r="AD18" s="88">
        <f t="shared" si="60"/>
        <v>1.0416666666666663</v>
      </c>
      <c r="AE18" s="88">
        <f t="shared" si="60"/>
        <v>1.083333333333333</v>
      </c>
      <c r="AF18" s="88">
        <f t="shared" si="60"/>
        <v>1.1249999999999998</v>
      </c>
      <c r="AG18" s="88">
        <f t="shared" si="60"/>
        <v>1.1666666666666665</v>
      </c>
      <c r="AH18" s="88">
        <f t="shared" si="60"/>
        <v>1.2083333333333333</v>
      </c>
      <c r="AI18" s="88">
        <f t="shared" si="60"/>
        <v>1.25</v>
      </c>
      <c r="AJ18" s="88">
        <f t="shared" si="60"/>
        <v>1.2916666666666667</v>
      </c>
      <c r="AK18" s="88">
        <f t="shared" si="60"/>
        <v>1.3333333333333335</v>
      </c>
      <c r="AL18" s="88">
        <f t="shared" si="60"/>
        <v>1.3750000000000002</v>
      </c>
      <c r="AM18" s="88">
        <f t="shared" si="60"/>
        <v>1.416666666666667</v>
      </c>
      <c r="AN18" s="88">
        <f t="shared" si="60"/>
        <v>1.4583333333333337</v>
      </c>
      <c r="AO18" s="88">
        <f t="shared" si="60"/>
        <v>1.5000000000000004</v>
      </c>
      <c r="AP18" s="88">
        <f t="shared" si="60"/>
        <v>1.5416666666666672</v>
      </c>
      <c r="AQ18" s="88">
        <f t="shared" si="60"/>
        <v>1.5833333333333339</v>
      </c>
      <c r="AR18" s="88">
        <f t="shared" si="60"/>
        <v>1.6250000000000007</v>
      </c>
      <c r="AS18" s="88">
        <f t="shared" ref="AS18" si="61">AR18+TIME(1,0,0)</f>
        <v>1.6666666666666674</v>
      </c>
      <c r="AT18" s="88">
        <f t="shared" ref="AT18" si="62">AS18+TIME(1,0,0)</f>
        <v>1.7083333333333341</v>
      </c>
      <c r="AU18" s="88">
        <f t="shared" ref="AU18" si="63">AT18+TIME(1,0,0)</f>
        <v>1.7500000000000009</v>
      </c>
      <c r="AV18" s="88">
        <f t="shared" ref="AV18" si="64">AU18+TIME(1,0,0)</f>
        <v>1.7916666666666676</v>
      </c>
      <c r="AW18" s="88">
        <f t="shared" ref="AW18" si="65">AV18+TIME(1,0,0)</f>
        <v>1.8333333333333344</v>
      </c>
      <c r="AX18" s="88">
        <f t="shared" ref="AX18" si="66">AW18+TIME(1,0,0)</f>
        <v>1.8750000000000011</v>
      </c>
      <c r="AY18" s="88">
        <f t="shared" ref="AY18" si="67">AX18+TIME(1,0,0)</f>
        <v>1.9166666666666679</v>
      </c>
      <c r="AZ18" s="88">
        <f t="shared" ref="AZ18" si="68">AY18+TIME(1,0,0)</f>
        <v>1.9583333333333346</v>
      </c>
      <c r="BA18" s="88">
        <f t="shared" ref="BA18" si="69">AZ18+TIME(1,0,0)</f>
        <v>2.0000000000000013</v>
      </c>
      <c r="BB18" s="88">
        <f t="shared" ref="BB18" si="70">BA18+TIME(1,0,0)</f>
        <v>2.0416666666666679</v>
      </c>
      <c r="BC18" s="88">
        <f t="shared" ref="BC18" si="71">BB18+TIME(1,0,0)</f>
        <v>2.0833333333333344</v>
      </c>
      <c r="BD18" s="88">
        <f t="shared" ref="BD18" si="72">BC18+TIME(1,0,0)</f>
        <v>2.1250000000000009</v>
      </c>
      <c r="BE18" s="88">
        <f t="shared" ref="BE18" si="73">BD18+TIME(1,0,0)</f>
        <v>2.1666666666666674</v>
      </c>
      <c r="BF18" s="88">
        <f t="shared" ref="BF18" si="74">BE18+TIME(1,0,0)</f>
        <v>2.2083333333333339</v>
      </c>
      <c r="BG18" s="88">
        <f t="shared" ref="BG18" si="75">BF18+TIME(1,0,0)</f>
        <v>2.2500000000000004</v>
      </c>
      <c r="BH18" s="88">
        <f t="shared" ref="BH18" si="76">BG18+TIME(1,0,0)</f>
        <v>2.291666666666667</v>
      </c>
      <c r="BI18" s="88">
        <f t="shared" ref="BI18" si="77">BH18+TIME(1,0,0)</f>
        <v>2.3333333333333335</v>
      </c>
      <c r="BJ18" s="88">
        <f t="shared" ref="BJ18" si="78">BI18+TIME(1,0,0)</f>
        <v>2.375</v>
      </c>
      <c r="BK18" s="88">
        <f t="shared" ref="BK18" si="79">BJ18+TIME(1,0,0)</f>
        <v>2.4166666666666665</v>
      </c>
      <c r="BL18" s="88">
        <f t="shared" ref="BL18" si="80">BK18+TIME(1,0,0)</f>
        <v>2.458333333333333</v>
      </c>
      <c r="BM18" s="88">
        <f t="shared" ref="BM18" si="81">BL18+TIME(1,0,0)</f>
        <v>2.4999999999999996</v>
      </c>
      <c r="BN18" s="88">
        <f t="shared" ref="BN18" si="82">BM18+TIME(1,0,0)</f>
        <v>2.5416666666666661</v>
      </c>
      <c r="BO18" s="88">
        <f t="shared" ref="BO18" si="83">BN18+TIME(1,0,0)</f>
        <v>2.5833333333333326</v>
      </c>
      <c r="BP18" s="88">
        <f t="shared" ref="BP18" si="84">BO18+TIME(1,0,0)</f>
        <v>2.6249999999999991</v>
      </c>
      <c r="BQ18" s="88">
        <f t="shared" ref="BQ18" si="85">BP18+TIME(1,0,0)</f>
        <v>2.6666666666666656</v>
      </c>
      <c r="BR18" s="88">
        <f t="shared" ref="BR18" si="86">BQ18+TIME(1,0,0)</f>
        <v>2.7083333333333321</v>
      </c>
      <c r="BS18" s="88">
        <f t="shared" ref="BS18" si="87">BR18+TIME(1,0,0)</f>
        <v>2.7499999999999987</v>
      </c>
      <c r="BT18" s="88">
        <f t="shared" ref="BT18" si="88">BS18+TIME(1,0,0)</f>
        <v>2.7916666666666652</v>
      </c>
      <c r="BU18" s="88">
        <f t="shared" ref="BU18" si="89">BT18+TIME(1,0,0)</f>
        <v>2.8333333333333317</v>
      </c>
      <c r="BV18" s="88">
        <f t="shared" ref="BV18" si="90">BU18+TIME(1,0,0)</f>
        <v>2.8749999999999982</v>
      </c>
      <c r="BW18" s="88">
        <f t="shared" ref="BW18" si="91">BV18+TIME(1,0,0)</f>
        <v>2.9166666666666647</v>
      </c>
      <c r="BX18" s="88">
        <f t="shared" ref="BX18" si="92">BW18+TIME(1,0,0)</f>
        <v>2.9583333333333313</v>
      </c>
      <c r="BY18" s="88">
        <f t="shared" ref="BY18" si="93">BX18+TIME(1,0,0)</f>
        <v>2.9999999999999978</v>
      </c>
      <c r="BZ18" s="88">
        <f t="shared" ref="BZ18" si="94">BY18+TIME(1,0,0)</f>
        <v>3.0416666666666643</v>
      </c>
      <c r="CA18" s="88">
        <f t="shared" ref="CA18" si="95">BZ18+TIME(1,0,0)</f>
        <v>3.0833333333333308</v>
      </c>
      <c r="CB18" s="88">
        <f t="shared" ref="CB18" si="96">CA18+TIME(1,0,0)</f>
        <v>3.1249999999999973</v>
      </c>
      <c r="CC18" s="88">
        <f t="shared" ref="CC18" si="97">CB18+TIME(1,0,0)</f>
        <v>3.1666666666666639</v>
      </c>
      <c r="CD18" s="88">
        <f t="shared" ref="CD18" si="98">CC18+TIME(1,0,0)</f>
        <v>3.2083333333333304</v>
      </c>
      <c r="CE18" s="88">
        <f t="shared" ref="CE18" si="99">CD18+TIME(1,0,0)</f>
        <v>3.2499999999999969</v>
      </c>
      <c r="CF18" s="88">
        <f t="shared" ref="CF18" si="100">CE18+TIME(1,0,0)</f>
        <v>3.2916666666666634</v>
      </c>
      <c r="CG18" s="88">
        <f t="shared" ref="CG18" si="101">CF18+TIME(1,0,0)</f>
        <v>3.3333333333333299</v>
      </c>
      <c r="CH18" s="88">
        <f t="shared" ref="CH18" si="102">CG18+TIME(1,0,0)</f>
        <v>3.3749999999999964</v>
      </c>
      <c r="CI18" s="88">
        <f t="shared" ref="CI18" si="103">CH18+TIME(1,0,0)</f>
        <v>3.416666666666663</v>
      </c>
      <c r="CJ18" s="88">
        <f t="shared" ref="CJ18" si="104">CI18+TIME(1,0,0)</f>
        <v>3.4583333333333295</v>
      </c>
      <c r="CK18" s="88">
        <f t="shared" ref="CK18" si="105">CJ18+TIME(1,0,0)</f>
        <v>3.499999999999996</v>
      </c>
      <c r="CL18" s="88">
        <f t="shared" ref="CL18" si="106">CK18+TIME(1,0,0)</f>
        <v>3.5416666666666625</v>
      </c>
      <c r="CM18" s="88">
        <f t="shared" ref="CM18" si="107">CL18+TIME(1,0,0)</f>
        <v>3.583333333333329</v>
      </c>
      <c r="CN18" s="88">
        <f t="shared" ref="CN18" si="108">CM18+TIME(1,0,0)</f>
        <v>3.6249999999999956</v>
      </c>
      <c r="CO18" s="88">
        <f t="shared" ref="CO18" si="109">CN18+TIME(1,0,0)</f>
        <v>3.6666666666666621</v>
      </c>
      <c r="CP18" s="88">
        <f t="shared" ref="CP18" si="110">CO18+TIME(1,0,0)</f>
        <v>3.7083333333333286</v>
      </c>
      <c r="CQ18" s="88">
        <f t="shared" ref="CQ18" si="111">CP18+TIME(1,0,0)</f>
        <v>3.7499999999999951</v>
      </c>
      <c r="CR18" s="88">
        <f t="shared" ref="CR18" si="112">CQ18+TIME(1,0,0)</f>
        <v>3.7916666666666616</v>
      </c>
      <c r="CS18" s="88">
        <f t="shared" ref="CS18" si="113">CR18+TIME(1,0,0)</f>
        <v>3.8333333333333282</v>
      </c>
      <c r="CT18" s="88">
        <f t="shared" ref="CT18" si="114">CS18+TIME(1,0,0)</f>
        <v>3.8749999999999947</v>
      </c>
      <c r="CU18" s="88">
        <f t="shared" ref="CU18" si="115">CT18+TIME(1,0,0)</f>
        <v>3.9166666666666612</v>
      </c>
      <c r="CV18" s="88">
        <f t="shared" ref="CV18" si="116">CU18+TIME(1,0,0)</f>
        <v>3.9583333333333277</v>
      </c>
      <c r="CW18" s="88">
        <f t="shared" ref="CW18" si="117">CV18+TIME(1,0,0)</f>
        <v>3.9999999999999942</v>
      </c>
      <c r="CX18" s="88">
        <f t="shared" ref="CX18" si="118">CW18+TIME(1,0,0)</f>
        <v>4.0416666666666607</v>
      </c>
      <c r="CY18" s="88">
        <f t="shared" ref="CY18" si="119">CX18+TIME(1,0,0)</f>
        <v>4.0833333333333277</v>
      </c>
      <c r="CZ18" s="88">
        <f t="shared" ref="CZ18" si="120">CY18+TIME(1,0,0)</f>
        <v>4.1249999999999947</v>
      </c>
      <c r="DA18" s="88">
        <f t="shared" ref="DA18" si="121">CZ18+TIME(1,0,0)</f>
        <v>4.1666666666666616</v>
      </c>
      <c r="DB18" s="88">
        <f t="shared" ref="DB18" si="122">DA18+TIME(1,0,0)</f>
        <v>4.2083333333333286</v>
      </c>
      <c r="DC18" s="88">
        <f t="shared" ref="DC18" si="123">DB18+TIME(1,0,0)</f>
        <v>4.2499999999999956</v>
      </c>
      <c r="DD18" s="88">
        <f t="shared" ref="DD18" si="124">DC18+TIME(1,0,0)</f>
        <v>4.2916666666666625</v>
      </c>
      <c r="DE18" s="88">
        <f t="shared" ref="DE18" si="125">DD18+TIME(1,0,0)</f>
        <v>4.3333333333333295</v>
      </c>
      <c r="DF18" s="88">
        <f t="shared" ref="DF18" si="126">DE18+TIME(1,0,0)</f>
        <v>4.3749999999999964</v>
      </c>
      <c r="DG18" s="88">
        <f t="shared" ref="DG18" si="127">DF18+TIME(1,0,0)</f>
        <v>4.4166666666666634</v>
      </c>
      <c r="DH18" s="88">
        <f t="shared" ref="DH18" si="128">DG18+TIME(1,0,0)</f>
        <v>4.4583333333333304</v>
      </c>
      <c r="DI18" s="88">
        <f t="shared" ref="DI18" si="129">DH18+TIME(1,0,0)</f>
        <v>4.4999999999999973</v>
      </c>
      <c r="DJ18" s="88">
        <f t="shared" ref="DJ18" si="130">DI18+TIME(1,0,0)</f>
        <v>4.5416666666666643</v>
      </c>
      <c r="DK18" s="88">
        <f t="shared" ref="DK18" si="131">DJ18+TIME(1,0,0)</f>
        <v>4.5833333333333313</v>
      </c>
      <c r="DL18" s="88">
        <f t="shared" ref="DL18" si="132">DK18+TIME(1,0,0)</f>
        <v>4.6249999999999982</v>
      </c>
      <c r="DM18" s="88">
        <f t="shared" ref="DM18" si="133">DL18+TIME(1,0,0)</f>
        <v>4.6666666666666652</v>
      </c>
      <c r="DN18" s="88">
        <f t="shared" ref="DN18" si="134">DM18+TIME(1,0,0)</f>
        <v>4.7083333333333321</v>
      </c>
      <c r="DO18" s="88">
        <f t="shared" ref="DO18" si="135">DN18+TIME(1,0,0)</f>
        <v>4.7499999999999991</v>
      </c>
      <c r="DP18" s="88">
        <f t="shared" ref="DP18" si="136">DO18+TIME(1,0,0)</f>
        <v>4.7916666666666661</v>
      </c>
      <c r="DQ18" s="88">
        <f t="shared" ref="DQ18" si="137">DP18+TIME(1,0,0)</f>
        <v>4.833333333333333</v>
      </c>
      <c r="DR18" s="88">
        <f t="shared" ref="DR18" si="138">DQ18+TIME(1,0,0)</f>
        <v>4.875</v>
      </c>
      <c r="DS18" s="88">
        <f t="shared" ref="DS18" si="139">DR18+TIME(1,0,0)</f>
        <v>4.916666666666667</v>
      </c>
      <c r="DT18" s="88">
        <f t="shared" ref="DT18" si="140">DS18+TIME(1,0,0)</f>
        <v>4.9583333333333339</v>
      </c>
      <c r="DU18" s="88">
        <f t="shared" ref="DU18" si="141">DT18+TIME(1,0,0)</f>
        <v>5.0000000000000009</v>
      </c>
      <c r="DV18" s="88">
        <f t="shared" ref="DV18" si="142">DU18+TIME(1,0,0)</f>
        <v>5.0416666666666679</v>
      </c>
      <c r="DW18" s="88">
        <f t="shared" ref="DW18" si="143">DV18+TIME(1,0,0)</f>
        <v>5.0833333333333348</v>
      </c>
      <c r="DX18" s="88">
        <f t="shared" ref="DX18" si="144">DW18+TIME(1,0,0)</f>
        <v>5.1250000000000018</v>
      </c>
      <c r="DY18" s="88">
        <f t="shared" ref="DY18" si="145">DX18+TIME(1,0,0)</f>
        <v>5.1666666666666687</v>
      </c>
      <c r="DZ18" s="88">
        <f t="shared" ref="DZ18" si="146">DY18+TIME(1,0,0)</f>
        <v>5.2083333333333357</v>
      </c>
      <c r="EA18" s="88">
        <f t="shared" ref="EA18" si="147">DZ18+TIME(1,0,0)</f>
        <v>5.2500000000000027</v>
      </c>
      <c r="EB18" s="88">
        <f t="shared" ref="EB18" si="148">EA18+TIME(1,0,0)</f>
        <v>5.2916666666666696</v>
      </c>
      <c r="EC18" s="88">
        <f t="shared" ref="EC18" si="149">EB18+TIME(1,0,0)</f>
        <v>5.3333333333333366</v>
      </c>
      <c r="ED18" s="88">
        <f t="shared" ref="ED18" si="150">EC18+TIME(1,0,0)</f>
        <v>5.3750000000000036</v>
      </c>
      <c r="EE18" s="88">
        <f t="shared" ref="EE18" si="151">ED18+TIME(1,0,0)</f>
        <v>5.4166666666666705</v>
      </c>
      <c r="EF18" s="88">
        <f t="shared" ref="EF18" si="152">EE18+TIME(1,0,0)</f>
        <v>5.4583333333333375</v>
      </c>
      <c r="EG18" s="88">
        <f t="shared" ref="EG18" si="153">EF18+TIME(1,0,0)</f>
        <v>5.5000000000000044</v>
      </c>
      <c r="EH18" s="88">
        <f t="shared" ref="EH18" si="154">EG18+TIME(1,0,0)</f>
        <v>5.5416666666666714</v>
      </c>
      <c r="EI18" s="88">
        <f t="shared" ref="EI18" si="155">EH18+TIME(1,0,0)</f>
        <v>5.5833333333333384</v>
      </c>
      <c r="EJ18" s="88">
        <f t="shared" ref="EJ18" si="156">EI18+TIME(1,0,0)</f>
        <v>5.6250000000000053</v>
      </c>
      <c r="EK18" s="88">
        <f t="shared" ref="EK18" si="157">EJ18+TIME(1,0,0)</f>
        <v>5.6666666666666723</v>
      </c>
      <c r="EL18" s="88">
        <f t="shared" ref="EL18" si="158">EK18+TIME(1,0,0)</f>
        <v>5.7083333333333393</v>
      </c>
      <c r="EM18" s="88">
        <f t="shared" ref="EM18" si="159">EL18+TIME(1,0,0)</f>
        <v>5.7500000000000062</v>
      </c>
      <c r="EN18" s="88">
        <f t="shared" ref="EN18" si="160">EM18+TIME(1,0,0)</f>
        <v>5.7916666666666732</v>
      </c>
      <c r="EO18" s="88">
        <f t="shared" ref="EO18" si="161">EN18+TIME(1,0,0)</f>
        <v>5.8333333333333401</v>
      </c>
      <c r="EP18" s="88">
        <f t="shared" ref="EP18" si="162">EO18+TIME(1,0,0)</f>
        <v>5.8750000000000071</v>
      </c>
      <c r="EQ18" s="88">
        <f t="shared" ref="EQ18" si="163">EP18+TIME(1,0,0)</f>
        <v>5.9166666666666741</v>
      </c>
      <c r="ER18" s="88">
        <f t="shared" ref="ER18" si="164">EQ18+TIME(1,0,0)</f>
        <v>5.958333333333341</v>
      </c>
      <c r="ES18" s="88">
        <f t="shared" ref="ES18" si="165">ER18+TIME(1,0,0)</f>
        <v>6.000000000000008</v>
      </c>
      <c r="ET18" s="88">
        <f t="shared" ref="ET18" si="166">ES18+TIME(1,0,0)</f>
        <v>6.041666666666675</v>
      </c>
      <c r="EU18" s="88">
        <f t="shared" ref="EU18" si="167">ET18+TIME(1,0,0)</f>
        <v>6.0833333333333419</v>
      </c>
      <c r="EV18" s="88">
        <f t="shared" ref="EV18" si="168">EU18+TIME(1,0,0)</f>
        <v>6.1250000000000089</v>
      </c>
      <c r="EW18" s="88">
        <f t="shared" ref="EW18" si="169">EV18+TIME(1,0,0)</f>
        <v>6.1666666666666758</v>
      </c>
      <c r="EX18" s="88">
        <f t="shared" ref="EX18" si="170">EW18+TIME(1,0,0)</f>
        <v>6.2083333333333428</v>
      </c>
      <c r="EY18" s="88">
        <f t="shared" ref="EY18" si="171">EX18+TIME(1,0,0)</f>
        <v>6.2500000000000098</v>
      </c>
      <c r="EZ18" s="88">
        <f t="shared" ref="EZ18" si="172">EY18+TIME(1,0,0)</f>
        <v>6.2916666666666767</v>
      </c>
      <c r="FA18" s="88">
        <f t="shared" ref="FA18" si="173">EZ18+TIME(1,0,0)</f>
        <v>6.3333333333333437</v>
      </c>
      <c r="FB18" s="88">
        <f t="shared" ref="FB18" si="174">FA18+TIME(1,0,0)</f>
        <v>6.3750000000000107</v>
      </c>
      <c r="FC18" s="88">
        <f t="shared" ref="FC18" si="175">FB18+TIME(1,0,0)</f>
        <v>6.4166666666666776</v>
      </c>
      <c r="FD18" s="88">
        <f t="shared" ref="FD18" si="176">FC18+TIME(1,0,0)</f>
        <v>6.4583333333333446</v>
      </c>
      <c r="FE18" s="88">
        <f t="shared" ref="FE18" si="177">FD18+TIME(1,0,0)</f>
        <v>6.5000000000000115</v>
      </c>
      <c r="FF18" s="88">
        <f t="shared" ref="FF18" si="178">FE18+TIME(1,0,0)</f>
        <v>6.5416666666666785</v>
      </c>
      <c r="FG18" s="88">
        <f t="shared" ref="FG18" si="179">FF18+TIME(1,0,0)</f>
        <v>6.5833333333333455</v>
      </c>
      <c r="FH18" s="88">
        <f t="shared" ref="FH18" si="180">FG18+TIME(1,0,0)</f>
        <v>6.6250000000000124</v>
      </c>
      <c r="FI18" s="88">
        <f t="shared" ref="FI18" si="181">FH18+TIME(1,0,0)</f>
        <v>6.6666666666666794</v>
      </c>
      <c r="FJ18" s="88">
        <f t="shared" ref="FJ18" si="182">FI18+TIME(1,0,0)</f>
        <v>6.7083333333333464</v>
      </c>
      <c r="FK18" s="88">
        <f t="shared" ref="FK18" si="183">FJ18+TIME(1,0,0)</f>
        <v>6.7500000000000133</v>
      </c>
      <c r="FL18" s="88">
        <f t="shared" ref="FL18" si="184">FK18+TIME(1,0,0)</f>
        <v>6.7916666666666803</v>
      </c>
      <c r="FM18" s="88">
        <f t="shared" ref="FM18" si="185">FL18+TIME(1,0,0)</f>
        <v>6.8333333333333472</v>
      </c>
      <c r="FN18" s="88">
        <f t="shared" ref="FN18" si="186">FM18+TIME(1,0,0)</f>
        <v>6.8750000000000142</v>
      </c>
      <c r="FO18" s="88">
        <f t="shared" ref="FO18" si="187">FN18+TIME(1,0,0)</f>
        <v>6.9166666666666812</v>
      </c>
      <c r="FP18" s="88">
        <f t="shared" ref="FP18" si="188">FO18+TIME(1,0,0)</f>
        <v>6.9583333333333481</v>
      </c>
      <c r="FQ18" s="88">
        <f t="shared" ref="FQ18" si="189">FP18+TIME(1,0,0)</f>
        <v>7.0000000000000151</v>
      </c>
      <c r="FR18" s="88">
        <f t="shared" ref="FR18" si="190">FQ18+TIME(1,0,0)</f>
        <v>7.0416666666666821</v>
      </c>
      <c r="FS18" s="88">
        <f t="shared" ref="FS18" si="191">FR18+TIME(1,0,0)</f>
        <v>7.083333333333349</v>
      </c>
      <c r="FT18" s="88">
        <f t="shared" ref="FT18" si="192">FS18+TIME(1,0,0)</f>
        <v>7.125000000000016</v>
      </c>
      <c r="FU18" s="88">
        <f t="shared" ref="FU18" si="193">FT18+TIME(1,0,0)</f>
        <v>7.1666666666666829</v>
      </c>
      <c r="FV18" s="88">
        <f t="shared" ref="FV18" si="194">FU18+TIME(1,0,0)</f>
        <v>7.2083333333333499</v>
      </c>
      <c r="FW18" s="88">
        <f t="shared" ref="FW18" si="195">FV18+TIME(1,0,0)</f>
        <v>7.2500000000000169</v>
      </c>
      <c r="FX18" s="88">
        <f t="shared" ref="FX18" si="196">FW18+TIME(1,0,0)</f>
        <v>7.2916666666666838</v>
      </c>
      <c r="FY18" s="88">
        <f t="shared" ref="FY18" si="197">FX18+TIME(1,0,0)</f>
        <v>7.3333333333333508</v>
      </c>
      <c r="FZ18" s="88">
        <f t="shared" ref="FZ18" si="198">FY18+TIME(1,0,0)</f>
        <v>7.3750000000000178</v>
      </c>
      <c r="GA18" s="88">
        <f t="shared" ref="GA18" si="199">FZ18+TIME(1,0,0)</f>
        <v>7.4166666666666847</v>
      </c>
      <c r="GB18" s="88">
        <f t="shared" ref="GB18" si="200">GA18+TIME(1,0,0)</f>
        <v>7.4583333333333517</v>
      </c>
      <c r="GC18" s="88">
        <f t="shared" ref="GC18" si="201">GB18+TIME(1,0,0)</f>
        <v>7.5000000000000187</v>
      </c>
      <c r="GD18" s="88">
        <f t="shared" ref="GD18" si="202">GC18+TIME(1,0,0)</f>
        <v>7.5416666666666856</v>
      </c>
      <c r="GE18" s="88">
        <f t="shared" ref="GE18" si="203">GD18+TIME(1,0,0)</f>
        <v>7.5833333333333526</v>
      </c>
      <c r="GF18" s="88">
        <f t="shared" ref="GF18" si="204">GE18+TIME(1,0,0)</f>
        <v>7.6250000000000195</v>
      </c>
      <c r="GG18" s="88">
        <f t="shared" ref="GG18" si="205">GF18+TIME(1,0,0)</f>
        <v>7.6666666666666865</v>
      </c>
      <c r="GH18" s="88">
        <f t="shared" ref="GH18" si="206">GG18+TIME(1,0,0)</f>
        <v>7.7083333333333535</v>
      </c>
      <c r="GI18" s="88">
        <f t="shared" ref="GI18" si="207">GH18+TIME(1,0,0)</f>
        <v>7.7500000000000204</v>
      </c>
      <c r="GJ18" s="88">
        <f t="shared" ref="GJ18" si="208">GI18+TIME(1,0,0)</f>
        <v>7.7916666666666874</v>
      </c>
      <c r="GK18" s="88">
        <f t="shared" ref="GK18" si="209">GJ18+TIME(1,0,0)</f>
        <v>7.8333333333333544</v>
      </c>
      <c r="GL18" s="88">
        <f t="shared" ref="GL18" si="210">GK18+TIME(1,0,0)</f>
        <v>7.8750000000000213</v>
      </c>
      <c r="GM18" s="88">
        <f t="shared" ref="GM18" si="211">GL18+TIME(1,0,0)</f>
        <v>7.9166666666666883</v>
      </c>
      <c r="GN18" s="88">
        <f t="shared" ref="GN18" si="212">GM18+TIME(1,0,0)</f>
        <v>7.9583333333333552</v>
      </c>
      <c r="GO18" s="88">
        <f t="shared" ref="GO18" si="213">GN18+TIME(1,0,0)</f>
        <v>8.0000000000000213</v>
      </c>
      <c r="GP18" s="88">
        <f t="shared" ref="GP18" si="214">GO18+TIME(1,0,0)</f>
        <v>8.0416666666666874</v>
      </c>
      <c r="GQ18" s="88">
        <f t="shared" ref="GQ18" si="215">GP18+TIME(1,0,0)</f>
        <v>8.0833333333333535</v>
      </c>
      <c r="GR18" s="88">
        <f t="shared" ref="GR18" si="216">GQ18+TIME(1,0,0)</f>
        <v>8.1250000000000195</v>
      </c>
      <c r="GS18" s="88">
        <f t="shared" ref="GS18" si="217">GR18+TIME(1,0,0)</f>
        <v>8.1666666666666856</v>
      </c>
      <c r="GT18" s="88">
        <f t="shared" ref="GT18" si="218">GS18+TIME(1,0,0)</f>
        <v>8.2083333333333517</v>
      </c>
      <c r="GU18" s="88">
        <f t="shared" ref="GU18" si="219">GT18+TIME(1,0,0)</f>
        <v>8.2500000000000178</v>
      </c>
      <c r="GV18" s="88">
        <f t="shared" ref="GV18" si="220">GU18+TIME(1,0,0)</f>
        <v>8.2916666666666838</v>
      </c>
      <c r="GW18" s="88">
        <f t="shared" ref="GW18" si="221">GV18+TIME(1,0,0)</f>
        <v>8.3333333333333499</v>
      </c>
      <c r="GX18" s="88">
        <f t="shared" ref="GX18" si="222">GW18+TIME(1,0,0)</f>
        <v>8.375000000000016</v>
      </c>
      <c r="GY18" s="88">
        <f t="shared" ref="GY18" si="223">GX18+TIME(1,0,0)</f>
        <v>8.4166666666666821</v>
      </c>
      <c r="GZ18" s="88">
        <f t="shared" ref="GZ18" si="224">GY18+TIME(1,0,0)</f>
        <v>8.4583333333333481</v>
      </c>
      <c r="HA18" s="88">
        <f t="shared" ref="HA18" si="225">GZ18+TIME(1,0,0)</f>
        <v>8.5000000000000142</v>
      </c>
      <c r="HB18" s="88">
        <f t="shared" ref="HB18" si="226">HA18+TIME(1,0,0)</f>
        <v>8.5416666666666803</v>
      </c>
      <c r="HC18" s="88">
        <f t="shared" ref="HC18" si="227">HB18+TIME(1,0,0)</f>
        <v>8.5833333333333464</v>
      </c>
      <c r="HD18" s="88">
        <f t="shared" ref="HD18" si="228">HC18+TIME(1,0,0)</f>
        <v>8.6250000000000124</v>
      </c>
      <c r="HE18" s="88">
        <f t="shared" ref="HE18" si="229">HD18+TIME(1,0,0)</f>
        <v>8.6666666666666785</v>
      </c>
      <c r="HF18" s="88">
        <f t="shared" ref="HF18" si="230">HE18+TIME(1,0,0)</f>
        <v>8.7083333333333446</v>
      </c>
      <c r="HG18" s="88">
        <f t="shared" ref="HG18" si="231">HF18+TIME(1,0,0)</f>
        <v>8.7500000000000107</v>
      </c>
      <c r="HH18" s="88">
        <f t="shared" ref="HH18" si="232">HG18+TIME(1,0,0)</f>
        <v>8.7916666666666767</v>
      </c>
      <c r="HI18" s="88">
        <f t="shared" ref="HI18" si="233">HH18+TIME(1,0,0)</f>
        <v>8.8333333333333428</v>
      </c>
      <c r="HJ18" s="88">
        <f t="shared" ref="HJ18" si="234">HI18+TIME(1,0,0)</f>
        <v>8.8750000000000089</v>
      </c>
      <c r="HK18" s="88">
        <f t="shared" ref="HK18" si="235">HJ18+TIME(1,0,0)</f>
        <v>8.916666666666675</v>
      </c>
      <c r="HL18" s="88">
        <f t="shared" ref="HL18" si="236">HK18+TIME(1,0,0)</f>
        <v>8.958333333333341</v>
      </c>
      <c r="HM18" s="88">
        <f t="shared" ref="HM18" si="237">HL18+TIME(1,0,0)</f>
        <v>9.0000000000000071</v>
      </c>
      <c r="HN18" s="88">
        <f t="shared" ref="HN18" si="238">HM18+TIME(1,0,0)</f>
        <v>9.0416666666666732</v>
      </c>
      <c r="HO18" s="88">
        <f t="shared" ref="HO18" si="239">HN18+TIME(1,0,0)</f>
        <v>9.0833333333333393</v>
      </c>
      <c r="HP18" s="88">
        <f t="shared" ref="HP18" si="240">HO18+TIME(1,0,0)</f>
        <v>9.1250000000000053</v>
      </c>
      <c r="HQ18" s="88">
        <f t="shared" ref="HQ18" si="241">HP18+TIME(1,0,0)</f>
        <v>9.1666666666666714</v>
      </c>
      <c r="HR18" s="88">
        <f t="shared" ref="HR18" si="242">HQ18+TIME(1,0,0)</f>
        <v>9.2083333333333375</v>
      </c>
      <c r="HS18" s="88">
        <f t="shared" ref="HS18" si="243">HR18+TIME(1,0,0)</f>
        <v>9.2500000000000036</v>
      </c>
      <c r="HT18" s="88">
        <f t="shared" ref="HT18" si="244">HS18+TIME(1,0,0)</f>
        <v>9.2916666666666696</v>
      </c>
      <c r="HU18" s="88">
        <f t="shared" ref="HU18" si="245">HT18+TIME(1,0,0)</f>
        <v>9.3333333333333357</v>
      </c>
      <c r="HV18" s="88">
        <f t="shared" ref="HV18" si="246">HU18+TIME(1,0,0)</f>
        <v>9.3750000000000018</v>
      </c>
      <c r="HW18" s="88">
        <f t="shared" ref="HW18" si="247">HV18+TIME(1,0,0)</f>
        <v>9.4166666666666679</v>
      </c>
      <c r="HX18" s="88">
        <f t="shared" ref="HX18" si="248">HW18+TIME(1,0,0)</f>
        <v>9.4583333333333339</v>
      </c>
    </row>
    <row r="19" spans="1:232" x14ac:dyDescent="0.2">
      <c r="B19" s="80" t="s">
        <v>65</v>
      </c>
      <c r="C19" s="80" t="s">
        <v>131</v>
      </c>
      <c r="D19" s="81">
        <v>5.2</v>
      </c>
      <c r="E19" s="80" t="s">
        <v>127</v>
      </c>
      <c r="F19" s="80" t="s">
        <v>124</v>
      </c>
      <c r="G19" s="84">
        <v>1</v>
      </c>
      <c r="H19" s="85">
        <v>1</v>
      </c>
      <c r="I19" s="85">
        <v>1</v>
      </c>
      <c r="J19" s="85">
        <v>1</v>
      </c>
      <c r="K19" s="85">
        <v>1</v>
      </c>
      <c r="L19" s="85">
        <v>1</v>
      </c>
      <c r="M19" s="85">
        <v>1</v>
      </c>
      <c r="N19" s="85">
        <v>1</v>
      </c>
      <c r="O19" s="85">
        <v>1</v>
      </c>
      <c r="P19" s="85">
        <v>1</v>
      </c>
      <c r="Q19" s="85">
        <v>1</v>
      </c>
      <c r="R19" s="85">
        <v>1</v>
      </c>
      <c r="S19" s="85">
        <v>1</v>
      </c>
      <c r="T19" s="85">
        <v>1</v>
      </c>
      <c r="U19" s="85">
        <v>1</v>
      </c>
      <c r="V19" s="85">
        <v>1</v>
      </c>
      <c r="W19" s="85">
        <v>1</v>
      </c>
      <c r="X19" s="85">
        <v>1</v>
      </c>
      <c r="Y19" s="85">
        <v>1</v>
      </c>
      <c r="Z19" s="85">
        <v>1</v>
      </c>
      <c r="AA19" s="85">
        <v>1</v>
      </c>
      <c r="AB19" s="85">
        <v>1</v>
      </c>
      <c r="AC19" s="85">
        <v>1</v>
      </c>
      <c r="AD19" s="85">
        <v>1</v>
      </c>
      <c r="AE19" s="84">
        <v>1</v>
      </c>
      <c r="AF19" s="85">
        <v>1</v>
      </c>
      <c r="AG19" s="85">
        <v>1</v>
      </c>
      <c r="AH19" s="85">
        <v>1</v>
      </c>
      <c r="AI19" s="85">
        <v>1</v>
      </c>
      <c r="AJ19" s="85">
        <v>1</v>
      </c>
      <c r="AK19" s="85">
        <v>1</v>
      </c>
      <c r="AL19" s="85">
        <v>1</v>
      </c>
      <c r="AM19" s="85">
        <v>1</v>
      </c>
      <c r="AN19" s="85">
        <v>1</v>
      </c>
      <c r="AO19" s="85">
        <v>1</v>
      </c>
      <c r="AP19" s="85">
        <v>1</v>
      </c>
      <c r="AQ19" s="85">
        <v>1</v>
      </c>
      <c r="AR19" s="85">
        <v>1</v>
      </c>
      <c r="AS19" s="85">
        <v>1</v>
      </c>
      <c r="AT19" s="85">
        <v>1</v>
      </c>
      <c r="AU19" s="85">
        <v>1</v>
      </c>
      <c r="AV19" s="85">
        <v>1</v>
      </c>
      <c r="AW19" s="85">
        <v>1</v>
      </c>
      <c r="AX19" s="85">
        <v>1</v>
      </c>
      <c r="AY19" s="85">
        <v>1</v>
      </c>
      <c r="AZ19" s="85">
        <v>1</v>
      </c>
      <c r="BA19" s="85">
        <v>1</v>
      </c>
      <c r="BB19" s="85">
        <v>1</v>
      </c>
      <c r="BC19" s="84">
        <v>1</v>
      </c>
      <c r="BD19" s="85">
        <v>1</v>
      </c>
      <c r="BE19" s="85">
        <v>1</v>
      </c>
      <c r="BF19" s="85">
        <v>1</v>
      </c>
      <c r="BG19" s="85">
        <v>1</v>
      </c>
      <c r="BH19" s="85">
        <v>1</v>
      </c>
      <c r="BI19" s="85">
        <v>1</v>
      </c>
      <c r="BJ19" s="85">
        <v>1</v>
      </c>
      <c r="BK19" s="85">
        <v>1</v>
      </c>
      <c r="BL19" s="85">
        <v>1</v>
      </c>
      <c r="BM19" s="85">
        <v>1</v>
      </c>
      <c r="BN19" s="85">
        <v>1</v>
      </c>
      <c r="BO19" s="85">
        <v>1</v>
      </c>
      <c r="BP19" s="85">
        <v>1</v>
      </c>
      <c r="BQ19" s="85">
        <v>1</v>
      </c>
      <c r="BR19" s="85">
        <v>1</v>
      </c>
      <c r="BS19" s="85">
        <v>1</v>
      </c>
      <c r="BT19" s="85">
        <v>1</v>
      </c>
      <c r="BU19" s="85">
        <v>1</v>
      </c>
      <c r="BV19" s="85">
        <v>1</v>
      </c>
      <c r="BW19" s="85">
        <v>1</v>
      </c>
      <c r="BX19" s="85">
        <v>1</v>
      </c>
      <c r="BY19" s="85">
        <v>1</v>
      </c>
      <c r="BZ19" s="85">
        <v>1</v>
      </c>
      <c r="CA19" s="84">
        <v>1</v>
      </c>
      <c r="CB19" s="85">
        <v>1</v>
      </c>
      <c r="CC19" s="85">
        <v>1</v>
      </c>
      <c r="CD19" s="85">
        <v>1</v>
      </c>
      <c r="CE19" s="85">
        <v>1</v>
      </c>
      <c r="CF19" s="85">
        <v>1</v>
      </c>
      <c r="CG19" s="85">
        <v>1</v>
      </c>
      <c r="CH19" s="85">
        <v>1</v>
      </c>
      <c r="CI19" s="85">
        <v>1</v>
      </c>
      <c r="CJ19" s="85">
        <v>1</v>
      </c>
      <c r="CK19" s="85">
        <v>1</v>
      </c>
      <c r="CL19" s="85">
        <v>1</v>
      </c>
      <c r="CM19" s="85">
        <v>1</v>
      </c>
      <c r="CN19" s="85">
        <v>1</v>
      </c>
      <c r="CO19" s="85">
        <v>1</v>
      </c>
      <c r="CP19" s="85">
        <v>1</v>
      </c>
      <c r="CQ19" s="85">
        <v>1</v>
      </c>
      <c r="CR19" s="85">
        <v>1</v>
      </c>
      <c r="CS19" s="85">
        <v>1</v>
      </c>
      <c r="CT19" s="85">
        <v>1</v>
      </c>
      <c r="CU19" s="85">
        <v>1</v>
      </c>
      <c r="CV19" s="85">
        <v>1</v>
      </c>
      <c r="CW19" s="85">
        <v>1</v>
      </c>
      <c r="CX19" s="85">
        <v>1</v>
      </c>
      <c r="CY19" s="84">
        <v>1</v>
      </c>
      <c r="CZ19" s="85">
        <v>1</v>
      </c>
      <c r="DA19" s="85">
        <v>1</v>
      </c>
      <c r="DB19" s="85">
        <v>1</v>
      </c>
      <c r="DC19" s="85">
        <v>1</v>
      </c>
      <c r="DD19" s="85">
        <v>1</v>
      </c>
      <c r="DE19" s="85">
        <v>1</v>
      </c>
      <c r="DF19" s="85">
        <v>1</v>
      </c>
      <c r="DG19" s="85">
        <v>1</v>
      </c>
      <c r="DH19" s="85">
        <v>1</v>
      </c>
      <c r="DI19" s="85">
        <v>1</v>
      </c>
      <c r="DJ19" s="85">
        <v>1</v>
      </c>
      <c r="DK19" s="85">
        <v>1</v>
      </c>
      <c r="DL19" s="85">
        <v>1</v>
      </c>
      <c r="DM19" s="85">
        <v>1</v>
      </c>
      <c r="DN19" s="85">
        <v>1</v>
      </c>
      <c r="DO19" s="85">
        <v>1</v>
      </c>
      <c r="DP19" s="85">
        <v>1</v>
      </c>
      <c r="DQ19" s="85">
        <v>1</v>
      </c>
      <c r="DR19" s="85">
        <v>1</v>
      </c>
      <c r="DS19" s="85">
        <v>1</v>
      </c>
      <c r="DT19" s="85">
        <v>1</v>
      </c>
      <c r="DU19" s="85">
        <v>1</v>
      </c>
      <c r="DV19" s="85">
        <v>1</v>
      </c>
      <c r="DW19" s="84">
        <v>1</v>
      </c>
      <c r="DX19" s="85">
        <v>1</v>
      </c>
      <c r="DY19" s="85">
        <v>1</v>
      </c>
      <c r="DZ19" s="85">
        <v>1</v>
      </c>
      <c r="EA19" s="85">
        <v>1</v>
      </c>
      <c r="EB19" s="85">
        <v>1</v>
      </c>
      <c r="EC19" s="85">
        <v>1</v>
      </c>
      <c r="ED19" s="85">
        <v>1</v>
      </c>
      <c r="EE19" s="85">
        <v>1</v>
      </c>
      <c r="EF19" s="85">
        <v>1</v>
      </c>
      <c r="EG19" s="85">
        <v>1</v>
      </c>
      <c r="EH19" s="85">
        <v>1</v>
      </c>
      <c r="EI19" s="85">
        <v>1</v>
      </c>
      <c r="EJ19" s="85">
        <v>1</v>
      </c>
      <c r="EK19" s="85">
        <v>1</v>
      </c>
      <c r="EL19" s="85">
        <v>1</v>
      </c>
      <c r="EM19" s="85">
        <v>1</v>
      </c>
      <c r="EN19" s="85">
        <v>1</v>
      </c>
      <c r="EO19" s="85">
        <v>1</v>
      </c>
      <c r="EP19" s="85">
        <v>1</v>
      </c>
      <c r="EQ19" s="85">
        <v>1</v>
      </c>
      <c r="ER19" s="85">
        <v>1</v>
      </c>
      <c r="ES19" s="85">
        <v>1</v>
      </c>
      <c r="ET19" s="85">
        <v>1</v>
      </c>
      <c r="EU19" s="84">
        <v>1</v>
      </c>
      <c r="EV19" s="85">
        <v>1</v>
      </c>
      <c r="EW19" s="85">
        <v>1</v>
      </c>
      <c r="EX19" s="85">
        <v>1</v>
      </c>
      <c r="EY19" s="85">
        <v>1</v>
      </c>
      <c r="EZ19" s="85">
        <v>1</v>
      </c>
      <c r="FA19" s="85">
        <v>1</v>
      </c>
      <c r="FB19" s="85">
        <v>1</v>
      </c>
      <c r="FC19" s="85">
        <v>1</v>
      </c>
      <c r="FD19" s="85">
        <v>1</v>
      </c>
      <c r="FE19" s="85">
        <v>1</v>
      </c>
      <c r="FF19" s="85">
        <v>1</v>
      </c>
      <c r="FG19" s="85">
        <v>1</v>
      </c>
      <c r="FH19" s="85">
        <v>1</v>
      </c>
      <c r="FI19" s="85">
        <v>1</v>
      </c>
      <c r="FJ19" s="85">
        <v>1</v>
      </c>
      <c r="FK19" s="85">
        <v>1</v>
      </c>
      <c r="FL19" s="85">
        <v>1</v>
      </c>
      <c r="FM19" s="85">
        <v>1</v>
      </c>
      <c r="FN19" s="85">
        <v>1</v>
      </c>
      <c r="FO19" s="85">
        <v>1</v>
      </c>
      <c r="FP19" s="85">
        <v>1</v>
      </c>
      <c r="FQ19" s="85">
        <v>1</v>
      </c>
      <c r="FR19" s="85">
        <v>1</v>
      </c>
      <c r="FS19" s="84">
        <v>1</v>
      </c>
      <c r="FT19" s="85">
        <v>1</v>
      </c>
      <c r="FU19" s="85">
        <v>1</v>
      </c>
      <c r="FV19" s="85">
        <v>1</v>
      </c>
      <c r="FW19" s="85">
        <v>1</v>
      </c>
      <c r="FX19" s="85">
        <v>1</v>
      </c>
      <c r="FY19" s="85">
        <v>1</v>
      </c>
      <c r="FZ19" s="85">
        <v>1</v>
      </c>
      <c r="GA19" s="85">
        <v>1</v>
      </c>
      <c r="GB19" s="85">
        <v>1</v>
      </c>
      <c r="GC19" s="85">
        <v>1</v>
      </c>
      <c r="GD19" s="85">
        <v>1</v>
      </c>
      <c r="GE19" s="85">
        <v>1</v>
      </c>
      <c r="GF19" s="85">
        <v>1</v>
      </c>
      <c r="GG19" s="85">
        <v>1</v>
      </c>
      <c r="GH19" s="85">
        <v>1</v>
      </c>
      <c r="GI19" s="85">
        <v>1</v>
      </c>
      <c r="GJ19" s="85">
        <v>1</v>
      </c>
      <c r="GK19" s="85">
        <v>1</v>
      </c>
      <c r="GL19" s="85">
        <v>1</v>
      </c>
      <c r="GM19" s="85">
        <v>1</v>
      </c>
      <c r="GN19" s="85">
        <v>1</v>
      </c>
      <c r="GO19" s="85">
        <v>1</v>
      </c>
      <c r="GP19" s="85">
        <v>1</v>
      </c>
      <c r="GQ19" s="84">
        <v>1</v>
      </c>
      <c r="GR19" s="85">
        <v>1</v>
      </c>
      <c r="GS19" s="85">
        <v>1</v>
      </c>
      <c r="GT19" s="85">
        <v>1</v>
      </c>
      <c r="GU19" s="85">
        <v>1</v>
      </c>
      <c r="GV19" s="85">
        <v>1</v>
      </c>
      <c r="GW19" s="85">
        <v>1</v>
      </c>
      <c r="GX19" s="85">
        <v>1</v>
      </c>
      <c r="GY19" s="85">
        <v>1</v>
      </c>
      <c r="GZ19" s="85">
        <v>1</v>
      </c>
      <c r="HA19" s="85">
        <v>1</v>
      </c>
      <c r="HB19" s="85">
        <v>1</v>
      </c>
      <c r="HC19" s="85">
        <v>1</v>
      </c>
      <c r="HD19" s="85">
        <v>1</v>
      </c>
      <c r="HE19" s="85">
        <v>1</v>
      </c>
      <c r="HF19" s="85">
        <v>1</v>
      </c>
      <c r="HG19" s="85">
        <v>1</v>
      </c>
      <c r="HH19" s="85">
        <v>1</v>
      </c>
      <c r="HI19" s="85">
        <v>1</v>
      </c>
      <c r="HJ19" s="85">
        <v>1</v>
      </c>
      <c r="HK19" s="85">
        <v>1</v>
      </c>
      <c r="HL19" s="85">
        <v>1</v>
      </c>
      <c r="HM19" s="85">
        <v>1</v>
      </c>
      <c r="HN19" s="85">
        <v>1</v>
      </c>
      <c r="HO19" s="85">
        <v>1</v>
      </c>
      <c r="HP19" s="85">
        <v>1</v>
      </c>
      <c r="HQ19" s="85">
        <v>1</v>
      </c>
      <c r="HR19" s="85">
        <v>1</v>
      </c>
      <c r="HS19" s="85">
        <v>1</v>
      </c>
      <c r="HT19" s="85">
        <v>1</v>
      </c>
      <c r="HU19" s="85">
        <v>1</v>
      </c>
      <c r="HV19" s="85">
        <v>1</v>
      </c>
      <c r="HW19" s="85">
        <v>1</v>
      </c>
      <c r="HX19" s="86">
        <v>1</v>
      </c>
    </row>
    <row r="20" spans="1:232" x14ac:dyDescent="0.2">
      <c r="B20" s="80" t="s">
        <v>66</v>
      </c>
      <c r="C20" s="80" t="s">
        <v>131</v>
      </c>
      <c r="D20" s="81">
        <v>5.2</v>
      </c>
      <c r="E20" s="80" t="s">
        <v>127</v>
      </c>
      <c r="F20" s="80" t="s">
        <v>124</v>
      </c>
      <c r="G20" s="78">
        <v>1</v>
      </c>
      <c r="H20" s="74">
        <v>1</v>
      </c>
      <c r="I20" s="74">
        <v>1</v>
      </c>
      <c r="J20" s="74">
        <v>1</v>
      </c>
      <c r="K20" s="74">
        <v>1</v>
      </c>
      <c r="L20" s="74">
        <v>1</v>
      </c>
      <c r="M20" s="74">
        <v>1</v>
      </c>
      <c r="N20" s="74">
        <v>1</v>
      </c>
      <c r="O20" s="74">
        <v>1</v>
      </c>
      <c r="P20" s="74">
        <v>1</v>
      </c>
      <c r="Q20" s="74">
        <v>1</v>
      </c>
      <c r="R20" s="74">
        <v>1</v>
      </c>
      <c r="S20" s="74">
        <v>1</v>
      </c>
      <c r="T20" s="74">
        <v>1</v>
      </c>
      <c r="U20" s="74">
        <v>1</v>
      </c>
      <c r="V20" s="74">
        <v>1</v>
      </c>
      <c r="W20" s="74">
        <v>1</v>
      </c>
      <c r="X20" s="74">
        <v>1</v>
      </c>
      <c r="Y20" s="74">
        <v>1</v>
      </c>
      <c r="Z20" s="74">
        <v>1</v>
      </c>
      <c r="AA20" s="74">
        <v>1</v>
      </c>
      <c r="AB20" s="74">
        <v>1</v>
      </c>
      <c r="AC20" s="74">
        <v>1</v>
      </c>
      <c r="AD20" s="74">
        <v>1</v>
      </c>
      <c r="AE20" s="78">
        <v>1</v>
      </c>
      <c r="AF20" s="74">
        <v>1</v>
      </c>
      <c r="AG20" s="74">
        <v>1</v>
      </c>
      <c r="AH20" s="74">
        <v>1</v>
      </c>
      <c r="AI20" s="74">
        <v>1</v>
      </c>
      <c r="AJ20" s="74">
        <v>1</v>
      </c>
      <c r="AK20" s="74">
        <v>1</v>
      </c>
      <c r="AL20" s="74">
        <v>1</v>
      </c>
      <c r="AM20" s="74">
        <v>1</v>
      </c>
      <c r="AN20" s="74">
        <v>1</v>
      </c>
      <c r="AO20" s="74">
        <v>1</v>
      </c>
      <c r="AP20" s="74">
        <v>1</v>
      </c>
      <c r="AQ20" s="74">
        <v>1</v>
      </c>
      <c r="AR20" s="74">
        <v>1</v>
      </c>
      <c r="AS20" s="74">
        <v>1</v>
      </c>
      <c r="AT20" s="74">
        <v>1</v>
      </c>
      <c r="AU20" s="74">
        <v>1</v>
      </c>
      <c r="AV20" s="74">
        <v>1</v>
      </c>
      <c r="AW20" s="74">
        <v>1</v>
      </c>
      <c r="AX20" s="74">
        <v>1</v>
      </c>
      <c r="AY20" s="74">
        <v>1</v>
      </c>
      <c r="AZ20" s="74">
        <v>1</v>
      </c>
      <c r="BA20" s="74">
        <v>1</v>
      </c>
      <c r="BB20" s="74">
        <v>1</v>
      </c>
      <c r="BC20" s="78">
        <v>1</v>
      </c>
      <c r="BD20" s="74">
        <v>1</v>
      </c>
      <c r="BE20" s="74">
        <v>1</v>
      </c>
      <c r="BF20" s="74">
        <v>1</v>
      </c>
      <c r="BG20" s="74">
        <v>1</v>
      </c>
      <c r="BH20" s="74">
        <v>1</v>
      </c>
      <c r="BI20" s="74">
        <v>1</v>
      </c>
      <c r="BJ20" s="74">
        <v>1</v>
      </c>
      <c r="BK20" s="74">
        <v>1</v>
      </c>
      <c r="BL20" s="74">
        <v>1</v>
      </c>
      <c r="BM20" s="74">
        <v>1</v>
      </c>
      <c r="BN20" s="74">
        <v>1</v>
      </c>
      <c r="BO20" s="74">
        <v>1</v>
      </c>
      <c r="BP20" s="74">
        <v>1</v>
      </c>
      <c r="BQ20" s="74">
        <v>1</v>
      </c>
      <c r="BR20" s="74">
        <v>1</v>
      </c>
      <c r="BS20" s="74">
        <v>1</v>
      </c>
      <c r="BT20" s="74">
        <v>1</v>
      </c>
      <c r="BU20" s="74">
        <v>1</v>
      </c>
      <c r="BV20" s="74">
        <v>1</v>
      </c>
      <c r="BW20" s="74">
        <v>1</v>
      </c>
      <c r="BX20" s="74">
        <v>1</v>
      </c>
      <c r="BY20" s="74">
        <v>1</v>
      </c>
      <c r="BZ20" s="74">
        <v>1</v>
      </c>
      <c r="CA20" s="78">
        <v>1</v>
      </c>
      <c r="CB20" s="74">
        <v>1</v>
      </c>
      <c r="CC20" s="74">
        <v>1</v>
      </c>
      <c r="CD20" s="74">
        <v>1</v>
      </c>
      <c r="CE20" s="74">
        <v>1</v>
      </c>
      <c r="CF20" s="74">
        <v>1</v>
      </c>
      <c r="CG20" s="74">
        <v>1</v>
      </c>
      <c r="CH20" s="74">
        <v>1</v>
      </c>
      <c r="CI20" s="74">
        <v>1</v>
      </c>
      <c r="CJ20" s="74">
        <v>1</v>
      </c>
      <c r="CK20" s="74">
        <v>1</v>
      </c>
      <c r="CL20" s="74">
        <v>1</v>
      </c>
      <c r="CM20" s="74">
        <v>1</v>
      </c>
      <c r="CN20" s="74">
        <v>1</v>
      </c>
      <c r="CO20" s="74">
        <v>1</v>
      </c>
      <c r="CP20" s="74">
        <v>1</v>
      </c>
      <c r="CQ20" s="74">
        <v>1</v>
      </c>
      <c r="CR20" s="74">
        <v>1</v>
      </c>
      <c r="CS20" s="74">
        <v>1</v>
      </c>
      <c r="CT20" s="74">
        <v>1</v>
      </c>
      <c r="CU20" s="74">
        <v>1</v>
      </c>
      <c r="CV20" s="74">
        <v>1</v>
      </c>
      <c r="CW20" s="74">
        <v>1</v>
      </c>
      <c r="CX20" s="74">
        <v>1</v>
      </c>
      <c r="CY20" s="78">
        <v>1</v>
      </c>
      <c r="CZ20" s="74">
        <v>1</v>
      </c>
      <c r="DA20" s="74">
        <v>1</v>
      </c>
      <c r="DB20" s="74">
        <v>1</v>
      </c>
      <c r="DC20" s="74">
        <v>1</v>
      </c>
      <c r="DD20" s="74">
        <v>1</v>
      </c>
      <c r="DE20" s="74">
        <v>1</v>
      </c>
      <c r="DF20" s="74">
        <v>1</v>
      </c>
      <c r="DG20" s="74">
        <v>1</v>
      </c>
      <c r="DH20" s="74">
        <v>1</v>
      </c>
      <c r="DI20" s="74">
        <v>1</v>
      </c>
      <c r="DJ20" s="74">
        <v>1</v>
      </c>
      <c r="DK20" s="74">
        <v>1</v>
      </c>
      <c r="DL20" s="74">
        <v>1</v>
      </c>
      <c r="DM20" s="74">
        <v>1</v>
      </c>
      <c r="DN20" s="74">
        <v>1</v>
      </c>
      <c r="DO20" s="74">
        <v>1</v>
      </c>
      <c r="DP20" s="74">
        <v>1</v>
      </c>
      <c r="DQ20" s="74">
        <v>1</v>
      </c>
      <c r="DR20" s="74">
        <v>1</v>
      </c>
      <c r="DS20" s="74">
        <v>1</v>
      </c>
      <c r="DT20" s="74">
        <v>1</v>
      </c>
      <c r="DU20" s="74">
        <v>1</v>
      </c>
      <c r="DV20" s="74">
        <v>1</v>
      </c>
      <c r="DW20" s="78">
        <v>1</v>
      </c>
      <c r="DX20" s="74">
        <v>1</v>
      </c>
      <c r="DY20" s="74">
        <v>1</v>
      </c>
      <c r="DZ20" s="74">
        <v>1</v>
      </c>
      <c r="EA20" s="74">
        <v>1</v>
      </c>
      <c r="EB20" s="74">
        <v>1</v>
      </c>
      <c r="EC20" s="74">
        <v>1</v>
      </c>
      <c r="ED20" s="74">
        <v>1</v>
      </c>
      <c r="EE20" s="74">
        <v>1</v>
      </c>
      <c r="EF20" s="74">
        <v>1</v>
      </c>
      <c r="EG20" s="74">
        <v>1</v>
      </c>
      <c r="EH20" s="74">
        <v>1</v>
      </c>
      <c r="EI20" s="74">
        <v>1</v>
      </c>
      <c r="EJ20" s="74">
        <v>1</v>
      </c>
      <c r="EK20" s="74">
        <v>1</v>
      </c>
      <c r="EL20" s="74">
        <v>1</v>
      </c>
      <c r="EM20" s="74">
        <v>1</v>
      </c>
      <c r="EN20" s="74">
        <v>1</v>
      </c>
      <c r="EO20" s="74">
        <v>1</v>
      </c>
      <c r="EP20" s="74">
        <v>1</v>
      </c>
      <c r="EQ20" s="74">
        <v>1</v>
      </c>
      <c r="ER20" s="74">
        <v>1</v>
      </c>
      <c r="ES20" s="74">
        <v>1</v>
      </c>
      <c r="ET20" s="74">
        <v>1</v>
      </c>
      <c r="EU20" s="78">
        <v>1</v>
      </c>
      <c r="EV20" s="74">
        <v>1</v>
      </c>
      <c r="EW20" s="74">
        <v>1</v>
      </c>
      <c r="EX20" s="74">
        <v>1</v>
      </c>
      <c r="EY20" s="74">
        <v>1</v>
      </c>
      <c r="EZ20" s="74">
        <v>1</v>
      </c>
      <c r="FA20" s="74">
        <v>1</v>
      </c>
      <c r="FB20" s="74">
        <v>1</v>
      </c>
      <c r="FC20" s="74">
        <v>1</v>
      </c>
      <c r="FD20" s="74">
        <v>1</v>
      </c>
      <c r="FE20" s="74">
        <v>1</v>
      </c>
      <c r="FF20" s="74">
        <v>1</v>
      </c>
      <c r="FG20" s="74">
        <v>1</v>
      </c>
      <c r="FH20" s="74">
        <v>1</v>
      </c>
      <c r="FI20" s="74">
        <v>1</v>
      </c>
      <c r="FJ20" s="74">
        <v>1</v>
      </c>
      <c r="FK20" s="74">
        <v>1</v>
      </c>
      <c r="FL20" s="74">
        <v>1</v>
      </c>
      <c r="FM20" s="74">
        <v>1</v>
      </c>
      <c r="FN20" s="74">
        <v>1</v>
      </c>
      <c r="FO20" s="74">
        <v>1</v>
      </c>
      <c r="FP20" s="74">
        <v>1</v>
      </c>
      <c r="FQ20" s="74">
        <v>1</v>
      </c>
      <c r="FR20" s="74">
        <v>1</v>
      </c>
      <c r="FS20" s="78">
        <v>1</v>
      </c>
      <c r="FT20" s="74">
        <v>1</v>
      </c>
      <c r="FU20" s="74">
        <v>1</v>
      </c>
      <c r="FV20" s="74">
        <v>1</v>
      </c>
      <c r="FW20" s="74">
        <v>1</v>
      </c>
      <c r="FX20" s="74">
        <v>1</v>
      </c>
      <c r="FY20" s="74">
        <v>1</v>
      </c>
      <c r="FZ20" s="74">
        <v>1</v>
      </c>
      <c r="GA20" s="74">
        <v>1</v>
      </c>
      <c r="GB20" s="74">
        <v>1</v>
      </c>
      <c r="GC20" s="74">
        <v>1</v>
      </c>
      <c r="GD20" s="74">
        <v>1</v>
      </c>
      <c r="GE20" s="74">
        <v>1</v>
      </c>
      <c r="GF20" s="74">
        <v>1</v>
      </c>
      <c r="GG20" s="74">
        <v>1</v>
      </c>
      <c r="GH20" s="74">
        <v>1</v>
      </c>
      <c r="GI20" s="74">
        <v>1</v>
      </c>
      <c r="GJ20" s="74">
        <v>1</v>
      </c>
      <c r="GK20" s="74">
        <v>1</v>
      </c>
      <c r="GL20" s="74">
        <v>1</v>
      </c>
      <c r="GM20" s="74">
        <v>1</v>
      </c>
      <c r="GN20" s="74">
        <v>1</v>
      </c>
      <c r="GO20" s="74">
        <v>1</v>
      </c>
      <c r="GP20" s="74">
        <v>1</v>
      </c>
      <c r="GQ20" s="78">
        <v>1</v>
      </c>
      <c r="GR20" s="74">
        <v>1</v>
      </c>
      <c r="GS20" s="74">
        <v>1</v>
      </c>
      <c r="GT20" s="74">
        <v>1</v>
      </c>
      <c r="GU20" s="74">
        <v>1</v>
      </c>
      <c r="GV20" s="74">
        <v>1</v>
      </c>
      <c r="GW20" s="74">
        <v>1</v>
      </c>
      <c r="GX20" s="74">
        <v>1</v>
      </c>
      <c r="GY20" s="74">
        <v>1</v>
      </c>
      <c r="GZ20" s="74">
        <v>1</v>
      </c>
      <c r="HA20" s="74">
        <v>1</v>
      </c>
      <c r="HB20" s="74">
        <v>1</v>
      </c>
      <c r="HC20" s="74">
        <v>1</v>
      </c>
      <c r="HD20" s="74">
        <v>1</v>
      </c>
      <c r="HE20" s="74">
        <v>1</v>
      </c>
      <c r="HF20" s="74">
        <v>1</v>
      </c>
      <c r="HG20" s="74">
        <v>1</v>
      </c>
      <c r="HH20" s="74">
        <v>1</v>
      </c>
      <c r="HI20" s="74">
        <v>1</v>
      </c>
      <c r="HJ20" s="74">
        <v>1</v>
      </c>
      <c r="HK20" s="74">
        <v>1</v>
      </c>
      <c r="HL20" s="74">
        <v>1</v>
      </c>
      <c r="HM20" s="74">
        <v>1</v>
      </c>
      <c r="HN20" s="74">
        <v>1</v>
      </c>
      <c r="HO20" s="74">
        <v>1</v>
      </c>
      <c r="HP20" s="74">
        <v>1</v>
      </c>
      <c r="HQ20" s="74">
        <v>1</v>
      </c>
      <c r="HR20" s="74">
        <v>1</v>
      </c>
      <c r="HS20" s="74">
        <v>1</v>
      </c>
      <c r="HT20" s="74">
        <v>1</v>
      </c>
      <c r="HU20" s="74">
        <v>1</v>
      </c>
      <c r="HV20" s="74">
        <v>1</v>
      </c>
      <c r="HW20" s="74">
        <v>1</v>
      </c>
      <c r="HX20" s="75">
        <v>1</v>
      </c>
    </row>
    <row r="21" spans="1:232" x14ac:dyDescent="0.2">
      <c r="B21" s="103" t="s">
        <v>67</v>
      </c>
      <c r="C21" s="108" t="s">
        <v>132</v>
      </c>
      <c r="D21" s="109">
        <v>5.2</v>
      </c>
      <c r="E21" s="108" t="s">
        <v>128</v>
      </c>
      <c r="F21" s="108" t="s">
        <v>124</v>
      </c>
      <c r="G21" s="74">
        <v>1</v>
      </c>
      <c r="H21" s="74">
        <v>1</v>
      </c>
      <c r="I21" s="74">
        <v>1</v>
      </c>
      <c r="J21" s="74">
        <v>1</v>
      </c>
      <c r="K21" s="74">
        <v>1</v>
      </c>
      <c r="L21" s="74">
        <v>1</v>
      </c>
      <c r="M21" s="74">
        <v>1</v>
      </c>
      <c r="N21" s="74">
        <v>1</v>
      </c>
      <c r="O21" s="74">
        <v>1</v>
      </c>
      <c r="P21" s="74">
        <v>1</v>
      </c>
      <c r="Q21" s="74">
        <v>1</v>
      </c>
      <c r="R21" s="74">
        <v>1</v>
      </c>
      <c r="S21" s="74">
        <v>1</v>
      </c>
      <c r="T21" s="74">
        <v>1</v>
      </c>
      <c r="U21" s="74">
        <v>1</v>
      </c>
      <c r="V21" s="74">
        <v>1</v>
      </c>
      <c r="W21" s="74">
        <v>1</v>
      </c>
      <c r="X21" s="74">
        <v>1</v>
      </c>
      <c r="Y21" s="74">
        <v>1</v>
      </c>
      <c r="Z21" s="74">
        <v>1</v>
      </c>
      <c r="AA21" s="74">
        <v>1</v>
      </c>
      <c r="AB21" s="74">
        <v>1</v>
      </c>
      <c r="AC21" s="74">
        <v>1</v>
      </c>
      <c r="AD21" s="74">
        <v>1</v>
      </c>
      <c r="AE21" s="78">
        <v>1</v>
      </c>
      <c r="AF21" s="74">
        <v>1</v>
      </c>
      <c r="AG21" s="74">
        <v>1</v>
      </c>
      <c r="AH21" s="74">
        <v>1</v>
      </c>
      <c r="AI21" s="74">
        <v>1</v>
      </c>
      <c r="AJ21" s="74">
        <v>1</v>
      </c>
      <c r="AK21" s="74">
        <v>1</v>
      </c>
      <c r="AL21" s="74">
        <v>1</v>
      </c>
      <c r="AM21" s="74">
        <v>1</v>
      </c>
      <c r="AN21" s="74">
        <v>1</v>
      </c>
      <c r="AO21" s="74">
        <v>1</v>
      </c>
      <c r="AP21" s="74">
        <v>1</v>
      </c>
      <c r="AQ21" s="74">
        <v>1</v>
      </c>
      <c r="AR21" s="74">
        <v>1</v>
      </c>
      <c r="AS21" s="74">
        <v>1</v>
      </c>
      <c r="AT21" s="74">
        <v>1</v>
      </c>
      <c r="AU21" s="74">
        <v>1</v>
      </c>
      <c r="AV21" s="74">
        <v>1</v>
      </c>
      <c r="AW21" s="74">
        <v>1</v>
      </c>
      <c r="AX21" s="74">
        <v>1</v>
      </c>
      <c r="AY21" s="74">
        <v>1</v>
      </c>
      <c r="AZ21" s="74">
        <v>1</v>
      </c>
      <c r="BA21" s="74">
        <v>0</v>
      </c>
      <c r="BB21" s="74">
        <v>0</v>
      </c>
      <c r="BC21" s="78">
        <v>0</v>
      </c>
      <c r="BD21" s="74">
        <v>0</v>
      </c>
      <c r="BE21" s="74">
        <v>0</v>
      </c>
      <c r="BF21" s="74">
        <v>0</v>
      </c>
      <c r="BG21" s="74">
        <v>0</v>
      </c>
      <c r="BH21" s="74">
        <v>0</v>
      </c>
      <c r="BI21" s="74">
        <v>0</v>
      </c>
      <c r="BJ21" s="74">
        <v>0</v>
      </c>
      <c r="BK21" s="74">
        <v>0</v>
      </c>
      <c r="BL21" s="74">
        <v>0</v>
      </c>
      <c r="BM21" s="74">
        <v>0</v>
      </c>
      <c r="BN21" s="74">
        <v>0</v>
      </c>
      <c r="BO21" s="74">
        <v>0</v>
      </c>
      <c r="BP21" s="74">
        <v>0</v>
      </c>
      <c r="BQ21" s="74">
        <v>0</v>
      </c>
      <c r="BR21" s="74">
        <v>0</v>
      </c>
      <c r="BS21" s="74">
        <v>0</v>
      </c>
      <c r="BT21" s="74">
        <v>0</v>
      </c>
      <c r="BU21" s="74">
        <v>0</v>
      </c>
      <c r="BV21" s="74">
        <v>0</v>
      </c>
      <c r="BW21" s="74">
        <v>0</v>
      </c>
      <c r="BX21" s="74">
        <v>0</v>
      </c>
      <c r="BY21" s="74">
        <v>0</v>
      </c>
      <c r="BZ21" s="74">
        <v>0</v>
      </c>
      <c r="CA21" s="78">
        <v>0</v>
      </c>
      <c r="CB21" s="74">
        <v>0</v>
      </c>
      <c r="CC21" s="74">
        <v>0</v>
      </c>
      <c r="CD21" s="74">
        <v>0</v>
      </c>
      <c r="CE21" s="74">
        <v>0</v>
      </c>
      <c r="CF21" s="74">
        <v>0</v>
      </c>
      <c r="CG21" s="74">
        <v>0</v>
      </c>
      <c r="CH21" s="74">
        <v>0</v>
      </c>
      <c r="CI21" s="74">
        <v>0</v>
      </c>
      <c r="CJ21" s="74">
        <v>0</v>
      </c>
      <c r="CK21" s="74">
        <v>0</v>
      </c>
      <c r="CL21" s="74">
        <v>0</v>
      </c>
      <c r="CM21" s="74">
        <v>0</v>
      </c>
      <c r="CN21" s="74">
        <v>0</v>
      </c>
      <c r="CO21" s="74">
        <v>0</v>
      </c>
      <c r="CP21" s="74">
        <v>0</v>
      </c>
      <c r="CQ21" s="74">
        <v>0</v>
      </c>
      <c r="CR21" s="74">
        <v>0</v>
      </c>
      <c r="CS21" s="74">
        <v>0</v>
      </c>
      <c r="CT21" s="74">
        <v>0</v>
      </c>
      <c r="CU21" s="74">
        <v>0</v>
      </c>
      <c r="CV21" s="74">
        <v>0</v>
      </c>
      <c r="CW21" s="74">
        <v>0</v>
      </c>
      <c r="CX21" s="74">
        <v>0</v>
      </c>
      <c r="CY21" s="78">
        <v>0</v>
      </c>
      <c r="CZ21" s="74">
        <v>0</v>
      </c>
      <c r="DA21" s="74">
        <v>0</v>
      </c>
      <c r="DB21" s="74">
        <v>0</v>
      </c>
      <c r="DC21" s="74">
        <v>0</v>
      </c>
      <c r="DD21" s="74">
        <v>0</v>
      </c>
      <c r="DE21" s="74">
        <v>0</v>
      </c>
      <c r="DF21" s="74">
        <v>0</v>
      </c>
      <c r="DG21" s="74">
        <v>0</v>
      </c>
      <c r="DH21" s="74">
        <v>0</v>
      </c>
      <c r="DI21" s="74">
        <v>0</v>
      </c>
      <c r="DJ21" s="74">
        <v>0</v>
      </c>
      <c r="DK21" s="74">
        <v>0</v>
      </c>
      <c r="DL21" s="74">
        <v>0</v>
      </c>
      <c r="DM21" s="74">
        <v>0</v>
      </c>
      <c r="DN21" s="74">
        <v>0</v>
      </c>
      <c r="DO21" s="74">
        <v>0</v>
      </c>
      <c r="DP21" s="74">
        <v>0</v>
      </c>
      <c r="DQ21" s="74">
        <v>0</v>
      </c>
      <c r="DR21" s="74">
        <v>0</v>
      </c>
      <c r="DS21" s="74">
        <v>0</v>
      </c>
      <c r="DT21" s="74">
        <v>0</v>
      </c>
      <c r="DU21" s="74">
        <v>0</v>
      </c>
      <c r="DV21" s="74">
        <v>0</v>
      </c>
      <c r="DW21" s="78">
        <v>0</v>
      </c>
      <c r="DX21" s="74">
        <v>0</v>
      </c>
      <c r="DY21" s="74">
        <v>0</v>
      </c>
      <c r="DZ21" s="74">
        <v>0</v>
      </c>
      <c r="EA21" s="74">
        <v>0</v>
      </c>
      <c r="EB21" s="74">
        <v>0</v>
      </c>
      <c r="EC21" s="74">
        <v>0</v>
      </c>
      <c r="ED21" s="74">
        <v>0</v>
      </c>
      <c r="EE21" s="74">
        <v>0</v>
      </c>
      <c r="EF21" s="74">
        <v>0</v>
      </c>
      <c r="EG21" s="74">
        <v>0</v>
      </c>
      <c r="EH21" s="74">
        <v>0</v>
      </c>
      <c r="EI21" s="74">
        <v>0</v>
      </c>
      <c r="EJ21" s="74">
        <v>0</v>
      </c>
      <c r="EK21" s="74">
        <v>0</v>
      </c>
      <c r="EL21" s="74">
        <v>0</v>
      </c>
      <c r="EM21" s="74">
        <v>0</v>
      </c>
      <c r="EN21" s="74">
        <v>0</v>
      </c>
      <c r="EO21" s="74">
        <v>0</v>
      </c>
      <c r="EP21" s="74">
        <v>0</v>
      </c>
      <c r="EQ21" s="74">
        <v>0</v>
      </c>
      <c r="ER21" s="74">
        <v>0</v>
      </c>
      <c r="ES21" s="74">
        <v>0</v>
      </c>
      <c r="ET21" s="74">
        <v>0</v>
      </c>
      <c r="EU21" s="78">
        <v>0</v>
      </c>
      <c r="EV21" s="74">
        <v>0</v>
      </c>
      <c r="EW21" s="74">
        <v>0</v>
      </c>
      <c r="EX21" s="74">
        <v>0</v>
      </c>
      <c r="EY21" s="74">
        <v>0</v>
      </c>
      <c r="EZ21" s="74">
        <v>0</v>
      </c>
      <c r="FA21" s="74">
        <v>0</v>
      </c>
      <c r="FB21" s="74">
        <v>0</v>
      </c>
      <c r="FC21" s="74">
        <v>0</v>
      </c>
      <c r="FD21" s="74">
        <v>0</v>
      </c>
      <c r="FE21" s="74">
        <v>0</v>
      </c>
      <c r="FF21" s="74">
        <v>0</v>
      </c>
      <c r="FG21" s="74">
        <v>0</v>
      </c>
      <c r="FH21" s="74">
        <v>0</v>
      </c>
      <c r="FI21" s="74">
        <v>0</v>
      </c>
      <c r="FJ21" s="74">
        <v>0</v>
      </c>
      <c r="FK21" s="74">
        <v>0</v>
      </c>
      <c r="FL21" s="74">
        <v>0</v>
      </c>
      <c r="FM21" s="74">
        <v>0</v>
      </c>
      <c r="FN21" s="74">
        <v>0</v>
      </c>
      <c r="FO21" s="74">
        <v>0</v>
      </c>
      <c r="FP21" s="74">
        <v>0</v>
      </c>
      <c r="FQ21" s="74">
        <v>0</v>
      </c>
      <c r="FR21" s="74">
        <v>0</v>
      </c>
      <c r="FS21" s="78">
        <v>0</v>
      </c>
      <c r="FT21" s="74">
        <v>0</v>
      </c>
      <c r="FU21" s="74">
        <v>0</v>
      </c>
      <c r="FV21" s="74">
        <v>0</v>
      </c>
      <c r="FW21" s="74">
        <v>0</v>
      </c>
      <c r="FX21" s="74">
        <v>0</v>
      </c>
      <c r="FY21" s="74">
        <v>0</v>
      </c>
      <c r="FZ21" s="74">
        <v>0</v>
      </c>
      <c r="GA21" s="74">
        <v>0</v>
      </c>
      <c r="GB21" s="74">
        <v>0</v>
      </c>
      <c r="GC21" s="74">
        <v>0</v>
      </c>
      <c r="GD21" s="74">
        <v>0</v>
      </c>
      <c r="GE21" s="74">
        <v>0</v>
      </c>
      <c r="GF21" s="74">
        <v>0</v>
      </c>
      <c r="GG21" s="74">
        <v>0</v>
      </c>
      <c r="GH21" s="74">
        <v>0</v>
      </c>
      <c r="GI21" s="74">
        <v>0</v>
      </c>
      <c r="GJ21" s="74">
        <v>0</v>
      </c>
      <c r="GK21" s="74">
        <v>0</v>
      </c>
      <c r="GL21" s="74">
        <v>0</v>
      </c>
      <c r="GM21" s="74">
        <v>0</v>
      </c>
      <c r="GN21" s="74">
        <v>0</v>
      </c>
      <c r="GO21" s="74">
        <v>0</v>
      </c>
      <c r="GP21" s="74">
        <v>0</v>
      </c>
      <c r="GQ21" s="78">
        <v>0</v>
      </c>
      <c r="GR21" s="74">
        <v>0</v>
      </c>
      <c r="GS21" s="74">
        <v>0</v>
      </c>
      <c r="GT21" s="74">
        <v>0</v>
      </c>
      <c r="GU21" s="74">
        <v>0</v>
      </c>
      <c r="GV21" s="74">
        <v>0</v>
      </c>
      <c r="GW21" s="74">
        <v>0</v>
      </c>
      <c r="GX21" s="74">
        <v>0</v>
      </c>
      <c r="GY21" s="74">
        <v>0</v>
      </c>
      <c r="GZ21" s="74">
        <v>0</v>
      </c>
      <c r="HA21" s="74">
        <v>0</v>
      </c>
      <c r="HB21" s="74">
        <v>0</v>
      </c>
      <c r="HC21" s="74">
        <v>0</v>
      </c>
      <c r="HD21" s="74">
        <v>0</v>
      </c>
      <c r="HE21" s="74">
        <v>0</v>
      </c>
      <c r="HF21" s="74">
        <v>0</v>
      </c>
      <c r="HG21" s="74">
        <v>0</v>
      </c>
      <c r="HH21" s="74">
        <v>0</v>
      </c>
      <c r="HI21" s="74">
        <v>0</v>
      </c>
      <c r="HJ21" s="74">
        <v>0</v>
      </c>
      <c r="HK21" s="74">
        <v>0</v>
      </c>
      <c r="HL21" s="74">
        <v>0</v>
      </c>
      <c r="HM21" s="74">
        <v>0</v>
      </c>
      <c r="HN21" s="74">
        <v>0</v>
      </c>
      <c r="HO21" s="74">
        <v>0</v>
      </c>
      <c r="HP21" s="74">
        <v>0</v>
      </c>
      <c r="HQ21" s="74">
        <v>0</v>
      </c>
      <c r="HR21" s="74">
        <v>0</v>
      </c>
      <c r="HS21" s="74">
        <v>0</v>
      </c>
      <c r="HT21" s="74">
        <v>0</v>
      </c>
      <c r="HU21" s="74">
        <v>0</v>
      </c>
      <c r="HV21" s="74">
        <v>0</v>
      </c>
      <c r="HW21" s="74">
        <v>0</v>
      </c>
      <c r="HX21" s="75">
        <v>0</v>
      </c>
    </row>
    <row r="22" spans="1:232" x14ac:dyDescent="0.2">
      <c r="B22" s="108" t="s">
        <v>68</v>
      </c>
      <c r="C22" s="108" t="s">
        <v>131</v>
      </c>
      <c r="D22" s="109">
        <v>5.2</v>
      </c>
      <c r="E22" s="108" t="s">
        <v>128</v>
      </c>
      <c r="F22" s="108" t="s">
        <v>124</v>
      </c>
      <c r="G22" s="74">
        <v>1</v>
      </c>
      <c r="H22" s="74">
        <v>1</v>
      </c>
      <c r="I22" s="74">
        <v>1</v>
      </c>
      <c r="J22" s="74">
        <v>1</v>
      </c>
      <c r="K22" s="74">
        <v>1</v>
      </c>
      <c r="L22" s="74">
        <v>1</v>
      </c>
      <c r="M22" s="74">
        <v>1</v>
      </c>
      <c r="N22" s="74">
        <v>1</v>
      </c>
      <c r="O22" s="74">
        <v>1</v>
      </c>
      <c r="P22" s="74">
        <v>1</v>
      </c>
      <c r="Q22" s="74">
        <v>1</v>
      </c>
      <c r="R22" s="74">
        <v>1</v>
      </c>
      <c r="S22" s="74">
        <v>1</v>
      </c>
      <c r="T22" s="74">
        <v>1</v>
      </c>
      <c r="U22" s="74">
        <v>1</v>
      </c>
      <c r="V22" s="74">
        <v>1</v>
      </c>
      <c r="W22" s="74">
        <v>1</v>
      </c>
      <c r="X22" s="74">
        <v>1</v>
      </c>
      <c r="Y22" s="74">
        <v>1</v>
      </c>
      <c r="Z22" s="74">
        <v>1</v>
      </c>
      <c r="AA22" s="74">
        <v>1</v>
      </c>
      <c r="AB22" s="74">
        <v>1</v>
      </c>
      <c r="AC22" s="74">
        <v>1</v>
      </c>
      <c r="AD22" s="74">
        <v>1</v>
      </c>
      <c r="AE22" s="78">
        <v>1</v>
      </c>
      <c r="AF22" s="74">
        <v>1</v>
      </c>
      <c r="AG22" s="74">
        <v>1</v>
      </c>
      <c r="AH22" s="74">
        <v>1</v>
      </c>
      <c r="AI22" s="74">
        <v>1</v>
      </c>
      <c r="AJ22" s="74">
        <v>1</v>
      </c>
      <c r="AK22" s="74">
        <v>1</v>
      </c>
      <c r="AL22" s="74">
        <v>1</v>
      </c>
      <c r="AM22" s="74">
        <v>1</v>
      </c>
      <c r="AN22" s="74">
        <v>1</v>
      </c>
      <c r="AO22" s="74">
        <v>1</v>
      </c>
      <c r="AP22" s="74">
        <v>1</v>
      </c>
      <c r="AQ22" s="74">
        <v>1</v>
      </c>
      <c r="AR22" s="74">
        <v>1</v>
      </c>
      <c r="AS22" s="74">
        <v>1</v>
      </c>
      <c r="AT22" s="74">
        <v>1</v>
      </c>
      <c r="AU22" s="74">
        <v>1</v>
      </c>
      <c r="AV22" s="74">
        <v>1</v>
      </c>
      <c r="AW22" s="74">
        <v>1</v>
      </c>
      <c r="AX22" s="74">
        <v>1</v>
      </c>
      <c r="AY22" s="74">
        <v>1</v>
      </c>
      <c r="AZ22" s="74">
        <v>1</v>
      </c>
      <c r="BA22" s="74">
        <v>0</v>
      </c>
      <c r="BB22" s="74">
        <v>0</v>
      </c>
      <c r="BC22" s="78">
        <v>0</v>
      </c>
      <c r="BD22" s="74">
        <v>0</v>
      </c>
      <c r="BE22" s="74">
        <v>0</v>
      </c>
      <c r="BF22" s="74">
        <v>0</v>
      </c>
      <c r="BG22" s="74">
        <v>0</v>
      </c>
      <c r="BH22" s="74">
        <v>0</v>
      </c>
      <c r="BI22" s="74">
        <v>0</v>
      </c>
      <c r="BJ22" s="74">
        <v>0</v>
      </c>
      <c r="BK22" s="74">
        <v>0</v>
      </c>
      <c r="BL22" s="74">
        <v>0</v>
      </c>
      <c r="BM22" s="74">
        <v>0</v>
      </c>
      <c r="BN22" s="74">
        <v>0</v>
      </c>
      <c r="BO22" s="74">
        <v>0</v>
      </c>
      <c r="BP22" s="74">
        <v>0</v>
      </c>
      <c r="BQ22" s="74">
        <v>0</v>
      </c>
      <c r="BR22" s="74">
        <v>0</v>
      </c>
      <c r="BS22" s="74">
        <v>0</v>
      </c>
      <c r="BT22" s="74">
        <v>0</v>
      </c>
      <c r="BU22" s="74">
        <v>0</v>
      </c>
      <c r="BV22" s="74">
        <v>0</v>
      </c>
      <c r="BW22" s="74">
        <v>0</v>
      </c>
      <c r="BX22" s="74">
        <v>0</v>
      </c>
      <c r="BY22" s="74">
        <v>0</v>
      </c>
      <c r="BZ22" s="74">
        <v>0</v>
      </c>
      <c r="CA22" s="78">
        <v>0</v>
      </c>
      <c r="CB22" s="74">
        <v>0</v>
      </c>
      <c r="CC22" s="74">
        <v>0</v>
      </c>
      <c r="CD22" s="74">
        <v>0</v>
      </c>
      <c r="CE22" s="74">
        <v>0</v>
      </c>
      <c r="CF22" s="74">
        <v>0</v>
      </c>
      <c r="CG22" s="74">
        <v>0</v>
      </c>
      <c r="CH22" s="74">
        <v>0</v>
      </c>
      <c r="CI22" s="74">
        <v>0</v>
      </c>
      <c r="CJ22" s="74">
        <v>0</v>
      </c>
      <c r="CK22" s="74">
        <v>0</v>
      </c>
      <c r="CL22" s="74">
        <v>0</v>
      </c>
      <c r="CM22" s="74">
        <v>0</v>
      </c>
      <c r="CN22" s="74">
        <v>0</v>
      </c>
      <c r="CO22" s="74">
        <v>0</v>
      </c>
      <c r="CP22" s="74">
        <v>0</v>
      </c>
      <c r="CQ22" s="74">
        <v>0</v>
      </c>
      <c r="CR22" s="74">
        <v>0</v>
      </c>
      <c r="CS22" s="74">
        <v>0</v>
      </c>
      <c r="CT22" s="74">
        <v>0</v>
      </c>
      <c r="CU22" s="74">
        <v>0</v>
      </c>
      <c r="CV22" s="74">
        <v>0</v>
      </c>
      <c r="CW22" s="74">
        <v>0</v>
      </c>
      <c r="CX22" s="74">
        <v>0</v>
      </c>
      <c r="CY22" s="78">
        <v>0</v>
      </c>
      <c r="CZ22" s="74">
        <v>0</v>
      </c>
      <c r="DA22" s="74">
        <v>0</v>
      </c>
      <c r="DB22" s="74">
        <v>0</v>
      </c>
      <c r="DC22" s="74">
        <v>0</v>
      </c>
      <c r="DD22" s="74">
        <v>0</v>
      </c>
      <c r="DE22" s="74">
        <v>0</v>
      </c>
      <c r="DF22" s="74">
        <v>0</v>
      </c>
      <c r="DG22" s="74">
        <v>0</v>
      </c>
      <c r="DH22" s="74">
        <v>0</v>
      </c>
      <c r="DI22" s="74">
        <v>0</v>
      </c>
      <c r="DJ22" s="74">
        <v>0</v>
      </c>
      <c r="DK22" s="74">
        <v>0</v>
      </c>
      <c r="DL22" s="74">
        <v>0</v>
      </c>
      <c r="DM22" s="74">
        <v>0</v>
      </c>
      <c r="DN22" s="74">
        <v>0</v>
      </c>
      <c r="DO22" s="74">
        <v>0</v>
      </c>
      <c r="DP22" s="74">
        <v>0</v>
      </c>
      <c r="DQ22" s="74">
        <v>0</v>
      </c>
      <c r="DR22" s="74">
        <v>0</v>
      </c>
      <c r="DS22" s="74">
        <v>0</v>
      </c>
      <c r="DT22" s="74">
        <v>0</v>
      </c>
      <c r="DU22" s="74">
        <v>0</v>
      </c>
      <c r="DV22" s="74">
        <v>0</v>
      </c>
      <c r="DW22" s="78">
        <v>0</v>
      </c>
      <c r="DX22" s="74">
        <v>0</v>
      </c>
      <c r="DY22" s="74">
        <v>0</v>
      </c>
      <c r="DZ22" s="74">
        <v>0</v>
      </c>
      <c r="EA22" s="74">
        <v>0</v>
      </c>
      <c r="EB22" s="74">
        <v>0</v>
      </c>
      <c r="EC22" s="74">
        <v>0</v>
      </c>
      <c r="ED22" s="74">
        <v>0</v>
      </c>
      <c r="EE22" s="74">
        <v>0</v>
      </c>
      <c r="EF22" s="74">
        <v>0</v>
      </c>
      <c r="EG22" s="74">
        <v>0</v>
      </c>
      <c r="EH22" s="74">
        <v>0</v>
      </c>
      <c r="EI22" s="74">
        <v>0</v>
      </c>
      <c r="EJ22" s="74">
        <v>0</v>
      </c>
      <c r="EK22" s="74">
        <v>0</v>
      </c>
      <c r="EL22" s="74">
        <v>0</v>
      </c>
      <c r="EM22" s="74">
        <v>0</v>
      </c>
      <c r="EN22" s="74">
        <v>0</v>
      </c>
      <c r="EO22" s="74">
        <v>0</v>
      </c>
      <c r="EP22" s="74">
        <v>0</v>
      </c>
      <c r="EQ22" s="74">
        <v>0</v>
      </c>
      <c r="ER22" s="74">
        <v>0</v>
      </c>
      <c r="ES22" s="74">
        <v>0</v>
      </c>
      <c r="ET22" s="74">
        <v>0</v>
      </c>
      <c r="EU22" s="78">
        <v>0</v>
      </c>
      <c r="EV22" s="74">
        <v>0</v>
      </c>
      <c r="EW22" s="74">
        <v>0</v>
      </c>
      <c r="EX22" s="74">
        <v>0</v>
      </c>
      <c r="EY22" s="74">
        <v>0</v>
      </c>
      <c r="EZ22" s="74">
        <v>0</v>
      </c>
      <c r="FA22" s="74">
        <v>0</v>
      </c>
      <c r="FB22" s="74">
        <v>0</v>
      </c>
      <c r="FC22" s="74">
        <v>0</v>
      </c>
      <c r="FD22" s="74">
        <v>0</v>
      </c>
      <c r="FE22" s="74">
        <v>0</v>
      </c>
      <c r="FF22" s="74">
        <v>0</v>
      </c>
      <c r="FG22" s="74">
        <v>0</v>
      </c>
      <c r="FH22" s="74">
        <v>0</v>
      </c>
      <c r="FI22" s="74">
        <v>0</v>
      </c>
      <c r="FJ22" s="74">
        <v>0</v>
      </c>
      <c r="FK22" s="74">
        <v>0</v>
      </c>
      <c r="FL22" s="74">
        <v>0</v>
      </c>
      <c r="FM22" s="74">
        <v>0</v>
      </c>
      <c r="FN22" s="74">
        <v>0</v>
      </c>
      <c r="FO22" s="74">
        <v>0</v>
      </c>
      <c r="FP22" s="74">
        <v>0</v>
      </c>
      <c r="FQ22" s="74">
        <v>0</v>
      </c>
      <c r="FR22" s="74">
        <v>0</v>
      </c>
      <c r="FS22" s="78">
        <v>0</v>
      </c>
      <c r="FT22" s="74">
        <v>0</v>
      </c>
      <c r="FU22" s="74">
        <v>0</v>
      </c>
      <c r="FV22" s="74">
        <v>0</v>
      </c>
      <c r="FW22" s="74">
        <v>0</v>
      </c>
      <c r="FX22" s="74">
        <v>0</v>
      </c>
      <c r="FY22" s="74">
        <v>0</v>
      </c>
      <c r="FZ22" s="74">
        <v>0</v>
      </c>
      <c r="GA22" s="74">
        <v>0</v>
      </c>
      <c r="GB22" s="74">
        <v>0</v>
      </c>
      <c r="GC22" s="74">
        <v>0</v>
      </c>
      <c r="GD22" s="74">
        <v>0</v>
      </c>
      <c r="GE22" s="74">
        <v>0</v>
      </c>
      <c r="GF22" s="74">
        <v>0</v>
      </c>
      <c r="GG22" s="74">
        <v>0</v>
      </c>
      <c r="GH22" s="74">
        <v>0</v>
      </c>
      <c r="GI22" s="74">
        <v>0</v>
      </c>
      <c r="GJ22" s="74">
        <v>0</v>
      </c>
      <c r="GK22" s="74">
        <v>0</v>
      </c>
      <c r="GL22" s="74">
        <v>0</v>
      </c>
      <c r="GM22" s="74">
        <v>0</v>
      </c>
      <c r="GN22" s="74">
        <v>0</v>
      </c>
      <c r="GO22" s="74">
        <v>0</v>
      </c>
      <c r="GP22" s="74">
        <v>0</v>
      </c>
      <c r="GQ22" s="78">
        <v>0</v>
      </c>
      <c r="GR22" s="74">
        <v>0</v>
      </c>
      <c r="GS22" s="74">
        <v>0</v>
      </c>
      <c r="GT22" s="74">
        <v>0</v>
      </c>
      <c r="GU22" s="74">
        <v>0</v>
      </c>
      <c r="GV22" s="74">
        <v>0</v>
      </c>
      <c r="GW22" s="74">
        <v>0</v>
      </c>
      <c r="GX22" s="74">
        <v>0</v>
      </c>
      <c r="GY22" s="74">
        <v>0</v>
      </c>
      <c r="GZ22" s="74">
        <v>0</v>
      </c>
      <c r="HA22" s="74">
        <v>0</v>
      </c>
      <c r="HB22" s="74">
        <v>0</v>
      </c>
      <c r="HC22" s="74">
        <v>0</v>
      </c>
      <c r="HD22" s="74">
        <v>0</v>
      </c>
      <c r="HE22" s="74">
        <v>0</v>
      </c>
      <c r="HF22" s="74">
        <v>0</v>
      </c>
      <c r="HG22" s="74">
        <v>0</v>
      </c>
      <c r="HH22" s="74">
        <v>0</v>
      </c>
      <c r="HI22" s="74">
        <v>0</v>
      </c>
      <c r="HJ22" s="74">
        <v>0</v>
      </c>
      <c r="HK22" s="74">
        <v>0</v>
      </c>
      <c r="HL22" s="74">
        <v>0</v>
      </c>
      <c r="HM22" s="74">
        <v>0</v>
      </c>
      <c r="HN22" s="74">
        <v>0</v>
      </c>
      <c r="HO22" s="74">
        <v>0</v>
      </c>
      <c r="HP22" s="74">
        <v>0</v>
      </c>
      <c r="HQ22" s="74">
        <v>0</v>
      </c>
      <c r="HR22" s="74">
        <v>0</v>
      </c>
      <c r="HS22" s="74">
        <v>0</v>
      </c>
      <c r="HT22" s="74">
        <v>0</v>
      </c>
      <c r="HU22" s="74">
        <v>0</v>
      </c>
      <c r="HV22" s="74">
        <v>0</v>
      </c>
      <c r="HW22" s="74">
        <v>0</v>
      </c>
      <c r="HX22" s="75">
        <v>0</v>
      </c>
    </row>
    <row r="23" spans="1:232" x14ac:dyDescent="0.2">
      <c r="B23" s="80" t="s">
        <v>69</v>
      </c>
      <c r="C23" s="80" t="s">
        <v>131</v>
      </c>
      <c r="D23" s="81">
        <v>5.2</v>
      </c>
      <c r="E23" s="80" t="s">
        <v>128</v>
      </c>
      <c r="F23" s="80" t="s">
        <v>124</v>
      </c>
      <c r="G23" s="78">
        <v>1</v>
      </c>
      <c r="H23" s="78">
        <v>1</v>
      </c>
      <c r="I23" s="78">
        <v>1</v>
      </c>
      <c r="J23" s="78">
        <v>1</v>
      </c>
      <c r="K23" s="78">
        <v>1</v>
      </c>
      <c r="L23" s="78">
        <v>1</v>
      </c>
      <c r="M23" s="78">
        <v>1</v>
      </c>
      <c r="N23" s="78">
        <v>1</v>
      </c>
      <c r="O23" s="78">
        <v>1</v>
      </c>
      <c r="P23" s="78">
        <v>1</v>
      </c>
      <c r="Q23" s="78">
        <v>1</v>
      </c>
      <c r="R23" s="78">
        <v>1</v>
      </c>
      <c r="S23" s="78">
        <v>1</v>
      </c>
      <c r="T23" s="78">
        <v>1</v>
      </c>
      <c r="U23" s="78">
        <v>1</v>
      </c>
      <c r="V23" s="78">
        <v>1</v>
      </c>
      <c r="W23" s="78">
        <v>1</v>
      </c>
      <c r="X23" s="78">
        <v>1</v>
      </c>
      <c r="Y23" s="78">
        <v>1</v>
      </c>
      <c r="Z23" s="78">
        <v>1</v>
      </c>
      <c r="AA23" s="78">
        <v>1</v>
      </c>
      <c r="AB23" s="78">
        <v>1</v>
      </c>
      <c r="AC23" s="78">
        <v>1</v>
      </c>
      <c r="AD23" s="74">
        <v>1</v>
      </c>
      <c r="AE23" s="78">
        <v>1</v>
      </c>
      <c r="AF23" s="78">
        <v>1</v>
      </c>
      <c r="AG23" s="78">
        <v>1</v>
      </c>
      <c r="AH23" s="78">
        <v>1</v>
      </c>
      <c r="AI23" s="78">
        <v>1</v>
      </c>
      <c r="AJ23" s="78">
        <v>1</v>
      </c>
      <c r="AK23" s="78">
        <v>1</v>
      </c>
      <c r="AL23" s="78">
        <v>1</v>
      </c>
      <c r="AM23" s="78">
        <v>1</v>
      </c>
      <c r="AN23" s="78">
        <v>1</v>
      </c>
      <c r="AO23" s="78">
        <v>1</v>
      </c>
      <c r="AP23" s="78">
        <v>1</v>
      </c>
      <c r="AQ23" s="78">
        <v>1</v>
      </c>
      <c r="AR23" s="78">
        <v>1</v>
      </c>
      <c r="AS23" s="78">
        <v>1</v>
      </c>
      <c r="AT23" s="78">
        <v>1</v>
      </c>
      <c r="AU23" s="78">
        <v>1</v>
      </c>
      <c r="AV23" s="78">
        <v>1</v>
      </c>
      <c r="AW23" s="78">
        <v>1</v>
      </c>
      <c r="AX23" s="78">
        <v>1</v>
      </c>
      <c r="AY23" s="78">
        <v>1</v>
      </c>
      <c r="AZ23" s="78">
        <v>1</v>
      </c>
      <c r="BA23" s="78">
        <v>1</v>
      </c>
      <c r="BB23" s="74">
        <v>1</v>
      </c>
      <c r="BC23" s="78">
        <v>1</v>
      </c>
      <c r="BD23" s="78">
        <v>1</v>
      </c>
      <c r="BE23" s="78">
        <v>1</v>
      </c>
      <c r="BF23" s="78">
        <v>1</v>
      </c>
      <c r="BG23" s="78">
        <v>1</v>
      </c>
      <c r="BH23" s="78">
        <v>1</v>
      </c>
      <c r="BI23" s="78">
        <v>1</v>
      </c>
      <c r="BJ23" s="78">
        <v>1</v>
      </c>
      <c r="BK23" s="78">
        <v>1</v>
      </c>
      <c r="BL23" s="78">
        <v>1</v>
      </c>
      <c r="BM23" s="78">
        <v>1</v>
      </c>
      <c r="BN23" s="78">
        <v>1</v>
      </c>
      <c r="BO23" s="78">
        <v>1</v>
      </c>
      <c r="BP23" s="78">
        <v>1</v>
      </c>
      <c r="BQ23" s="78">
        <v>1</v>
      </c>
      <c r="BR23" s="78">
        <v>1</v>
      </c>
      <c r="BS23" s="78">
        <v>1</v>
      </c>
      <c r="BT23" s="78">
        <v>1</v>
      </c>
      <c r="BU23" s="78">
        <v>1</v>
      </c>
      <c r="BV23" s="78">
        <v>1</v>
      </c>
      <c r="BW23" s="78">
        <v>1</v>
      </c>
      <c r="BX23" s="78">
        <v>1</v>
      </c>
      <c r="BY23" s="78">
        <v>1</v>
      </c>
      <c r="BZ23" s="74">
        <v>1</v>
      </c>
      <c r="CA23" s="78">
        <v>1</v>
      </c>
      <c r="CB23" s="78">
        <v>1</v>
      </c>
      <c r="CC23" s="78">
        <v>1</v>
      </c>
      <c r="CD23" s="78">
        <v>1</v>
      </c>
      <c r="CE23" s="78">
        <v>1</v>
      </c>
      <c r="CF23" s="78">
        <v>1</v>
      </c>
      <c r="CG23" s="78">
        <v>1</v>
      </c>
      <c r="CH23" s="78">
        <v>1</v>
      </c>
      <c r="CI23" s="78">
        <v>1</v>
      </c>
      <c r="CJ23" s="78">
        <v>1</v>
      </c>
      <c r="CK23" s="78">
        <v>1</v>
      </c>
      <c r="CL23" s="78">
        <v>1</v>
      </c>
      <c r="CM23" s="78">
        <v>1</v>
      </c>
      <c r="CN23" s="78">
        <v>1</v>
      </c>
      <c r="CO23" s="78">
        <v>1</v>
      </c>
      <c r="CP23" s="78">
        <v>1</v>
      </c>
      <c r="CQ23" s="78">
        <v>1</v>
      </c>
      <c r="CR23" s="78">
        <v>1</v>
      </c>
      <c r="CS23" s="78">
        <v>1</v>
      </c>
      <c r="CT23" s="78">
        <v>1</v>
      </c>
      <c r="CU23" s="78">
        <v>1</v>
      </c>
      <c r="CV23" s="78">
        <v>1</v>
      </c>
      <c r="CW23" s="78">
        <v>1</v>
      </c>
      <c r="CX23" s="74">
        <v>1</v>
      </c>
      <c r="CY23" s="78">
        <v>1</v>
      </c>
      <c r="CZ23" s="78">
        <v>1</v>
      </c>
      <c r="DA23" s="78">
        <v>1</v>
      </c>
      <c r="DB23" s="78">
        <v>1</v>
      </c>
      <c r="DC23" s="78">
        <v>1</v>
      </c>
      <c r="DD23" s="78">
        <v>1</v>
      </c>
      <c r="DE23" s="78">
        <v>1</v>
      </c>
      <c r="DF23" s="78">
        <v>1</v>
      </c>
      <c r="DG23" s="78">
        <v>1</v>
      </c>
      <c r="DH23" s="78">
        <v>1</v>
      </c>
      <c r="DI23" s="78">
        <v>1</v>
      </c>
      <c r="DJ23" s="78">
        <v>1</v>
      </c>
      <c r="DK23" s="78">
        <v>1</v>
      </c>
      <c r="DL23" s="78">
        <v>1</v>
      </c>
      <c r="DM23" s="78">
        <v>1</v>
      </c>
      <c r="DN23" s="78">
        <v>1</v>
      </c>
      <c r="DO23" s="78">
        <v>1</v>
      </c>
      <c r="DP23" s="78">
        <v>1</v>
      </c>
      <c r="DQ23" s="78">
        <v>1</v>
      </c>
      <c r="DR23" s="78">
        <v>1</v>
      </c>
      <c r="DS23" s="78">
        <v>1</v>
      </c>
      <c r="DT23" s="78">
        <v>1</v>
      </c>
      <c r="DU23" s="78">
        <v>1</v>
      </c>
      <c r="DV23" s="74">
        <v>1</v>
      </c>
      <c r="DW23" s="78">
        <v>1</v>
      </c>
      <c r="DX23" s="78">
        <v>1</v>
      </c>
      <c r="DY23" s="78">
        <v>1</v>
      </c>
      <c r="DZ23" s="78">
        <v>1</v>
      </c>
      <c r="EA23" s="78">
        <v>1</v>
      </c>
      <c r="EB23" s="78">
        <v>1</v>
      </c>
      <c r="EC23" s="78">
        <v>1</v>
      </c>
      <c r="ED23" s="78">
        <v>1</v>
      </c>
      <c r="EE23" s="78">
        <v>1</v>
      </c>
      <c r="EF23" s="78">
        <v>1</v>
      </c>
      <c r="EG23" s="78">
        <v>1</v>
      </c>
      <c r="EH23" s="78">
        <v>1</v>
      </c>
      <c r="EI23" s="78">
        <v>1</v>
      </c>
      <c r="EJ23" s="78">
        <v>1</v>
      </c>
      <c r="EK23" s="78">
        <v>1</v>
      </c>
      <c r="EL23" s="78">
        <v>1</v>
      </c>
      <c r="EM23" s="78">
        <v>1</v>
      </c>
      <c r="EN23" s="78">
        <v>1</v>
      </c>
      <c r="EO23" s="78">
        <v>1</v>
      </c>
      <c r="EP23" s="78">
        <v>1</v>
      </c>
      <c r="EQ23" s="78">
        <v>1</v>
      </c>
      <c r="ER23" s="78">
        <v>1</v>
      </c>
      <c r="ES23" s="78">
        <v>1</v>
      </c>
      <c r="ET23" s="74">
        <v>1</v>
      </c>
      <c r="EU23" s="78">
        <v>1</v>
      </c>
      <c r="EV23" s="78">
        <v>1</v>
      </c>
      <c r="EW23" s="78">
        <v>1</v>
      </c>
      <c r="EX23" s="78">
        <v>1</v>
      </c>
      <c r="EY23" s="78">
        <v>1</v>
      </c>
      <c r="EZ23" s="78">
        <v>1</v>
      </c>
      <c r="FA23" s="78">
        <v>1</v>
      </c>
      <c r="FB23" s="78">
        <v>1</v>
      </c>
      <c r="FC23" s="78">
        <v>1</v>
      </c>
      <c r="FD23" s="78">
        <v>1</v>
      </c>
      <c r="FE23" s="78">
        <v>1</v>
      </c>
      <c r="FF23" s="78">
        <v>1</v>
      </c>
      <c r="FG23" s="78">
        <v>1</v>
      </c>
      <c r="FH23" s="78">
        <v>1</v>
      </c>
      <c r="FI23" s="78">
        <v>1</v>
      </c>
      <c r="FJ23" s="78">
        <v>1</v>
      </c>
      <c r="FK23" s="78">
        <v>1</v>
      </c>
      <c r="FL23" s="78">
        <v>1</v>
      </c>
      <c r="FM23" s="78">
        <v>1</v>
      </c>
      <c r="FN23" s="78">
        <v>1</v>
      </c>
      <c r="FO23" s="78">
        <v>1</v>
      </c>
      <c r="FP23" s="78">
        <v>1</v>
      </c>
      <c r="FQ23" s="78">
        <v>1</v>
      </c>
      <c r="FR23" s="74">
        <v>1</v>
      </c>
      <c r="FS23" s="78">
        <v>1</v>
      </c>
      <c r="FT23" s="78">
        <v>1</v>
      </c>
      <c r="FU23" s="78">
        <v>1</v>
      </c>
      <c r="FV23" s="78">
        <v>1</v>
      </c>
      <c r="FW23" s="78">
        <v>1</v>
      </c>
      <c r="FX23" s="78">
        <v>1</v>
      </c>
      <c r="FY23" s="78">
        <v>1</v>
      </c>
      <c r="FZ23" s="78">
        <v>1</v>
      </c>
      <c r="GA23" s="78">
        <v>1</v>
      </c>
      <c r="GB23" s="78">
        <v>1</v>
      </c>
      <c r="GC23" s="78">
        <v>1</v>
      </c>
      <c r="GD23" s="78">
        <v>1</v>
      </c>
      <c r="GE23" s="78">
        <v>1</v>
      </c>
      <c r="GF23" s="78">
        <v>1</v>
      </c>
      <c r="GG23" s="78">
        <v>1</v>
      </c>
      <c r="GH23" s="78">
        <v>1</v>
      </c>
      <c r="GI23" s="78">
        <v>1</v>
      </c>
      <c r="GJ23" s="78">
        <v>1</v>
      </c>
      <c r="GK23" s="78">
        <v>1</v>
      </c>
      <c r="GL23" s="78">
        <v>1</v>
      </c>
      <c r="GM23" s="78">
        <v>1</v>
      </c>
      <c r="GN23" s="78">
        <v>1</v>
      </c>
      <c r="GO23" s="78">
        <v>1</v>
      </c>
      <c r="GP23" s="74">
        <v>1</v>
      </c>
      <c r="GQ23" s="78">
        <v>1</v>
      </c>
      <c r="GR23" s="78">
        <v>1</v>
      </c>
      <c r="GS23" s="78">
        <v>1</v>
      </c>
      <c r="GT23" s="78">
        <v>1</v>
      </c>
      <c r="GU23" s="78">
        <v>1</v>
      </c>
      <c r="GV23" s="78">
        <v>1</v>
      </c>
      <c r="GW23" s="78">
        <v>1</v>
      </c>
      <c r="GX23" s="78">
        <v>1</v>
      </c>
      <c r="GY23" s="78">
        <v>1</v>
      </c>
      <c r="GZ23" s="78">
        <v>1</v>
      </c>
      <c r="HA23" s="78">
        <v>1</v>
      </c>
      <c r="HB23" s="78">
        <v>1</v>
      </c>
      <c r="HC23" s="78">
        <v>1</v>
      </c>
      <c r="HD23" s="78">
        <v>1</v>
      </c>
      <c r="HE23" s="74">
        <v>1</v>
      </c>
      <c r="HF23" s="74">
        <v>1</v>
      </c>
      <c r="HG23" s="74">
        <v>1</v>
      </c>
      <c r="HH23" s="74">
        <v>1</v>
      </c>
      <c r="HI23" s="74">
        <v>1</v>
      </c>
      <c r="HJ23" s="74">
        <v>1</v>
      </c>
      <c r="HK23" s="74">
        <v>1</v>
      </c>
      <c r="HL23" s="74">
        <v>1</v>
      </c>
      <c r="HM23" s="74">
        <v>1</v>
      </c>
      <c r="HN23" s="74">
        <v>1</v>
      </c>
      <c r="HO23" s="74">
        <v>1</v>
      </c>
      <c r="HP23" s="74">
        <v>1</v>
      </c>
      <c r="HQ23" s="74">
        <v>1</v>
      </c>
      <c r="HR23" s="74">
        <v>1</v>
      </c>
      <c r="HS23" s="74">
        <v>1</v>
      </c>
      <c r="HT23" s="74">
        <v>1</v>
      </c>
      <c r="HU23" s="74">
        <v>1</v>
      </c>
      <c r="HV23" s="74">
        <v>1</v>
      </c>
      <c r="HW23" s="74">
        <v>1</v>
      </c>
      <c r="HX23" s="75">
        <v>1</v>
      </c>
    </row>
    <row r="24" spans="1:232" x14ac:dyDescent="0.2">
      <c r="B24" s="80" t="s">
        <v>70</v>
      </c>
      <c r="C24" s="80" t="s">
        <v>131</v>
      </c>
      <c r="D24" s="81">
        <v>5.2</v>
      </c>
      <c r="E24" s="80" t="s">
        <v>128</v>
      </c>
      <c r="F24" s="80" t="s">
        <v>122</v>
      </c>
      <c r="G24" s="78">
        <v>1</v>
      </c>
      <c r="H24" s="78">
        <v>1</v>
      </c>
      <c r="I24" s="78">
        <v>1</v>
      </c>
      <c r="J24" s="78">
        <v>1</v>
      </c>
      <c r="K24" s="78">
        <v>1</v>
      </c>
      <c r="L24" s="78">
        <v>1</v>
      </c>
      <c r="M24" s="78">
        <v>1</v>
      </c>
      <c r="N24" s="78">
        <v>1</v>
      </c>
      <c r="O24" s="78">
        <v>1</v>
      </c>
      <c r="P24" s="78">
        <v>1</v>
      </c>
      <c r="Q24" s="78">
        <v>1</v>
      </c>
      <c r="R24" s="78">
        <v>1</v>
      </c>
      <c r="S24" s="78">
        <v>1</v>
      </c>
      <c r="T24" s="78">
        <v>1</v>
      </c>
      <c r="U24" s="78">
        <v>1</v>
      </c>
      <c r="V24" s="78">
        <v>1</v>
      </c>
      <c r="W24" s="78">
        <v>1</v>
      </c>
      <c r="X24" s="78">
        <v>1</v>
      </c>
      <c r="Y24" s="78">
        <v>1</v>
      </c>
      <c r="Z24" s="78">
        <v>1</v>
      </c>
      <c r="AA24" s="78">
        <v>1</v>
      </c>
      <c r="AB24" s="78">
        <v>1</v>
      </c>
      <c r="AC24" s="78">
        <v>1</v>
      </c>
      <c r="AD24" s="74">
        <v>1</v>
      </c>
      <c r="AE24" s="78">
        <v>1</v>
      </c>
      <c r="AF24" s="78">
        <v>1</v>
      </c>
      <c r="AG24" s="78">
        <v>1</v>
      </c>
      <c r="AH24" s="78">
        <v>1</v>
      </c>
      <c r="AI24" s="78">
        <v>1</v>
      </c>
      <c r="AJ24" s="78">
        <v>1</v>
      </c>
      <c r="AK24" s="78">
        <v>1</v>
      </c>
      <c r="AL24" s="78">
        <v>1</v>
      </c>
      <c r="AM24" s="78">
        <v>1</v>
      </c>
      <c r="AN24" s="78">
        <v>1</v>
      </c>
      <c r="AO24" s="78">
        <v>1</v>
      </c>
      <c r="AP24" s="78">
        <v>1</v>
      </c>
      <c r="AQ24" s="78">
        <v>1</v>
      </c>
      <c r="AR24" s="78">
        <v>1</v>
      </c>
      <c r="AS24" s="78">
        <v>1</v>
      </c>
      <c r="AT24" s="78">
        <v>1</v>
      </c>
      <c r="AU24" s="78">
        <v>1</v>
      </c>
      <c r="AV24" s="78">
        <v>1</v>
      </c>
      <c r="AW24" s="78">
        <v>1</v>
      </c>
      <c r="AX24" s="78">
        <v>1</v>
      </c>
      <c r="AY24" s="78">
        <v>1</v>
      </c>
      <c r="AZ24" s="78">
        <v>1</v>
      </c>
      <c r="BA24" s="78">
        <v>1</v>
      </c>
      <c r="BB24" s="74">
        <v>1</v>
      </c>
      <c r="BC24" s="78">
        <v>1</v>
      </c>
      <c r="BD24" s="78">
        <v>1</v>
      </c>
      <c r="BE24" s="78">
        <v>1</v>
      </c>
      <c r="BF24" s="78">
        <v>1</v>
      </c>
      <c r="BG24" s="78">
        <v>1</v>
      </c>
      <c r="BH24" s="78">
        <v>1</v>
      </c>
      <c r="BI24" s="78">
        <v>1</v>
      </c>
      <c r="BJ24" s="78">
        <v>1</v>
      </c>
      <c r="BK24" s="78">
        <v>1</v>
      </c>
      <c r="BL24" s="78">
        <v>1</v>
      </c>
      <c r="BM24" s="78">
        <v>1</v>
      </c>
      <c r="BN24" s="78">
        <v>1</v>
      </c>
      <c r="BO24" s="78">
        <v>1</v>
      </c>
      <c r="BP24" s="78">
        <v>1</v>
      </c>
      <c r="BQ24" s="78">
        <v>1</v>
      </c>
      <c r="BR24" s="78">
        <v>1</v>
      </c>
      <c r="BS24" s="78">
        <v>1</v>
      </c>
      <c r="BT24" s="78">
        <v>1</v>
      </c>
      <c r="BU24" s="78">
        <v>1</v>
      </c>
      <c r="BV24" s="78">
        <v>1</v>
      </c>
      <c r="BW24" s="78">
        <v>1</v>
      </c>
      <c r="BX24" s="78">
        <v>1</v>
      </c>
      <c r="BY24" s="78">
        <v>1</v>
      </c>
      <c r="BZ24" s="74">
        <v>1</v>
      </c>
      <c r="CA24" s="78">
        <v>1</v>
      </c>
      <c r="CB24" s="78">
        <v>1</v>
      </c>
      <c r="CC24" s="78">
        <v>1</v>
      </c>
      <c r="CD24" s="78">
        <v>1</v>
      </c>
      <c r="CE24" s="78">
        <v>1</v>
      </c>
      <c r="CF24" s="78">
        <v>1</v>
      </c>
      <c r="CG24" s="78">
        <v>1</v>
      </c>
      <c r="CH24" s="78">
        <v>1</v>
      </c>
      <c r="CI24" s="78">
        <v>1</v>
      </c>
      <c r="CJ24" s="78">
        <v>1</v>
      </c>
      <c r="CK24" s="78">
        <v>1</v>
      </c>
      <c r="CL24" s="78">
        <v>1</v>
      </c>
      <c r="CM24" s="78">
        <v>1</v>
      </c>
      <c r="CN24" s="78">
        <v>1</v>
      </c>
      <c r="CO24" s="78">
        <v>1</v>
      </c>
      <c r="CP24" s="78">
        <v>1</v>
      </c>
      <c r="CQ24" s="78">
        <v>1</v>
      </c>
      <c r="CR24" s="78">
        <v>1</v>
      </c>
      <c r="CS24" s="78">
        <v>1</v>
      </c>
      <c r="CT24" s="78">
        <v>1</v>
      </c>
      <c r="CU24" s="78">
        <v>1</v>
      </c>
      <c r="CV24" s="78">
        <v>1</v>
      </c>
      <c r="CW24" s="78">
        <v>1</v>
      </c>
      <c r="CX24" s="74">
        <v>1</v>
      </c>
      <c r="CY24" s="78">
        <v>1</v>
      </c>
      <c r="CZ24" s="78">
        <v>1</v>
      </c>
      <c r="DA24" s="78">
        <v>1</v>
      </c>
      <c r="DB24" s="78">
        <v>1</v>
      </c>
      <c r="DC24" s="78">
        <v>1</v>
      </c>
      <c r="DD24" s="78">
        <v>1</v>
      </c>
      <c r="DE24" s="78">
        <v>1</v>
      </c>
      <c r="DF24" s="78">
        <v>1</v>
      </c>
      <c r="DG24" s="78">
        <v>1</v>
      </c>
      <c r="DH24" s="78">
        <v>1</v>
      </c>
      <c r="DI24" s="78">
        <v>1</v>
      </c>
      <c r="DJ24" s="78">
        <v>1</v>
      </c>
      <c r="DK24" s="78">
        <v>1</v>
      </c>
      <c r="DL24" s="78">
        <v>1</v>
      </c>
      <c r="DM24" s="78">
        <v>1</v>
      </c>
      <c r="DN24" s="78">
        <v>1</v>
      </c>
      <c r="DO24" s="78">
        <v>1</v>
      </c>
      <c r="DP24" s="78">
        <v>1</v>
      </c>
      <c r="DQ24" s="78">
        <v>1</v>
      </c>
      <c r="DR24" s="78">
        <v>1</v>
      </c>
      <c r="DS24" s="78">
        <v>1</v>
      </c>
      <c r="DT24" s="78">
        <v>1</v>
      </c>
      <c r="DU24" s="78">
        <v>1</v>
      </c>
      <c r="DV24" s="74">
        <v>1</v>
      </c>
      <c r="DW24" s="78">
        <v>1</v>
      </c>
      <c r="DX24" s="78">
        <v>1</v>
      </c>
      <c r="DY24" s="78">
        <v>1</v>
      </c>
      <c r="DZ24" s="78">
        <v>1</v>
      </c>
      <c r="EA24" s="78">
        <v>1</v>
      </c>
      <c r="EB24" s="78">
        <v>1</v>
      </c>
      <c r="EC24" s="78">
        <v>1</v>
      </c>
      <c r="ED24" s="78">
        <v>1</v>
      </c>
      <c r="EE24" s="78">
        <v>1</v>
      </c>
      <c r="EF24" s="78">
        <v>1</v>
      </c>
      <c r="EG24" s="78">
        <v>1</v>
      </c>
      <c r="EH24" s="78">
        <v>1</v>
      </c>
      <c r="EI24" s="78">
        <v>1</v>
      </c>
      <c r="EJ24" s="78">
        <v>1</v>
      </c>
      <c r="EK24" s="78">
        <v>1</v>
      </c>
      <c r="EL24" s="78">
        <v>1</v>
      </c>
      <c r="EM24" s="78">
        <v>1</v>
      </c>
      <c r="EN24" s="78">
        <v>1</v>
      </c>
      <c r="EO24" s="78">
        <v>1</v>
      </c>
      <c r="EP24" s="78">
        <v>1</v>
      </c>
      <c r="EQ24" s="78">
        <v>1</v>
      </c>
      <c r="ER24" s="78">
        <v>1</v>
      </c>
      <c r="ES24" s="78">
        <v>1</v>
      </c>
      <c r="ET24" s="74">
        <v>1</v>
      </c>
      <c r="EU24" s="78">
        <v>1</v>
      </c>
      <c r="EV24" s="78">
        <v>1</v>
      </c>
      <c r="EW24" s="78">
        <v>1</v>
      </c>
      <c r="EX24" s="78">
        <v>1</v>
      </c>
      <c r="EY24" s="78">
        <v>1</v>
      </c>
      <c r="EZ24" s="78">
        <v>1</v>
      </c>
      <c r="FA24" s="78">
        <v>1</v>
      </c>
      <c r="FB24" s="78">
        <v>1</v>
      </c>
      <c r="FC24" s="78">
        <v>1</v>
      </c>
      <c r="FD24" s="78">
        <v>1</v>
      </c>
      <c r="FE24" s="78">
        <v>1</v>
      </c>
      <c r="FF24" s="78">
        <v>1</v>
      </c>
      <c r="FG24" s="78">
        <v>1</v>
      </c>
      <c r="FH24" s="78">
        <v>1</v>
      </c>
      <c r="FI24" s="78">
        <v>1</v>
      </c>
      <c r="FJ24" s="78">
        <v>1</v>
      </c>
      <c r="FK24" s="78">
        <v>1</v>
      </c>
      <c r="FL24" s="78">
        <v>1</v>
      </c>
      <c r="FM24" s="78">
        <v>1</v>
      </c>
      <c r="FN24" s="78">
        <v>1</v>
      </c>
      <c r="FO24" s="78">
        <v>1</v>
      </c>
      <c r="FP24" s="78">
        <v>1</v>
      </c>
      <c r="FQ24" s="78">
        <v>1</v>
      </c>
      <c r="FR24" s="74">
        <v>1</v>
      </c>
      <c r="FS24" s="78">
        <v>1</v>
      </c>
      <c r="FT24" s="78">
        <v>1</v>
      </c>
      <c r="FU24" s="78">
        <v>1</v>
      </c>
      <c r="FV24" s="78">
        <v>1</v>
      </c>
      <c r="FW24" s="78">
        <v>1</v>
      </c>
      <c r="FX24" s="78">
        <v>1</v>
      </c>
      <c r="FY24" s="78">
        <v>1</v>
      </c>
      <c r="FZ24" s="78">
        <v>1</v>
      </c>
      <c r="GA24" s="78">
        <v>1</v>
      </c>
      <c r="GB24" s="78">
        <v>1</v>
      </c>
      <c r="GC24" s="78">
        <v>1</v>
      </c>
      <c r="GD24" s="78">
        <v>1</v>
      </c>
      <c r="GE24" s="78">
        <v>1</v>
      </c>
      <c r="GF24" s="78">
        <v>1</v>
      </c>
      <c r="GG24" s="78">
        <v>1</v>
      </c>
      <c r="GH24" s="78">
        <v>1</v>
      </c>
      <c r="GI24" s="78">
        <v>1</v>
      </c>
      <c r="GJ24" s="78">
        <v>1</v>
      </c>
      <c r="GK24" s="78">
        <v>1</v>
      </c>
      <c r="GL24" s="78">
        <v>1</v>
      </c>
      <c r="GM24" s="78">
        <v>1</v>
      </c>
      <c r="GN24" s="78">
        <v>1</v>
      </c>
      <c r="GO24" s="78">
        <v>1</v>
      </c>
      <c r="GP24" s="74">
        <v>1</v>
      </c>
      <c r="GQ24" s="78">
        <v>1</v>
      </c>
      <c r="GR24" s="78">
        <v>1</v>
      </c>
      <c r="GS24" s="78">
        <v>1</v>
      </c>
      <c r="GT24" s="78">
        <v>1</v>
      </c>
      <c r="GU24" s="78">
        <v>1</v>
      </c>
      <c r="GV24" s="78">
        <v>1</v>
      </c>
      <c r="GW24" s="78">
        <v>1</v>
      </c>
      <c r="GX24" s="78">
        <v>1</v>
      </c>
      <c r="GY24" s="78">
        <v>1</v>
      </c>
      <c r="GZ24" s="78">
        <v>1</v>
      </c>
      <c r="HA24" s="78">
        <v>1</v>
      </c>
      <c r="HB24" s="78">
        <v>1</v>
      </c>
      <c r="HC24" s="78">
        <v>1</v>
      </c>
      <c r="HD24" s="78">
        <v>1</v>
      </c>
      <c r="HE24" s="74">
        <v>1</v>
      </c>
      <c r="HF24" s="74">
        <v>1</v>
      </c>
      <c r="HG24" s="74">
        <v>1</v>
      </c>
      <c r="HH24" s="74">
        <v>1</v>
      </c>
      <c r="HI24" s="74">
        <v>1</v>
      </c>
      <c r="HJ24" s="74">
        <v>1</v>
      </c>
      <c r="HK24" s="74">
        <v>1</v>
      </c>
      <c r="HL24" s="74">
        <v>1</v>
      </c>
      <c r="HM24" s="74">
        <v>1</v>
      </c>
      <c r="HN24" s="74">
        <v>1</v>
      </c>
      <c r="HO24" s="74">
        <v>1</v>
      </c>
      <c r="HP24" s="74">
        <v>1</v>
      </c>
      <c r="HQ24" s="74">
        <v>1</v>
      </c>
      <c r="HR24" s="74">
        <v>1</v>
      </c>
      <c r="HS24" s="74">
        <v>1</v>
      </c>
      <c r="HT24" s="74">
        <v>1</v>
      </c>
      <c r="HU24" s="74">
        <v>1</v>
      </c>
      <c r="HV24" s="74">
        <v>1</v>
      </c>
      <c r="HW24" s="74">
        <v>1</v>
      </c>
      <c r="HX24" s="75">
        <v>1</v>
      </c>
    </row>
    <row r="25" spans="1:232" x14ac:dyDescent="0.2">
      <c r="B25" s="80" t="s">
        <v>71</v>
      </c>
      <c r="C25" s="80" t="s">
        <v>131</v>
      </c>
      <c r="D25" s="81">
        <v>5.2</v>
      </c>
      <c r="E25" s="80" t="s">
        <v>128</v>
      </c>
      <c r="F25" s="80" t="s">
        <v>123</v>
      </c>
      <c r="G25" s="78">
        <v>0</v>
      </c>
      <c r="H25" s="78">
        <v>0</v>
      </c>
      <c r="I25" s="78">
        <v>0</v>
      </c>
      <c r="J25" s="78">
        <v>0</v>
      </c>
      <c r="K25" s="78">
        <v>0</v>
      </c>
      <c r="L25" s="78">
        <v>0</v>
      </c>
      <c r="M25" s="78">
        <v>0</v>
      </c>
      <c r="N25" s="78">
        <v>0</v>
      </c>
      <c r="O25" s="78">
        <v>0</v>
      </c>
      <c r="P25" s="78">
        <v>0</v>
      </c>
      <c r="Q25" s="78">
        <v>0</v>
      </c>
      <c r="R25" s="78">
        <v>0</v>
      </c>
      <c r="S25" s="78">
        <v>0</v>
      </c>
      <c r="T25" s="74">
        <v>0</v>
      </c>
      <c r="U25" s="74">
        <v>0</v>
      </c>
      <c r="V25" s="74">
        <v>0</v>
      </c>
      <c r="W25" s="74">
        <v>0</v>
      </c>
      <c r="X25" s="74">
        <v>0</v>
      </c>
      <c r="Y25" s="74">
        <v>0</v>
      </c>
      <c r="Z25" s="74">
        <v>0</v>
      </c>
      <c r="AA25" s="74">
        <v>0</v>
      </c>
      <c r="AB25" s="74">
        <v>0</v>
      </c>
      <c r="AC25" s="74">
        <v>0</v>
      </c>
      <c r="AD25" s="74">
        <v>0</v>
      </c>
      <c r="AE25" s="74">
        <v>0</v>
      </c>
      <c r="AF25" s="74">
        <v>0</v>
      </c>
      <c r="AG25" s="74">
        <v>0</v>
      </c>
      <c r="AH25" s="74">
        <v>0</v>
      </c>
      <c r="AI25" s="74">
        <v>0</v>
      </c>
      <c r="AJ25" s="74">
        <v>0</v>
      </c>
      <c r="AK25" s="74">
        <v>0</v>
      </c>
      <c r="AL25" s="74">
        <v>0</v>
      </c>
      <c r="AM25" s="74">
        <v>0</v>
      </c>
      <c r="AN25" s="74">
        <v>0</v>
      </c>
      <c r="AO25" s="74">
        <v>0</v>
      </c>
      <c r="AP25" s="74">
        <v>0</v>
      </c>
      <c r="AQ25" s="78">
        <v>0</v>
      </c>
      <c r="AR25" s="74">
        <v>0</v>
      </c>
      <c r="AS25" s="74">
        <v>0</v>
      </c>
      <c r="AT25" s="74">
        <v>0</v>
      </c>
      <c r="AU25" s="74">
        <v>0</v>
      </c>
      <c r="AV25" s="74">
        <v>0</v>
      </c>
      <c r="AW25" s="74">
        <v>0</v>
      </c>
      <c r="AX25" s="74">
        <v>0</v>
      </c>
      <c r="AY25" s="74">
        <v>0</v>
      </c>
      <c r="AZ25" s="74">
        <v>0</v>
      </c>
      <c r="BA25" s="74">
        <v>0</v>
      </c>
      <c r="BB25" s="74">
        <v>0</v>
      </c>
      <c r="BC25" s="74">
        <v>0</v>
      </c>
      <c r="BD25" s="74">
        <v>0</v>
      </c>
      <c r="BE25" s="74">
        <v>0</v>
      </c>
      <c r="BF25" s="74">
        <v>0</v>
      </c>
      <c r="BG25" s="74">
        <v>0</v>
      </c>
      <c r="BH25" s="74">
        <v>0</v>
      </c>
      <c r="BI25" s="74">
        <v>0</v>
      </c>
      <c r="BJ25" s="74">
        <v>0</v>
      </c>
      <c r="BK25" s="74">
        <v>0</v>
      </c>
      <c r="BL25" s="74">
        <v>0</v>
      </c>
      <c r="BM25" s="74">
        <v>0</v>
      </c>
      <c r="BN25" s="74">
        <v>0</v>
      </c>
      <c r="BO25" s="74">
        <v>0</v>
      </c>
      <c r="BP25" s="74">
        <v>0</v>
      </c>
      <c r="BQ25" s="74">
        <v>0</v>
      </c>
      <c r="BR25" s="74">
        <v>0</v>
      </c>
      <c r="BS25" s="74">
        <v>0</v>
      </c>
      <c r="BT25" s="74">
        <v>0</v>
      </c>
      <c r="BU25" s="74">
        <v>0</v>
      </c>
      <c r="BV25" s="74">
        <v>0</v>
      </c>
      <c r="BW25" s="74">
        <v>0</v>
      </c>
      <c r="BX25" s="74">
        <v>0</v>
      </c>
      <c r="BY25" s="74">
        <v>0</v>
      </c>
      <c r="BZ25" s="74">
        <v>0</v>
      </c>
      <c r="CA25" s="78">
        <v>0</v>
      </c>
      <c r="CB25" s="74">
        <v>0</v>
      </c>
      <c r="CC25" s="74">
        <v>0</v>
      </c>
      <c r="CD25" s="74">
        <v>0</v>
      </c>
      <c r="CE25" s="74">
        <v>0</v>
      </c>
      <c r="CF25" s="74">
        <v>0</v>
      </c>
      <c r="CG25" s="74">
        <v>0</v>
      </c>
      <c r="CH25" s="74">
        <v>0</v>
      </c>
      <c r="CI25" s="74">
        <v>0</v>
      </c>
      <c r="CJ25" s="74">
        <v>0</v>
      </c>
      <c r="CK25" s="74">
        <v>0</v>
      </c>
      <c r="CL25" s="74">
        <v>0</v>
      </c>
      <c r="CM25" s="74">
        <v>0</v>
      </c>
      <c r="CN25" s="74">
        <v>0</v>
      </c>
      <c r="CO25" s="74">
        <v>0</v>
      </c>
      <c r="CP25" s="74">
        <v>0</v>
      </c>
      <c r="CQ25" s="74">
        <v>0</v>
      </c>
      <c r="CR25" s="74">
        <v>0</v>
      </c>
      <c r="CS25" s="74">
        <v>0</v>
      </c>
      <c r="CT25" s="74">
        <v>0</v>
      </c>
      <c r="CU25" s="74">
        <v>0</v>
      </c>
      <c r="CV25" s="74">
        <v>0</v>
      </c>
      <c r="CW25" s="74">
        <v>0</v>
      </c>
      <c r="CX25" s="74">
        <v>0</v>
      </c>
      <c r="CY25" s="78">
        <v>0</v>
      </c>
      <c r="CZ25" s="74">
        <v>0</v>
      </c>
      <c r="DA25" s="74">
        <v>0</v>
      </c>
      <c r="DB25" s="74">
        <v>0</v>
      </c>
      <c r="DC25" s="74">
        <v>0</v>
      </c>
      <c r="DD25" s="74">
        <v>0</v>
      </c>
      <c r="DE25" s="74">
        <v>0</v>
      </c>
      <c r="DF25" s="74">
        <v>0</v>
      </c>
      <c r="DG25" s="74">
        <v>0</v>
      </c>
      <c r="DH25" s="74">
        <v>0</v>
      </c>
      <c r="DI25" s="74">
        <v>0</v>
      </c>
      <c r="DJ25" s="74">
        <v>0</v>
      </c>
      <c r="DK25" s="74">
        <v>0</v>
      </c>
      <c r="DL25" s="74">
        <v>0</v>
      </c>
      <c r="DM25" s="74">
        <v>0</v>
      </c>
      <c r="DN25" s="74">
        <v>0</v>
      </c>
      <c r="DO25" s="74">
        <v>0</v>
      </c>
      <c r="DP25" s="74">
        <v>0</v>
      </c>
      <c r="DQ25" s="74">
        <v>0</v>
      </c>
      <c r="DR25" s="74">
        <v>0</v>
      </c>
      <c r="DS25" s="74">
        <v>0</v>
      </c>
      <c r="DT25" s="74">
        <v>0</v>
      </c>
      <c r="DU25" s="74">
        <v>0</v>
      </c>
      <c r="DV25" s="74">
        <v>0</v>
      </c>
      <c r="DW25" s="78">
        <v>0</v>
      </c>
      <c r="DX25" s="74">
        <v>0</v>
      </c>
      <c r="DY25" s="74">
        <v>0</v>
      </c>
      <c r="DZ25" s="74">
        <v>0</v>
      </c>
      <c r="EA25" s="74">
        <v>0</v>
      </c>
      <c r="EB25" s="74">
        <v>0</v>
      </c>
      <c r="EC25" s="74">
        <v>0</v>
      </c>
      <c r="ED25" s="74">
        <v>0</v>
      </c>
      <c r="EE25" s="74">
        <v>0</v>
      </c>
      <c r="EF25" s="74">
        <v>0</v>
      </c>
      <c r="EG25" s="74">
        <v>0</v>
      </c>
      <c r="EH25" s="74">
        <v>0</v>
      </c>
      <c r="EI25" s="74">
        <v>0</v>
      </c>
      <c r="EJ25" s="74">
        <v>0</v>
      </c>
      <c r="EK25" s="74">
        <v>0</v>
      </c>
      <c r="EL25" s="74">
        <v>0</v>
      </c>
      <c r="EM25" s="74">
        <v>0</v>
      </c>
      <c r="EN25" s="74">
        <v>0</v>
      </c>
      <c r="EO25" s="74">
        <v>0</v>
      </c>
      <c r="EP25" s="74">
        <v>0</v>
      </c>
      <c r="EQ25" s="74">
        <v>0</v>
      </c>
      <c r="ER25" s="74">
        <v>0</v>
      </c>
      <c r="ES25" s="74">
        <v>0</v>
      </c>
      <c r="ET25" s="74">
        <v>0</v>
      </c>
      <c r="EU25" s="78">
        <v>0</v>
      </c>
      <c r="EV25" s="74">
        <v>0</v>
      </c>
      <c r="EW25" s="74">
        <v>0</v>
      </c>
      <c r="EX25" s="74">
        <v>0</v>
      </c>
      <c r="EY25" s="74">
        <v>0</v>
      </c>
      <c r="EZ25" s="74">
        <v>0</v>
      </c>
      <c r="FA25" s="74">
        <v>0</v>
      </c>
      <c r="FB25" s="74">
        <v>0</v>
      </c>
      <c r="FC25" s="74">
        <v>0</v>
      </c>
      <c r="FD25" s="74">
        <v>0</v>
      </c>
      <c r="FE25" s="74">
        <v>0</v>
      </c>
      <c r="FF25" s="74">
        <v>0</v>
      </c>
      <c r="FG25" s="74">
        <v>0</v>
      </c>
      <c r="FH25" s="74">
        <v>0</v>
      </c>
      <c r="FI25" s="74">
        <v>0</v>
      </c>
      <c r="FJ25" s="74">
        <v>0</v>
      </c>
      <c r="FK25" s="74">
        <v>0</v>
      </c>
      <c r="FL25" s="74">
        <v>0</v>
      </c>
      <c r="FM25" s="74">
        <v>0</v>
      </c>
      <c r="FN25" s="74">
        <v>0</v>
      </c>
      <c r="FO25" s="74">
        <v>0</v>
      </c>
      <c r="FP25" s="74">
        <v>0</v>
      </c>
      <c r="FQ25" s="74">
        <v>0</v>
      </c>
      <c r="FR25" s="74">
        <v>0</v>
      </c>
      <c r="FS25" s="78">
        <v>0</v>
      </c>
      <c r="FT25" s="74">
        <v>0</v>
      </c>
      <c r="FU25" s="74">
        <v>0</v>
      </c>
      <c r="FV25" s="74">
        <v>0</v>
      </c>
      <c r="FW25" s="74">
        <v>0</v>
      </c>
      <c r="FX25" s="74">
        <v>0</v>
      </c>
      <c r="FY25" s="74">
        <v>0</v>
      </c>
      <c r="FZ25" s="74">
        <v>0</v>
      </c>
      <c r="GA25" s="74">
        <v>0</v>
      </c>
      <c r="GB25" s="74">
        <v>0</v>
      </c>
      <c r="GC25" s="74">
        <v>0</v>
      </c>
      <c r="GD25" s="74">
        <v>0</v>
      </c>
      <c r="GE25" s="74">
        <v>0</v>
      </c>
      <c r="GF25" s="74">
        <v>0</v>
      </c>
      <c r="GG25" s="74">
        <v>0</v>
      </c>
      <c r="GH25" s="74">
        <v>0</v>
      </c>
      <c r="GI25" s="74">
        <v>0</v>
      </c>
      <c r="GJ25" s="74">
        <v>0</v>
      </c>
      <c r="GK25" s="74">
        <v>0</v>
      </c>
      <c r="GL25" s="74">
        <v>0</v>
      </c>
      <c r="GM25" s="74">
        <v>0</v>
      </c>
      <c r="GN25" s="74">
        <v>0</v>
      </c>
      <c r="GO25" s="74">
        <v>0</v>
      </c>
      <c r="GP25" s="74">
        <v>0</v>
      </c>
      <c r="GQ25" s="78">
        <v>0</v>
      </c>
      <c r="GR25" s="74">
        <v>0</v>
      </c>
      <c r="GS25" s="74">
        <v>0</v>
      </c>
      <c r="GT25" s="74">
        <v>0</v>
      </c>
      <c r="GU25" s="74">
        <v>0</v>
      </c>
      <c r="GV25" s="74">
        <v>0</v>
      </c>
      <c r="GW25" s="74">
        <v>0</v>
      </c>
      <c r="GX25" s="74">
        <v>0</v>
      </c>
      <c r="GY25" s="74">
        <v>0</v>
      </c>
      <c r="GZ25" s="74">
        <v>0</v>
      </c>
      <c r="HA25" s="74">
        <v>0</v>
      </c>
      <c r="HB25" s="74">
        <v>0</v>
      </c>
      <c r="HC25" s="74">
        <v>0</v>
      </c>
      <c r="HD25" s="74">
        <v>0</v>
      </c>
      <c r="HE25" s="74">
        <v>0</v>
      </c>
      <c r="HF25" s="74">
        <v>0</v>
      </c>
      <c r="HG25" s="74">
        <v>0</v>
      </c>
      <c r="HH25" s="74">
        <v>0</v>
      </c>
      <c r="HI25" s="74">
        <v>0</v>
      </c>
      <c r="HJ25" s="74">
        <v>0</v>
      </c>
      <c r="HK25" s="74">
        <v>0</v>
      </c>
      <c r="HL25" s="74">
        <v>0</v>
      </c>
      <c r="HM25" s="74">
        <v>0</v>
      </c>
      <c r="HN25" s="74">
        <v>0</v>
      </c>
      <c r="HO25" s="74">
        <v>0</v>
      </c>
      <c r="HP25" s="74">
        <v>0</v>
      </c>
      <c r="HQ25" s="74">
        <v>0</v>
      </c>
      <c r="HR25" s="74">
        <v>0</v>
      </c>
      <c r="HS25" s="74">
        <v>0</v>
      </c>
      <c r="HT25" s="74">
        <v>0</v>
      </c>
      <c r="HU25" s="74">
        <v>0</v>
      </c>
      <c r="HV25" s="74">
        <v>0</v>
      </c>
      <c r="HW25" s="74">
        <v>0</v>
      </c>
      <c r="HX25" s="75">
        <v>0</v>
      </c>
    </row>
    <row r="26" spans="1:232" x14ac:dyDescent="0.2">
      <c r="B26" s="80" t="s">
        <v>72</v>
      </c>
      <c r="C26" s="80" t="s">
        <v>131</v>
      </c>
      <c r="D26" s="81">
        <v>5.2</v>
      </c>
      <c r="E26" s="80" t="s">
        <v>127</v>
      </c>
      <c r="F26" s="80" t="s">
        <v>123</v>
      </c>
      <c r="G26" s="78">
        <v>1</v>
      </c>
      <c r="H26" s="74">
        <v>1</v>
      </c>
      <c r="I26" s="74">
        <v>1</v>
      </c>
      <c r="J26" s="74">
        <v>1</v>
      </c>
      <c r="K26" s="74">
        <v>1</v>
      </c>
      <c r="L26" s="78">
        <v>1</v>
      </c>
      <c r="M26" s="78">
        <v>1</v>
      </c>
      <c r="N26" s="78">
        <v>1</v>
      </c>
      <c r="O26" s="78">
        <v>1</v>
      </c>
      <c r="P26" s="78">
        <v>1</v>
      </c>
      <c r="Q26" s="78">
        <v>1</v>
      </c>
      <c r="R26" s="78">
        <v>1</v>
      </c>
      <c r="S26" s="78">
        <v>1</v>
      </c>
      <c r="T26" s="78">
        <v>1</v>
      </c>
      <c r="U26" s="78">
        <v>1</v>
      </c>
      <c r="V26" s="78">
        <v>1</v>
      </c>
      <c r="W26" s="78">
        <v>1</v>
      </c>
      <c r="X26" s="74">
        <v>1</v>
      </c>
      <c r="Y26" s="74">
        <v>1</v>
      </c>
      <c r="Z26" s="74">
        <v>1</v>
      </c>
      <c r="AA26" s="74">
        <v>1</v>
      </c>
      <c r="AB26" s="74">
        <v>1</v>
      </c>
      <c r="AC26" s="74">
        <v>1</v>
      </c>
      <c r="AD26" s="74">
        <v>1</v>
      </c>
      <c r="AE26" s="78">
        <v>1</v>
      </c>
      <c r="AF26" s="74">
        <v>1</v>
      </c>
      <c r="AG26" s="74">
        <v>1</v>
      </c>
      <c r="AH26" s="74">
        <v>1</v>
      </c>
      <c r="AI26" s="74">
        <v>1</v>
      </c>
      <c r="AJ26" s="74">
        <v>1</v>
      </c>
      <c r="AK26" s="74">
        <v>1</v>
      </c>
      <c r="AL26" s="74">
        <v>1</v>
      </c>
      <c r="AM26" s="74">
        <v>1</v>
      </c>
      <c r="AN26" s="74">
        <v>1</v>
      </c>
      <c r="AO26" s="74">
        <v>1</v>
      </c>
      <c r="AP26" s="74">
        <v>1</v>
      </c>
      <c r="AQ26" s="74">
        <v>1</v>
      </c>
      <c r="AR26" s="74">
        <v>1</v>
      </c>
      <c r="AS26" s="74">
        <v>1</v>
      </c>
      <c r="AT26" s="74">
        <v>1</v>
      </c>
      <c r="AU26" s="74">
        <v>1</v>
      </c>
      <c r="AV26" s="74">
        <v>1</v>
      </c>
      <c r="AW26" s="74">
        <v>1</v>
      </c>
      <c r="AX26" s="74">
        <v>1</v>
      </c>
      <c r="AY26" s="74">
        <v>1</v>
      </c>
      <c r="AZ26" s="74">
        <v>1</v>
      </c>
      <c r="BA26" s="74">
        <v>1</v>
      </c>
      <c r="BB26" s="74">
        <v>1</v>
      </c>
      <c r="BC26" s="78">
        <v>1</v>
      </c>
      <c r="BD26" s="74">
        <v>1</v>
      </c>
      <c r="BE26" s="74">
        <v>1</v>
      </c>
      <c r="BF26" s="74">
        <v>1</v>
      </c>
      <c r="BG26" s="74">
        <v>1</v>
      </c>
      <c r="BH26" s="74">
        <v>1</v>
      </c>
      <c r="BI26" s="74">
        <v>1</v>
      </c>
      <c r="BJ26" s="74">
        <v>1</v>
      </c>
      <c r="BK26" s="74">
        <v>1</v>
      </c>
      <c r="BL26" s="74">
        <v>1</v>
      </c>
      <c r="BM26" s="74">
        <v>1</v>
      </c>
      <c r="BN26" s="74">
        <v>1</v>
      </c>
      <c r="BO26" s="74">
        <v>1</v>
      </c>
      <c r="BP26" s="74">
        <v>1</v>
      </c>
      <c r="BQ26" s="74">
        <v>1</v>
      </c>
      <c r="BR26" s="74">
        <v>1</v>
      </c>
      <c r="BS26" s="74">
        <v>1</v>
      </c>
      <c r="BT26" s="74">
        <v>1</v>
      </c>
      <c r="BU26" s="74">
        <v>1</v>
      </c>
      <c r="BV26" s="74">
        <v>1</v>
      </c>
      <c r="BW26" s="74">
        <v>1</v>
      </c>
      <c r="BX26" s="74">
        <v>1</v>
      </c>
      <c r="BY26" s="74">
        <v>1</v>
      </c>
      <c r="BZ26" s="74">
        <v>1</v>
      </c>
      <c r="CA26" s="78">
        <v>1</v>
      </c>
      <c r="CB26" s="74">
        <v>1</v>
      </c>
      <c r="CC26" s="74">
        <v>1</v>
      </c>
      <c r="CD26" s="74">
        <v>1</v>
      </c>
      <c r="CE26" s="74">
        <v>1</v>
      </c>
      <c r="CF26" s="74">
        <v>1</v>
      </c>
      <c r="CG26" s="74">
        <v>1</v>
      </c>
      <c r="CH26" s="74">
        <v>1</v>
      </c>
      <c r="CI26" s="74">
        <v>1</v>
      </c>
      <c r="CJ26" s="74">
        <v>1</v>
      </c>
      <c r="CK26" s="74">
        <v>1</v>
      </c>
      <c r="CL26" s="74">
        <v>1</v>
      </c>
      <c r="CM26" s="74">
        <v>1</v>
      </c>
      <c r="CN26" s="74">
        <v>1</v>
      </c>
      <c r="CO26" s="74">
        <v>1</v>
      </c>
      <c r="CP26" s="74">
        <v>1</v>
      </c>
      <c r="CQ26" s="74">
        <v>1</v>
      </c>
      <c r="CR26" s="74">
        <v>1</v>
      </c>
      <c r="CS26" s="74">
        <v>1</v>
      </c>
      <c r="CT26" s="74">
        <v>1</v>
      </c>
      <c r="CU26" s="74">
        <v>1</v>
      </c>
      <c r="CV26" s="74">
        <v>1</v>
      </c>
      <c r="CW26" s="74">
        <v>1</v>
      </c>
      <c r="CX26" s="74">
        <v>1</v>
      </c>
      <c r="CY26" s="78">
        <v>1</v>
      </c>
      <c r="CZ26" s="74">
        <v>1</v>
      </c>
      <c r="DA26" s="74">
        <v>1</v>
      </c>
      <c r="DB26" s="74">
        <v>1</v>
      </c>
      <c r="DC26" s="74">
        <v>1</v>
      </c>
      <c r="DD26" s="74">
        <v>1</v>
      </c>
      <c r="DE26" s="74">
        <v>1</v>
      </c>
      <c r="DF26" s="74">
        <v>1</v>
      </c>
      <c r="DG26" s="74">
        <v>1</v>
      </c>
      <c r="DH26" s="74">
        <v>1</v>
      </c>
      <c r="DI26" s="74">
        <v>1</v>
      </c>
      <c r="DJ26" s="74">
        <v>1</v>
      </c>
      <c r="DK26" s="74">
        <v>1</v>
      </c>
      <c r="DL26" s="74">
        <v>1</v>
      </c>
      <c r="DM26" s="74">
        <v>1</v>
      </c>
      <c r="DN26" s="74">
        <v>1</v>
      </c>
      <c r="DO26" s="74">
        <v>1</v>
      </c>
      <c r="DP26" s="74">
        <v>1</v>
      </c>
      <c r="DQ26" s="74">
        <v>1</v>
      </c>
      <c r="DR26" s="74">
        <v>1</v>
      </c>
      <c r="DS26" s="74">
        <v>1</v>
      </c>
      <c r="DT26" s="74">
        <v>1</v>
      </c>
      <c r="DU26" s="74">
        <v>1</v>
      </c>
      <c r="DV26" s="74">
        <v>1</v>
      </c>
      <c r="DW26" s="78">
        <v>1</v>
      </c>
      <c r="DX26" s="74">
        <v>1</v>
      </c>
      <c r="DY26" s="74">
        <v>1</v>
      </c>
      <c r="DZ26" s="74">
        <v>1</v>
      </c>
      <c r="EA26" s="74">
        <v>1</v>
      </c>
      <c r="EB26" s="74">
        <v>1</v>
      </c>
      <c r="EC26" s="74">
        <v>1</v>
      </c>
      <c r="ED26" s="74">
        <v>1</v>
      </c>
      <c r="EE26" s="74">
        <v>1</v>
      </c>
      <c r="EF26" s="74">
        <v>1</v>
      </c>
      <c r="EG26" s="74">
        <v>1</v>
      </c>
      <c r="EH26" s="74">
        <v>1</v>
      </c>
      <c r="EI26" s="74">
        <v>1</v>
      </c>
      <c r="EJ26" s="74">
        <v>1</v>
      </c>
      <c r="EK26" s="74">
        <v>1</v>
      </c>
      <c r="EL26" s="74">
        <v>1</v>
      </c>
      <c r="EM26" s="74">
        <v>1</v>
      </c>
      <c r="EN26" s="74">
        <v>1</v>
      </c>
      <c r="EO26" s="74">
        <v>1</v>
      </c>
      <c r="EP26" s="74">
        <v>1</v>
      </c>
      <c r="EQ26" s="74">
        <v>1</v>
      </c>
      <c r="ER26" s="74">
        <v>1</v>
      </c>
      <c r="ES26" s="74">
        <v>1</v>
      </c>
      <c r="ET26" s="74">
        <v>1</v>
      </c>
      <c r="EU26" s="78">
        <v>1</v>
      </c>
      <c r="EV26" s="74">
        <v>1</v>
      </c>
      <c r="EW26" s="74">
        <v>1</v>
      </c>
      <c r="EX26" s="74">
        <v>1</v>
      </c>
      <c r="EY26" s="74">
        <v>1</v>
      </c>
      <c r="EZ26" s="74">
        <v>1</v>
      </c>
      <c r="FA26" s="74">
        <v>1</v>
      </c>
      <c r="FB26" s="74">
        <v>1</v>
      </c>
      <c r="FC26" s="74">
        <v>1</v>
      </c>
      <c r="FD26" s="74">
        <v>1</v>
      </c>
      <c r="FE26" s="74">
        <v>1</v>
      </c>
      <c r="FF26" s="74">
        <v>1</v>
      </c>
      <c r="FG26" s="74">
        <v>1</v>
      </c>
      <c r="FH26" s="74">
        <v>1</v>
      </c>
      <c r="FI26" s="74">
        <v>1</v>
      </c>
      <c r="FJ26" s="74">
        <v>1</v>
      </c>
      <c r="FK26" s="74">
        <v>1</v>
      </c>
      <c r="FL26" s="74">
        <v>1</v>
      </c>
      <c r="FM26" s="74">
        <v>1</v>
      </c>
      <c r="FN26" s="74">
        <v>1</v>
      </c>
      <c r="FO26" s="74">
        <v>1</v>
      </c>
      <c r="FP26" s="74">
        <v>1</v>
      </c>
      <c r="FQ26" s="74">
        <v>1</v>
      </c>
      <c r="FR26" s="74">
        <v>1</v>
      </c>
      <c r="FS26" s="78">
        <v>1</v>
      </c>
      <c r="FT26" s="74">
        <v>1</v>
      </c>
      <c r="FU26" s="74">
        <v>1</v>
      </c>
      <c r="FV26" s="74">
        <v>1</v>
      </c>
      <c r="FW26" s="74">
        <v>1</v>
      </c>
      <c r="FX26" s="74">
        <v>1</v>
      </c>
      <c r="FY26" s="74">
        <v>1</v>
      </c>
      <c r="FZ26" s="74">
        <v>1</v>
      </c>
      <c r="GA26" s="74">
        <v>1</v>
      </c>
      <c r="GB26" s="74">
        <v>1</v>
      </c>
      <c r="GC26" s="74">
        <v>1</v>
      </c>
      <c r="GD26" s="74">
        <v>1</v>
      </c>
      <c r="GE26" s="74">
        <v>1</v>
      </c>
      <c r="GF26" s="74">
        <v>1</v>
      </c>
      <c r="GG26" s="74">
        <v>1</v>
      </c>
      <c r="GH26" s="74">
        <v>1</v>
      </c>
      <c r="GI26" s="74">
        <v>1</v>
      </c>
      <c r="GJ26" s="74">
        <v>1</v>
      </c>
      <c r="GK26" s="74">
        <v>1</v>
      </c>
      <c r="GL26" s="74">
        <v>1</v>
      </c>
      <c r="GM26" s="74">
        <v>1</v>
      </c>
      <c r="GN26" s="74">
        <v>1</v>
      </c>
      <c r="GO26" s="74">
        <v>1</v>
      </c>
      <c r="GP26" s="74">
        <v>1</v>
      </c>
      <c r="GQ26" s="78">
        <v>1</v>
      </c>
      <c r="GR26" s="74">
        <v>1</v>
      </c>
      <c r="GS26" s="74">
        <v>1</v>
      </c>
      <c r="GT26" s="74">
        <v>1</v>
      </c>
      <c r="GU26" s="74">
        <v>1</v>
      </c>
      <c r="GV26" s="74">
        <v>1</v>
      </c>
      <c r="GW26" s="74">
        <v>1</v>
      </c>
      <c r="GX26" s="74">
        <v>1</v>
      </c>
      <c r="GY26" s="74">
        <v>1</v>
      </c>
      <c r="GZ26" s="74">
        <v>1</v>
      </c>
      <c r="HA26" s="74">
        <v>1</v>
      </c>
      <c r="HB26" s="74">
        <v>1</v>
      </c>
      <c r="HC26" s="74">
        <v>1</v>
      </c>
      <c r="HD26" s="74">
        <v>1</v>
      </c>
      <c r="HE26" s="74">
        <v>1</v>
      </c>
      <c r="HF26" s="74">
        <v>1</v>
      </c>
      <c r="HG26" s="74">
        <v>1</v>
      </c>
      <c r="HH26" s="74">
        <v>1</v>
      </c>
      <c r="HI26" s="74">
        <v>1</v>
      </c>
      <c r="HJ26" s="74">
        <v>1</v>
      </c>
      <c r="HK26" s="74">
        <v>1</v>
      </c>
      <c r="HL26" s="74">
        <v>1</v>
      </c>
      <c r="HM26" s="74">
        <v>1</v>
      </c>
      <c r="HN26" s="74">
        <v>1</v>
      </c>
      <c r="HO26" s="74">
        <v>1</v>
      </c>
      <c r="HP26" s="74">
        <v>1</v>
      </c>
      <c r="HQ26" s="74">
        <v>1</v>
      </c>
      <c r="HR26" s="74">
        <v>1</v>
      </c>
      <c r="HS26" s="74">
        <v>1</v>
      </c>
      <c r="HT26" s="74">
        <v>1</v>
      </c>
      <c r="HU26" s="74">
        <v>1</v>
      </c>
      <c r="HV26" s="74">
        <v>1</v>
      </c>
      <c r="HW26" s="74">
        <v>1</v>
      </c>
      <c r="HX26" s="75">
        <v>1</v>
      </c>
    </row>
    <row r="27" spans="1:232" x14ac:dyDescent="0.2">
      <c r="B27" s="80" t="s">
        <v>73</v>
      </c>
      <c r="C27" s="80" t="s">
        <v>131</v>
      </c>
      <c r="D27" s="81">
        <v>5.2</v>
      </c>
      <c r="E27" s="80" t="s">
        <v>127</v>
      </c>
      <c r="F27" s="80" t="s">
        <v>123</v>
      </c>
      <c r="G27" s="78">
        <v>1</v>
      </c>
      <c r="H27" s="74">
        <v>1</v>
      </c>
      <c r="I27" s="74">
        <v>1</v>
      </c>
      <c r="J27" s="74">
        <v>1</v>
      </c>
      <c r="K27" s="74">
        <v>1</v>
      </c>
      <c r="L27" s="78">
        <v>1</v>
      </c>
      <c r="M27" s="78">
        <v>1</v>
      </c>
      <c r="N27" s="78">
        <v>1</v>
      </c>
      <c r="O27" s="78">
        <v>1</v>
      </c>
      <c r="P27" s="78">
        <v>1</v>
      </c>
      <c r="Q27" s="78">
        <v>1</v>
      </c>
      <c r="R27" s="78">
        <v>1</v>
      </c>
      <c r="S27" s="78">
        <v>1</v>
      </c>
      <c r="T27" s="78">
        <v>1</v>
      </c>
      <c r="U27" s="78">
        <v>1</v>
      </c>
      <c r="V27" s="78">
        <v>1</v>
      </c>
      <c r="W27" s="78">
        <v>1</v>
      </c>
      <c r="X27" s="74">
        <v>1</v>
      </c>
      <c r="Y27" s="74">
        <v>1</v>
      </c>
      <c r="Z27" s="74">
        <v>1</v>
      </c>
      <c r="AA27" s="74">
        <v>1</v>
      </c>
      <c r="AB27" s="74">
        <v>1</v>
      </c>
      <c r="AC27" s="74">
        <v>1</v>
      </c>
      <c r="AD27" s="74">
        <v>1</v>
      </c>
      <c r="AE27" s="78">
        <v>1</v>
      </c>
      <c r="AF27" s="74">
        <v>1</v>
      </c>
      <c r="AG27" s="74">
        <v>1</v>
      </c>
      <c r="AH27" s="74">
        <v>1</v>
      </c>
      <c r="AI27" s="74">
        <v>1</v>
      </c>
      <c r="AJ27" s="74">
        <v>1</v>
      </c>
      <c r="AK27" s="74">
        <v>1</v>
      </c>
      <c r="AL27" s="74">
        <v>1</v>
      </c>
      <c r="AM27" s="74">
        <v>1</v>
      </c>
      <c r="AN27" s="74">
        <v>1</v>
      </c>
      <c r="AO27" s="74">
        <v>1</v>
      </c>
      <c r="AP27" s="74">
        <v>1</v>
      </c>
      <c r="AQ27" s="74">
        <v>1</v>
      </c>
      <c r="AR27" s="74">
        <v>1</v>
      </c>
      <c r="AS27" s="74">
        <v>1</v>
      </c>
      <c r="AT27" s="74">
        <v>1</v>
      </c>
      <c r="AU27" s="74">
        <v>1</v>
      </c>
      <c r="AV27" s="74">
        <v>1</v>
      </c>
      <c r="AW27" s="74">
        <v>1</v>
      </c>
      <c r="AX27" s="74">
        <v>1</v>
      </c>
      <c r="AY27" s="74">
        <v>1</v>
      </c>
      <c r="AZ27" s="74">
        <v>1</v>
      </c>
      <c r="BA27" s="74">
        <v>1</v>
      </c>
      <c r="BB27" s="74">
        <v>1</v>
      </c>
      <c r="BC27" s="78">
        <v>1</v>
      </c>
      <c r="BD27" s="74">
        <v>1</v>
      </c>
      <c r="BE27" s="74">
        <v>1</v>
      </c>
      <c r="BF27" s="74">
        <v>1</v>
      </c>
      <c r="BG27" s="74">
        <v>1</v>
      </c>
      <c r="BH27" s="74">
        <v>1</v>
      </c>
      <c r="BI27" s="74">
        <v>1</v>
      </c>
      <c r="BJ27" s="74">
        <v>1</v>
      </c>
      <c r="BK27" s="74">
        <v>1</v>
      </c>
      <c r="BL27" s="74">
        <v>1</v>
      </c>
      <c r="BM27" s="74">
        <v>1</v>
      </c>
      <c r="BN27" s="74">
        <v>1</v>
      </c>
      <c r="BO27" s="74">
        <v>1</v>
      </c>
      <c r="BP27" s="74">
        <v>1</v>
      </c>
      <c r="BQ27" s="74">
        <v>1</v>
      </c>
      <c r="BR27" s="74">
        <v>1</v>
      </c>
      <c r="BS27" s="74">
        <v>1</v>
      </c>
      <c r="BT27" s="74">
        <v>1</v>
      </c>
      <c r="BU27" s="74">
        <v>1</v>
      </c>
      <c r="BV27" s="74">
        <v>1</v>
      </c>
      <c r="BW27" s="74">
        <v>1</v>
      </c>
      <c r="BX27" s="74">
        <v>1</v>
      </c>
      <c r="BY27" s="74">
        <v>1</v>
      </c>
      <c r="BZ27" s="74">
        <v>1</v>
      </c>
      <c r="CA27" s="78">
        <v>1</v>
      </c>
      <c r="CB27" s="74">
        <v>1</v>
      </c>
      <c r="CC27" s="74">
        <v>1</v>
      </c>
      <c r="CD27" s="74">
        <v>1</v>
      </c>
      <c r="CE27" s="74">
        <v>1</v>
      </c>
      <c r="CF27" s="74">
        <v>1</v>
      </c>
      <c r="CG27" s="74">
        <v>1</v>
      </c>
      <c r="CH27" s="74">
        <v>1</v>
      </c>
      <c r="CI27" s="74">
        <v>1</v>
      </c>
      <c r="CJ27" s="74">
        <v>1</v>
      </c>
      <c r="CK27" s="74">
        <v>1</v>
      </c>
      <c r="CL27" s="74">
        <v>1</v>
      </c>
      <c r="CM27" s="74">
        <v>1</v>
      </c>
      <c r="CN27" s="74">
        <v>1</v>
      </c>
      <c r="CO27" s="74">
        <v>1</v>
      </c>
      <c r="CP27" s="74">
        <v>1</v>
      </c>
      <c r="CQ27" s="74">
        <v>1</v>
      </c>
      <c r="CR27" s="74">
        <v>1</v>
      </c>
      <c r="CS27" s="74">
        <v>1</v>
      </c>
      <c r="CT27" s="74">
        <v>1</v>
      </c>
      <c r="CU27" s="74">
        <v>1</v>
      </c>
      <c r="CV27" s="74">
        <v>1</v>
      </c>
      <c r="CW27" s="74">
        <v>1</v>
      </c>
      <c r="CX27" s="74">
        <v>1</v>
      </c>
      <c r="CY27" s="78">
        <v>1</v>
      </c>
      <c r="CZ27" s="74">
        <v>1</v>
      </c>
      <c r="DA27" s="74">
        <v>1</v>
      </c>
      <c r="DB27" s="74">
        <v>1</v>
      </c>
      <c r="DC27" s="74">
        <v>1</v>
      </c>
      <c r="DD27" s="74">
        <v>1</v>
      </c>
      <c r="DE27" s="74">
        <v>1</v>
      </c>
      <c r="DF27" s="74">
        <v>1</v>
      </c>
      <c r="DG27" s="74">
        <v>1</v>
      </c>
      <c r="DH27" s="74">
        <v>1</v>
      </c>
      <c r="DI27" s="74">
        <v>1</v>
      </c>
      <c r="DJ27" s="74">
        <v>1</v>
      </c>
      <c r="DK27" s="74">
        <v>1</v>
      </c>
      <c r="DL27" s="74">
        <v>1</v>
      </c>
      <c r="DM27" s="74">
        <v>1</v>
      </c>
      <c r="DN27" s="74">
        <v>1</v>
      </c>
      <c r="DO27" s="74">
        <v>1</v>
      </c>
      <c r="DP27" s="74">
        <v>1</v>
      </c>
      <c r="DQ27" s="74">
        <v>1</v>
      </c>
      <c r="DR27" s="74">
        <v>1</v>
      </c>
      <c r="DS27" s="74">
        <v>1</v>
      </c>
      <c r="DT27" s="74">
        <v>1</v>
      </c>
      <c r="DU27" s="74">
        <v>1</v>
      </c>
      <c r="DV27" s="74">
        <v>1</v>
      </c>
      <c r="DW27" s="78">
        <v>1</v>
      </c>
      <c r="DX27" s="74">
        <v>1</v>
      </c>
      <c r="DY27" s="74">
        <v>1</v>
      </c>
      <c r="DZ27" s="74">
        <v>1</v>
      </c>
      <c r="EA27" s="74">
        <v>1</v>
      </c>
      <c r="EB27" s="74">
        <v>1</v>
      </c>
      <c r="EC27" s="74">
        <v>1</v>
      </c>
      <c r="ED27" s="74">
        <v>1</v>
      </c>
      <c r="EE27" s="74">
        <v>1</v>
      </c>
      <c r="EF27" s="74">
        <v>1</v>
      </c>
      <c r="EG27" s="74">
        <v>1</v>
      </c>
      <c r="EH27" s="74">
        <v>1</v>
      </c>
      <c r="EI27" s="74">
        <v>1</v>
      </c>
      <c r="EJ27" s="74">
        <v>1</v>
      </c>
      <c r="EK27" s="74">
        <v>1</v>
      </c>
      <c r="EL27" s="74">
        <v>1</v>
      </c>
      <c r="EM27" s="74">
        <v>1</v>
      </c>
      <c r="EN27" s="74">
        <v>1</v>
      </c>
      <c r="EO27" s="74">
        <v>1</v>
      </c>
      <c r="EP27" s="74">
        <v>1</v>
      </c>
      <c r="EQ27" s="74">
        <v>1</v>
      </c>
      <c r="ER27" s="74">
        <v>1</v>
      </c>
      <c r="ES27" s="74">
        <v>1</v>
      </c>
      <c r="ET27" s="74">
        <v>1</v>
      </c>
      <c r="EU27" s="78">
        <v>1</v>
      </c>
      <c r="EV27" s="74">
        <v>1</v>
      </c>
      <c r="EW27" s="74">
        <v>1</v>
      </c>
      <c r="EX27" s="74">
        <v>1</v>
      </c>
      <c r="EY27" s="74">
        <v>1</v>
      </c>
      <c r="EZ27" s="74">
        <v>1</v>
      </c>
      <c r="FA27" s="74">
        <v>1</v>
      </c>
      <c r="FB27" s="74">
        <v>1</v>
      </c>
      <c r="FC27" s="74">
        <v>1</v>
      </c>
      <c r="FD27" s="74">
        <v>1</v>
      </c>
      <c r="FE27" s="74">
        <v>1</v>
      </c>
      <c r="FF27" s="74">
        <v>1</v>
      </c>
      <c r="FG27" s="74">
        <v>1</v>
      </c>
      <c r="FH27" s="74">
        <v>1</v>
      </c>
      <c r="FI27" s="74">
        <v>1</v>
      </c>
      <c r="FJ27" s="74">
        <v>1</v>
      </c>
      <c r="FK27" s="74">
        <v>1</v>
      </c>
      <c r="FL27" s="74">
        <v>1</v>
      </c>
      <c r="FM27" s="74">
        <v>1</v>
      </c>
      <c r="FN27" s="74">
        <v>1</v>
      </c>
      <c r="FO27" s="74">
        <v>1</v>
      </c>
      <c r="FP27" s="74">
        <v>1</v>
      </c>
      <c r="FQ27" s="74">
        <v>1</v>
      </c>
      <c r="FR27" s="74">
        <v>1</v>
      </c>
      <c r="FS27" s="78">
        <v>1</v>
      </c>
      <c r="FT27" s="74">
        <v>1</v>
      </c>
      <c r="FU27" s="74">
        <v>1</v>
      </c>
      <c r="FV27" s="74">
        <v>1</v>
      </c>
      <c r="FW27" s="74">
        <v>1</v>
      </c>
      <c r="FX27" s="74">
        <v>1</v>
      </c>
      <c r="FY27" s="74">
        <v>1</v>
      </c>
      <c r="FZ27" s="74">
        <v>1</v>
      </c>
      <c r="GA27" s="74">
        <v>1</v>
      </c>
      <c r="GB27" s="74">
        <v>1</v>
      </c>
      <c r="GC27" s="74">
        <v>1</v>
      </c>
      <c r="GD27" s="74">
        <v>1</v>
      </c>
      <c r="GE27" s="74">
        <v>1</v>
      </c>
      <c r="GF27" s="74">
        <v>1</v>
      </c>
      <c r="GG27" s="74">
        <v>1</v>
      </c>
      <c r="GH27" s="74">
        <v>1</v>
      </c>
      <c r="GI27" s="74">
        <v>1</v>
      </c>
      <c r="GJ27" s="74">
        <v>1</v>
      </c>
      <c r="GK27" s="74">
        <v>1</v>
      </c>
      <c r="GL27" s="74">
        <v>1</v>
      </c>
      <c r="GM27" s="74">
        <v>1</v>
      </c>
      <c r="GN27" s="74">
        <v>1</v>
      </c>
      <c r="GO27" s="74">
        <v>1</v>
      </c>
      <c r="GP27" s="74">
        <v>1</v>
      </c>
      <c r="GQ27" s="78">
        <v>1</v>
      </c>
      <c r="GR27" s="74">
        <v>1</v>
      </c>
      <c r="GS27" s="74">
        <v>1</v>
      </c>
      <c r="GT27" s="74">
        <v>1</v>
      </c>
      <c r="GU27" s="74">
        <v>1</v>
      </c>
      <c r="GV27" s="74">
        <v>1</v>
      </c>
      <c r="GW27" s="74">
        <v>1</v>
      </c>
      <c r="GX27" s="74">
        <v>1</v>
      </c>
      <c r="GY27" s="74">
        <v>1</v>
      </c>
      <c r="GZ27" s="74">
        <v>1</v>
      </c>
      <c r="HA27" s="74">
        <v>1</v>
      </c>
      <c r="HB27" s="74">
        <v>1</v>
      </c>
      <c r="HC27" s="74">
        <v>1</v>
      </c>
      <c r="HD27" s="74">
        <v>1</v>
      </c>
      <c r="HE27" s="74">
        <v>1</v>
      </c>
      <c r="HF27" s="74">
        <v>1</v>
      </c>
      <c r="HG27" s="74">
        <v>1</v>
      </c>
      <c r="HH27" s="74">
        <v>1</v>
      </c>
      <c r="HI27" s="74">
        <v>1</v>
      </c>
      <c r="HJ27" s="74">
        <v>1</v>
      </c>
      <c r="HK27" s="74">
        <v>1</v>
      </c>
      <c r="HL27" s="74">
        <v>1</v>
      </c>
      <c r="HM27" s="74">
        <v>1</v>
      </c>
      <c r="HN27" s="74">
        <v>1</v>
      </c>
      <c r="HO27" s="74">
        <v>1</v>
      </c>
      <c r="HP27" s="74">
        <v>1</v>
      </c>
      <c r="HQ27" s="74">
        <v>1</v>
      </c>
      <c r="HR27" s="74">
        <v>1</v>
      </c>
      <c r="HS27" s="74">
        <v>1</v>
      </c>
      <c r="HT27" s="74">
        <v>1</v>
      </c>
      <c r="HU27" s="74">
        <v>1</v>
      </c>
      <c r="HV27" s="74">
        <v>1</v>
      </c>
      <c r="HW27" s="74">
        <v>1</v>
      </c>
      <c r="HX27" s="75">
        <v>1</v>
      </c>
    </row>
    <row r="28" spans="1:232" x14ac:dyDescent="0.2">
      <c r="A28" s="27" t="s">
        <v>122</v>
      </c>
      <c r="B28" s="82" t="s">
        <v>74</v>
      </c>
      <c r="C28" s="80" t="s">
        <v>131</v>
      </c>
      <c r="D28" s="81">
        <v>5.2</v>
      </c>
      <c r="E28" s="80" t="s">
        <v>127</v>
      </c>
      <c r="F28" s="80" t="s">
        <v>123</v>
      </c>
      <c r="G28" s="78">
        <v>1</v>
      </c>
      <c r="H28" s="74">
        <v>1</v>
      </c>
      <c r="I28" s="74">
        <v>1</v>
      </c>
      <c r="J28" s="74">
        <v>1</v>
      </c>
      <c r="K28" s="74">
        <v>1</v>
      </c>
      <c r="L28" s="74">
        <v>1</v>
      </c>
      <c r="M28" s="74">
        <v>1</v>
      </c>
      <c r="N28" s="74">
        <v>1</v>
      </c>
      <c r="O28" s="74">
        <v>1</v>
      </c>
      <c r="P28" s="74">
        <v>1</v>
      </c>
      <c r="Q28" s="74">
        <v>1</v>
      </c>
      <c r="R28" s="74">
        <v>1</v>
      </c>
      <c r="S28" s="74">
        <v>1</v>
      </c>
      <c r="T28" s="74">
        <v>1</v>
      </c>
      <c r="U28" s="74">
        <v>1</v>
      </c>
      <c r="V28" s="74">
        <v>1</v>
      </c>
      <c r="W28" s="74">
        <v>1</v>
      </c>
      <c r="X28" s="74">
        <v>1</v>
      </c>
      <c r="Y28" s="74">
        <v>1</v>
      </c>
      <c r="Z28" s="74">
        <v>1</v>
      </c>
      <c r="AA28" s="74">
        <v>1</v>
      </c>
      <c r="AB28" s="74">
        <v>1</v>
      </c>
      <c r="AC28" s="74">
        <v>1</v>
      </c>
      <c r="AD28" s="74">
        <v>1</v>
      </c>
      <c r="AE28" s="78">
        <v>1</v>
      </c>
      <c r="AF28" s="74">
        <v>1</v>
      </c>
      <c r="AG28" s="74">
        <v>1</v>
      </c>
      <c r="AH28" s="74">
        <v>1</v>
      </c>
      <c r="AI28" s="74">
        <v>1</v>
      </c>
      <c r="AJ28" s="74">
        <v>1</v>
      </c>
      <c r="AK28" s="74">
        <v>1</v>
      </c>
      <c r="AL28" s="74">
        <v>1</v>
      </c>
      <c r="AM28" s="74">
        <v>1</v>
      </c>
      <c r="AN28" s="74">
        <v>1</v>
      </c>
      <c r="AO28" s="74">
        <v>1</v>
      </c>
      <c r="AP28" s="74">
        <v>1</v>
      </c>
      <c r="AQ28" s="74">
        <v>1</v>
      </c>
      <c r="AR28" s="74">
        <v>1</v>
      </c>
      <c r="AS28" s="74">
        <v>1</v>
      </c>
      <c r="AT28" s="74">
        <v>1</v>
      </c>
      <c r="AU28" s="74">
        <v>1</v>
      </c>
      <c r="AV28" s="74">
        <v>1</v>
      </c>
      <c r="AW28" s="74">
        <v>1</v>
      </c>
      <c r="AX28" s="74">
        <v>1</v>
      </c>
      <c r="AY28" s="74">
        <v>1</v>
      </c>
      <c r="AZ28" s="74">
        <v>1</v>
      </c>
      <c r="BA28" s="74">
        <v>0</v>
      </c>
      <c r="BB28" s="74">
        <v>0</v>
      </c>
      <c r="BC28" s="78">
        <v>0</v>
      </c>
      <c r="BD28" s="74">
        <v>0</v>
      </c>
      <c r="BE28" s="74">
        <v>0</v>
      </c>
      <c r="BF28" s="74">
        <v>0</v>
      </c>
      <c r="BG28" s="74">
        <v>0</v>
      </c>
      <c r="BH28" s="74">
        <v>0</v>
      </c>
      <c r="BI28" s="74">
        <v>0</v>
      </c>
      <c r="BJ28" s="74">
        <v>0</v>
      </c>
      <c r="BK28" s="74">
        <v>0</v>
      </c>
      <c r="BL28" s="74">
        <v>1</v>
      </c>
      <c r="BM28" s="74">
        <v>1</v>
      </c>
      <c r="BN28" s="74">
        <v>1</v>
      </c>
      <c r="BO28" s="74">
        <v>1</v>
      </c>
      <c r="BP28" s="74">
        <v>1</v>
      </c>
      <c r="BQ28" s="74">
        <v>1</v>
      </c>
      <c r="BR28" s="74">
        <v>1</v>
      </c>
      <c r="BS28" s="74">
        <v>1</v>
      </c>
      <c r="BT28" s="74">
        <v>1</v>
      </c>
      <c r="BU28" s="74">
        <v>1</v>
      </c>
      <c r="BV28" s="74">
        <v>1</v>
      </c>
      <c r="BW28" s="74">
        <v>1</v>
      </c>
      <c r="BX28" s="74">
        <v>1</v>
      </c>
      <c r="BY28" s="74">
        <v>0</v>
      </c>
      <c r="BZ28" s="74">
        <v>0</v>
      </c>
      <c r="CA28" s="78">
        <v>0</v>
      </c>
      <c r="CB28" s="74">
        <v>0</v>
      </c>
      <c r="CC28" s="74">
        <v>0</v>
      </c>
      <c r="CD28" s="74">
        <v>0</v>
      </c>
      <c r="CE28" s="74">
        <v>0</v>
      </c>
      <c r="CF28" s="74">
        <v>0</v>
      </c>
      <c r="CG28" s="74">
        <v>0</v>
      </c>
      <c r="CH28" s="74">
        <v>0</v>
      </c>
      <c r="CI28" s="74">
        <v>0</v>
      </c>
      <c r="CJ28" s="74">
        <v>1</v>
      </c>
      <c r="CK28" s="74">
        <v>1</v>
      </c>
      <c r="CL28" s="74">
        <v>1</v>
      </c>
      <c r="CM28" s="74">
        <v>1</v>
      </c>
      <c r="CN28" s="74">
        <v>1</v>
      </c>
      <c r="CO28" s="74">
        <v>1</v>
      </c>
      <c r="CP28" s="74">
        <v>1</v>
      </c>
      <c r="CQ28" s="74">
        <v>1</v>
      </c>
      <c r="CR28" s="74">
        <v>1</v>
      </c>
      <c r="CS28" s="74">
        <v>1</v>
      </c>
      <c r="CT28" s="74">
        <v>1</v>
      </c>
      <c r="CU28" s="74">
        <v>1</v>
      </c>
      <c r="CV28" s="74">
        <v>1</v>
      </c>
      <c r="CW28" s="74">
        <v>0</v>
      </c>
      <c r="CX28" s="74">
        <v>0</v>
      </c>
      <c r="CY28" s="78">
        <v>0</v>
      </c>
      <c r="CZ28" s="74">
        <v>0</v>
      </c>
      <c r="DA28" s="74">
        <v>0</v>
      </c>
      <c r="DB28" s="74">
        <v>0</v>
      </c>
      <c r="DC28" s="74">
        <v>0</v>
      </c>
      <c r="DD28" s="74">
        <v>0</v>
      </c>
      <c r="DE28" s="74">
        <v>0</v>
      </c>
      <c r="DF28" s="74">
        <v>0</v>
      </c>
      <c r="DG28" s="74">
        <v>0</v>
      </c>
      <c r="DH28" s="74">
        <v>1</v>
      </c>
      <c r="DI28" s="74">
        <v>1</v>
      </c>
      <c r="DJ28" s="74">
        <v>1</v>
      </c>
      <c r="DK28" s="74">
        <v>1</v>
      </c>
      <c r="DL28" s="74">
        <v>1</v>
      </c>
      <c r="DM28" s="74">
        <v>1</v>
      </c>
      <c r="DN28" s="74">
        <v>1</v>
      </c>
      <c r="DO28" s="74">
        <v>1</v>
      </c>
      <c r="DP28" s="74">
        <v>1</v>
      </c>
      <c r="DQ28" s="74">
        <v>1</v>
      </c>
      <c r="DR28" s="74">
        <v>1</v>
      </c>
      <c r="DS28" s="74">
        <v>1</v>
      </c>
      <c r="DT28" s="74">
        <v>1</v>
      </c>
      <c r="DU28" s="74">
        <v>0</v>
      </c>
      <c r="DV28" s="74">
        <v>0</v>
      </c>
      <c r="DW28" s="78">
        <v>0</v>
      </c>
      <c r="DX28" s="74">
        <v>0</v>
      </c>
      <c r="DY28" s="74">
        <v>0</v>
      </c>
      <c r="DZ28" s="74">
        <v>0</v>
      </c>
      <c r="EA28" s="74">
        <v>0</v>
      </c>
      <c r="EB28" s="74">
        <v>0</v>
      </c>
      <c r="EC28" s="74">
        <v>0</v>
      </c>
      <c r="ED28" s="74">
        <v>0</v>
      </c>
      <c r="EE28" s="74">
        <v>0</v>
      </c>
      <c r="EF28" s="74">
        <v>1</v>
      </c>
      <c r="EG28" s="74">
        <v>1</v>
      </c>
      <c r="EH28" s="74">
        <v>1</v>
      </c>
      <c r="EI28" s="74">
        <v>1</v>
      </c>
      <c r="EJ28" s="74">
        <v>1</v>
      </c>
      <c r="EK28" s="74">
        <v>1</v>
      </c>
      <c r="EL28" s="74">
        <v>1</v>
      </c>
      <c r="EM28" s="74">
        <v>1</v>
      </c>
      <c r="EN28" s="74">
        <v>1</v>
      </c>
      <c r="EO28" s="74">
        <v>1</v>
      </c>
      <c r="EP28" s="74">
        <v>1</v>
      </c>
      <c r="EQ28" s="74">
        <v>1</v>
      </c>
      <c r="ER28" s="74">
        <v>1</v>
      </c>
      <c r="ES28" s="74">
        <v>0</v>
      </c>
      <c r="ET28" s="74">
        <v>0</v>
      </c>
      <c r="EU28" s="78">
        <v>0</v>
      </c>
      <c r="EV28" s="74">
        <v>0</v>
      </c>
      <c r="EW28" s="74">
        <v>0</v>
      </c>
      <c r="EX28" s="74">
        <v>0</v>
      </c>
      <c r="EY28" s="74">
        <v>0</v>
      </c>
      <c r="EZ28" s="74">
        <v>0</v>
      </c>
      <c r="FA28" s="74">
        <v>0</v>
      </c>
      <c r="FB28" s="74">
        <v>0</v>
      </c>
      <c r="FC28" s="74">
        <v>0</v>
      </c>
      <c r="FD28" s="74">
        <v>1</v>
      </c>
      <c r="FE28" s="74">
        <v>1</v>
      </c>
      <c r="FF28" s="74">
        <v>1</v>
      </c>
      <c r="FG28" s="74">
        <v>1</v>
      </c>
      <c r="FH28" s="74">
        <v>1</v>
      </c>
      <c r="FI28" s="74">
        <v>1</v>
      </c>
      <c r="FJ28" s="74">
        <v>1</v>
      </c>
      <c r="FK28" s="74">
        <v>1</v>
      </c>
      <c r="FL28" s="74">
        <v>1</v>
      </c>
      <c r="FM28" s="74">
        <v>1</v>
      </c>
      <c r="FN28" s="74">
        <v>1</v>
      </c>
      <c r="FO28" s="74">
        <v>1</v>
      </c>
      <c r="FP28" s="74">
        <v>1</v>
      </c>
      <c r="FQ28" s="74">
        <v>0</v>
      </c>
      <c r="FR28" s="74">
        <v>0</v>
      </c>
      <c r="FS28" s="78">
        <v>0</v>
      </c>
      <c r="FT28" s="74">
        <v>0</v>
      </c>
      <c r="FU28" s="74">
        <v>0</v>
      </c>
      <c r="FV28" s="74">
        <v>0</v>
      </c>
      <c r="FW28" s="74">
        <v>0</v>
      </c>
      <c r="FX28" s="74">
        <v>0</v>
      </c>
      <c r="FY28" s="74">
        <v>0</v>
      </c>
      <c r="FZ28" s="74">
        <v>0</v>
      </c>
      <c r="GA28" s="74">
        <v>0</v>
      </c>
      <c r="GB28" s="74">
        <v>1</v>
      </c>
      <c r="GC28" s="74">
        <v>1</v>
      </c>
      <c r="GD28" s="74">
        <v>1</v>
      </c>
      <c r="GE28" s="74">
        <v>1</v>
      </c>
      <c r="GF28" s="74">
        <v>1</v>
      </c>
      <c r="GG28" s="74">
        <v>1</v>
      </c>
      <c r="GH28" s="74">
        <v>1</v>
      </c>
      <c r="GI28" s="74">
        <v>1</v>
      </c>
      <c r="GJ28" s="74">
        <v>1</v>
      </c>
      <c r="GK28" s="74">
        <v>1</v>
      </c>
      <c r="GL28" s="74">
        <v>1</v>
      </c>
      <c r="GM28" s="74">
        <v>1</v>
      </c>
      <c r="GN28" s="74">
        <v>1</v>
      </c>
      <c r="GO28" s="74">
        <v>0</v>
      </c>
      <c r="GP28" s="74">
        <v>0</v>
      </c>
      <c r="GQ28" s="78">
        <v>0</v>
      </c>
      <c r="GR28" s="74">
        <v>0</v>
      </c>
      <c r="GS28" s="74">
        <v>0</v>
      </c>
      <c r="GT28" s="74">
        <v>0</v>
      </c>
      <c r="GU28" s="74">
        <v>0</v>
      </c>
      <c r="GV28" s="74">
        <v>0</v>
      </c>
      <c r="GW28" s="74">
        <v>0</v>
      </c>
      <c r="GX28" s="74">
        <v>0</v>
      </c>
      <c r="GY28" s="74">
        <v>0</v>
      </c>
      <c r="GZ28" s="74">
        <v>1</v>
      </c>
      <c r="HA28" s="74">
        <v>1</v>
      </c>
      <c r="HB28" s="74">
        <v>1</v>
      </c>
      <c r="HC28" s="74">
        <v>1</v>
      </c>
      <c r="HD28" s="74">
        <v>1</v>
      </c>
      <c r="HE28" s="74">
        <v>1</v>
      </c>
      <c r="HF28" s="74">
        <v>1</v>
      </c>
      <c r="HG28" s="74">
        <v>1</v>
      </c>
      <c r="HH28" s="74">
        <v>1</v>
      </c>
      <c r="HI28" s="74">
        <v>1</v>
      </c>
      <c r="HJ28" s="74">
        <v>1</v>
      </c>
      <c r="HK28" s="74">
        <v>1</v>
      </c>
      <c r="HL28" s="74">
        <v>1</v>
      </c>
      <c r="HM28" s="74">
        <v>0</v>
      </c>
      <c r="HN28" s="74">
        <v>0</v>
      </c>
      <c r="HO28" s="74">
        <v>0</v>
      </c>
      <c r="HP28" s="74">
        <v>0</v>
      </c>
      <c r="HQ28" s="74">
        <v>0</v>
      </c>
      <c r="HR28" s="74">
        <v>0</v>
      </c>
      <c r="HS28" s="74">
        <v>0</v>
      </c>
      <c r="HT28" s="74">
        <v>0</v>
      </c>
      <c r="HU28" s="74">
        <v>0</v>
      </c>
      <c r="HV28" s="74">
        <v>0</v>
      </c>
      <c r="HW28" s="74">
        <v>0</v>
      </c>
      <c r="HX28" s="75">
        <v>1</v>
      </c>
    </row>
    <row r="29" spans="1:232" x14ac:dyDescent="0.2">
      <c r="A29" s="27" t="s">
        <v>122</v>
      </c>
      <c r="B29" s="82" t="s">
        <v>75</v>
      </c>
      <c r="C29" s="80" t="s">
        <v>131</v>
      </c>
      <c r="D29" s="81">
        <v>5.2</v>
      </c>
      <c r="E29" s="80" t="s">
        <v>127</v>
      </c>
      <c r="F29" s="80" t="s">
        <v>123</v>
      </c>
      <c r="G29" s="78">
        <v>0</v>
      </c>
      <c r="H29" s="78">
        <v>0</v>
      </c>
      <c r="I29" s="78">
        <v>0</v>
      </c>
      <c r="J29" s="78">
        <v>0</v>
      </c>
      <c r="K29" s="78">
        <v>0</v>
      </c>
      <c r="L29" s="78">
        <v>0</v>
      </c>
      <c r="M29" s="78">
        <v>0</v>
      </c>
      <c r="N29" s="78">
        <v>0</v>
      </c>
      <c r="O29" s="78">
        <v>0</v>
      </c>
      <c r="P29" s="78">
        <v>0</v>
      </c>
      <c r="Q29" s="78">
        <v>0</v>
      </c>
      <c r="R29" s="78">
        <v>0</v>
      </c>
      <c r="S29" s="78">
        <v>0</v>
      </c>
      <c r="T29" s="74">
        <v>0</v>
      </c>
      <c r="U29" s="74">
        <v>0</v>
      </c>
      <c r="V29" s="74">
        <v>0</v>
      </c>
      <c r="W29" s="74">
        <v>0</v>
      </c>
      <c r="X29" s="74">
        <v>0</v>
      </c>
      <c r="Y29" s="74">
        <v>0</v>
      </c>
      <c r="Z29" s="74">
        <v>0</v>
      </c>
      <c r="AA29" s="74">
        <v>0</v>
      </c>
      <c r="AB29" s="74">
        <v>0</v>
      </c>
      <c r="AC29" s="74">
        <v>0</v>
      </c>
      <c r="AD29" s="74">
        <v>0</v>
      </c>
      <c r="AE29" s="74">
        <v>0</v>
      </c>
      <c r="AF29" s="74">
        <v>0</v>
      </c>
      <c r="AG29" s="74">
        <v>0</v>
      </c>
      <c r="AH29" s="74">
        <v>0</v>
      </c>
      <c r="AI29" s="74">
        <v>0</v>
      </c>
      <c r="AJ29" s="74">
        <v>0</v>
      </c>
      <c r="AK29" s="74">
        <v>0</v>
      </c>
      <c r="AL29" s="74">
        <v>0</v>
      </c>
      <c r="AM29" s="74">
        <v>0</v>
      </c>
      <c r="AN29" s="74">
        <v>0</v>
      </c>
      <c r="AO29" s="74">
        <v>0</v>
      </c>
      <c r="AP29" s="74">
        <v>0</v>
      </c>
      <c r="AQ29" s="78">
        <v>0</v>
      </c>
      <c r="AR29" s="74">
        <v>0</v>
      </c>
      <c r="AS29" s="74">
        <v>0</v>
      </c>
      <c r="AT29" s="74">
        <v>0</v>
      </c>
      <c r="AU29" s="74">
        <v>0</v>
      </c>
      <c r="AV29" s="74">
        <v>0</v>
      </c>
      <c r="AW29" s="74">
        <v>0</v>
      </c>
      <c r="AX29" s="74">
        <v>0</v>
      </c>
      <c r="AY29" s="74">
        <v>0</v>
      </c>
      <c r="AZ29" s="74">
        <v>0</v>
      </c>
      <c r="BA29" s="74">
        <v>0</v>
      </c>
      <c r="BB29" s="74">
        <v>0</v>
      </c>
      <c r="BC29" s="74">
        <v>0</v>
      </c>
      <c r="BD29" s="74">
        <v>0</v>
      </c>
      <c r="BE29" s="74">
        <v>0</v>
      </c>
      <c r="BF29" s="74">
        <v>0</v>
      </c>
      <c r="BG29" s="74">
        <v>0</v>
      </c>
      <c r="BH29" s="74">
        <v>0</v>
      </c>
      <c r="BI29" s="74">
        <v>0</v>
      </c>
      <c r="BJ29" s="74">
        <v>0</v>
      </c>
      <c r="BK29" s="74">
        <v>0</v>
      </c>
      <c r="BL29" s="74">
        <v>0</v>
      </c>
      <c r="BM29" s="74">
        <v>1</v>
      </c>
      <c r="BN29" s="74">
        <v>1</v>
      </c>
      <c r="BO29" s="74">
        <v>1</v>
      </c>
      <c r="BP29" s="74">
        <v>1</v>
      </c>
      <c r="BQ29" s="74">
        <v>1</v>
      </c>
      <c r="BR29" s="74">
        <v>1</v>
      </c>
      <c r="BS29" s="74">
        <v>1</v>
      </c>
      <c r="BT29" s="74">
        <v>1</v>
      </c>
      <c r="BU29" s="74">
        <v>1</v>
      </c>
      <c r="BV29" s="74">
        <v>1</v>
      </c>
      <c r="BW29" s="74">
        <v>1</v>
      </c>
      <c r="BX29" s="74">
        <v>1</v>
      </c>
      <c r="BY29" s="74">
        <v>1</v>
      </c>
      <c r="BZ29" s="74">
        <v>1</v>
      </c>
      <c r="CA29" s="78">
        <v>1</v>
      </c>
      <c r="CB29" s="74">
        <v>1</v>
      </c>
      <c r="CC29" s="74">
        <v>1</v>
      </c>
      <c r="CD29" s="74">
        <v>1</v>
      </c>
      <c r="CE29" s="74">
        <v>1</v>
      </c>
      <c r="CF29" s="74">
        <v>1</v>
      </c>
      <c r="CG29" s="74">
        <v>1</v>
      </c>
      <c r="CH29" s="74">
        <v>1</v>
      </c>
      <c r="CI29" s="74">
        <v>1</v>
      </c>
      <c r="CJ29" s="74">
        <v>1</v>
      </c>
      <c r="CK29" s="74">
        <v>1</v>
      </c>
      <c r="CL29" s="74">
        <v>1</v>
      </c>
      <c r="CM29" s="74">
        <v>1</v>
      </c>
      <c r="CN29" s="74">
        <v>1</v>
      </c>
      <c r="CO29" s="74">
        <v>1</v>
      </c>
      <c r="CP29" s="74">
        <v>1</v>
      </c>
      <c r="CQ29" s="74">
        <v>1</v>
      </c>
      <c r="CR29" s="74">
        <v>1</v>
      </c>
      <c r="CS29" s="74">
        <v>1</v>
      </c>
      <c r="CT29" s="74">
        <v>1</v>
      </c>
      <c r="CU29" s="74">
        <v>1</v>
      </c>
      <c r="CV29" s="74">
        <v>1</v>
      </c>
      <c r="CW29" s="74">
        <v>1</v>
      </c>
      <c r="CX29" s="74">
        <v>1</v>
      </c>
      <c r="CY29" s="78">
        <v>1</v>
      </c>
      <c r="CZ29" s="74">
        <v>1</v>
      </c>
      <c r="DA29" s="74">
        <v>1</v>
      </c>
      <c r="DB29" s="74">
        <v>1</v>
      </c>
      <c r="DC29" s="74">
        <v>1</v>
      </c>
      <c r="DD29" s="74">
        <v>1</v>
      </c>
      <c r="DE29" s="74">
        <v>1</v>
      </c>
      <c r="DF29" s="74">
        <v>1</v>
      </c>
      <c r="DG29" s="74">
        <v>1</v>
      </c>
      <c r="DH29" s="74">
        <v>1</v>
      </c>
      <c r="DI29" s="74">
        <v>1</v>
      </c>
      <c r="DJ29" s="74">
        <v>1</v>
      </c>
      <c r="DK29" s="74">
        <v>1</v>
      </c>
      <c r="DL29" s="74">
        <v>1</v>
      </c>
      <c r="DM29" s="74">
        <v>1</v>
      </c>
      <c r="DN29" s="74">
        <v>1</v>
      </c>
      <c r="DO29" s="74">
        <v>1</v>
      </c>
      <c r="DP29" s="74">
        <v>1</v>
      </c>
      <c r="DQ29" s="74">
        <v>1</v>
      </c>
      <c r="DR29" s="74">
        <v>1</v>
      </c>
      <c r="DS29" s="74">
        <v>1</v>
      </c>
      <c r="DT29" s="74">
        <v>1</v>
      </c>
      <c r="DU29" s="74">
        <v>1</v>
      </c>
      <c r="DV29" s="74">
        <v>1</v>
      </c>
      <c r="DW29" s="78">
        <v>1</v>
      </c>
      <c r="DX29" s="74">
        <v>1</v>
      </c>
      <c r="DY29" s="74">
        <v>1</v>
      </c>
      <c r="DZ29" s="74">
        <v>1</v>
      </c>
      <c r="EA29" s="74">
        <v>1</v>
      </c>
      <c r="EB29" s="74">
        <v>1</v>
      </c>
      <c r="EC29" s="74">
        <v>1</v>
      </c>
      <c r="ED29" s="74">
        <v>1</v>
      </c>
      <c r="EE29" s="74">
        <v>1</v>
      </c>
      <c r="EF29" s="74">
        <v>1</v>
      </c>
      <c r="EG29" s="74">
        <v>1</v>
      </c>
      <c r="EH29" s="74">
        <v>1</v>
      </c>
      <c r="EI29" s="74">
        <v>1</v>
      </c>
      <c r="EJ29" s="74">
        <v>1</v>
      </c>
      <c r="EK29" s="74">
        <v>1</v>
      </c>
      <c r="EL29" s="74">
        <v>1</v>
      </c>
      <c r="EM29" s="74">
        <v>1</v>
      </c>
      <c r="EN29" s="74">
        <v>1</v>
      </c>
      <c r="EO29" s="74">
        <v>1</v>
      </c>
      <c r="EP29" s="74">
        <v>1</v>
      </c>
      <c r="EQ29" s="74">
        <v>1</v>
      </c>
      <c r="ER29" s="74">
        <v>1</v>
      </c>
      <c r="ES29" s="74">
        <v>1</v>
      </c>
      <c r="ET29" s="74">
        <v>1</v>
      </c>
      <c r="EU29" s="78">
        <v>1</v>
      </c>
      <c r="EV29" s="74">
        <v>1</v>
      </c>
      <c r="EW29" s="74">
        <v>1</v>
      </c>
      <c r="EX29" s="74">
        <v>1</v>
      </c>
      <c r="EY29" s="74">
        <v>1</v>
      </c>
      <c r="EZ29" s="74">
        <v>1</v>
      </c>
      <c r="FA29" s="74">
        <v>1</v>
      </c>
      <c r="FB29" s="74">
        <v>1</v>
      </c>
      <c r="FC29" s="74">
        <v>1</v>
      </c>
      <c r="FD29" s="74">
        <v>1</v>
      </c>
      <c r="FE29" s="74">
        <v>1</v>
      </c>
      <c r="FF29" s="74">
        <v>1</v>
      </c>
      <c r="FG29" s="74">
        <v>1</v>
      </c>
      <c r="FH29" s="74">
        <v>1</v>
      </c>
      <c r="FI29" s="74">
        <v>1</v>
      </c>
      <c r="FJ29" s="74">
        <v>1</v>
      </c>
      <c r="FK29" s="74">
        <v>1</v>
      </c>
      <c r="FL29" s="74">
        <v>1</v>
      </c>
      <c r="FM29" s="74">
        <v>1</v>
      </c>
      <c r="FN29" s="74">
        <v>1</v>
      </c>
      <c r="FO29" s="74">
        <v>1</v>
      </c>
      <c r="FP29" s="74">
        <v>1</v>
      </c>
      <c r="FQ29" s="74">
        <v>1</v>
      </c>
      <c r="FR29" s="74">
        <v>1</v>
      </c>
      <c r="FS29" s="78">
        <v>1</v>
      </c>
      <c r="FT29" s="74">
        <v>1</v>
      </c>
      <c r="FU29" s="74">
        <v>1</v>
      </c>
      <c r="FV29" s="74">
        <v>1</v>
      </c>
      <c r="FW29" s="74">
        <v>1</v>
      </c>
      <c r="FX29" s="74">
        <v>1</v>
      </c>
      <c r="FY29" s="74">
        <v>1</v>
      </c>
      <c r="FZ29" s="74">
        <v>1</v>
      </c>
      <c r="GA29" s="74">
        <v>1</v>
      </c>
      <c r="GB29" s="74">
        <v>1</v>
      </c>
      <c r="GC29" s="74">
        <v>1</v>
      </c>
      <c r="GD29" s="74">
        <v>1</v>
      </c>
      <c r="GE29" s="74">
        <v>1</v>
      </c>
      <c r="GF29" s="74">
        <v>1</v>
      </c>
      <c r="GG29" s="74">
        <v>1</v>
      </c>
      <c r="GH29" s="74">
        <v>1</v>
      </c>
      <c r="GI29" s="74">
        <v>1</v>
      </c>
      <c r="GJ29" s="74">
        <v>1</v>
      </c>
      <c r="GK29" s="74">
        <v>1</v>
      </c>
      <c r="GL29" s="74">
        <v>1</v>
      </c>
      <c r="GM29" s="74">
        <v>1</v>
      </c>
      <c r="GN29" s="74">
        <v>1</v>
      </c>
      <c r="GO29" s="74">
        <v>1</v>
      </c>
      <c r="GP29" s="74">
        <v>1</v>
      </c>
      <c r="GQ29" s="78">
        <v>1</v>
      </c>
      <c r="GR29" s="74">
        <v>1</v>
      </c>
      <c r="GS29" s="74">
        <v>1</v>
      </c>
      <c r="GT29" s="74">
        <v>1</v>
      </c>
      <c r="GU29" s="74">
        <v>1</v>
      </c>
      <c r="GV29" s="74">
        <v>1</v>
      </c>
      <c r="GW29" s="74">
        <v>1</v>
      </c>
      <c r="GX29" s="74">
        <v>1</v>
      </c>
      <c r="GY29" s="74">
        <v>1</v>
      </c>
      <c r="GZ29" s="74">
        <v>1</v>
      </c>
      <c r="HA29" s="74">
        <v>1</v>
      </c>
      <c r="HB29" s="74">
        <v>1</v>
      </c>
      <c r="HC29" s="74">
        <v>1</v>
      </c>
      <c r="HD29" s="74">
        <v>1</v>
      </c>
      <c r="HE29" s="74">
        <v>1</v>
      </c>
      <c r="HF29" s="74">
        <v>1</v>
      </c>
      <c r="HG29" s="74">
        <v>1</v>
      </c>
      <c r="HH29" s="74">
        <v>1</v>
      </c>
      <c r="HI29" s="74">
        <v>1</v>
      </c>
      <c r="HJ29" s="74">
        <v>1</v>
      </c>
      <c r="HK29" s="74">
        <v>1</v>
      </c>
      <c r="HL29" s="74">
        <v>1</v>
      </c>
      <c r="HM29" s="74">
        <v>1</v>
      </c>
      <c r="HN29" s="74">
        <v>1</v>
      </c>
      <c r="HO29" s="74">
        <v>1</v>
      </c>
      <c r="HP29" s="74">
        <v>1</v>
      </c>
      <c r="HQ29" s="74">
        <v>1</v>
      </c>
      <c r="HR29" s="74">
        <v>1</v>
      </c>
      <c r="HS29" s="74">
        <v>1</v>
      </c>
      <c r="HT29" s="74">
        <v>1</v>
      </c>
      <c r="HU29" s="74">
        <v>1</v>
      </c>
      <c r="HV29" s="74">
        <v>1</v>
      </c>
      <c r="HW29" s="74">
        <v>1</v>
      </c>
      <c r="HX29" s="75">
        <v>1</v>
      </c>
    </row>
    <row r="30" spans="1:232" x14ac:dyDescent="0.2">
      <c r="A30" s="50" t="s">
        <v>124</v>
      </c>
      <c r="B30" s="82" t="s">
        <v>76</v>
      </c>
      <c r="C30" s="80" t="s">
        <v>131</v>
      </c>
      <c r="D30" s="81">
        <v>5.2</v>
      </c>
      <c r="E30" s="80" t="s">
        <v>127</v>
      </c>
      <c r="F30" s="80" t="s">
        <v>122</v>
      </c>
      <c r="G30" s="78">
        <v>1</v>
      </c>
      <c r="H30" s="74">
        <v>1</v>
      </c>
      <c r="I30" s="74">
        <v>1</v>
      </c>
      <c r="J30" s="74">
        <v>1</v>
      </c>
      <c r="K30" s="74">
        <v>1</v>
      </c>
      <c r="L30" s="74">
        <v>1</v>
      </c>
      <c r="M30" s="74">
        <v>1</v>
      </c>
      <c r="N30" s="74">
        <v>1</v>
      </c>
      <c r="O30" s="74">
        <v>1</v>
      </c>
      <c r="P30" s="74">
        <v>1</v>
      </c>
      <c r="Q30" s="74">
        <v>1</v>
      </c>
      <c r="R30" s="74">
        <v>1</v>
      </c>
      <c r="S30" s="74">
        <v>1</v>
      </c>
      <c r="T30" s="74">
        <v>1</v>
      </c>
      <c r="U30" s="74">
        <v>1</v>
      </c>
      <c r="V30" s="74">
        <v>1</v>
      </c>
      <c r="W30" s="74">
        <v>1</v>
      </c>
      <c r="X30" s="74">
        <v>1</v>
      </c>
      <c r="Y30" s="74">
        <v>1</v>
      </c>
      <c r="Z30" s="74">
        <v>1</v>
      </c>
      <c r="AA30" s="74">
        <v>1</v>
      </c>
      <c r="AB30" s="74">
        <v>1</v>
      </c>
      <c r="AC30" s="74">
        <v>1</v>
      </c>
      <c r="AD30" s="74">
        <v>1</v>
      </c>
      <c r="AE30" s="78">
        <v>1</v>
      </c>
      <c r="AF30" s="74">
        <v>1</v>
      </c>
      <c r="AG30" s="74">
        <v>1</v>
      </c>
      <c r="AH30" s="74">
        <v>1</v>
      </c>
      <c r="AI30" s="74">
        <v>1</v>
      </c>
      <c r="AJ30" s="74">
        <v>1</v>
      </c>
      <c r="AK30" s="74">
        <v>1</v>
      </c>
      <c r="AL30" s="74">
        <v>1</v>
      </c>
      <c r="AM30" s="74">
        <v>1</v>
      </c>
      <c r="AN30" s="74">
        <v>1</v>
      </c>
      <c r="AO30" s="74">
        <v>1</v>
      </c>
      <c r="AP30" s="74">
        <v>1</v>
      </c>
      <c r="AQ30" s="74">
        <v>1</v>
      </c>
      <c r="AR30" s="74">
        <v>1</v>
      </c>
      <c r="AS30" s="74">
        <v>1</v>
      </c>
      <c r="AT30" s="74">
        <v>1</v>
      </c>
      <c r="AU30" s="74">
        <v>1</v>
      </c>
      <c r="AV30" s="74">
        <v>1</v>
      </c>
      <c r="AW30" s="74">
        <v>1</v>
      </c>
      <c r="AX30" s="74">
        <v>1</v>
      </c>
      <c r="AY30" s="74">
        <v>1</v>
      </c>
      <c r="AZ30" s="74">
        <v>1</v>
      </c>
      <c r="BA30" s="74">
        <v>0</v>
      </c>
      <c r="BB30" s="74">
        <v>0</v>
      </c>
      <c r="BC30" s="78">
        <v>0</v>
      </c>
      <c r="BD30" s="74">
        <v>0</v>
      </c>
      <c r="BE30" s="74">
        <v>0</v>
      </c>
      <c r="BF30" s="74">
        <v>0</v>
      </c>
      <c r="BG30" s="74">
        <v>0</v>
      </c>
      <c r="BH30" s="74">
        <v>0</v>
      </c>
      <c r="BI30" s="74">
        <v>0</v>
      </c>
      <c r="BJ30" s="74">
        <v>0</v>
      </c>
      <c r="BK30" s="74">
        <v>0</v>
      </c>
      <c r="BL30" s="74">
        <v>1</v>
      </c>
      <c r="BM30" s="74">
        <v>1</v>
      </c>
      <c r="BN30" s="74">
        <v>1</v>
      </c>
      <c r="BO30" s="74">
        <v>1</v>
      </c>
      <c r="BP30" s="74">
        <v>1</v>
      </c>
      <c r="BQ30" s="74">
        <v>1</v>
      </c>
      <c r="BR30" s="74">
        <v>1</v>
      </c>
      <c r="BS30" s="74">
        <v>1</v>
      </c>
      <c r="BT30" s="74">
        <v>1</v>
      </c>
      <c r="BU30" s="74">
        <v>1</v>
      </c>
      <c r="BV30" s="74">
        <v>1</v>
      </c>
      <c r="BW30" s="74">
        <v>1</v>
      </c>
      <c r="BX30" s="74">
        <v>1</v>
      </c>
      <c r="BY30" s="74">
        <v>0</v>
      </c>
      <c r="BZ30" s="74">
        <v>0</v>
      </c>
      <c r="CA30" s="78">
        <v>0</v>
      </c>
      <c r="CB30" s="74">
        <v>0</v>
      </c>
      <c r="CC30" s="74">
        <v>0</v>
      </c>
      <c r="CD30" s="74">
        <v>0</v>
      </c>
      <c r="CE30" s="74">
        <v>0</v>
      </c>
      <c r="CF30" s="74">
        <v>0</v>
      </c>
      <c r="CG30" s="74">
        <v>0</v>
      </c>
      <c r="CH30" s="74">
        <v>0</v>
      </c>
      <c r="CI30" s="74">
        <v>0</v>
      </c>
      <c r="CJ30" s="74">
        <v>1</v>
      </c>
      <c r="CK30" s="74">
        <v>1</v>
      </c>
      <c r="CL30" s="74">
        <v>1</v>
      </c>
      <c r="CM30" s="74">
        <v>1</v>
      </c>
      <c r="CN30" s="74">
        <v>1</v>
      </c>
      <c r="CO30" s="74">
        <v>1</v>
      </c>
      <c r="CP30" s="74">
        <v>1</v>
      </c>
      <c r="CQ30" s="74">
        <v>1</v>
      </c>
      <c r="CR30" s="74">
        <v>1</v>
      </c>
      <c r="CS30" s="74">
        <v>1</v>
      </c>
      <c r="CT30" s="74">
        <v>1</v>
      </c>
      <c r="CU30" s="74">
        <v>1</v>
      </c>
      <c r="CV30" s="74">
        <v>1</v>
      </c>
      <c r="CW30" s="74">
        <v>0</v>
      </c>
      <c r="CX30" s="74">
        <v>0</v>
      </c>
      <c r="CY30" s="78">
        <v>0</v>
      </c>
      <c r="CZ30" s="74">
        <v>0</v>
      </c>
      <c r="DA30" s="74">
        <v>0</v>
      </c>
      <c r="DB30" s="74">
        <v>0</v>
      </c>
      <c r="DC30" s="74">
        <v>0</v>
      </c>
      <c r="DD30" s="74">
        <v>0</v>
      </c>
      <c r="DE30" s="74">
        <v>0</v>
      </c>
      <c r="DF30" s="74">
        <v>0</v>
      </c>
      <c r="DG30" s="74">
        <v>0</v>
      </c>
      <c r="DH30" s="74">
        <v>1</v>
      </c>
      <c r="DI30" s="74">
        <v>1</v>
      </c>
      <c r="DJ30" s="74">
        <v>1</v>
      </c>
      <c r="DK30" s="74">
        <v>1</v>
      </c>
      <c r="DL30" s="74">
        <v>1</v>
      </c>
      <c r="DM30" s="74">
        <v>1</v>
      </c>
      <c r="DN30" s="74">
        <v>1</v>
      </c>
      <c r="DO30" s="74">
        <v>1</v>
      </c>
      <c r="DP30" s="74">
        <v>1</v>
      </c>
      <c r="DQ30" s="74">
        <v>1</v>
      </c>
      <c r="DR30" s="74">
        <v>1</v>
      </c>
      <c r="DS30" s="74">
        <v>1</v>
      </c>
      <c r="DT30" s="74">
        <v>1</v>
      </c>
      <c r="DU30" s="74">
        <v>0</v>
      </c>
      <c r="DV30" s="74">
        <v>0</v>
      </c>
      <c r="DW30" s="78">
        <v>0</v>
      </c>
      <c r="DX30" s="74">
        <v>0</v>
      </c>
      <c r="DY30" s="74">
        <v>0</v>
      </c>
      <c r="DZ30" s="74">
        <v>0</v>
      </c>
      <c r="EA30" s="74">
        <v>0</v>
      </c>
      <c r="EB30" s="74">
        <v>0</v>
      </c>
      <c r="EC30" s="74">
        <v>0</v>
      </c>
      <c r="ED30" s="74">
        <v>0</v>
      </c>
      <c r="EE30" s="74">
        <v>0</v>
      </c>
      <c r="EF30" s="74">
        <v>1</v>
      </c>
      <c r="EG30" s="74">
        <v>1</v>
      </c>
      <c r="EH30" s="74">
        <v>1</v>
      </c>
      <c r="EI30" s="74">
        <v>1</v>
      </c>
      <c r="EJ30" s="74">
        <v>1</v>
      </c>
      <c r="EK30" s="74">
        <v>1</v>
      </c>
      <c r="EL30" s="74">
        <v>1</v>
      </c>
      <c r="EM30" s="74">
        <v>1</v>
      </c>
      <c r="EN30" s="74">
        <v>1</v>
      </c>
      <c r="EO30" s="74">
        <v>1</v>
      </c>
      <c r="EP30" s="74">
        <v>1</v>
      </c>
      <c r="EQ30" s="74">
        <v>1</v>
      </c>
      <c r="ER30" s="74">
        <v>1</v>
      </c>
      <c r="ES30" s="74">
        <v>0</v>
      </c>
      <c r="ET30" s="74">
        <v>0</v>
      </c>
      <c r="EU30" s="78">
        <v>0</v>
      </c>
      <c r="EV30" s="74">
        <v>0</v>
      </c>
      <c r="EW30" s="74">
        <v>0</v>
      </c>
      <c r="EX30" s="74">
        <v>0</v>
      </c>
      <c r="EY30" s="74">
        <v>0</v>
      </c>
      <c r="EZ30" s="74">
        <v>0</v>
      </c>
      <c r="FA30" s="74">
        <v>0</v>
      </c>
      <c r="FB30" s="74">
        <v>0</v>
      </c>
      <c r="FC30" s="74">
        <v>0</v>
      </c>
      <c r="FD30" s="74">
        <v>1</v>
      </c>
      <c r="FE30" s="74">
        <v>1</v>
      </c>
      <c r="FF30" s="74">
        <v>1</v>
      </c>
      <c r="FG30" s="74">
        <v>1</v>
      </c>
      <c r="FH30" s="74">
        <v>1</v>
      </c>
      <c r="FI30" s="74">
        <v>1</v>
      </c>
      <c r="FJ30" s="74">
        <v>1</v>
      </c>
      <c r="FK30" s="74">
        <v>1</v>
      </c>
      <c r="FL30" s="74">
        <v>1</v>
      </c>
      <c r="FM30" s="74">
        <v>1</v>
      </c>
      <c r="FN30" s="74">
        <v>1</v>
      </c>
      <c r="FO30" s="74">
        <v>1</v>
      </c>
      <c r="FP30" s="74">
        <v>1</v>
      </c>
      <c r="FQ30" s="74">
        <v>0</v>
      </c>
      <c r="FR30" s="74">
        <v>0</v>
      </c>
      <c r="FS30" s="78">
        <v>0</v>
      </c>
      <c r="FT30" s="74">
        <v>0</v>
      </c>
      <c r="FU30" s="74">
        <v>0</v>
      </c>
      <c r="FV30" s="74">
        <v>0</v>
      </c>
      <c r="FW30" s="74">
        <v>0</v>
      </c>
      <c r="FX30" s="74">
        <v>0</v>
      </c>
      <c r="FY30" s="74">
        <v>0</v>
      </c>
      <c r="FZ30" s="74">
        <v>0</v>
      </c>
      <c r="GA30" s="74">
        <v>0</v>
      </c>
      <c r="GB30" s="74">
        <v>1</v>
      </c>
      <c r="GC30" s="74">
        <v>1</v>
      </c>
      <c r="GD30" s="74">
        <v>1</v>
      </c>
      <c r="GE30" s="74">
        <v>1</v>
      </c>
      <c r="GF30" s="74">
        <v>1</v>
      </c>
      <c r="GG30" s="74">
        <v>1</v>
      </c>
      <c r="GH30" s="74">
        <v>1</v>
      </c>
      <c r="GI30" s="74">
        <v>1</v>
      </c>
      <c r="GJ30" s="74">
        <v>1</v>
      </c>
      <c r="GK30" s="74">
        <v>1</v>
      </c>
      <c r="GL30" s="74">
        <v>1</v>
      </c>
      <c r="GM30" s="74">
        <v>1</v>
      </c>
      <c r="GN30" s="74">
        <v>1</v>
      </c>
      <c r="GO30" s="74">
        <v>0</v>
      </c>
      <c r="GP30" s="74">
        <v>0</v>
      </c>
      <c r="GQ30" s="78">
        <v>0</v>
      </c>
      <c r="GR30" s="74">
        <v>0</v>
      </c>
      <c r="GS30" s="74">
        <v>0</v>
      </c>
      <c r="GT30" s="74">
        <v>0</v>
      </c>
      <c r="GU30" s="74">
        <v>0</v>
      </c>
      <c r="GV30" s="74">
        <v>0</v>
      </c>
      <c r="GW30" s="74">
        <v>0</v>
      </c>
      <c r="GX30" s="74">
        <v>0</v>
      </c>
      <c r="GY30" s="74">
        <v>0</v>
      </c>
      <c r="GZ30" s="74">
        <v>1</v>
      </c>
      <c r="HA30" s="74">
        <v>1</v>
      </c>
      <c r="HB30" s="74">
        <v>1</v>
      </c>
      <c r="HC30" s="74">
        <v>1</v>
      </c>
      <c r="HD30" s="74">
        <v>1</v>
      </c>
      <c r="HE30" s="74">
        <v>1</v>
      </c>
      <c r="HF30" s="74">
        <v>1</v>
      </c>
      <c r="HG30" s="74">
        <v>1</v>
      </c>
      <c r="HH30" s="74">
        <v>1</v>
      </c>
      <c r="HI30" s="74">
        <v>1</v>
      </c>
      <c r="HJ30" s="74">
        <v>1</v>
      </c>
      <c r="HK30" s="74">
        <v>1</v>
      </c>
      <c r="HL30" s="74">
        <v>1</v>
      </c>
      <c r="HM30" s="74">
        <v>0</v>
      </c>
      <c r="HN30" s="74">
        <v>0</v>
      </c>
      <c r="HO30" s="74">
        <v>0</v>
      </c>
      <c r="HP30" s="74">
        <v>0</v>
      </c>
      <c r="HQ30" s="74">
        <v>0</v>
      </c>
      <c r="HR30" s="74">
        <v>0</v>
      </c>
      <c r="HS30" s="74">
        <v>0</v>
      </c>
      <c r="HT30" s="74">
        <v>0</v>
      </c>
      <c r="HU30" s="74">
        <v>0</v>
      </c>
      <c r="HV30" s="74">
        <v>0</v>
      </c>
      <c r="HW30" s="74">
        <v>0</v>
      </c>
      <c r="HX30" s="75">
        <v>1</v>
      </c>
    </row>
    <row r="31" spans="1:232" x14ac:dyDescent="0.2">
      <c r="A31" s="50" t="s">
        <v>124</v>
      </c>
      <c r="B31" s="82" t="s">
        <v>77</v>
      </c>
      <c r="C31" s="80" t="s">
        <v>131</v>
      </c>
      <c r="D31" s="81">
        <v>5.2</v>
      </c>
      <c r="E31" s="80" t="s">
        <v>127</v>
      </c>
      <c r="F31" s="80" t="s">
        <v>122</v>
      </c>
      <c r="G31" s="78">
        <v>1</v>
      </c>
      <c r="H31" s="74">
        <v>1</v>
      </c>
      <c r="I31" s="74">
        <v>1</v>
      </c>
      <c r="J31" s="74">
        <v>1</v>
      </c>
      <c r="K31" s="74">
        <v>1</v>
      </c>
      <c r="L31" s="74">
        <v>1</v>
      </c>
      <c r="M31" s="74">
        <v>1</v>
      </c>
      <c r="N31" s="74">
        <v>1</v>
      </c>
      <c r="O31" s="74">
        <v>1</v>
      </c>
      <c r="P31" s="74">
        <v>1</v>
      </c>
      <c r="Q31" s="74">
        <v>1</v>
      </c>
      <c r="R31" s="74">
        <v>1</v>
      </c>
      <c r="S31" s="74">
        <v>1</v>
      </c>
      <c r="T31" s="74">
        <v>1</v>
      </c>
      <c r="U31" s="74">
        <v>1</v>
      </c>
      <c r="V31" s="74">
        <v>1</v>
      </c>
      <c r="W31" s="74">
        <v>1</v>
      </c>
      <c r="X31" s="74">
        <v>1</v>
      </c>
      <c r="Y31" s="74">
        <v>1</v>
      </c>
      <c r="Z31" s="74">
        <v>1</v>
      </c>
      <c r="AA31" s="74">
        <v>1</v>
      </c>
      <c r="AB31" s="74">
        <v>1</v>
      </c>
      <c r="AC31" s="74">
        <v>1</v>
      </c>
      <c r="AD31" s="74">
        <v>1</v>
      </c>
      <c r="AE31" s="78">
        <v>1</v>
      </c>
      <c r="AF31" s="74">
        <v>1</v>
      </c>
      <c r="AG31" s="74">
        <v>1</v>
      </c>
      <c r="AH31" s="74">
        <v>1</v>
      </c>
      <c r="AI31" s="74">
        <v>1</v>
      </c>
      <c r="AJ31" s="74">
        <v>1</v>
      </c>
      <c r="AK31" s="74">
        <v>1</v>
      </c>
      <c r="AL31" s="74">
        <v>1</v>
      </c>
      <c r="AM31" s="74">
        <v>1</v>
      </c>
      <c r="AN31" s="74">
        <v>1</v>
      </c>
      <c r="AO31" s="74">
        <v>1</v>
      </c>
      <c r="AP31" s="74">
        <v>1</v>
      </c>
      <c r="AQ31" s="74">
        <v>1</v>
      </c>
      <c r="AR31" s="74">
        <v>1</v>
      </c>
      <c r="AS31" s="74">
        <v>1</v>
      </c>
      <c r="AT31" s="74">
        <v>1</v>
      </c>
      <c r="AU31" s="74">
        <v>1</v>
      </c>
      <c r="AV31" s="74">
        <v>1</v>
      </c>
      <c r="AW31" s="74">
        <v>1</v>
      </c>
      <c r="AX31" s="74">
        <v>1</v>
      </c>
      <c r="AY31" s="74">
        <v>1</v>
      </c>
      <c r="AZ31" s="74">
        <v>1</v>
      </c>
      <c r="BA31" s="74">
        <v>1</v>
      </c>
      <c r="BB31" s="74">
        <v>1</v>
      </c>
      <c r="BC31" s="78">
        <v>1</v>
      </c>
      <c r="BD31" s="74">
        <v>1</v>
      </c>
      <c r="BE31" s="74">
        <v>1</v>
      </c>
      <c r="BF31" s="74">
        <v>1</v>
      </c>
      <c r="BG31" s="74">
        <v>1</v>
      </c>
      <c r="BH31" s="74">
        <v>1</v>
      </c>
      <c r="BI31" s="74">
        <v>1</v>
      </c>
      <c r="BJ31" s="74">
        <v>1</v>
      </c>
      <c r="BK31" s="74">
        <v>1</v>
      </c>
      <c r="BL31" s="74">
        <v>1</v>
      </c>
      <c r="BM31" s="74">
        <v>1</v>
      </c>
      <c r="BN31" s="74">
        <v>1</v>
      </c>
      <c r="BO31" s="74">
        <v>1</v>
      </c>
      <c r="BP31" s="74">
        <v>1</v>
      </c>
      <c r="BQ31" s="74">
        <v>1</v>
      </c>
      <c r="BR31" s="74">
        <v>1</v>
      </c>
      <c r="BS31" s="74">
        <v>1</v>
      </c>
      <c r="BT31" s="74">
        <v>1</v>
      </c>
      <c r="BU31" s="74">
        <v>1</v>
      </c>
      <c r="BV31" s="74">
        <v>1</v>
      </c>
      <c r="BW31" s="74">
        <v>1</v>
      </c>
      <c r="BX31" s="74">
        <v>1</v>
      </c>
      <c r="BY31" s="74">
        <v>1</v>
      </c>
      <c r="BZ31" s="74">
        <v>1</v>
      </c>
      <c r="CA31" s="78">
        <v>1</v>
      </c>
      <c r="CB31" s="74">
        <v>1</v>
      </c>
      <c r="CC31" s="74">
        <v>1</v>
      </c>
      <c r="CD31" s="74">
        <v>1</v>
      </c>
      <c r="CE31" s="74">
        <v>1</v>
      </c>
      <c r="CF31" s="74">
        <v>1</v>
      </c>
      <c r="CG31" s="74">
        <v>1</v>
      </c>
      <c r="CH31" s="74">
        <v>1</v>
      </c>
      <c r="CI31" s="74">
        <v>1</v>
      </c>
      <c r="CJ31" s="74">
        <v>1</v>
      </c>
      <c r="CK31" s="74">
        <v>1</v>
      </c>
      <c r="CL31" s="74">
        <v>1</v>
      </c>
      <c r="CM31" s="74">
        <v>1</v>
      </c>
      <c r="CN31" s="74">
        <v>1</v>
      </c>
      <c r="CO31" s="74">
        <v>1</v>
      </c>
      <c r="CP31" s="74">
        <v>1</v>
      </c>
      <c r="CQ31" s="74">
        <v>1</v>
      </c>
      <c r="CR31" s="74">
        <v>1</v>
      </c>
      <c r="CS31" s="74">
        <v>1</v>
      </c>
      <c r="CT31" s="74">
        <v>1</v>
      </c>
      <c r="CU31" s="74">
        <v>1</v>
      </c>
      <c r="CV31" s="74">
        <v>1</v>
      </c>
      <c r="CW31" s="74">
        <v>1</v>
      </c>
      <c r="CX31" s="74">
        <v>1</v>
      </c>
      <c r="CY31" s="78">
        <v>1</v>
      </c>
      <c r="CZ31" s="74">
        <v>1</v>
      </c>
      <c r="DA31" s="74">
        <v>1</v>
      </c>
      <c r="DB31" s="74">
        <v>1</v>
      </c>
      <c r="DC31" s="74">
        <v>1</v>
      </c>
      <c r="DD31" s="74">
        <v>1</v>
      </c>
      <c r="DE31" s="74">
        <v>1</v>
      </c>
      <c r="DF31" s="74">
        <v>1</v>
      </c>
      <c r="DG31" s="74">
        <v>1</v>
      </c>
      <c r="DH31" s="74">
        <v>1</v>
      </c>
      <c r="DI31" s="74">
        <v>1</v>
      </c>
      <c r="DJ31" s="74">
        <v>1</v>
      </c>
      <c r="DK31" s="74">
        <v>1</v>
      </c>
      <c r="DL31" s="74">
        <v>1</v>
      </c>
      <c r="DM31" s="74">
        <v>1</v>
      </c>
      <c r="DN31" s="74">
        <v>1</v>
      </c>
      <c r="DO31" s="74">
        <v>1</v>
      </c>
      <c r="DP31" s="74">
        <v>1</v>
      </c>
      <c r="DQ31" s="74">
        <v>1</v>
      </c>
      <c r="DR31" s="74">
        <v>1</v>
      </c>
      <c r="DS31" s="74">
        <v>1</v>
      </c>
      <c r="DT31" s="74">
        <v>1</v>
      </c>
      <c r="DU31" s="74">
        <v>1</v>
      </c>
      <c r="DV31" s="74">
        <v>1</v>
      </c>
      <c r="DW31" s="78">
        <v>1</v>
      </c>
      <c r="DX31" s="74">
        <v>1</v>
      </c>
      <c r="DY31" s="74">
        <v>1</v>
      </c>
      <c r="DZ31" s="74">
        <v>1</v>
      </c>
      <c r="EA31" s="74">
        <v>1</v>
      </c>
      <c r="EB31" s="74">
        <v>1</v>
      </c>
      <c r="EC31" s="74">
        <v>1</v>
      </c>
      <c r="ED31" s="74">
        <v>1</v>
      </c>
      <c r="EE31" s="74">
        <v>1</v>
      </c>
      <c r="EF31" s="74">
        <v>1</v>
      </c>
      <c r="EG31" s="74">
        <v>1</v>
      </c>
      <c r="EH31" s="74">
        <v>1</v>
      </c>
      <c r="EI31" s="74">
        <v>1</v>
      </c>
      <c r="EJ31" s="74">
        <v>1</v>
      </c>
      <c r="EK31" s="74">
        <v>1</v>
      </c>
      <c r="EL31" s="74">
        <v>1</v>
      </c>
      <c r="EM31" s="74">
        <v>1</v>
      </c>
      <c r="EN31" s="74">
        <v>1</v>
      </c>
      <c r="EO31" s="74">
        <v>1</v>
      </c>
      <c r="EP31" s="74">
        <v>1</v>
      </c>
      <c r="EQ31" s="74">
        <v>1</v>
      </c>
      <c r="ER31" s="74">
        <v>1</v>
      </c>
      <c r="ES31" s="74">
        <v>1</v>
      </c>
      <c r="ET31" s="74">
        <v>1</v>
      </c>
      <c r="EU31" s="78">
        <v>1</v>
      </c>
      <c r="EV31" s="74">
        <v>1</v>
      </c>
      <c r="EW31" s="74">
        <v>1</v>
      </c>
      <c r="EX31" s="74">
        <v>1</v>
      </c>
      <c r="EY31" s="74">
        <v>1</v>
      </c>
      <c r="EZ31" s="74">
        <v>1</v>
      </c>
      <c r="FA31" s="74">
        <v>1</v>
      </c>
      <c r="FB31" s="74">
        <v>1</v>
      </c>
      <c r="FC31" s="74">
        <v>1</v>
      </c>
      <c r="FD31" s="74">
        <v>1</v>
      </c>
      <c r="FE31" s="74">
        <v>1</v>
      </c>
      <c r="FF31" s="74">
        <v>1</v>
      </c>
      <c r="FG31" s="74">
        <v>1</v>
      </c>
      <c r="FH31" s="74">
        <v>1</v>
      </c>
      <c r="FI31" s="74">
        <v>1</v>
      </c>
      <c r="FJ31" s="74">
        <v>1</v>
      </c>
      <c r="FK31" s="74">
        <v>1</v>
      </c>
      <c r="FL31" s="74">
        <v>1</v>
      </c>
      <c r="FM31" s="74">
        <v>1</v>
      </c>
      <c r="FN31" s="74">
        <v>1</v>
      </c>
      <c r="FO31" s="74">
        <v>1</v>
      </c>
      <c r="FP31" s="74">
        <v>1</v>
      </c>
      <c r="FQ31" s="74">
        <v>1</v>
      </c>
      <c r="FR31" s="74">
        <v>1</v>
      </c>
      <c r="FS31" s="78">
        <v>1</v>
      </c>
      <c r="FT31" s="74">
        <v>1</v>
      </c>
      <c r="FU31" s="74">
        <v>1</v>
      </c>
      <c r="FV31" s="74">
        <v>1</v>
      </c>
      <c r="FW31" s="74">
        <v>1</v>
      </c>
      <c r="FX31" s="74">
        <v>1</v>
      </c>
      <c r="FY31" s="74">
        <v>1</v>
      </c>
      <c r="FZ31" s="74">
        <v>1</v>
      </c>
      <c r="GA31" s="74">
        <v>1</v>
      </c>
      <c r="GB31" s="74">
        <v>1</v>
      </c>
      <c r="GC31" s="74">
        <v>1</v>
      </c>
      <c r="GD31" s="74">
        <v>1</v>
      </c>
      <c r="GE31" s="74">
        <v>1</v>
      </c>
      <c r="GF31" s="74">
        <v>1</v>
      </c>
      <c r="GG31" s="74">
        <v>1</v>
      </c>
      <c r="GH31" s="74">
        <v>1</v>
      </c>
      <c r="GI31" s="74">
        <v>1</v>
      </c>
      <c r="GJ31" s="74">
        <v>1</v>
      </c>
      <c r="GK31" s="74">
        <v>1</v>
      </c>
      <c r="GL31" s="74">
        <v>1</v>
      </c>
      <c r="GM31" s="74">
        <v>1</v>
      </c>
      <c r="GN31" s="74">
        <v>1</v>
      </c>
      <c r="GO31" s="74">
        <v>1</v>
      </c>
      <c r="GP31" s="74">
        <v>1</v>
      </c>
      <c r="GQ31" s="78">
        <v>1</v>
      </c>
      <c r="GR31" s="74">
        <v>1</v>
      </c>
      <c r="GS31" s="74">
        <v>1</v>
      </c>
      <c r="GT31" s="74">
        <v>1</v>
      </c>
      <c r="GU31" s="74">
        <v>1</v>
      </c>
      <c r="GV31" s="74">
        <v>1</v>
      </c>
      <c r="GW31" s="74">
        <v>1</v>
      </c>
      <c r="GX31" s="74">
        <v>1</v>
      </c>
      <c r="GY31" s="74">
        <v>1</v>
      </c>
      <c r="GZ31" s="74">
        <v>1</v>
      </c>
      <c r="HA31" s="74">
        <v>1</v>
      </c>
      <c r="HB31" s="74">
        <v>1</v>
      </c>
      <c r="HC31" s="74">
        <v>1</v>
      </c>
      <c r="HD31" s="74">
        <v>1</v>
      </c>
      <c r="HE31" s="74">
        <v>1</v>
      </c>
      <c r="HF31" s="74">
        <v>1</v>
      </c>
      <c r="HG31" s="74">
        <v>1</v>
      </c>
      <c r="HH31" s="74">
        <v>1</v>
      </c>
      <c r="HI31" s="74">
        <v>1</v>
      </c>
      <c r="HJ31" s="74">
        <v>1</v>
      </c>
      <c r="HK31" s="74">
        <v>1</v>
      </c>
      <c r="HL31" s="74">
        <v>1</v>
      </c>
      <c r="HM31" s="74">
        <v>1</v>
      </c>
      <c r="HN31" s="74">
        <v>1</v>
      </c>
      <c r="HO31" s="74">
        <v>1</v>
      </c>
      <c r="HP31" s="74">
        <v>1</v>
      </c>
      <c r="HQ31" s="74">
        <v>1</v>
      </c>
      <c r="HR31" s="74">
        <v>1</v>
      </c>
      <c r="HS31" s="74">
        <v>1</v>
      </c>
      <c r="HT31" s="74">
        <v>1</v>
      </c>
      <c r="HU31" s="74">
        <v>1</v>
      </c>
      <c r="HV31" s="74">
        <v>1</v>
      </c>
      <c r="HW31" s="74">
        <v>1</v>
      </c>
      <c r="HX31" s="75">
        <v>1</v>
      </c>
    </row>
    <row r="32" spans="1:232" x14ac:dyDescent="0.2">
      <c r="B32" s="80" t="s">
        <v>78</v>
      </c>
      <c r="C32" s="80" t="s">
        <v>132</v>
      </c>
      <c r="D32" s="81">
        <v>5.2</v>
      </c>
      <c r="E32" s="80" t="s">
        <v>128</v>
      </c>
      <c r="F32" s="80" t="s">
        <v>124</v>
      </c>
      <c r="G32" s="78">
        <v>1</v>
      </c>
      <c r="H32" s="74">
        <v>1</v>
      </c>
      <c r="I32" s="74">
        <v>1</v>
      </c>
      <c r="J32" s="74">
        <v>1</v>
      </c>
      <c r="K32" s="74">
        <v>1</v>
      </c>
      <c r="L32" s="74">
        <v>1</v>
      </c>
      <c r="M32" s="74">
        <v>1</v>
      </c>
      <c r="N32" s="74">
        <v>1</v>
      </c>
      <c r="O32" s="74">
        <v>1</v>
      </c>
      <c r="P32" s="74">
        <v>1</v>
      </c>
      <c r="Q32" s="74">
        <v>1</v>
      </c>
      <c r="R32" s="74">
        <v>1</v>
      </c>
      <c r="S32" s="74">
        <v>1</v>
      </c>
      <c r="T32" s="74">
        <v>1</v>
      </c>
      <c r="U32" s="74">
        <v>1</v>
      </c>
      <c r="V32" s="74">
        <v>1</v>
      </c>
      <c r="W32" s="74">
        <v>1</v>
      </c>
      <c r="X32" s="74">
        <v>1</v>
      </c>
      <c r="Y32" s="74">
        <v>1</v>
      </c>
      <c r="Z32" s="74">
        <v>1</v>
      </c>
      <c r="AA32" s="74">
        <v>1</v>
      </c>
      <c r="AB32" s="74">
        <v>1</v>
      </c>
      <c r="AC32" s="74">
        <v>1</v>
      </c>
      <c r="AD32" s="74">
        <v>1</v>
      </c>
      <c r="AE32" s="78">
        <v>1</v>
      </c>
      <c r="AF32" s="74">
        <v>1</v>
      </c>
      <c r="AG32" s="74">
        <v>1</v>
      </c>
      <c r="AH32" s="74">
        <v>1</v>
      </c>
      <c r="AI32" s="74">
        <v>1</v>
      </c>
      <c r="AJ32" s="74">
        <v>1</v>
      </c>
      <c r="AK32" s="74">
        <v>1</v>
      </c>
      <c r="AL32" s="74">
        <v>1</v>
      </c>
      <c r="AM32" s="74">
        <v>1</v>
      </c>
      <c r="AN32" s="74">
        <v>1</v>
      </c>
      <c r="AO32" s="74">
        <v>1</v>
      </c>
      <c r="AP32" s="74">
        <v>1</v>
      </c>
      <c r="AQ32" s="74">
        <v>1</v>
      </c>
      <c r="AR32" s="74">
        <v>1</v>
      </c>
      <c r="AS32" s="74">
        <v>1</v>
      </c>
      <c r="AT32" s="74">
        <v>1</v>
      </c>
      <c r="AU32" s="74">
        <v>1</v>
      </c>
      <c r="AV32" s="74">
        <v>1</v>
      </c>
      <c r="AW32" s="74">
        <v>1</v>
      </c>
      <c r="AX32" s="74">
        <v>1</v>
      </c>
      <c r="AY32" s="74">
        <v>1</v>
      </c>
      <c r="AZ32" s="74">
        <v>1</v>
      </c>
      <c r="BA32" s="74">
        <v>1</v>
      </c>
      <c r="BB32" s="74">
        <v>1</v>
      </c>
      <c r="BC32" s="78">
        <v>1</v>
      </c>
      <c r="BD32" s="74">
        <v>1</v>
      </c>
      <c r="BE32" s="74">
        <v>1</v>
      </c>
      <c r="BF32" s="74">
        <v>1</v>
      </c>
      <c r="BG32" s="74">
        <v>1</v>
      </c>
      <c r="BH32" s="74">
        <v>1</v>
      </c>
      <c r="BI32" s="74">
        <v>1</v>
      </c>
      <c r="BJ32" s="74">
        <v>1</v>
      </c>
      <c r="BK32" s="74">
        <v>1</v>
      </c>
      <c r="BL32" s="74">
        <v>1</v>
      </c>
      <c r="BM32" s="74">
        <v>1</v>
      </c>
      <c r="BN32" s="74">
        <v>1</v>
      </c>
      <c r="BO32" s="74">
        <v>1</v>
      </c>
      <c r="BP32" s="74">
        <v>1</v>
      </c>
      <c r="BQ32" s="74">
        <v>1</v>
      </c>
      <c r="BR32" s="74">
        <v>1</v>
      </c>
      <c r="BS32" s="74">
        <v>1</v>
      </c>
      <c r="BT32" s="74">
        <v>1</v>
      </c>
      <c r="BU32" s="74">
        <v>1</v>
      </c>
      <c r="BV32" s="74">
        <v>1</v>
      </c>
      <c r="BW32" s="74">
        <v>1</v>
      </c>
      <c r="BX32" s="74">
        <v>1</v>
      </c>
      <c r="BY32" s="74">
        <v>1</v>
      </c>
      <c r="BZ32" s="74">
        <v>1</v>
      </c>
      <c r="CA32" s="78">
        <v>1</v>
      </c>
      <c r="CB32" s="74">
        <v>1</v>
      </c>
      <c r="CC32" s="74">
        <v>1</v>
      </c>
      <c r="CD32" s="74">
        <v>1</v>
      </c>
      <c r="CE32" s="74">
        <v>1</v>
      </c>
      <c r="CF32" s="74">
        <v>1</v>
      </c>
      <c r="CG32" s="74">
        <v>1</v>
      </c>
      <c r="CH32" s="74">
        <v>1</v>
      </c>
      <c r="CI32" s="74">
        <v>1</v>
      </c>
      <c r="CJ32" s="74">
        <v>1</v>
      </c>
      <c r="CK32" s="74">
        <v>1</v>
      </c>
      <c r="CL32" s="74">
        <v>1</v>
      </c>
      <c r="CM32" s="74">
        <v>1</v>
      </c>
      <c r="CN32" s="74">
        <v>1</v>
      </c>
      <c r="CO32" s="74">
        <v>1</v>
      </c>
      <c r="CP32" s="74">
        <v>1</v>
      </c>
      <c r="CQ32" s="74">
        <v>1</v>
      </c>
      <c r="CR32" s="74">
        <v>1</v>
      </c>
      <c r="CS32" s="74">
        <v>1</v>
      </c>
      <c r="CT32" s="74">
        <v>1</v>
      </c>
      <c r="CU32" s="74">
        <v>1</v>
      </c>
      <c r="CV32" s="74">
        <v>1</v>
      </c>
      <c r="CW32" s="74">
        <v>1</v>
      </c>
      <c r="CX32" s="74">
        <v>1</v>
      </c>
      <c r="CY32" s="78">
        <v>1</v>
      </c>
      <c r="CZ32" s="74">
        <v>1</v>
      </c>
      <c r="DA32" s="74">
        <v>1</v>
      </c>
      <c r="DB32" s="74">
        <v>1</v>
      </c>
      <c r="DC32" s="74">
        <v>1</v>
      </c>
      <c r="DD32" s="74">
        <v>1</v>
      </c>
      <c r="DE32" s="74">
        <v>1</v>
      </c>
      <c r="DF32" s="74">
        <v>1</v>
      </c>
      <c r="DG32" s="74">
        <v>1</v>
      </c>
      <c r="DH32" s="74">
        <v>1</v>
      </c>
      <c r="DI32" s="74">
        <v>1</v>
      </c>
      <c r="DJ32" s="74">
        <v>1</v>
      </c>
      <c r="DK32" s="74">
        <v>1</v>
      </c>
      <c r="DL32" s="74">
        <v>1</v>
      </c>
      <c r="DM32" s="74">
        <v>1</v>
      </c>
      <c r="DN32" s="74">
        <v>1</v>
      </c>
      <c r="DO32" s="74">
        <v>1</v>
      </c>
      <c r="DP32" s="74">
        <v>1</v>
      </c>
      <c r="DQ32" s="74">
        <v>1</v>
      </c>
      <c r="DR32" s="74">
        <v>1</v>
      </c>
      <c r="DS32" s="74">
        <v>1</v>
      </c>
      <c r="DT32" s="74">
        <v>1</v>
      </c>
      <c r="DU32" s="74">
        <v>1</v>
      </c>
      <c r="DV32" s="74">
        <v>1</v>
      </c>
      <c r="DW32" s="78">
        <v>1</v>
      </c>
      <c r="DX32" s="74">
        <v>1</v>
      </c>
      <c r="DY32" s="74">
        <v>1</v>
      </c>
      <c r="DZ32" s="74">
        <v>1</v>
      </c>
      <c r="EA32" s="74">
        <v>1</v>
      </c>
      <c r="EB32" s="74">
        <v>1</v>
      </c>
      <c r="EC32" s="74">
        <v>1</v>
      </c>
      <c r="ED32" s="74">
        <v>1</v>
      </c>
      <c r="EE32" s="74">
        <v>1</v>
      </c>
      <c r="EF32" s="74">
        <v>1</v>
      </c>
      <c r="EG32" s="74">
        <v>1</v>
      </c>
      <c r="EH32" s="74">
        <v>1</v>
      </c>
      <c r="EI32" s="74">
        <v>1</v>
      </c>
      <c r="EJ32" s="74">
        <v>1</v>
      </c>
      <c r="EK32" s="74">
        <v>1</v>
      </c>
      <c r="EL32" s="74">
        <v>1</v>
      </c>
      <c r="EM32" s="74">
        <v>1</v>
      </c>
      <c r="EN32" s="74">
        <v>1</v>
      </c>
      <c r="EO32" s="74">
        <v>1</v>
      </c>
      <c r="EP32" s="74">
        <v>1</v>
      </c>
      <c r="EQ32" s="74">
        <v>1</v>
      </c>
      <c r="ER32" s="74">
        <v>1</v>
      </c>
      <c r="ES32" s="74">
        <v>1</v>
      </c>
      <c r="ET32" s="74">
        <v>1</v>
      </c>
      <c r="EU32" s="78">
        <v>1</v>
      </c>
      <c r="EV32" s="74">
        <v>1</v>
      </c>
      <c r="EW32" s="74">
        <v>1</v>
      </c>
      <c r="EX32" s="74">
        <v>1</v>
      </c>
      <c r="EY32" s="74">
        <v>1</v>
      </c>
      <c r="EZ32" s="74">
        <v>1</v>
      </c>
      <c r="FA32" s="74">
        <v>1</v>
      </c>
      <c r="FB32" s="74">
        <v>1</v>
      </c>
      <c r="FC32" s="74">
        <v>1</v>
      </c>
      <c r="FD32" s="74">
        <v>1</v>
      </c>
      <c r="FE32" s="74">
        <v>1</v>
      </c>
      <c r="FF32" s="74">
        <v>1</v>
      </c>
      <c r="FG32" s="74">
        <v>1</v>
      </c>
      <c r="FH32" s="74">
        <v>1</v>
      </c>
      <c r="FI32" s="74">
        <v>1</v>
      </c>
      <c r="FJ32" s="74">
        <v>1</v>
      </c>
      <c r="FK32" s="74">
        <v>1</v>
      </c>
      <c r="FL32" s="74">
        <v>1</v>
      </c>
      <c r="FM32" s="74">
        <v>1</v>
      </c>
      <c r="FN32" s="74">
        <v>1</v>
      </c>
      <c r="FO32" s="74">
        <v>1</v>
      </c>
      <c r="FP32" s="74">
        <v>1</v>
      </c>
      <c r="FQ32" s="74">
        <v>1</v>
      </c>
      <c r="FR32" s="74">
        <v>1</v>
      </c>
      <c r="FS32" s="78">
        <v>1</v>
      </c>
      <c r="FT32" s="74">
        <v>1</v>
      </c>
      <c r="FU32" s="74">
        <v>1</v>
      </c>
      <c r="FV32" s="74">
        <v>1</v>
      </c>
      <c r="FW32" s="74">
        <v>1</v>
      </c>
      <c r="FX32" s="74">
        <v>1</v>
      </c>
      <c r="FY32" s="74">
        <v>1</v>
      </c>
      <c r="FZ32" s="74">
        <v>1</v>
      </c>
      <c r="GA32" s="74">
        <v>1</v>
      </c>
      <c r="GB32" s="74">
        <v>1</v>
      </c>
      <c r="GC32" s="74">
        <v>1</v>
      </c>
      <c r="GD32" s="74">
        <v>1</v>
      </c>
      <c r="GE32" s="74">
        <v>1</v>
      </c>
      <c r="GF32" s="74">
        <v>1</v>
      </c>
      <c r="GG32" s="74">
        <v>1</v>
      </c>
      <c r="GH32" s="74">
        <v>1</v>
      </c>
      <c r="GI32" s="74">
        <v>1</v>
      </c>
      <c r="GJ32" s="74">
        <v>1</v>
      </c>
      <c r="GK32" s="74">
        <v>1</v>
      </c>
      <c r="GL32" s="74">
        <v>1</v>
      </c>
      <c r="GM32" s="74">
        <v>1</v>
      </c>
      <c r="GN32" s="74">
        <v>1</v>
      </c>
      <c r="GO32" s="74">
        <v>1</v>
      </c>
      <c r="GP32" s="74">
        <v>1</v>
      </c>
      <c r="GQ32" s="78">
        <v>1</v>
      </c>
      <c r="GR32" s="74">
        <v>1</v>
      </c>
      <c r="GS32" s="74">
        <v>1</v>
      </c>
      <c r="GT32" s="74">
        <v>1</v>
      </c>
      <c r="GU32" s="74">
        <v>1</v>
      </c>
      <c r="GV32" s="74">
        <v>1</v>
      </c>
      <c r="GW32" s="74">
        <v>1</v>
      </c>
      <c r="GX32" s="74">
        <v>1</v>
      </c>
      <c r="GY32" s="74">
        <v>1</v>
      </c>
      <c r="GZ32" s="74">
        <v>1</v>
      </c>
      <c r="HA32" s="74">
        <v>1</v>
      </c>
      <c r="HB32" s="74">
        <v>1</v>
      </c>
      <c r="HC32" s="74">
        <v>1</v>
      </c>
      <c r="HD32" s="74">
        <v>1</v>
      </c>
      <c r="HE32" s="74">
        <v>1</v>
      </c>
      <c r="HF32" s="74">
        <v>1</v>
      </c>
      <c r="HG32" s="74">
        <v>1</v>
      </c>
      <c r="HH32" s="74">
        <v>1</v>
      </c>
      <c r="HI32" s="74">
        <v>1</v>
      </c>
      <c r="HJ32" s="74">
        <v>1</v>
      </c>
      <c r="HK32" s="74">
        <v>1</v>
      </c>
      <c r="HL32" s="74">
        <v>1</v>
      </c>
      <c r="HM32" s="74">
        <v>1</v>
      </c>
      <c r="HN32" s="74">
        <v>1</v>
      </c>
      <c r="HO32" s="74">
        <v>1</v>
      </c>
      <c r="HP32" s="74">
        <v>1</v>
      </c>
      <c r="HQ32" s="74">
        <v>1</v>
      </c>
      <c r="HR32" s="74">
        <v>1</v>
      </c>
      <c r="HS32" s="74">
        <v>1</v>
      </c>
      <c r="HT32" s="74">
        <v>1</v>
      </c>
      <c r="HU32" s="74">
        <v>1</v>
      </c>
      <c r="HV32" s="74">
        <v>1</v>
      </c>
      <c r="HW32" s="74">
        <v>1</v>
      </c>
      <c r="HX32" s="75">
        <v>1</v>
      </c>
    </row>
    <row r="33" spans="1:232" x14ac:dyDescent="0.2">
      <c r="B33" s="103" t="s">
        <v>79</v>
      </c>
      <c r="C33" s="108" t="s">
        <v>132</v>
      </c>
      <c r="D33" s="109">
        <v>5.2</v>
      </c>
      <c r="E33" s="108" t="s">
        <v>128</v>
      </c>
      <c r="F33" s="108" t="s">
        <v>124</v>
      </c>
      <c r="G33" s="74">
        <v>1</v>
      </c>
      <c r="H33" s="74">
        <v>1</v>
      </c>
      <c r="I33" s="74">
        <v>1</v>
      </c>
      <c r="J33" s="74">
        <v>1</v>
      </c>
      <c r="K33" s="74">
        <v>1</v>
      </c>
      <c r="L33" s="74">
        <v>1</v>
      </c>
      <c r="M33" s="74">
        <v>1</v>
      </c>
      <c r="N33" s="74">
        <v>1</v>
      </c>
      <c r="O33" s="74">
        <v>1</v>
      </c>
      <c r="P33" s="74">
        <v>1</v>
      </c>
      <c r="Q33" s="74">
        <v>1</v>
      </c>
      <c r="R33" s="74">
        <v>1</v>
      </c>
      <c r="S33" s="74">
        <v>1</v>
      </c>
      <c r="T33" s="74">
        <v>1</v>
      </c>
      <c r="U33" s="74">
        <v>1</v>
      </c>
      <c r="V33" s="74">
        <v>1</v>
      </c>
      <c r="W33" s="74">
        <v>1</v>
      </c>
      <c r="X33" s="74">
        <v>1</v>
      </c>
      <c r="Y33" s="74">
        <v>1</v>
      </c>
      <c r="Z33" s="74">
        <v>1</v>
      </c>
      <c r="AA33" s="74">
        <v>1</v>
      </c>
      <c r="AB33" s="74">
        <v>1</v>
      </c>
      <c r="AC33" s="74">
        <v>1</v>
      </c>
      <c r="AD33" s="74">
        <v>1</v>
      </c>
      <c r="AE33" s="78">
        <v>1</v>
      </c>
      <c r="AF33" s="74">
        <v>1</v>
      </c>
      <c r="AG33" s="74">
        <v>1</v>
      </c>
      <c r="AH33" s="74">
        <v>1</v>
      </c>
      <c r="AI33" s="74">
        <v>1</v>
      </c>
      <c r="AJ33" s="74">
        <v>1</v>
      </c>
      <c r="AK33" s="74">
        <v>1</v>
      </c>
      <c r="AL33" s="74">
        <v>1</v>
      </c>
      <c r="AM33" s="74">
        <v>1</v>
      </c>
      <c r="AN33" s="74">
        <v>1</v>
      </c>
      <c r="AO33" s="74">
        <v>1</v>
      </c>
      <c r="AP33" s="74">
        <v>1</v>
      </c>
      <c r="AQ33" s="74">
        <v>1</v>
      </c>
      <c r="AR33" s="74">
        <v>1</v>
      </c>
      <c r="AS33" s="74">
        <v>1</v>
      </c>
      <c r="AT33" s="74">
        <v>1</v>
      </c>
      <c r="AU33" s="74">
        <v>1</v>
      </c>
      <c r="AV33" s="74">
        <v>1</v>
      </c>
      <c r="AW33" s="74">
        <v>1</v>
      </c>
      <c r="AX33" s="74">
        <v>1</v>
      </c>
      <c r="AY33" s="74">
        <v>1</v>
      </c>
      <c r="AZ33" s="74">
        <v>1</v>
      </c>
      <c r="BA33" s="74">
        <v>0</v>
      </c>
      <c r="BB33" s="74">
        <v>0</v>
      </c>
      <c r="BC33" s="78">
        <v>0</v>
      </c>
      <c r="BD33" s="74">
        <v>0</v>
      </c>
      <c r="BE33" s="74">
        <v>0</v>
      </c>
      <c r="BF33" s="74">
        <v>0</v>
      </c>
      <c r="BG33" s="74">
        <v>0</v>
      </c>
      <c r="BH33" s="74">
        <v>0</v>
      </c>
      <c r="BI33" s="74">
        <v>0</v>
      </c>
      <c r="BJ33" s="74">
        <v>0</v>
      </c>
      <c r="BK33" s="74">
        <v>0</v>
      </c>
      <c r="BL33" s="74">
        <v>0</v>
      </c>
      <c r="BM33" s="74">
        <v>0</v>
      </c>
      <c r="BN33" s="74">
        <v>0</v>
      </c>
      <c r="BO33" s="74">
        <v>0</v>
      </c>
      <c r="BP33" s="74">
        <v>0</v>
      </c>
      <c r="BQ33" s="74">
        <v>0</v>
      </c>
      <c r="BR33" s="74">
        <v>0</v>
      </c>
      <c r="BS33" s="74">
        <v>0</v>
      </c>
      <c r="BT33" s="74">
        <v>0</v>
      </c>
      <c r="BU33" s="74">
        <v>0</v>
      </c>
      <c r="BV33" s="74">
        <v>0</v>
      </c>
      <c r="BW33" s="74">
        <v>0</v>
      </c>
      <c r="BX33" s="74">
        <v>0</v>
      </c>
      <c r="BY33" s="74">
        <v>0</v>
      </c>
      <c r="BZ33" s="74">
        <v>0</v>
      </c>
      <c r="CA33" s="78">
        <v>0</v>
      </c>
      <c r="CB33" s="74">
        <v>0</v>
      </c>
      <c r="CC33" s="74">
        <v>0</v>
      </c>
      <c r="CD33" s="74">
        <v>0</v>
      </c>
      <c r="CE33" s="74">
        <v>0</v>
      </c>
      <c r="CF33" s="74">
        <v>0</v>
      </c>
      <c r="CG33" s="74">
        <v>0</v>
      </c>
      <c r="CH33" s="74">
        <v>0</v>
      </c>
      <c r="CI33" s="74">
        <v>0</v>
      </c>
      <c r="CJ33" s="74">
        <v>0</v>
      </c>
      <c r="CK33" s="74">
        <v>0</v>
      </c>
      <c r="CL33" s="74">
        <v>0</v>
      </c>
      <c r="CM33" s="74">
        <v>0</v>
      </c>
      <c r="CN33" s="74">
        <v>0</v>
      </c>
      <c r="CO33" s="74">
        <v>0</v>
      </c>
      <c r="CP33" s="74">
        <v>0</v>
      </c>
      <c r="CQ33" s="74">
        <v>0</v>
      </c>
      <c r="CR33" s="74">
        <v>0</v>
      </c>
      <c r="CS33" s="74">
        <v>0</v>
      </c>
      <c r="CT33" s="74">
        <v>0</v>
      </c>
      <c r="CU33" s="74">
        <v>0</v>
      </c>
      <c r="CV33" s="74">
        <v>0</v>
      </c>
      <c r="CW33" s="74">
        <v>0</v>
      </c>
      <c r="CX33" s="74">
        <v>0</v>
      </c>
      <c r="CY33" s="78">
        <v>0</v>
      </c>
      <c r="CZ33" s="74">
        <v>0</v>
      </c>
      <c r="DA33" s="74">
        <v>0</v>
      </c>
      <c r="DB33" s="74">
        <v>0</v>
      </c>
      <c r="DC33" s="74">
        <v>0</v>
      </c>
      <c r="DD33" s="74">
        <v>0</v>
      </c>
      <c r="DE33" s="74">
        <v>0</v>
      </c>
      <c r="DF33" s="74">
        <v>0</v>
      </c>
      <c r="DG33" s="74">
        <v>0</v>
      </c>
      <c r="DH33" s="74">
        <v>0</v>
      </c>
      <c r="DI33" s="74">
        <v>0</v>
      </c>
      <c r="DJ33" s="74">
        <v>0</v>
      </c>
      <c r="DK33" s="74">
        <v>0</v>
      </c>
      <c r="DL33" s="74">
        <v>0</v>
      </c>
      <c r="DM33" s="74">
        <v>0</v>
      </c>
      <c r="DN33" s="74">
        <v>0</v>
      </c>
      <c r="DO33" s="74">
        <v>0</v>
      </c>
      <c r="DP33" s="74">
        <v>0</v>
      </c>
      <c r="DQ33" s="74">
        <v>0</v>
      </c>
      <c r="DR33" s="74">
        <v>0</v>
      </c>
      <c r="DS33" s="74">
        <v>0</v>
      </c>
      <c r="DT33" s="74">
        <v>0</v>
      </c>
      <c r="DU33" s="74">
        <v>0</v>
      </c>
      <c r="DV33" s="74">
        <v>0</v>
      </c>
      <c r="DW33" s="78">
        <v>0</v>
      </c>
      <c r="DX33" s="74">
        <v>0</v>
      </c>
      <c r="DY33" s="74">
        <v>0</v>
      </c>
      <c r="DZ33" s="74">
        <v>0</v>
      </c>
      <c r="EA33" s="74">
        <v>0</v>
      </c>
      <c r="EB33" s="74">
        <v>0</v>
      </c>
      <c r="EC33" s="74">
        <v>0</v>
      </c>
      <c r="ED33" s="74">
        <v>0</v>
      </c>
      <c r="EE33" s="74">
        <v>0</v>
      </c>
      <c r="EF33" s="74">
        <v>0</v>
      </c>
      <c r="EG33" s="74">
        <v>0</v>
      </c>
      <c r="EH33" s="74">
        <v>0</v>
      </c>
      <c r="EI33" s="74">
        <v>0</v>
      </c>
      <c r="EJ33" s="74">
        <v>0</v>
      </c>
      <c r="EK33" s="74">
        <v>0</v>
      </c>
      <c r="EL33" s="74">
        <v>0</v>
      </c>
      <c r="EM33" s="74">
        <v>0</v>
      </c>
      <c r="EN33" s="74">
        <v>0</v>
      </c>
      <c r="EO33" s="74">
        <v>0</v>
      </c>
      <c r="EP33" s="74">
        <v>0</v>
      </c>
      <c r="EQ33" s="74">
        <v>0</v>
      </c>
      <c r="ER33" s="74">
        <v>0</v>
      </c>
      <c r="ES33" s="74">
        <v>0</v>
      </c>
      <c r="ET33" s="74">
        <v>0</v>
      </c>
      <c r="EU33" s="78">
        <v>0</v>
      </c>
      <c r="EV33" s="74">
        <v>0</v>
      </c>
      <c r="EW33" s="74">
        <v>0</v>
      </c>
      <c r="EX33" s="74">
        <v>0</v>
      </c>
      <c r="EY33" s="74">
        <v>0</v>
      </c>
      <c r="EZ33" s="74">
        <v>0</v>
      </c>
      <c r="FA33" s="74">
        <v>0</v>
      </c>
      <c r="FB33" s="74">
        <v>0</v>
      </c>
      <c r="FC33" s="74">
        <v>0</v>
      </c>
      <c r="FD33" s="74">
        <v>0</v>
      </c>
      <c r="FE33" s="74">
        <v>0</v>
      </c>
      <c r="FF33" s="74">
        <v>0</v>
      </c>
      <c r="FG33" s="74">
        <v>0</v>
      </c>
      <c r="FH33" s="74">
        <v>0</v>
      </c>
      <c r="FI33" s="74">
        <v>0</v>
      </c>
      <c r="FJ33" s="74">
        <v>0</v>
      </c>
      <c r="FK33" s="74">
        <v>0</v>
      </c>
      <c r="FL33" s="74">
        <v>0</v>
      </c>
      <c r="FM33" s="74">
        <v>0</v>
      </c>
      <c r="FN33" s="74">
        <v>0</v>
      </c>
      <c r="FO33" s="74">
        <v>0</v>
      </c>
      <c r="FP33" s="74">
        <v>0</v>
      </c>
      <c r="FQ33" s="74">
        <v>0</v>
      </c>
      <c r="FR33" s="74">
        <v>0</v>
      </c>
      <c r="FS33" s="78">
        <v>0</v>
      </c>
      <c r="FT33" s="74">
        <v>0</v>
      </c>
      <c r="FU33" s="74">
        <v>0</v>
      </c>
      <c r="FV33" s="74">
        <v>0</v>
      </c>
      <c r="FW33" s="74">
        <v>0</v>
      </c>
      <c r="FX33" s="74">
        <v>0</v>
      </c>
      <c r="FY33" s="74">
        <v>0</v>
      </c>
      <c r="FZ33" s="74">
        <v>0</v>
      </c>
      <c r="GA33" s="74">
        <v>0</v>
      </c>
      <c r="GB33" s="74">
        <v>0</v>
      </c>
      <c r="GC33" s="74">
        <v>0</v>
      </c>
      <c r="GD33" s="74">
        <v>0</v>
      </c>
      <c r="GE33" s="74">
        <v>0</v>
      </c>
      <c r="GF33" s="74">
        <v>0</v>
      </c>
      <c r="GG33" s="74">
        <v>0</v>
      </c>
      <c r="GH33" s="74">
        <v>0</v>
      </c>
      <c r="GI33" s="74">
        <v>0</v>
      </c>
      <c r="GJ33" s="74">
        <v>0</v>
      </c>
      <c r="GK33" s="74">
        <v>0</v>
      </c>
      <c r="GL33" s="74">
        <v>0</v>
      </c>
      <c r="GM33" s="74">
        <v>0</v>
      </c>
      <c r="GN33" s="74">
        <v>0</v>
      </c>
      <c r="GO33" s="74">
        <v>0</v>
      </c>
      <c r="GP33" s="74">
        <v>0</v>
      </c>
      <c r="GQ33" s="78">
        <v>0</v>
      </c>
      <c r="GR33" s="74">
        <v>0</v>
      </c>
      <c r="GS33" s="74">
        <v>0</v>
      </c>
      <c r="GT33" s="74">
        <v>0</v>
      </c>
      <c r="GU33" s="74">
        <v>0</v>
      </c>
      <c r="GV33" s="74">
        <v>0</v>
      </c>
      <c r="GW33" s="74">
        <v>0</v>
      </c>
      <c r="GX33" s="74">
        <v>0</v>
      </c>
      <c r="GY33" s="74">
        <v>0</v>
      </c>
      <c r="GZ33" s="74">
        <v>0</v>
      </c>
      <c r="HA33" s="74">
        <v>0</v>
      </c>
      <c r="HB33" s="74">
        <v>0</v>
      </c>
      <c r="HC33" s="74">
        <v>0</v>
      </c>
      <c r="HD33" s="74">
        <v>0</v>
      </c>
      <c r="HE33" s="74">
        <v>0</v>
      </c>
      <c r="HF33" s="74">
        <v>0</v>
      </c>
      <c r="HG33" s="74">
        <v>0</v>
      </c>
      <c r="HH33" s="74">
        <v>0</v>
      </c>
      <c r="HI33" s="74">
        <v>0</v>
      </c>
      <c r="HJ33" s="74">
        <v>0</v>
      </c>
      <c r="HK33" s="74">
        <v>0</v>
      </c>
      <c r="HL33" s="74">
        <v>0</v>
      </c>
      <c r="HM33" s="74">
        <v>0</v>
      </c>
      <c r="HN33" s="74">
        <v>0</v>
      </c>
      <c r="HO33" s="74">
        <v>0</v>
      </c>
      <c r="HP33" s="74">
        <v>0</v>
      </c>
      <c r="HQ33" s="74">
        <v>0</v>
      </c>
      <c r="HR33" s="74">
        <v>0</v>
      </c>
      <c r="HS33" s="74">
        <v>0</v>
      </c>
      <c r="HT33" s="74">
        <v>0</v>
      </c>
      <c r="HU33" s="74">
        <v>0</v>
      </c>
      <c r="HV33" s="74">
        <v>0</v>
      </c>
      <c r="HW33" s="74">
        <v>0</v>
      </c>
      <c r="HX33" s="75">
        <v>0</v>
      </c>
    </row>
    <row r="34" spans="1:232" x14ac:dyDescent="0.2">
      <c r="B34" s="80" t="s">
        <v>80</v>
      </c>
      <c r="C34" s="80" t="s">
        <v>131</v>
      </c>
      <c r="D34" s="81">
        <v>5.2</v>
      </c>
      <c r="E34" s="80" t="s">
        <v>127</v>
      </c>
      <c r="F34" s="80" t="s">
        <v>124</v>
      </c>
      <c r="G34" s="78">
        <v>1</v>
      </c>
      <c r="H34" s="74">
        <v>1</v>
      </c>
      <c r="I34" s="74">
        <v>1</v>
      </c>
      <c r="J34" s="74">
        <v>1</v>
      </c>
      <c r="K34" s="74">
        <v>1</v>
      </c>
      <c r="L34" s="74">
        <v>1</v>
      </c>
      <c r="M34" s="74">
        <v>1</v>
      </c>
      <c r="N34" s="74">
        <v>1</v>
      </c>
      <c r="O34" s="74">
        <v>1</v>
      </c>
      <c r="P34" s="74">
        <v>1</v>
      </c>
      <c r="Q34" s="74">
        <v>1</v>
      </c>
      <c r="R34" s="74">
        <v>1</v>
      </c>
      <c r="S34" s="74">
        <v>1</v>
      </c>
      <c r="T34" s="74">
        <v>1</v>
      </c>
      <c r="U34" s="74">
        <v>1</v>
      </c>
      <c r="V34" s="74">
        <v>1</v>
      </c>
      <c r="W34" s="74">
        <v>1</v>
      </c>
      <c r="X34" s="74">
        <v>1</v>
      </c>
      <c r="Y34" s="74">
        <v>1</v>
      </c>
      <c r="Z34" s="74">
        <v>1</v>
      </c>
      <c r="AA34" s="74">
        <v>1</v>
      </c>
      <c r="AB34" s="74">
        <v>1</v>
      </c>
      <c r="AC34" s="74">
        <v>1</v>
      </c>
      <c r="AD34" s="74">
        <v>1</v>
      </c>
      <c r="AE34" s="78">
        <v>1</v>
      </c>
      <c r="AF34" s="74">
        <v>1</v>
      </c>
      <c r="AG34" s="74">
        <v>1</v>
      </c>
      <c r="AH34" s="74">
        <v>1</v>
      </c>
      <c r="AI34" s="74">
        <v>1</v>
      </c>
      <c r="AJ34" s="74">
        <v>1</v>
      </c>
      <c r="AK34" s="74">
        <v>1</v>
      </c>
      <c r="AL34" s="74">
        <v>1</v>
      </c>
      <c r="AM34" s="74">
        <v>1</v>
      </c>
      <c r="AN34" s="74">
        <v>1</v>
      </c>
      <c r="AO34" s="74">
        <v>1</v>
      </c>
      <c r="AP34" s="74">
        <v>1</v>
      </c>
      <c r="AQ34" s="74">
        <v>1</v>
      </c>
      <c r="AR34" s="74">
        <v>1</v>
      </c>
      <c r="AS34" s="74">
        <v>1</v>
      </c>
      <c r="AT34" s="74">
        <v>1</v>
      </c>
      <c r="AU34" s="74">
        <v>1</v>
      </c>
      <c r="AV34" s="74">
        <v>1</v>
      </c>
      <c r="AW34" s="74">
        <v>1</v>
      </c>
      <c r="AX34" s="74">
        <v>1</v>
      </c>
      <c r="AY34" s="74">
        <v>1</v>
      </c>
      <c r="AZ34" s="74">
        <v>1</v>
      </c>
      <c r="BA34" s="74">
        <v>1</v>
      </c>
      <c r="BB34" s="74">
        <v>1</v>
      </c>
      <c r="BC34" s="78">
        <v>1</v>
      </c>
      <c r="BD34" s="74">
        <v>1</v>
      </c>
      <c r="BE34" s="74">
        <v>1</v>
      </c>
      <c r="BF34" s="74">
        <v>1</v>
      </c>
      <c r="BG34" s="74">
        <v>1</v>
      </c>
      <c r="BH34" s="74">
        <v>1</v>
      </c>
      <c r="BI34" s="74">
        <v>1</v>
      </c>
      <c r="BJ34" s="74">
        <v>1</v>
      </c>
      <c r="BK34" s="74">
        <v>1</v>
      </c>
      <c r="BL34" s="74">
        <v>1</v>
      </c>
      <c r="BM34" s="74">
        <v>1</v>
      </c>
      <c r="BN34" s="74">
        <v>1</v>
      </c>
      <c r="BO34" s="74">
        <v>1</v>
      </c>
      <c r="BP34" s="74">
        <v>1</v>
      </c>
      <c r="BQ34" s="74">
        <v>1</v>
      </c>
      <c r="BR34" s="74">
        <v>1</v>
      </c>
      <c r="BS34" s="74">
        <v>1</v>
      </c>
      <c r="BT34" s="74">
        <v>1</v>
      </c>
      <c r="BU34" s="74">
        <v>1</v>
      </c>
      <c r="BV34" s="74">
        <v>1</v>
      </c>
      <c r="BW34" s="74">
        <v>1</v>
      </c>
      <c r="BX34" s="74">
        <v>1</v>
      </c>
      <c r="BY34" s="74">
        <v>1</v>
      </c>
      <c r="BZ34" s="74">
        <v>1</v>
      </c>
      <c r="CA34" s="78">
        <v>1</v>
      </c>
      <c r="CB34" s="74">
        <v>1</v>
      </c>
      <c r="CC34" s="74">
        <v>1</v>
      </c>
      <c r="CD34" s="74">
        <v>1</v>
      </c>
      <c r="CE34" s="74">
        <v>1</v>
      </c>
      <c r="CF34" s="74">
        <v>1</v>
      </c>
      <c r="CG34" s="74">
        <v>1</v>
      </c>
      <c r="CH34" s="74">
        <v>1</v>
      </c>
      <c r="CI34" s="74">
        <v>1</v>
      </c>
      <c r="CJ34" s="74">
        <v>1</v>
      </c>
      <c r="CK34" s="74">
        <v>1</v>
      </c>
      <c r="CL34" s="74">
        <v>1</v>
      </c>
      <c r="CM34" s="74">
        <v>1</v>
      </c>
      <c r="CN34" s="74">
        <v>1</v>
      </c>
      <c r="CO34" s="74">
        <v>1</v>
      </c>
      <c r="CP34" s="74">
        <v>1</v>
      </c>
      <c r="CQ34" s="74">
        <v>1</v>
      </c>
      <c r="CR34" s="74">
        <v>1</v>
      </c>
      <c r="CS34" s="74">
        <v>1</v>
      </c>
      <c r="CT34" s="74">
        <v>1</v>
      </c>
      <c r="CU34" s="74">
        <v>1</v>
      </c>
      <c r="CV34" s="74">
        <v>1</v>
      </c>
      <c r="CW34" s="74">
        <v>1</v>
      </c>
      <c r="CX34" s="74">
        <v>1</v>
      </c>
      <c r="CY34" s="78">
        <v>1</v>
      </c>
      <c r="CZ34" s="74">
        <v>1</v>
      </c>
      <c r="DA34" s="74">
        <v>1</v>
      </c>
      <c r="DB34" s="74">
        <v>1</v>
      </c>
      <c r="DC34" s="74">
        <v>1</v>
      </c>
      <c r="DD34" s="74">
        <v>1</v>
      </c>
      <c r="DE34" s="74">
        <v>1</v>
      </c>
      <c r="DF34" s="74">
        <v>1</v>
      </c>
      <c r="DG34" s="74">
        <v>1</v>
      </c>
      <c r="DH34" s="74">
        <v>1</v>
      </c>
      <c r="DI34" s="74">
        <v>1</v>
      </c>
      <c r="DJ34" s="74">
        <v>1</v>
      </c>
      <c r="DK34" s="74">
        <v>1</v>
      </c>
      <c r="DL34" s="74">
        <v>1</v>
      </c>
      <c r="DM34" s="74">
        <v>1</v>
      </c>
      <c r="DN34" s="74">
        <v>1</v>
      </c>
      <c r="DO34" s="74">
        <v>1</v>
      </c>
      <c r="DP34" s="74">
        <v>1</v>
      </c>
      <c r="DQ34" s="74">
        <v>1</v>
      </c>
      <c r="DR34" s="74">
        <v>1</v>
      </c>
      <c r="DS34" s="74">
        <v>1</v>
      </c>
      <c r="DT34" s="74">
        <v>1</v>
      </c>
      <c r="DU34" s="74">
        <v>1</v>
      </c>
      <c r="DV34" s="74">
        <v>1</v>
      </c>
      <c r="DW34" s="78">
        <v>1</v>
      </c>
      <c r="DX34" s="74">
        <v>1</v>
      </c>
      <c r="DY34" s="74">
        <v>1</v>
      </c>
      <c r="DZ34" s="74">
        <v>1</v>
      </c>
      <c r="EA34" s="74">
        <v>1</v>
      </c>
      <c r="EB34" s="74">
        <v>1</v>
      </c>
      <c r="EC34" s="74">
        <v>1</v>
      </c>
      <c r="ED34" s="74">
        <v>1</v>
      </c>
      <c r="EE34" s="74">
        <v>1</v>
      </c>
      <c r="EF34" s="74">
        <v>1</v>
      </c>
      <c r="EG34" s="74">
        <v>1</v>
      </c>
      <c r="EH34" s="74">
        <v>1</v>
      </c>
      <c r="EI34" s="74">
        <v>1</v>
      </c>
      <c r="EJ34" s="74">
        <v>1</v>
      </c>
      <c r="EK34" s="74">
        <v>1</v>
      </c>
      <c r="EL34" s="74">
        <v>1</v>
      </c>
      <c r="EM34" s="74">
        <v>1</v>
      </c>
      <c r="EN34" s="74">
        <v>1</v>
      </c>
      <c r="EO34" s="74">
        <v>1</v>
      </c>
      <c r="EP34" s="74">
        <v>1</v>
      </c>
      <c r="EQ34" s="74">
        <v>1</v>
      </c>
      <c r="ER34" s="74">
        <v>1</v>
      </c>
      <c r="ES34" s="74">
        <v>1</v>
      </c>
      <c r="ET34" s="74">
        <v>1</v>
      </c>
      <c r="EU34" s="78">
        <v>1</v>
      </c>
      <c r="EV34" s="74">
        <v>1</v>
      </c>
      <c r="EW34" s="74">
        <v>1</v>
      </c>
      <c r="EX34" s="74">
        <v>1</v>
      </c>
      <c r="EY34" s="74">
        <v>1</v>
      </c>
      <c r="EZ34" s="74">
        <v>1</v>
      </c>
      <c r="FA34" s="74">
        <v>1</v>
      </c>
      <c r="FB34" s="74">
        <v>1</v>
      </c>
      <c r="FC34" s="74">
        <v>1</v>
      </c>
      <c r="FD34" s="74">
        <v>1</v>
      </c>
      <c r="FE34" s="74">
        <v>1</v>
      </c>
      <c r="FF34" s="74">
        <v>1</v>
      </c>
      <c r="FG34" s="74">
        <v>1</v>
      </c>
      <c r="FH34" s="74">
        <v>1</v>
      </c>
      <c r="FI34" s="74">
        <v>1</v>
      </c>
      <c r="FJ34" s="74">
        <v>1</v>
      </c>
      <c r="FK34" s="74">
        <v>1</v>
      </c>
      <c r="FL34" s="74">
        <v>1</v>
      </c>
      <c r="FM34" s="74">
        <v>1</v>
      </c>
      <c r="FN34" s="74">
        <v>1</v>
      </c>
      <c r="FO34" s="74">
        <v>1</v>
      </c>
      <c r="FP34" s="74">
        <v>1</v>
      </c>
      <c r="FQ34" s="74">
        <v>1</v>
      </c>
      <c r="FR34" s="74">
        <v>1</v>
      </c>
      <c r="FS34" s="78">
        <v>1</v>
      </c>
      <c r="FT34" s="74">
        <v>1</v>
      </c>
      <c r="FU34" s="74">
        <v>1</v>
      </c>
      <c r="FV34" s="74">
        <v>1</v>
      </c>
      <c r="FW34" s="74">
        <v>1</v>
      </c>
      <c r="FX34" s="74">
        <v>1</v>
      </c>
      <c r="FY34" s="74">
        <v>1</v>
      </c>
      <c r="FZ34" s="74">
        <v>1</v>
      </c>
      <c r="GA34" s="74">
        <v>1</v>
      </c>
      <c r="GB34" s="74">
        <v>1</v>
      </c>
      <c r="GC34" s="74">
        <v>1</v>
      </c>
      <c r="GD34" s="74">
        <v>1</v>
      </c>
      <c r="GE34" s="74">
        <v>1</v>
      </c>
      <c r="GF34" s="74">
        <v>1</v>
      </c>
      <c r="GG34" s="74">
        <v>1</v>
      </c>
      <c r="GH34" s="74">
        <v>1</v>
      </c>
      <c r="GI34" s="74">
        <v>1</v>
      </c>
      <c r="GJ34" s="74">
        <v>1</v>
      </c>
      <c r="GK34" s="74">
        <v>1</v>
      </c>
      <c r="GL34" s="74">
        <v>1</v>
      </c>
      <c r="GM34" s="74">
        <v>1</v>
      </c>
      <c r="GN34" s="74">
        <v>1</v>
      </c>
      <c r="GO34" s="74">
        <v>1</v>
      </c>
      <c r="GP34" s="74">
        <v>1</v>
      </c>
      <c r="GQ34" s="78">
        <v>1</v>
      </c>
      <c r="GR34" s="74">
        <v>1</v>
      </c>
      <c r="GS34" s="74">
        <v>1</v>
      </c>
      <c r="GT34" s="74">
        <v>1</v>
      </c>
      <c r="GU34" s="74">
        <v>1</v>
      </c>
      <c r="GV34" s="74">
        <v>1</v>
      </c>
      <c r="GW34" s="74">
        <v>1</v>
      </c>
      <c r="GX34" s="74">
        <v>1</v>
      </c>
      <c r="GY34" s="74">
        <v>1</v>
      </c>
      <c r="GZ34" s="74">
        <v>1</v>
      </c>
      <c r="HA34" s="74">
        <v>1</v>
      </c>
      <c r="HB34" s="74">
        <v>1</v>
      </c>
      <c r="HC34" s="74">
        <v>1</v>
      </c>
      <c r="HD34" s="74">
        <v>1</v>
      </c>
      <c r="HE34" s="74">
        <v>1</v>
      </c>
      <c r="HF34" s="74">
        <v>1</v>
      </c>
      <c r="HG34" s="74">
        <v>1</v>
      </c>
      <c r="HH34" s="74">
        <v>1</v>
      </c>
      <c r="HI34" s="74">
        <v>1</v>
      </c>
      <c r="HJ34" s="74">
        <v>1</v>
      </c>
      <c r="HK34" s="74">
        <v>1</v>
      </c>
      <c r="HL34" s="74">
        <v>1</v>
      </c>
      <c r="HM34" s="74">
        <v>1</v>
      </c>
      <c r="HN34" s="74">
        <v>1</v>
      </c>
      <c r="HO34" s="74">
        <v>1</v>
      </c>
      <c r="HP34" s="74">
        <v>1</v>
      </c>
      <c r="HQ34" s="74">
        <v>1</v>
      </c>
      <c r="HR34" s="74">
        <v>1</v>
      </c>
      <c r="HS34" s="74">
        <v>1</v>
      </c>
      <c r="HT34" s="74">
        <v>1</v>
      </c>
      <c r="HU34" s="74">
        <v>1</v>
      </c>
      <c r="HV34" s="74">
        <v>1</v>
      </c>
      <c r="HW34" s="74">
        <v>1</v>
      </c>
      <c r="HX34" s="75">
        <v>1</v>
      </c>
    </row>
    <row r="35" spans="1:232" x14ac:dyDescent="0.2">
      <c r="B35" s="80" t="s">
        <v>81</v>
      </c>
      <c r="C35" s="80" t="s">
        <v>131</v>
      </c>
      <c r="D35" s="81">
        <v>5.2</v>
      </c>
      <c r="E35" s="80" t="s">
        <v>127</v>
      </c>
      <c r="F35" s="80" t="s">
        <v>124</v>
      </c>
      <c r="G35" s="78">
        <v>1</v>
      </c>
      <c r="H35" s="74">
        <v>1</v>
      </c>
      <c r="I35" s="74">
        <v>1</v>
      </c>
      <c r="J35" s="74">
        <v>1</v>
      </c>
      <c r="K35" s="74">
        <v>1</v>
      </c>
      <c r="L35" s="74">
        <v>1</v>
      </c>
      <c r="M35" s="74">
        <v>1</v>
      </c>
      <c r="N35" s="74">
        <v>1</v>
      </c>
      <c r="O35" s="74">
        <v>1</v>
      </c>
      <c r="P35" s="74">
        <v>1</v>
      </c>
      <c r="Q35" s="74">
        <v>1</v>
      </c>
      <c r="R35" s="74">
        <v>1</v>
      </c>
      <c r="S35" s="74">
        <v>1</v>
      </c>
      <c r="T35" s="74">
        <v>1</v>
      </c>
      <c r="U35" s="74">
        <v>1</v>
      </c>
      <c r="V35" s="74">
        <v>1</v>
      </c>
      <c r="W35" s="74">
        <v>1</v>
      </c>
      <c r="X35" s="74">
        <v>1</v>
      </c>
      <c r="Y35" s="74">
        <v>1</v>
      </c>
      <c r="Z35" s="74">
        <v>1</v>
      </c>
      <c r="AA35" s="74">
        <v>1</v>
      </c>
      <c r="AB35" s="74">
        <v>1</v>
      </c>
      <c r="AC35" s="74">
        <v>1</v>
      </c>
      <c r="AD35" s="74">
        <v>1</v>
      </c>
      <c r="AE35" s="78">
        <v>1</v>
      </c>
      <c r="AF35" s="74">
        <v>1</v>
      </c>
      <c r="AG35" s="74">
        <v>1</v>
      </c>
      <c r="AH35" s="74">
        <v>1</v>
      </c>
      <c r="AI35" s="74">
        <v>1</v>
      </c>
      <c r="AJ35" s="74">
        <v>1</v>
      </c>
      <c r="AK35" s="74">
        <v>1</v>
      </c>
      <c r="AL35" s="74">
        <v>1</v>
      </c>
      <c r="AM35" s="74">
        <v>1</v>
      </c>
      <c r="AN35" s="74">
        <v>1</v>
      </c>
      <c r="AO35" s="74">
        <v>1</v>
      </c>
      <c r="AP35" s="74">
        <v>1</v>
      </c>
      <c r="AQ35" s="74">
        <v>1</v>
      </c>
      <c r="AR35" s="74">
        <v>1</v>
      </c>
      <c r="AS35" s="74">
        <v>1</v>
      </c>
      <c r="AT35" s="74">
        <v>1</v>
      </c>
      <c r="AU35" s="74">
        <v>1</v>
      </c>
      <c r="AV35" s="74">
        <v>1</v>
      </c>
      <c r="AW35" s="74">
        <v>1</v>
      </c>
      <c r="AX35" s="74">
        <v>1</v>
      </c>
      <c r="AY35" s="74">
        <v>1</v>
      </c>
      <c r="AZ35" s="74">
        <v>1</v>
      </c>
      <c r="BA35" s="74">
        <v>1</v>
      </c>
      <c r="BB35" s="74">
        <v>1</v>
      </c>
      <c r="BC35" s="78">
        <v>1</v>
      </c>
      <c r="BD35" s="74">
        <v>1</v>
      </c>
      <c r="BE35" s="74">
        <v>1</v>
      </c>
      <c r="BF35" s="74">
        <v>1</v>
      </c>
      <c r="BG35" s="74">
        <v>1</v>
      </c>
      <c r="BH35" s="74">
        <v>1</v>
      </c>
      <c r="BI35" s="74">
        <v>1</v>
      </c>
      <c r="BJ35" s="74">
        <v>1</v>
      </c>
      <c r="BK35" s="74">
        <v>1</v>
      </c>
      <c r="BL35" s="74">
        <v>1</v>
      </c>
      <c r="BM35" s="74">
        <v>1</v>
      </c>
      <c r="BN35" s="74">
        <v>1</v>
      </c>
      <c r="BO35" s="74">
        <v>1</v>
      </c>
      <c r="BP35" s="74">
        <v>1</v>
      </c>
      <c r="BQ35" s="74">
        <v>1</v>
      </c>
      <c r="BR35" s="74">
        <v>1</v>
      </c>
      <c r="BS35" s="74">
        <v>1</v>
      </c>
      <c r="BT35" s="74">
        <v>1</v>
      </c>
      <c r="BU35" s="74">
        <v>1</v>
      </c>
      <c r="BV35" s="74">
        <v>1</v>
      </c>
      <c r="BW35" s="74">
        <v>1</v>
      </c>
      <c r="BX35" s="74">
        <v>1</v>
      </c>
      <c r="BY35" s="74">
        <v>1</v>
      </c>
      <c r="BZ35" s="74">
        <v>1</v>
      </c>
      <c r="CA35" s="78">
        <v>1</v>
      </c>
      <c r="CB35" s="74">
        <v>1</v>
      </c>
      <c r="CC35" s="74">
        <v>1</v>
      </c>
      <c r="CD35" s="74">
        <v>1</v>
      </c>
      <c r="CE35" s="74">
        <v>1</v>
      </c>
      <c r="CF35" s="74">
        <v>1</v>
      </c>
      <c r="CG35" s="74">
        <v>1</v>
      </c>
      <c r="CH35" s="74">
        <v>1</v>
      </c>
      <c r="CI35" s="74">
        <v>1</v>
      </c>
      <c r="CJ35" s="74">
        <v>1</v>
      </c>
      <c r="CK35" s="74">
        <v>1</v>
      </c>
      <c r="CL35" s="74">
        <v>1</v>
      </c>
      <c r="CM35" s="74">
        <v>1</v>
      </c>
      <c r="CN35" s="74">
        <v>1</v>
      </c>
      <c r="CO35" s="74">
        <v>1</v>
      </c>
      <c r="CP35" s="74">
        <v>1</v>
      </c>
      <c r="CQ35" s="74">
        <v>1</v>
      </c>
      <c r="CR35" s="74">
        <v>1</v>
      </c>
      <c r="CS35" s="74">
        <v>1</v>
      </c>
      <c r="CT35" s="74">
        <v>1</v>
      </c>
      <c r="CU35" s="74">
        <v>1</v>
      </c>
      <c r="CV35" s="74">
        <v>1</v>
      </c>
      <c r="CW35" s="74">
        <v>1</v>
      </c>
      <c r="CX35" s="74">
        <v>1</v>
      </c>
      <c r="CY35" s="78">
        <v>1</v>
      </c>
      <c r="CZ35" s="74">
        <v>1</v>
      </c>
      <c r="DA35" s="74">
        <v>1</v>
      </c>
      <c r="DB35" s="74">
        <v>1</v>
      </c>
      <c r="DC35" s="74">
        <v>1</v>
      </c>
      <c r="DD35" s="74">
        <v>1</v>
      </c>
      <c r="DE35" s="74">
        <v>1</v>
      </c>
      <c r="DF35" s="74">
        <v>1</v>
      </c>
      <c r="DG35" s="74">
        <v>1</v>
      </c>
      <c r="DH35" s="74">
        <v>1</v>
      </c>
      <c r="DI35" s="74">
        <v>1</v>
      </c>
      <c r="DJ35" s="74">
        <v>1</v>
      </c>
      <c r="DK35" s="74">
        <v>1</v>
      </c>
      <c r="DL35" s="74">
        <v>1</v>
      </c>
      <c r="DM35" s="74">
        <v>1</v>
      </c>
      <c r="DN35" s="74">
        <v>1</v>
      </c>
      <c r="DO35" s="74">
        <v>1</v>
      </c>
      <c r="DP35" s="74">
        <v>1</v>
      </c>
      <c r="DQ35" s="74">
        <v>1</v>
      </c>
      <c r="DR35" s="74">
        <v>1</v>
      </c>
      <c r="DS35" s="74">
        <v>1</v>
      </c>
      <c r="DT35" s="74">
        <v>1</v>
      </c>
      <c r="DU35" s="74">
        <v>1</v>
      </c>
      <c r="DV35" s="74">
        <v>1</v>
      </c>
      <c r="DW35" s="78">
        <v>1</v>
      </c>
      <c r="DX35" s="74">
        <v>1</v>
      </c>
      <c r="DY35" s="74">
        <v>1</v>
      </c>
      <c r="DZ35" s="74">
        <v>1</v>
      </c>
      <c r="EA35" s="74">
        <v>1</v>
      </c>
      <c r="EB35" s="74">
        <v>1</v>
      </c>
      <c r="EC35" s="74">
        <v>1</v>
      </c>
      <c r="ED35" s="74">
        <v>1</v>
      </c>
      <c r="EE35" s="74">
        <v>1</v>
      </c>
      <c r="EF35" s="74">
        <v>1</v>
      </c>
      <c r="EG35" s="74">
        <v>1</v>
      </c>
      <c r="EH35" s="74">
        <v>1</v>
      </c>
      <c r="EI35" s="74">
        <v>1</v>
      </c>
      <c r="EJ35" s="74">
        <v>1</v>
      </c>
      <c r="EK35" s="74">
        <v>1</v>
      </c>
      <c r="EL35" s="74">
        <v>1</v>
      </c>
      <c r="EM35" s="74">
        <v>1</v>
      </c>
      <c r="EN35" s="74">
        <v>1</v>
      </c>
      <c r="EO35" s="74">
        <v>1</v>
      </c>
      <c r="EP35" s="74">
        <v>1</v>
      </c>
      <c r="EQ35" s="74">
        <v>1</v>
      </c>
      <c r="ER35" s="74">
        <v>1</v>
      </c>
      <c r="ES35" s="74">
        <v>1</v>
      </c>
      <c r="ET35" s="74">
        <v>1</v>
      </c>
      <c r="EU35" s="78">
        <v>1</v>
      </c>
      <c r="EV35" s="74">
        <v>1</v>
      </c>
      <c r="EW35" s="74">
        <v>1</v>
      </c>
      <c r="EX35" s="74">
        <v>1</v>
      </c>
      <c r="EY35" s="74">
        <v>1</v>
      </c>
      <c r="EZ35" s="74">
        <v>1</v>
      </c>
      <c r="FA35" s="74">
        <v>1</v>
      </c>
      <c r="FB35" s="74">
        <v>1</v>
      </c>
      <c r="FC35" s="74">
        <v>1</v>
      </c>
      <c r="FD35" s="74">
        <v>1</v>
      </c>
      <c r="FE35" s="74">
        <v>1</v>
      </c>
      <c r="FF35" s="74">
        <v>1</v>
      </c>
      <c r="FG35" s="74">
        <v>1</v>
      </c>
      <c r="FH35" s="74">
        <v>1</v>
      </c>
      <c r="FI35" s="74">
        <v>1</v>
      </c>
      <c r="FJ35" s="74">
        <v>1</v>
      </c>
      <c r="FK35" s="74">
        <v>1</v>
      </c>
      <c r="FL35" s="74">
        <v>1</v>
      </c>
      <c r="FM35" s="74">
        <v>1</v>
      </c>
      <c r="FN35" s="74">
        <v>1</v>
      </c>
      <c r="FO35" s="74">
        <v>1</v>
      </c>
      <c r="FP35" s="74">
        <v>1</v>
      </c>
      <c r="FQ35" s="74">
        <v>1</v>
      </c>
      <c r="FR35" s="74">
        <v>1</v>
      </c>
      <c r="FS35" s="78">
        <v>1</v>
      </c>
      <c r="FT35" s="74">
        <v>1</v>
      </c>
      <c r="FU35" s="74">
        <v>1</v>
      </c>
      <c r="FV35" s="74">
        <v>1</v>
      </c>
      <c r="FW35" s="74">
        <v>1</v>
      </c>
      <c r="FX35" s="74">
        <v>1</v>
      </c>
      <c r="FY35" s="74">
        <v>1</v>
      </c>
      <c r="FZ35" s="74">
        <v>1</v>
      </c>
      <c r="GA35" s="74">
        <v>1</v>
      </c>
      <c r="GB35" s="74">
        <v>1</v>
      </c>
      <c r="GC35" s="74">
        <v>1</v>
      </c>
      <c r="GD35" s="74">
        <v>1</v>
      </c>
      <c r="GE35" s="74">
        <v>1</v>
      </c>
      <c r="GF35" s="74">
        <v>1</v>
      </c>
      <c r="GG35" s="74">
        <v>1</v>
      </c>
      <c r="GH35" s="74">
        <v>1</v>
      </c>
      <c r="GI35" s="74">
        <v>1</v>
      </c>
      <c r="GJ35" s="74">
        <v>1</v>
      </c>
      <c r="GK35" s="74">
        <v>1</v>
      </c>
      <c r="GL35" s="74">
        <v>1</v>
      </c>
      <c r="GM35" s="74">
        <v>1</v>
      </c>
      <c r="GN35" s="74">
        <v>1</v>
      </c>
      <c r="GO35" s="74">
        <v>1</v>
      </c>
      <c r="GP35" s="74">
        <v>1</v>
      </c>
      <c r="GQ35" s="78">
        <v>1</v>
      </c>
      <c r="GR35" s="74">
        <v>1</v>
      </c>
      <c r="GS35" s="74">
        <v>1</v>
      </c>
      <c r="GT35" s="74">
        <v>1</v>
      </c>
      <c r="GU35" s="74">
        <v>1</v>
      </c>
      <c r="GV35" s="74">
        <v>1</v>
      </c>
      <c r="GW35" s="74">
        <v>1</v>
      </c>
      <c r="GX35" s="74">
        <v>1</v>
      </c>
      <c r="GY35" s="74">
        <v>1</v>
      </c>
      <c r="GZ35" s="74">
        <v>1</v>
      </c>
      <c r="HA35" s="74">
        <v>1</v>
      </c>
      <c r="HB35" s="74">
        <v>1</v>
      </c>
      <c r="HC35" s="74">
        <v>1</v>
      </c>
      <c r="HD35" s="74">
        <v>1</v>
      </c>
      <c r="HE35" s="74">
        <v>1</v>
      </c>
      <c r="HF35" s="74">
        <v>1</v>
      </c>
      <c r="HG35" s="74">
        <v>1</v>
      </c>
      <c r="HH35" s="74">
        <v>1</v>
      </c>
      <c r="HI35" s="74">
        <v>1</v>
      </c>
      <c r="HJ35" s="74">
        <v>1</v>
      </c>
      <c r="HK35" s="74">
        <v>1</v>
      </c>
      <c r="HL35" s="74">
        <v>1</v>
      </c>
      <c r="HM35" s="74">
        <v>1</v>
      </c>
      <c r="HN35" s="74">
        <v>1</v>
      </c>
      <c r="HO35" s="74">
        <v>1</v>
      </c>
      <c r="HP35" s="74">
        <v>1</v>
      </c>
      <c r="HQ35" s="74">
        <v>1</v>
      </c>
      <c r="HR35" s="74">
        <v>1</v>
      </c>
      <c r="HS35" s="74">
        <v>1</v>
      </c>
      <c r="HT35" s="74">
        <v>1</v>
      </c>
      <c r="HU35" s="74">
        <v>1</v>
      </c>
      <c r="HV35" s="74">
        <v>1</v>
      </c>
      <c r="HW35" s="74">
        <v>1</v>
      </c>
      <c r="HX35" s="75">
        <v>1</v>
      </c>
    </row>
    <row r="36" spans="1:232" x14ac:dyDescent="0.2">
      <c r="B36" s="80" t="s">
        <v>82</v>
      </c>
      <c r="C36" s="80" t="s">
        <v>131</v>
      </c>
      <c r="D36" s="81">
        <v>5.2</v>
      </c>
      <c r="E36" s="80" t="s">
        <v>127</v>
      </c>
      <c r="F36" s="80" t="s">
        <v>124</v>
      </c>
      <c r="G36" s="78">
        <v>1</v>
      </c>
      <c r="H36" s="74">
        <v>1</v>
      </c>
      <c r="I36" s="74">
        <v>1</v>
      </c>
      <c r="J36" s="74">
        <v>1</v>
      </c>
      <c r="K36" s="74">
        <v>1</v>
      </c>
      <c r="L36" s="74">
        <v>1</v>
      </c>
      <c r="M36" s="74">
        <v>1</v>
      </c>
      <c r="N36" s="74">
        <v>1</v>
      </c>
      <c r="O36" s="74">
        <v>1</v>
      </c>
      <c r="P36" s="74">
        <v>1</v>
      </c>
      <c r="Q36" s="74">
        <v>1</v>
      </c>
      <c r="R36" s="74">
        <v>1</v>
      </c>
      <c r="S36" s="74">
        <v>1</v>
      </c>
      <c r="T36" s="74">
        <v>1</v>
      </c>
      <c r="U36" s="74">
        <v>1</v>
      </c>
      <c r="V36" s="74">
        <v>1</v>
      </c>
      <c r="W36" s="74">
        <v>1</v>
      </c>
      <c r="X36" s="74">
        <v>1</v>
      </c>
      <c r="Y36" s="74">
        <v>1</v>
      </c>
      <c r="Z36" s="74">
        <v>1</v>
      </c>
      <c r="AA36" s="74">
        <v>1</v>
      </c>
      <c r="AB36" s="74">
        <v>1</v>
      </c>
      <c r="AC36" s="74">
        <v>1</v>
      </c>
      <c r="AD36" s="74">
        <v>1</v>
      </c>
      <c r="AE36" s="78">
        <v>1</v>
      </c>
      <c r="AF36" s="74">
        <v>1</v>
      </c>
      <c r="AG36" s="74">
        <v>1</v>
      </c>
      <c r="AH36" s="74">
        <v>1</v>
      </c>
      <c r="AI36" s="74">
        <v>1</v>
      </c>
      <c r="AJ36" s="74">
        <v>1</v>
      </c>
      <c r="AK36" s="74">
        <v>1</v>
      </c>
      <c r="AL36" s="74">
        <v>1</v>
      </c>
      <c r="AM36" s="74">
        <v>1</v>
      </c>
      <c r="AN36" s="74">
        <v>1</v>
      </c>
      <c r="AO36" s="74">
        <v>1</v>
      </c>
      <c r="AP36" s="74">
        <v>1</v>
      </c>
      <c r="AQ36" s="74">
        <v>1</v>
      </c>
      <c r="AR36" s="74">
        <v>1</v>
      </c>
      <c r="AS36" s="74">
        <v>1</v>
      </c>
      <c r="AT36" s="74">
        <v>1</v>
      </c>
      <c r="AU36" s="74">
        <v>1</v>
      </c>
      <c r="AV36" s="74">
        <v>1</v>
      </c>
      <c r="AW36" s="74">
        <v>1</v>
      </c>
      <c r="AX36" s="74">
        <v>1</v>
      </c>
      <c r="AY36" s="74">
        <v>1</v>
      </c>
      <c r="AZ36" s="74">
        <v>1</v>
      </c>
      <c r="BA36" s="74">
        <v>1</v>
      </c>
      <c r="BB36" s="74">
        <v>1</v>
      </c>
      <c r="BC36" s="78">
        <v>1</v>
      </c>
      <c r="BD36" s="74">
        <v>1</v>
      </c>
      <c r="BE36" s="74">
        <v>1</v>
      </c>
      <c r="BF36" s="74">
        <v>1</v>
      </c>
      <c r="BG36" s="74">
        <v>1</v>
      </c>
      <c r="BH36" s="74">
        <v>1</v>
      </c>
      <c r="BI36" s="74">
        <v>1</v>
      </c>
      <c r="BJ36" s="74">
        <v>1</v>
      </c>
      <c r="BK36" s="74">
        <v>1</v>
      </c>
      <c r="BL36" s="74">
        <v>1</v>
      </c>
      <c r="BM36" s="74">
        <v>1</v>
      </c>
      <c r="BN36" s="74">
        <v>1</v>
      </c>
      <c r="BO36" s="74">
        <v>1</v>
      </c>
      <c r="BP36" s="74">
        <v>1</v>
      </c>
      <c r="BQ36" s="74">
        <v>1</v>
      </c>
      <c r="BR36" s="74">
        <v>1</v>
      </c>
      <c r="BS36" s="74">
        <v>1</v>
      </c>
      <c r="BT36" s="74">
        <v>1</v>
      </c>
      <c r="BU36" s="74">
        <v>1</v>
      </c>
      <c r="BV36" s="74">
        <v>1</v>
      </c>
      <c r="BW36" s="74">
        <v>1</v>
      </c>
      <c r="BX36" s="74">
        <v>1</v>
      </c>
      <c r="BY36" s="74">
        <v>1</v>
      </c>
      <c r="BZ36" s="74">
        <v>1</v>
      </c>
      <c r="CA36" s="78">
        <v>1</v>
      </c>
      <c r="CB36" s="74">
        <v>1</v>
      </c>
      <c r="CC36" s="74">
        <v>1</v>
      </c>
      <c r="CD36" s="74">
        <v>1</v>
      </c>
      <c r="CE36" s="74">
        <v>1</v>
      </c>
      <c r="CF36" s="74">
        <v>1</v>
      </c>
      <c r="CG36" s="74">
        <v>1</v>
      </c>
      <c r="CH36" s="74">
        <v>1</v>
      </c>
      <c r="CI36" s="74">
        <v>1</v>
      </c>
      <c r="CJ36" s="74">
        <v>1</v>
      </c>
      <c r="CK36" s="74">
        <v>1</v>
      </c>
      <c r="CL36" s="74">
        <v>1</v>
      </c>
      <c r="CM36" s="74">
        <v>1</v>
      </c>
      <c r="CN36" s="74">
        <v>1</v>
      </c>
      <c r="CO36" s="74">
        <v>1</v>
      </c>
      <c r="CP36" s="74">
        <v>1</v>
      </c>
      <c r="CQ36" s="74">
        <v>1</v>
      </c>
      <c r="CR36" s="74">
        <v>1</v>
      </c>
      <c r="CS36" s="74">
        <v>1</v>
      </c>
      <c r="CT36" s="74">
        <v>1</v>
      </c>
      <c r="CU36" s="74">
        <v>1</v>
      </c>
      <c r="CV36" s="74">
        <v>1</v>
      </c>
      <c r="CW36" s="74">
        <v>1</v>
      </c>
      <c r="CX36" s="74">
        <v>1</v>
      </c>
      <c r="CY36" s="78">
        <v>1</v>
      </c>
      <c r="CZ36" s="74">
        <v>1</v>
      </c>
      <c r="DA36" s="74">
        <v>1</v>
      </c>
      <c r="DB36" s="74">
        <v>1</v>
      </c>
      <c r="DC36" s="74">
        <v>1</v>
      </c>
      <c r="DD36" s="74">
        <v>1</v>
      </c>
      <c r="DE36" s="74">
        <v>1</v>
      </c>
      <c r="DF36" s="74">
        <v>1</v>
      </c>
      <c r="DG36" s="74">
        <v>1</v>
      </c>
      <c r="DH36" s="74">
        <v>1</v>
      </c>
      <c r="DI36" s="74">
        <v>1</v>
      </c>
      <c r="DJ36" s="74">
        <v>1</v>
      </c>
      <c r="DK36" s="74">
        <v>1</v>
      </c>
      <c r="DL36" s="74">
        <v>1</v>
      </c>
      <c r="DM36" s="74">
        <v>1</v>
      </c>
      <c r="DN36" s="74">
        <v>1</v>
      </c>
      <c r="DO36" s="74">
        <v>1</v>
      </c>
      <c r="DP36" s="74">
        <v>1</v>
      </c>
      <c r="DQ36" s="74">
        <v>1</v>
      </c>
      <c r="DR36" s="74">
        <v>1</v>
      </c>
      <c r="DS36" s="74">
        <v>1</v>
      </c>
      <c r="DT36" s="74">
        <v>1</v>
      </c>
      <c r="DU36" s="74">
        <v>1</v>
      </c>
      <c r="DV36" s="74">
        <v>1</v>
      </c>
      <c r="DW36" s="78">
        <v>1</v>
      </c>
      <c r="DX36" s="74">
        <v>1</v>
      </c>
      <c r="DY36" s="74">
        <v>1</v>
      </c>
      <c r="DZ36" s="74">
        <v>1</v>
      </c>
      <c r="EA36" s="74">
        <v>1</v>
      </c>
      <c r="EB36" s="74">
        <v>1</v>
      </c>
      <c r="EC36" s="74">
        <v>1</v>
      </c>
      <c r="ED36" s="74">
        <v>1</v>
      </c>
      <c r="EE36" s="74">
        <v>1</v>
      </c>
      <c r="EF36" s="74">
        <v>1</v>
      </c>
      <c r="EG36" s="74">
        <v>1</v>
      </c>
      <c r="EH36" s="74">
        <v>1</v>
      </c>
      <c r="EI36" s="74">
        <v>1</v>
      </c>
      <c r="EJ36" s="74">
        <v>1</v>
      </c>
      <c r="EK36" s="74">
        <v>1</v>
      </c>
      <c r="EL36" s="74">
        <v>1</v>
      </c>
      <c r="EM36" s="74">
        <v>1</v>
      </c>
      <c r="EN36" s="74">
        <v>1</v>
      </c>
      <c r="EO36" s="74">
        <v>1</v>
      </c>
      <c r="EP36" s="74">
        <v>1</v>
      </c>
      <c r="EQ36" s="74">
        <v>1</v>
      </c>
      <c r="ER36" s="74">
        <v>1</v>
      </c>
      <c r="ES36" s="74">
        <v>1</v>
      </c>
      <c r="ET36" s="74">
        <v>1</v>
      </c>
      <c r="EU36" s="78">
        <v>1</v>
      </c>
      <c r="EV36" s="74">
        <v>1</v>
      </c>
      <c r="EW36" s="74">
        <v>1</v>
      </c>
      <c r="EX36" s="74">
        <v>1</v>
      </c>
      <c r="EY36" s="74">
        <v>1</v>
      </c>
      <c r="EZ36" s="74">
        <v>1</v>
      </c>
      <c r="FA36" s="74">
        <v>1</v>
      </c>
      <c r="FB36" s="74">
        <v>1</v>
      </c>
      <c r="FC36" s="74">
        <v>1</v>
      </c>
      <c r="FD36" s="74">
        <v>1</v>
      </c>
      <c r="FE36" s="74">
        <v>1</v>
      </c>
      <c r="FF36" s="74">
        <v>1</v>
      </c>
      <c r="FG36" s="74">
        <v>1</v>
      </c>
      <c r="FH36" s="74">
        <v>1</v>
      </c>
      <c r="FI36" s="74">
        <v>1</v>
      </c>
      <c r="FJ36" s="74">
        <v>1</v>
      </c>
      <c r="FK36" s="74">
        <v>1</v>
      </c>
      <c r="FL36" s="74">
        <v>1</v>
      </c>
      <c r="FM36" s="74">
        <v>1</v>
      </c>
      <c r="FN36" s="74">
        <v>1</v>
      </c>
      <c r="FO36" s="74">
        <v>1</v>
      </c>
      <c r="FP36" s="74">
        <v>1</v>
      </c>
      <c r="FQ36" s="74">
        <v>1</v>
      </c>
      <c r="FR36" s="74">
        <v>1</v>
      </c>
      <c r="FS36" s="78">
        <v>1</v>
      </c>
      <c r="FT36" s="74">
        <v>1</v>
      </c>
      <c r="FU36" s="74">
        <v>1</v>
      </c>
      <c r="FV36" s="74">
        <v>1</v>
      </c>
      <c r="FW36" s="74">
        <v>1</v>
      </c>
      <c r="FX36" s="74">
        <v>1</v>
      </c>
      <c r="FY36" s="74">
        <v>1</v>
      </c>
      <c r="FZ36" s="74">
        <v>1</v>
      </c>
      <c r="GA36" s="74">
        <v>1</v>
      </c>
      <c r="GB36" s="74">
        <v>1</v>
      </c>
      <c r="GC36" s="74">
        <v>1</v>
      </c>
      <c r="GD36" s="74">
        <v>1</v>
      </c>
      <c r="GE36" s="74">
        <v>1</v>
      </c>
      <c r="GF36" s="74">
        <v>1</v>
      </c>
      <c r="GG36" s="74">
        <v>1</v>
      </c>
      <c r="GH36" s="74">
        <v>1</v>
      </c>
      <c r="GI36" s="74">
        <v>1</v>
      </c>
      <c r="GJ36" s="74">
        <v>1</v>
      </c>
      <c r="GK36" s="74">
        <v>1</v>
      </c>
      <c r="GL36" s="74">
        <v>1</v>
      </c>
      <c r="GM36" s="74">
        <v>1</v>
      </c>
      <c r="GN36" s="74">
        <v>1</v>
      </c>
      <c r="GO36" s="74">
        <v>1</v>
      </c>
      <c r="GP36" s="74">
        <v>1</v>
      </c>
      <c r="GQ36" s="78">
        <v>1</v>
      </c>
      <c r="GR36" s="74">
        <v>1</v>
      </c>
      <c r="GS36" s="74">
        <v>1</v>
      </c>
      <c r="GT36" s="74">
        <v>1</v>
      </c>
      <c r="GU36" s="74">
        <v>1</v>
      </c>
      <c r="GV36" s="74">
        <v>1</v>
      </c>
      <c r="GW36" s="74">
        <v>1</v>
      </c>
      <c r="GX36" s="74">
        <v>1</v>
      </c>
      <c r="GY36" s="74">
        <v>1</v>
      </c>
      <c r="GZ36" s="74">
        <v>1</v>
      </c>
      <c r="HA36" s="74">
        <v>1</v>
      </c>
      <c r="HB36" s="74">
        <v>1</v>
      </c>
      <c r="HC36" s="74">
        <v>1</v>
      </c>
      <c r="HD36" s="74">
        <v>1</v>
      </c>
      <c r="HE36" s="74">
        <v>1</v>
      </c>
      <c r="HF36" s="74">
        <v>1</v>
      </c>
      <c r="HG36" s="74">
        <v>1</v>
      </c>
      <c r="HH36" s="74">
        <v>1</v>
      </c>
      <c r="HI36" s="74">
        <v>1</v>
      </c>
      <c r="HJ36" s="74">
        <v>1</v>
      </c>
      <c r="HK36" s="74">
        <v>1</v>
      </c>
      <c r="HL36" s="74">
        <v>1</v>
      </c>
      <c r="HM36" s="74">
        <v>1</v>
      </c>
      <c r="HN36" s="74">
        <v>1</v>
      </c>
      <c r="HO36" s="74">
        <v>1</v>
      </c>
      <c r="HP36" s="74">
        <v>1</v>
      </c>
      <c r="HQ36" s="74">
        <v>1</v>
      </c>
      <c r="HR36" s="74">
        <v>1</v>
      </c>
      <c r="HS36" s="74">
        <v>1</v>
      </c>
      <c r="HT36" s="74">
        <v>1</v>
      </c>
      <c r="HU36" s="74">
        <v>1</v>
      </c>
      <c r="HV36" s="74">
        <v>1</v>
      </c>
      <c r="HW36" s="74">
        <v>1</v>
      </c>
      <c r="HX36" s="75">
        <v>1</v>
      </c>
    </row>
    <row r="37" spans="1:232" x14ac:dyDescent="0.2">
      <c r="B37" s="80" t="s">
        <v>83</v>
      </c>
      <c r="C37" s="80" t="s">
        <v>132</v>
      </c>
      <c r="D37" s="81">
        <v>5</v>
      </c>
      <c r="E37" s="80" t="s">
        <v>127</v>
      </c>
      <c r="F37" s="80" t="s">
        <v>124</v>
      </c>
      <c r="G37" s="78">
        <v>1</v>
      </c>
      <c r="H37" s="74">
        <v>1</v>
      </c>
      <c r="I37" s="74">
        <v>1</v>
      </c>
      <c r="J37" s="74">
        <v>1</v>
      </c>
      <c r="K37" s="74">
        <v>1</v>
      </c>
      <c r="L37" s="74">
        <v>1</v>
      </c>
      <c r="M37" s="74">
        <v>1</v>
      </c>
      <c r="N37" s="74">
        <v>1</v>
      </c>
      <c r="O37" s="74">
        <v>1</v>
      </c>
      <c r="P37" s="74">
        <v>1</v>
      </c>
      <c r="Q37" s="74">
        <v>1</v>
      </c>
      <c r="R37" s="74">
        <v>1</v>
      </c>
      <c r="S37" s="74">
        <v>1</v>
      </c>
      <c r="T37" s="74">
        <v>1</v>
      </c>
      <c r="U37" s="74">
        <v>1</v>
      </c>
      <c r="V37" s="74">
        <v>1</v>
      </c>
      <c r="W37" s="74">
        <v>1</v>
      </c>
      <c r="X37" s="74">
        <v>1</v>
      </c>
      <c r="Y37" s="74">
        <v>1</v>
      </c>
      <c r="Z37" s="74">
        <v>1</v>
      </c>
      <c r="AA37" s="74">
        <v>1</v>
      </c>
      <c r="AB37" s="74">
        <v>1</v>
      </c>
      <c r="AC37" s="74">
        <v>1</v>
      </c>
      <c r="AD37" s="74">
        <v>1</v>
      </c>
      <c r="AE37" s="78">
        <v>1</v>
      </c>
      <c r="AF37" s="74">
        <v>1</v>
      </c>
      <c r="AG37" s="74">
        <v>1</v>
      </c>
      <c r="AH37" s="74">
        <v>1</v>
      </c>
      <c r="AI37" s="74">
        <v>1</v>
      </c>
      <c r="AJ37" s="74">
        <v>1</v>
      </c>
      <c r="AK37" s="74">
        <v>1</v>
      </c>
      <c r="AL37" s="74">
        <v>1</v>
      </c>
      <c r="AM37" s="74">
        <v>1</v>
      </c>
      <c r="AN37" s="74">
        <v>1</v>
      </c>
      <c r="AO37" s="74">
        <v>1</v>
      </c>
      <c r="AP37" s="74">
        <v>1</v>
      </c>
      <c r="AQ37" s="74">
        <v>1</v>
      </c>
      <c r="AR37" s="74">
        <v>1</v>
      </c>
      <c r="AS37" s="74">
        <v>1</v>
      </c>
      <c r="AT37" s="74">
        <v>1</v>
      </c>
      <c r="AU37" s="74">
        <v>1</v>
      </c>
      <c r="AV37" s="74">
        <v>1</v>
      </c>
      <c r="AW37" s="74">
        <v>1</v>
      </c>
      <c r="AX37" s="74">
        <v>1</v>
      </c>
      <c r="AY37" s="74">
        <v>1</v>
      </c>
      <c r="AZ37" s="74">
        <v>1</v>
      </c>
      <c r="BA37" s="74">
        <v>1</v>
      </c>
      <c r="BB37" s="74">
        <v>1</v>
      </c>
      <c r="BC37" s="78">
        <v>1</v>
      </c>
      <c r="BD37" s="74">
        <v>1</v>
      </c>
      <c r="BE37" s="74">
        <v>1</v>
      </c>
      <c r="BF37" s="74">
        <v>1</v>
      </c>
      <c r="BG37" s="74">
        <v>1</v>
      </c>
      <c r="BH37" s="74">
        <v>1</v>
      </c>
      <c r="BI37" s="74">
        <v>1</v>
      </c>
      <c r="BJ37" s="74">
        <v>1</v>
      </c>
      <c r="BK37" s="74">
        <v>1</v>
      </c>
      <c r="BL37" s="74">
        <v>1</v>
      </c>
      <c r="BM37" s="74">
        <v>1</v>
      </c>
      <c r="BN37" s="74">
        <v>1</v>
      </c>
      <c r="BO37" s="74">
        <v>1</v>
      </c>
      <c r="BP37" s="74">
        <v>1</v>
      </c>
      <c r="BQ37" s="74">
        <v>1</v>
      </c>
      <c r="BR37" s="74">
        <v>1</v>
      </c>
      <c r="BS37" s="74">
        <v>1</v>
      </c>
      <c r="BT37" s="74">
        <v>1</v>
      </c>
      <c r="BU37" s="74">
        <v>1</v>
      </c>
      <c r="BV37" s="74">
        <v>1</v>
      </c>
      <c r="BW37" s="74">
        <v>1</v>
      </c>
      <c r="BX37" s="74">
        <v>1</v>
      </c>
      <c r="BY37" s="74">
        <v>1</v>
      </c>
      <c r="BZ37" s="74">
        <v>1</v>
      </c>
      <c r="CA37" s="78">
        <v>1</v>
      </c>
      <c r="CB37" s="74">
        <v>1</v>
      </c>
      <c r="CC37" s="74">
        <v>1</v>
      </c>
      <c r="CD37" s="74">
        <v>1</v>
      </c>
      <c r="CE37" s="74">
        <v>1</v>
      </c>
      <c r="CF37" s="74">
        <v>1</v>
      </c>
      <c r="CG37" s="74">
        <v>1</v>
      </c>
      <c r="CH37" s="74">
        <v>1</v>
      </c>
      <c r="CI37" s="74">
        <v>1</v>
      </c>
      <c r="CJ37" s="74">
        <v>1</v>
      </c>
      <c r="CK37" s="74">
        <v>1</v>
      </c>
      <c r="CL37" s="74">
        <v>1</v>
      </c>
      <c r="CM37" s="74">
        <v>1</v>
      </c>
      <c r="CN37" s="74">
        <v>1</v>
      </c>
      <c r="CO37" s="74">
        <v>1</v>
      </c>
      <c r="CP37" s="74">
        <v>1</v>
      </c>
      <c r="CQ37" s="74">
        <v>1</v>
      </c>
      <c r="CR37" s="74">
        <v>1</v>
      </c>
      <c r="CS37" s="74">
        <v>1</v>
      </c>
      <c r="CT37" s="74">
        <v>1</v>
      </c>
      <c r="CU37" s="74">
        <v>1</v>
      </c>
      <c r="CV37" s="74">
        <v>1</v>
      </c>
      <c r="CW37" s="74">
        <v>1</v>
      </c>
      <c r="CX37" s="74">
        <v>1</v>
      </c>
      <c r="CY37" s="78">
        <v>1</v>
      </c>
      <c r="CZ37" s="74">
        <v>1</v>
      </c>
      <c r="DA37" s="74">
        <v>1</v>
      </c>
      <c r="DB37" s="74">
        <v>1</v>
      </c>
      <c r="DC37" s="74">
        <v>1</v>
      </c>
      <c r="DD37" s="74">
        <v>1</v>
      </c>
      <c r="DE37" s="74">
        <v>1</v>
      </c>
      <c r="DF37" s="74">
        <v>1</v>
      </c>
      <c r="DG37" s="74">
        <v>1</v>
      </c>
      <c r="DH37" s="74">
        <v>1</v>
      </c>
      <c r="DI37" s="74">
        <v>1</v>
      </c>
      <c r="DJ37" s="74">
        <v>1</v>
      </c>
      <c r="DK37" s="74">
        <v>1</v>
      </c>
      <c r="DL37" s="74">
        <v>1</v>
      </c>
      <c r="DM37" s="74">
        <v>1</v>
      </c>
      <c r="DN37" s="74">
        <v>1</v>
      </c>
      <c r="DO37" s="74">
        <v>1</v>
      </c>
      <c r="DP37" s="74">
        <v>1</v>
      </c>
      <c r="DQ37" s="74">
        <v>1</v>
      </c>
      <c r="DR37" s="74">
        <v>1</v>
      </c>
      <c r="DS37" s="74">
        <v>1</v>
      </c>
      <c r="DT37" s="74">
        <v>1</v>
      </c>
      <c r="DU37" s="74">
        <v>1</v>
      </c>
      <c r="DV37" s="74">
        <v>1</v>
      </c>
      <c r="DW37" s="78">
        <v>1</v>
      </c>
      <c r="DX37" s="74">
        <v>1</v>
      </c>
      <c r="DY37" s="74">
        <v>1</v>
      </c>
      <c r="DZ37" s="74">
        <v>1</v>
      </c>
      <c r="EA37" s="74">
        <v>1</v>
      </c>
      <c r="EB37" s="74">
        <v>1</v>
      </c>
      <c r="EC37" s="74">
        <v>1</v>
      </c>
      <c r="ED37" s="74">
        <v>1</v>
      </c>
      <c r="EE37" s="74">
        <v>1</v>
      </c>
      <c r="EF37" s="74">
        <v>1</v>
      </c>
      <c r="EG37" s="74">
        <v>1</v>
      </c>
      <c r="EH37" s="74">
        <v>1</v>
      </c>
      <c r="EI37" s="74">
        <v>1</v>
      </c>
      <c r="EJ37" s="74">
        <v>1</v>
      </c>
      <c r="EK37" s="74">
        <v>1</v>
      </c>
      <c r="EL37" s="74">
        <v>1</v>
      </c>
      <c r="EM37" s="74">
        <v>1</v>
      </c>
      <c r="EN37" s="74">
        <v>1</v>
      </c>
      <c r="EO37" s="74">
        <v>1</v>
      </c>
      <c r="EP37" s="74">
        <v>1</v>
      </c>
      <c r="EQ37" s="74">
        <v>1</v>
      </c>
      <c r="ER37" s="74">
        <v>1</v>
      </c>
      <c r="ES37" s="74">
        <v>1</v>
      </c>
      <c r="ET37" s="74">
        <v>1</v>
      </c>
      <c r="EU37" s="78">
        <v>1</v>
      </c>
      <c r="EV37" s="74">
        <v>1</v>
      </c>
      <c r="EW37" s="74">
        <v>1</v>
      </c>
      <c r="EX37" s="74">
        <v>1</v>
      </c>
      <c r="EY37" s="74">
        <v>1</v>
      </c>
      <c r="EZ37" s="74">
        <v>1</v>
      </c>
      <c r="FA37" s="74">
        <v>1</v>
      </c>
      <c r="FB37" s="74">
        <v>1</v>
      </c>
      <c r="FC37" s="74">
        <v>1</v>
      </c>
      <c r="FD37" s="74">
        <v>1</v>
      </c>
      <c r="FE37" s="74">
        <v>1</v>
      </c>
      <c r="FF37" s="74">
        <v>1</v>
      </c>
      <c r="FG37" s="74">
        <v>1</v>
      </c>
      <c r="FH37" s="74">
        <v>1</v>
      </c>
      <c r="FI37" s="74">
        <v>1</v>
      </c>
      <c r="FJ37" s="74">
        <v>1</v>
      </c>
      <c r="FK37" s="74">
        <v>1</v>
      </c>
      <c r="FL37" s="74">
        <v>1</v>
      </c>
      <c r="FM37" s="74">
        <v>1</v>
      </c>
      <c r="FN37" s="74">
        <v>1</v>
      </c>
      <c r="FO37" s="74">
        <v>1</v>
      </c>
      <c r="FP37" s="74">
        <v>1</v>
      </c>
      <c r="FQ37" s="74">
        <v>1</v>
      </c>
      <c r="FR37" s="74">
        <v>1</v>
      </c>
      <c r="FS37" s="78">
        <v>1</v>
      </c>
      <c r="FT37" s="74">
        <v>1</v>
      </c>
      <c r="FU37" s="74">
        <v>1</v>
      </c>
      <c r="FV37" s="74">
        <v>1</v>
      </c>
      <c r="FW37" s="74">
        <v>1</v>
      </c>
      <c r="FX37" s="74">
        <v>1</v>
      </c>
      <c r="FY37" s="74">
        <v>1</v>
      </c>
      <c r="FZ37" s="74">
        <v>1</v>
      </c>
      <c r="GA37" s="74">
        <v>1</v>
      </c>
      <c r="GB37" s="74">
        <v>1</v>
      </c>
      <c r="GC37" s="74">
        <v>1</v>
      </c>
      <c r="GD37" s="74">
        <v>1</v>
      </c>
      <c r="GE37" s="74">
        <v>1</v>
      </c>
      <c r="GF37" s="74">
        <v>1</v>
      </c>
      <c r="GG37" s="74">
        <v>1</v>
      </c>
      <c r="GH37" s="74">
        <v>1</v>
      </c>
      <c r="GI37" s="74">
        <v>1</v>
      </c>
      <c r="GJ37" s="74">
        <v>1</v>
      </c>
      <c r="GK37" s="74">
        <v>1</v>
      </c>
      <c r="GL37" s="74">
        <v>1</v>
      </c>
      <c r="GM37" s="74">
        <v>1</v>
      </c>
      <c r="GN37" s="74">
        <v>1</v>
      </c>
      <c r="GO37" s="74">
        <v>1</v>
      </c>
      <c r="GP37" s="74">
        <v>1</v>
      </c>
      <c r="GQ37" s="78">
        <v>1</v>
      </c>
      <c r="GR37" s="74">
        <v>1</v>
      </c>
      <c r="GS37" s="74">
        <v>1</v>
      </c>
      <c r="GT37" s="74">
        <v>1</v>
      </c>
      <c r="GU37" s="74">
        <v>1</v>
      </c>
      <c r="GV37" s="74">
        <v>1</v>
      </c>
      <c r="GW37" s="74">
        <v>1</v>
      </c>
      <c r="GX37" s="74">
        <v>1</v>
      </c>
      <c r="GY37" s="74">
        <v>1</v>
      </c>
      <c r="GZ37" s="74">
        <v>1</v>
      </c>
      <c r="HA37" s="74">
        <v>1</v>
      </c>
      <c r="HB37" s="74">
        <v>1</v>
      </c>
      <c r="HC37" s="74">
        <v>1</v>
      </c>
      <c r="HD37" s="74">
        <v>1</v>
      </c>
      <c r="HE37" s="74">
        <v>1</v>
      </c>
      <c r="HF37" s="74">
        <v>1</v>
      </c>
      <c r="HG37" s="74">
        <v>1</v>
      </c>
      <c r="HH37" s="74">
        <v>1</v>
      </c>
      <c r="HI37" s="74">
        <v>1</v>
      </c>
      <c r="HJ37" s="74">
        <v>1</v>
      </c>
      <c r="HK37" s="74">
        <v>1</v>
      </c>
      <c r="HL37" s="74">
        <v>1</v>
      </c>
      <c r="HM37" s="74">
        <v>1</v>
      </c>
      <c r="HN37" s="74">
        <v>1</v>
      </c>
      <c r="HO37" s="74">
        <v>1</v>
      </c>
      <c r="HP37" s="74">
        <v>1</v>
      </c>
      <c r="HQ37" s="74">
        <v>1</v>
      </c>
      <c r="HR37" s="74">
        <v>1</v>
      </c>
      <c r="HS37" s="74">
        <v>1</v>
      </c>
      <c r="HT37" s="74">
        <v>1</v>
      </c>
      <c r="HU37" s="74">
        <v>1</v>
      </c>
      <c r="HV37" s="74">
        <v>1</v>
      </c>
      <c r="HW37" s="74">
        <v>1</v>
      </c>
      <c r="HX37" s="75">
        <v>1</v>
      </c>
    </row>
    <row r="38" spans="1:232" x14ac:dyDescent="0.2">
      <c r="A38" s="27" t="s">
        <v>124</v>
      </c>
      <c r="B38" s="82" t="s">
        <v>84</v>
      </c>
      <c r="C38" s="80" t="s">
        <v>131</v>
      </c>
      <c r="D38" s="81">
        <v>5.2</v>
      </c>
      <c r="E38" s="80" t="s">
        <v>127</v>
      </c>
      <c r="F38" s="80" t="s">
        <v>122</v>
      </c>
      <c r="G38" s="78">
        <v>0</v>
      </c>
      <c r="H38" s="78">
        <v>0</v>
      </c>
      <c r="I38" s="78">
        <v>0</v>
      </c>
      <c r="J38" s="78">
        <v>0</v>
      </c>
      <c r="K38" s="78">
        <v>0</v>
      </c>
      <c r="L38" s="78">
        <v>0</v>
      </c>
      <c r="M38" s="78">
        <v>0</v>
      </c>
      <c r="N38" s="78">
        <v>0</v>
      </c>
      <c r="O38" s="78">
        <v>0</v>
      </c>
      <c r="P38" s="78">
        <v>0</v>
      </c>
      <c r="Q38" s="78">
        <v>0</v>
      </c>
      <c r="R38" s="78">
        <v>0</v>
      </c>
      <c r="S38" s="78">
        <v>0</v>
      </c>
      <c r="T38" s="74">
        <v>0</v>
      </c>
      <c r="U38" s="74">
        <v>0</v>
      </c>
      <c r="V38" s="74">
        <v>0</v>
      </c>
      <c r="W38" s="74">
        <v>0</v>
      </c>
      <c r="X38" s="74">
        <v>0</v>
      </c>
      <c r="Y38" s="74">
        <v>0</v>
      </c>
      <c r="Z38" s="74">
        <v>0</v>
      </c>
      <c r="AA38" s="74">
        <v>0</v>
      </c>
      <c r="AB38" s="74">
        <v>0</v>
      </c>
      <c r="AC38" s="74">
        <v>0</v>
      </c>
      <c r="AD38" s="74">
        <v>0</v>
      </c>
      <c r="AE38" s="74">
        <v>0</v>
      </c>
      <c r="AF38" s="74">
        <v>0</v>
      </c>
      <c r="AG38" s="74">
        <v>0</v>
      </c>
      <c r="AH38" s="74">
        <v>0</v>
      </c>
      <c r="AI38" s="74">
        <v>0</v>
      </c>
      <c r="AJ38" s="74">
        <v>0</v>
      </c>
      <c r="AK38" s="74">
        <v>0</v>
      </c>
      <c r="AL38" s="74">
        <v>0</v>
      </c>
      <c r="AM38" s="74">
        <v>0</v>
      </c>
      <c r="AN38" s="74">
        <v>0</v>
      </c>
      <c r="AO38" s="74">
        <v>0</v>
      </c>
      <c r="AP38" s="74">
        <v>0</v>
      </c>
      <c r="AQ38" s="78">
        <v>0</v>
      </c>
      <c r="AR38" s="74">
        <v>0</v>
      </c>
      <c r="AS38" s="74">
        <v>0</v>
      </c>
      <c r="AT38" s="74">
        <v>0</v>
      </c>
      <c r="AU38" s="74">
        <v>0</v>
      </c>
      <c r="AV38" s="74">
        <v>0</v>
      </c>
      <c r="AW38" s="74">
        <v>0</v>
      </c>
      <c r="AX38" s="74">
        <v>0</v>
      </c>
      <c r="AY38" s="74">
        <v>0</v>
      </c>
      <c r="AZ38" s="74">
        <v>0</v>
      </c>
      <c r="BA38" s="74">
        <v>0</v>
      </c>
      <c r="BB38" s="74">
        <v>0</v>
      </c>
      <c r="BC38" s="74">
        <v>0</v>
      </c>
      <c r="BD38" s="74">
        <v>0</v>
      </c>
      <c r="BE38" s="74">
        <v>0</v>
      </c>
      <c r="BF38" s="74">
        <v>0</v>
      </c>
      <c r="BG38" s="74">
        <v>0</v>
      </c>
      <c r="BH38" s="74">
        <v>0</v>
      </c>
      <c r="BI38" s="74">
        <v>0</v>
      </c>
      <c r="BJ38" s="74">
        <v>0</v>
      </c>
      <c r="BK38" s="74">
        <v>0</v>
      </c>
      <c r="BL38" s="74">
        <v>0</v>
      </c>
      <c r="BM38" s="74">
        <v>1</v>
      </c>
      <c r="BN38" s="74">
        <v>1</v>
      </c>
      <c r="BO38" s="74">
        <v>1</v>
      </c>
      <c r="BP38" s="74">
        <v>1</v>
      </c>
      <c r="BQ38" s="74">
        <v>1</v>
      </c>
      <c r="BR38" s="74">
        <v>1</v>
      </c>
      <c r="BS38" s="74">
        <v>1</v>
      </c>
      <c r="BT38" s="74">
        <v>1</v>
      </c>
      <c r="BU38" s="74">
        <v>1</v>
      </c>
      <c r="BV38" s="74">
        <v>1</v>
      </c>
      <c r="BW38" s="74">
        <v>1</v>
      </c>
      <c r="BX38" s="74">
        <v>1</v>
      </c>
      <c r="BY38" s="74">
        <v>1</v>
      </c>
      <c r="BZ38" s="74">
        <v>1</v>
      </c>
      <c r="CA38" s="78">
        <v>1</v>
      </c>
      <c r="CB38" s="74">
        <v>1</v>
      </c>
      <c r="CC38" s="74">
        <v>1</v>
      </c>
      <c r="CD38" s="74">
        <v>1</v>
      </c>
      <c r="CE38" s="74">
        <v>1</v>
      </c>
      <c r="CF38" s="74">
        <v>1</v>
      </c>
      <c r="CG38" s="74">
        <v>1</v>
      </c>
      <c r="CH38" s="74">
        <v>1</v>
      </c>
      <c r="CI38" s="74">
        <v>1</v>
      </c>
      <c r="CJ38" s="74">
        <v>1</v>
      </c>
      <c r="CK38" s="74">
        <v>1</v>
      </c>
      <c r="CL38" s="74">
        <v>1</v>
      </c>
      <c r="CM38" s="74">
        <v>1</v>
      </c>
      <c r="CN38" s="74">
        <v>1</v>
      </c>
      <c r="CO38" s="74">
        <v>1</v>
      </c>
      <c r="CP38" s="74">
        <v>1</v>
      </c>
      <c r="CQ38" s="74">
        <v>1</v>
      </c>
      <c r="CR38" s="74">
        <v>1</v>
      </c>
      <c r="CS38" s="74">
        <v>1</v>
      </c>
      <c r="CT38" s="74">
        <v>1</v>
      </c>
      <c r="CU38" s="74">
        <v>1</v>
      </c>
      <c r="CV38" s="74">
        <v>1</v>
      </c>
      <c r="CW38" s="74">
        <v>1</v>
      </c>
      <c r="CX38" s="74">
        <v>1</v>
      </c>
      <c r="CY38" s="78">
        <v>1</v>
      </c>
      <c r="CZ38" s="74">
        <v>1</v>
      </c>
      <c r="DA38" s="74">
        <v>1</v>
      </c>
      <c r="DB38" s="74">
        <v>1</v>
      </c>
      <c r="DC38" s="74">
        <v>1</v>
      </c>
      <c r="DD38" s="74">
        <v>1</v>
      </c>
      <c r="DE38" s="74">
        <v>1</v>
      </c>
      <c r="DF38" s="74">
        <v>1</v>
      </c>
      <c r="DG38" s="74">
        <v>1</v>
      </c>
      <c r="DH38" s="74">
        <v>1</v>
      </c>
      <c r="DI38" s="74">
        <v>1</v>
      </c>
      <c r="DJ38" s="74">
        <v>1</v>
      </c>
      <c r="DK38" s="74">
        <v>1</v>
      </c>
      <c r="DL38" s="74">
        <v>1</v>
      </c>
      <c r="DM38" s="74">
        <v>1</v>
      </c>
      <c r="DN38" s="74">
        <v>1</v>
      </c>
      <c r="DO38" s="74">
        <v>1</v>
      </c>
      <c r="DP38" s="74">
        <v>1</v>
      </c>
      <c r="DQ38" s="74">
        <v>1</v>
      </c>
      <c r="DR38" s="74">
        <v>1</v>
      </c>
      <c r="DS38" s="74">
        <v>1</v>
      </c>
      <c r="DT38" s="74">
        <v>1</v>
      </c>
      <c r="DU38" s="74">
        <v>1</v>
      </c>
      <c r="DV38" s="74">
        <v>1</v>
      </c>
      <c r="DW38" s="78">
        <v>1</v>
      </c>
      <c r="DX38" s="74">
        <v>1</v>
      </c>
      <c r="DY38" s="74">
        <v>1</v>
      </c>
      <c r="DZ38" s="74">
        <v>1</v>
      </c>
      <c r="EA38" s="74">
        <v>1</v>
      </c>
      <c r="EB38" s="74">
        <v>1</v>
      </c>
      <c r="EC38" s="74">
        <v>1</v>
      </c>
      <c r="ED38" s="74">
        <v>1</v>
      </c>
      <c r="EE38" s="74">
        <v>1</v>
      </c>
      <c r="EF38" s="74">
        <v>1</v>
      </c>
      <c r="EG38" s="74">
        <v>1</v>
      </c>
      <c r="EH38" s="74">
        <v>1</v>
      </c>
      <c r="EI38" s="74">
        <v>1</v>
      </c>
      <c r="EJ38" s="74">
        <v>1</v>
      </c>
      <c r="EK38" s="74">
        <v>1</v>
      </c>
      <c r="EL38" s="74">
        <v>1</v>
      </c>
      <c r="EM38" s="74">
        <v>1</v>
      </c>
      <c r="EN38" s="74">
        <v>1</v>
      </c>
      <c r="EO38" s="74">
        <v>1</v>
      </c>
      <c r="EP38" s="74">
        <v>1</v>
      </c>
      <c r="EQ38" s="74">
        <v>1</v>
      </c>
      <c r="ER38" s="74">
        <v>1</v>
      </c>
      <c r="ES38" s="74">
        <v>1</v>
      </c>
      <c r="ET38" s="74">
        <v>1</v>
      </c>
      <c r="EU38" s="78">
        <v>1</v>
      </c>
      <c r="EV38" s="74">
        <v>1</v>
      </c>
      <c r="EW38" s="74">
        <v>1</v>
      </c>
      <c r="EX38" s="74">
        <v>1</v>
      </c>
      <c r="EY38" s="74">
        <v>1</v>
      </c>
      <c r="EZ38" s="74">
        <v>1</v>
      </c>
      <c r="FA38" s="74">
        <v>1</v>
      </c>
      <c r="FB38" s="74">
        <v>1</v>
      </c>
      <c r="FC38" s="74">
        <v>1</v>
      </c>
      <c r="FD38" s="74">
        <v>1</v>
      </c>
      <c r="FE38" s="74">
        <v>1</v>
      </c>
      <c r="FF38" s="74">
        <v>1</v>
      </c>
      <c r="FG38" s="74">
        <v>1</v>
      </c>
      <c r="FH38" s="74">
        <v>1</v>
      </c>
      <c r="FI38" s="74">
        <v>1</v>
      </c>
      <c r="FJ38" s="74">
        <v>1</v>
      </c>
      <c r="FK38" s="74">
        <v>1</v>
      </c>
      <c r="FL38" s="74">
        <v>1</v>
      </c>
      <c r="FM38" s="74">
        <v>1</v>
      </c>
      <c r="FN38" s="74">
        <v>1</v>
      </c>
      <c r="FO38" s="74">
        <v>1</v>
      </c>
      <c r="FP38" s="74">
        <v>1</v>
      </c>
      <c r="FQ38" s="74">
        <v>1</v>
      </c>
      <c r="FR38" s="74">
        <v>1</v>
      </c>
      <c r="FS38" s="78">
        <v>1</v>
      </c>
      <c r="FT38" s="74">
        <v>1</v>
      </c>
      <c r="FU38" s="74">
        <v>1</v>
      </c>
      <c r="FV38" s="74">
        <v>1</v>
      </c>
      <c r="FW38" s="74">
        <v>1</v>
      </c>
      <c r="FX38" s="74">
        <v>1</v>
      </c>
      <c r="FY38" s="74">
        <v>1</v>
      </c>
      <c r="FZ38" s="74">
        <v>1</v>
      </c>
      <c r="GA38" s="74">
        <v>1</v>
      </c>
      <c r="GB38" s="74">
        <v>1</v>
      </c>
      <c r="GC38" s="74">
        <v>1</v>
      </c>
      <c r="GD38" s="74">
        <v>1</v>
      </c>
      <c r="GE38" s="74">
        <v>1</v>
      </c>
      <c r="GF38" s="74">
        <v>1</v>
      </c>
      <c r="GG38" s="74">
        <v>1</v>
      </c>
      <c r="GH38" s="74">
        <v>1</v>
      </c>
      <c r="GI38" s="74">
        <v>1</v>
      </c>
      <c r="GJ38" s="74">
        <v>1</v>
      </c>
      <c r="GK38" s="74">
        <v>1</v>
      </c>
      <c r="GL38" s="74">
        <v>1</v>
      </c>
      <c r="GM38" s="74">
        <v>1</v>
      </c>
      <c r="GN38" s="74">
        <v>1</v>
      </c>
      <c r="GO38" s="74">
        <v>1</v>
      </c>
      <c r="GP38" s="74">
        <v>1</v>
      </c>
      <c r="GQ38" s="78">
        <v>1</v>
      </c>
      <c r="GR38" s="74">
        <v>1</v>
      </c>
      <c r="GS38" s="74">
        <v>1</v>
      </c>
      <c r="GT38" s="74">
        <v>1</v>
      </c>
      <c r="GU38" s="74">
        <v>1</v>
      </c>
      <c r="GV38" s="74">
        <v>1</v>
      </c>
      <c r="GW38" s="74">
        <v>1</v>
      </c>
      <c r="GX38" s="74">
        <v>1</v>
      </c>
      <c r="GY38" s="74">
        <v>1</v>
      </c>
      <c r="GZ38" s="74">
        <v>1</v>
      </c>
      <c r="HA38" s="74">
        <v>1</v>
      </c>
      <c r="HB38" s="74">
        <v>1</v>
      </c>
      <c r="HC38" s="74">
        <v>1</v>
      </c>
      <c r="HD38" s="74">
        <v>1</v>
      </c>
      <c r="HE38" s="74">
        <v>1</v>
      </c>
      <c r="HF38" s="74">
        <v>1</v>
      </c>
      <c r="HG38" s="74">
        <v>1</v>
      </c>
      <c r="HH38" s="74">
        <v>1</v>
      </c>
      <c r="HI38" s="74">
        <v>1</v>
      </c>
      <c r="HJ38" s="74">
        <v>1</v>
      </c>
      <c r="HK38" s="74">
        <v>1</v>
      </c>
      <c r="HL38" s="74">
        <v>1</v>
      </c>
      <c r="HM38" s="74">
        <v>1</v>
      </c>
      <c r="HN38" s="74">
        <v>1</v>
      </c>
      <c r="HO38" s="74">
        <v>1</v>
      </c>
      <c r="HP38" s="74">
        <v>1</v>
      </c>
      <c r="HQ38" s="74">
        <v>1</v>
      </c>
      <c r="HR38" s="74">
        <v>1</v>
      </c>
      <c r="HS38" s="74">
        <v>1</v>
      </c>
      <c r="HT38" s="74">
        <v>1</v>
      </c>
      <c r="HU38" s="74">
        <v>1</v>
      </c>
      <c r="HV38" s="74">
        <v>1</v>
      </c>
      <c r="HW38" s="74">
        <v>1</v>
      </c>
      <c r="HX38" s="75">
        <v>1</v>
      </c>
    </row>
    <row r="39" spans="1:232" x14ac:dyDescent="0.2">
      <c r="A39" s="27" t="s">
        <v>124</v>
      </c>
      <c r="B39" s="82" t="s">
        <v>85</v>
      </c>
      <c r="C39" s="80" t="s">
        <v>131</v>
      </c>
      <c r="D39" s="81">
        <v>5.2</v>
      </c>
      <c r="E39" s="80" t="s">
        <v>127</v>
      </c>
      <c r="F39" s="80" t="s">
        <v>122</v>
      </c>
      <c r="G39" s="78">
        <v>1</v>
      </c>
      <c r="H39" s="74">
        <v>1</v>
      </c>
      <c r="I39" s="74">
        <v>1</v>
      </c>
      <c r="J39" s="74">
        <v>1</v>
      </c>
      <c r="K39" s="74">
        <v>1</v>
      </c>
      <c r="L39" s="74">
        <v>1</v>
      </c>
      <c r="M39" s="74">
        <v>1</v>
      </c>
      <c r="N39" s="74">
        <v>1</v>
      </c>
      <c r="O39" s="74">
        <v>1</v>
      </c>
      <c r="P39" s="74">
        <v>1</v>
      </c>
      <c r="Q39" s="74">
        <v>1</v>
      </c>
      <c r="R39" s="74">
        <v>1</v>
      </c>
      <c r="S39" s="74">
        <v>1</v>
      </c>
      <c r="T39" s="74">
        <v>1</v>
      </c>
      <c r="U39" s="74">
        <v>1</v>
      </c>
      <c r="V39" s="74">
        <v>1</v>
      </c>
      <c r="W39" s="74">
        <v>1</v>
      </c>
      <c r="X39" s="74">
        <v>1</v>
      </c>
      <c r="Y39" s="74">
        <v>1</v>
      </c>
      <c r="Z39" s="74">
        <v>1</v>
      </c>
      <c r="AA39" s="74">
        <v>1</v>
      </c>
      <c r="AB39" s="74">
        <v>1</v>
      </c>
      <c r="AC39" s="74">
        <v>1</v>
      </c>
      <c r="AD39" s="74">
        <v>1</v>
      </c>
      <c r="AE39" s="78">
        <v>1</v>
      </c>
      <c r="AF39" s="74">
        <v>1</v>
      </c>
      <c r="AG39" s="74">
        <v>1</v>
      </c>
      <c r="AH39" s="74">
        <v>1</v>
      </c>
      <c r="AI39" s="74">
        <v>1</v>
      </c>
      <c r="AJ39" s="74">
        <v>1</v>
      </c>
      <c r="AK39" s="74">
        <v>1</v>
      </c>
      <c r="AL39" s="74">
        <v>1</v>
      </c>
      <c r="AM39" s="74">
        <v>1</v>
      </c>
      <c r="AN39" s="74">
        <v>1</v>
      </c>
      <c r="AO39" s="74">
        <v>1</v>
      </c>
      <c r="AP39" s="74">
        <v>1</v>
      </c>
      <c r="AQ39" s="74">
        <v>1</v>
      </c>
      <c r="AR39" s="74">
        <v>1</v>
      </c>
      <c r="AS39" s="74">
        <v>1</v>
      </c>
      <c r="AT39" s="74">
        <v>1</v>
      </c>
      <c r="AU39" s="74">
        <v>1</v>
      </c>
      <c r="AV39" s="74">
        <v>1</v>
      </c>
      <c r="AW39" s="74">
        <v>1</v>
      </c>
      <c r="AX39" s="74">
        <v>1</v>
      </c>
      <c r="AY39" s="74">
        <v>1</v>
      </c>
      <c r="AZ39" s="74">
        <v>1</v>
      </c>
      <c r="BA39" s="74">
        <v>1</v>
      </c>
      <c r="BB39" s="74">
        <v>1</v>
      </c>
      <c r="BC39" s="78">
        <v>1</v>
      </c>
      <c r="BD39" s="74">
        <v>1</v>
      </c>
      <c r="BE39" s="74">
        <v>1</v>
      </c>
      <c r="BF39" s="74">
        <v>1</v>
      </c>
      <c r="BG39" s="74">
        <v>1</v>
      </c>
      <c r="BH39" s="74">
        <v>1</v>
      </c>
      <c r="BI39" s="74">
        <v>1</v>
      </c>
      <c r="BJ39" s="74">
        <v>1</v>
      </c>
      <c r="BK39" s="74">
        <v>1</v>
      </c>
      <c r="BL39" s="74">
        <v>1</v>
      </c>
      <c r="BM39" s="74">
        <v>1</v>
      </c>
      <c r="BN39" s="74">
        <v>1</v>
      </c>
      <c r="BO39" s="74">
        <v>1</v>
      </c>
      <c r="BP39" s="74">
        <v>1</v>
      </c>
      <c r="BQ39" s="74">
        <v>1</v>
      </c>
      <c r="BR39" s="74">
        <v>1</v>
      </c>
      <c r="BS39" s="74">
        <v>1</v>
      </c>
      <c r="BT39" s="74">
        <v>1</v>
      </c>
      <c r="BU39" s="74">
        <v>1</v>
      </c>
      <c r="BV39" s="74">
        <v>1</v>
      </c>
      <c r="BW39" s="74">
        <v>1</v>
      </c>
      <c r="BX39" s="74">
        <v>1</v>
      </c>
      <c r="BY39" s="74">
        <v>1</v>
      </c>
      <c r="BZ39" s="74">
        <v>1</v>
      </c>
      <c r="CA39" s="78">
        <v>1</v>
      </c>
      <c r="CB39" s="74">
        <v>1</v>
      </c>
      <c r="CC39" s="74">
        <v>1</v>
      </c>
      <c r="CD39" s="74">
        <v>1</v>
      </c>
      <c r="CE39" s="74">
        <v>1</v>
      </c>
      <c r="CF39" s="74">
        <v>1</v>
      </c>
      <c r="CG39" s="74">
        <v>1</v>
      </c>
      <c r="CH39" s="74">
        <v>1</v>
      </c>
      <c r="CI39" s="74">
        <v>1</v>
      </c>
      <c r="CJ39" s="74">
        <v>1</v>
      </c>
      <c r="CK39" s="74">
        <v>1</v>
      </c>
      <c r="CL39" s="74">
        <v>1</v>
      </c>
      <c r="CM39" s="74">
        <v>1</v>
      </c>
      <c r="CN39" s="74">
        <v>1</v>
      </c>
      <c r="CO39" s="74">
        <v>1</v>
      </c>
      <c r="CP39" s="74">
        <v>1</v>
      </c>
      <c r="CQ39" s="74">
        <v>1</v>
      </c>
      <c r="CR39" s="74">
        <v>1</v>
      </c>
      <c r="CS39" s="74">
        <v>1</v>
      </c>
      <c r="CT39" s="74">
        <v>1</v>
      </c>
      <c r="CU39" s="74">
        <v>1</v>
      </c>
      <c r="CV39" s="74">
        <v>1</v>
      </c>
      <c r="CW39" s="74">
        <v>1</v>
      </c>
      <c r="CX39" s="74">
        <v>1</v>
      </c>
      <c r="CY39" s="78">
        <v>1</v>
      </c>
      <c r="CZ39" s="74">
        <v>1</v>
      </c>
      <c r="DA39" s="74">
        <v>1</v>
      </c>
      <c r="DB39" s="74">
        <v>1</v>
      </c>
      <c r="DC39" s="74">
        <v>1</v>
      </c>
      <c r="DD39" s="74">
        <v>1</v>
      </c>
      <c r="DE39" s="74">
        <v>1</v>
      </c>
      <c r="DF39" s="74">
        <v>1</v>
      </c>
      <c r="DG39" s="74">
        <v>1</v>
      </c>
      <c r="DH39" s="74">
        <v>1</v>
      </c>
      <c r="DI39" s="74">
        <v>1</v>
      </c>
      <c r="DJ39" s="74">
        <v>1</v>
      </c>
      <c r="DK39" s="74">
        <v>1</v>
      </c>
      <c r="DL39" s="74">
        <v>1</v>
      </c>
      <c r="DM39" s="74">
        <v>1</v>
      </c>
      <c r="DN39" s="74">
        <v>1</v>
      </c>
      <c r="DO39" s="74">
        <v>1</v>
      </c>
      <c r="DP39" s="74">
        <v>1</v>
      </c>
      <c r="DQ39" s="74">
        <v>1</v>
      </c>
      <c r="DR39" s="74">
        <v>1</v>
      </c>
      <c r="DS39" s="74">
        <v>1</v>
      </c>
      <c r="DT39" s="74">
        <v>1</v>
      </c>
      <c r="DU39" s="74">
        <v>1</v>
      </c>
      <c r="DV39" s="74">
        <v>1</v>
      </c>
      <c r="DW39" s="78">
        <v>1</v>
      </c>
      <c r="DX39" s="74">
        <v>1</v>
      </c>
      <c r="DY39" s="74">
        <v>1</v>
      </c>
      <c r="DZ39" s="74">
        <v>1</v>
      </c>
      <c r="EA39" s="74">
        <v>1</v>
      </c>
      <c r="EB39" s="74">
        <v>1</v>
      </c>
      <c r="EC39" s="74">
        <v>1</v>
      </c>
      <c r="ED39" s="74">
        <v>1</v>
      </c>
      <c r="EE39" s="74">
        <v>1</v>
      </c>
      <c r="EF39" s="74">
        <v>1</v>
      </c>
      <c r="EG39" s="74">
        <v>1</v>
      </c>
      <c r="EH39" s="74">
        <v>1</v>
      </c>
      <c r="EI39" s="74">
        <v>1</v>
      </c>
      <c r="EJ39" s="74">
        <v>1</v>
      </c>
      <c r="EK39" s="74">
        <v>1</v>
      </c>
      <c r="EL39" s="74">
        <v>1</v>
      </c>
      <c r="EM39" s="74">
        <v>1</v>
      </c>
      <c r="EN39" s="74">
        <v>1</v>
      </c>
      <c r="EO39" s="74">
        <v>1</v>
      </c>
      <c r="EP39" s="74">
        <v>1</v>
      </c>
      <c r="EQ39" s="74">
        <v>1</v>
      </c>
      <c r="ER39" s="74">
        <v>1</v>
      </c>
      <c r="ES39" s="74">
        <v>1</v>
      </c>
      <c r="ET39" s="74">
        <v>1</v>
      </c>
      <c r="EU39" s="78">
        <v>1</v>
      </c>
      <c r="EV39" s="74">
        <v>1</v>
      </c>
      <c r="EW39" s="74">
        <v>1</v>
      </c>
      <c r="EX39" s="74">
        <v>1</v>
      </c>
      <c r="EY39" s="74">
        <v>1</v>
      </c>
      <c r="EZ39" s="74">
        <v>1</v>
      </c>
      <c r="FA39" s="74">
        <v>1</v>
      </c>
      <c r="FB39" s="74">
        <v>1</v>
      </c>
      <c r="FC39" s="74">
        <v>1</v>
      </c>
      <c r="FD39" s="74">
        <v>1</v>
      </c>
      <c r="FE39" s="74">
        <v>1</v>
      </c>
      <c r="FF39" s="74">
        <v>1</v>
      </c>
      <c r="FG39" s="74">
        <v>1</v>
      </c>
      <c r="FH39" s="74">
        <v>1</v>
      </c>
      <c r="FI39" s="74">
        <v>1</v>
      </c>
      <c r="FJ39" s="74">
        <v>1</v>
      </c>
      <c r="FK39" s="74">
        <v>1</v>
      </c>
      <c r="FL39" s="74">
        <v>1</v>
      </c>
      <c r="FM39" s="74">
        <v>1</v>
      </c>
      <c r="FN39" s="74">
        <v>1</v>
      </c>
      <c r="FO39" s="74">
        <v>1</v>
      </c>
      <c r="FP39" s="74">
        <v>1</v>
      </c>
      <c r="FQ39" s="74">
        <v>1</v>
      </c>
      <c r="FR39" s="74">
        <v>1</v>
      </c>
      <c r="FS39" s="78">
        <v>1</v>
      </c>
      <c r="FT39" s="74">
        <v>1</v>
      </c>
      <c r="FU39" s="74">
        <v>1</v>
      </c>
      <c r="FV39" s="74">
        <v>1</v>
      </c>
      <c r="FW39" s="74">
        <v>1</v>
      </c>
      <c r="FX39" s="74">
        <v>1</v>
      </c>
      <c r="FY39" s="74">
        <v>1</v>
      </c>
      <c r="FZ39" s="74">
        <v>1</v>
      </c>
      <c r="GA39" s="74">
        <v>1</v>
      </c>
      <c r="GB39" s="74">
        <v>1</v>
      </c>
      <c r="GC39" s="74">
        <v>1</v>
      </c>
      <c r="GD39" s="74">
        <v>1</v>
      </c>
      <c r="GE39" s="74">
        <v>1</v>
      </c>
      <c r="GF39" s="74">
        <v>1</v>
      </c>
      <c r="GG39" s="74">
        <v>1</v>
      </c>
      <c r="GH39" s="74">
        <v>1</v>
      </c>
      <c r="GI39" s="74">
        <v>1</v>
      </c>
      <c r="GJ39" s="74">
        <v>1</v>
      </c>
      <c r="GK39" s="74">
        <v>1</v>
      </c>
      <c r="GL39" s="74">
        <v>1</v>
      </c>
      <c r="GM39" s="74">
        <v>1</v>
      </c>
      <c r="GN39" s="74">
        <v>1</v>
      </c>
      <c r="GO39" s="74">
        <v>1</v>
      </c>
      <c r="GP39" s="74">
        <v>1</v>
      </c>
      <c r="GQ39" s="78">
        <v>1</v>
      </c>
      <c r="GR39" s="74">
        <v>1</v>
      </c>
      <c r="GS39" s="74">
        <v>1</v>
      </c>
      <c r="GT39" s="74">
        <v>1</v>
      </c>
      <c r="GU39" s="74">
        <v>1</v>
      </c>
      <c r="GV39" s="74">
        <v>1</v>
      </c>
      <c r="GW39" s="74">
        <v>1</v>
      </c>
      <c r="GX39" s="74">
        <v>1</v>
      </c>
      <c r="GY39" s="74">
        <v>1</v>
      </c>
      <c r="GZ39" s="74">
        <v>1</v>
      </c>
      <c r="HA39" s="74">
        <v>1</v>
      </c>
      <c r="HB39" s="74">
        <v>1</v>
      </c>
      <c r="HC39" s="74">
        <v>1</v>
      </c>
      <c r="HD39" s="74">
        <v>1</v>
      </c>
      <c r="HE39" s="74">
        <v>1</v>
      </c>
      <c r="HF39" s="74">
        <v>1</v>
      </c>
      <c r="HG39" s="74">
        <v>1</v>
      </c>
      <c r="HH39" s="74">
        <v>1</v>
      </c>
      <c r="HI39" s="74">
        <v>1</v>
      </c>
      <c r="HJ39" s="74">
        <v>1</v>
      </c>
      <c r="HK39" s="74">
        <v>1</v>
      </c>
      <c r="HL39" s="74">
        <v>1</v>
      </c>
      <c r="HM39" s="74">
        <v>1</v>
      </c>
      <c r="HN39" s="74">
        <v>1</v>
      </c>
      <c r="HO39" s="74">
        <v>1</v>
      </c>
      <c r="HP39" s="74">
        <v>1</v>
      </c>
      <c r="HQ39" s="74">
        <v>1</v>
      </c>
      <c r="HR39" s="74">
        <v>1</v>
      </c>
      <c r="HS39" s="74">
        <v>1</v>
      </c>
      <c r="HT39" s="74">
        <v>1</v>
      </c>
      <c r="HU39" s="74">
        <v>1</v>
      </c>
      <c r="HV39" s="74">
        <v>1</v>
      </c>
      <c r="HW39" s="74">
        <v>1</v>
      </c>
      <c r="HX39" s="75">
        <v>1</v>
      </c>
    </row>
    <row r="40" spans="1:232" x14ac:dyDescent="0.2">
      <c r="A40" s="27" t="s">
        <v>124</v>
      </c>
      <c r="B40" s="82" t="s">
        <v>86</v>
      </c>
      <c r="C40" s="80" t="s">
        <v>131</v>
      </c>
      <c r="D40" s="81">
        <v>5.2</v>
      </c>
      <c r="E40" s="80" t="s">
        <v>127</v>
      </c>
      <c r="F40" s="80" t="s">
        <v>122</v>
      </c>
      <c r="G40" s="78">
        <v>1</v>
      </c>
      <c r="H40" s="74">
        <v>1</v>
      </c>
      <c r="I40" s="74">
        <v>1</v>
      </c>
      <c r="J40" s="74">
        <v>1</v>
      </c>
      <c r="K40" s="74">
        <v>1</v>
      </c>
      <c r="L40" s="74">
        <v>1</v>
      </c>
      <c r="M40" s="74">
        <v>1</v>
      </c>
      <c r="N40" s="74">
        <v>1</v>
      </c>
      <c r="O40" s="74">
        <v>1</v>
      </c>
      <c r="P40" s="74">
        <v>1</v>
      </c>
      <c r="Q40" s="74">
        <v>1</v>
      </c>
      <c r="R40" s="74">
        <v>1</v>
      </c>
      <c r="S40" s="74">
        <v>1</v>
      </c>
      <c r="T40" s="74">
        <v>1</v>
      </c>
      <c r="U40" s="74">
        <v>1</v>
      </c>
      <c r="V40" s="74">
        <v>1</v>
      </c>
      <c r="W40" s="74">
        <v>1</v>
      </c>
      <c r="X40" s="74">
        <v>1</v>
      </c>
      <c r="Y40" s="74">
        <v>1</v>
      </c>
      <c r="Z40" s="74">
        <v>1</v>
      </c>
      <c r="AA40" s="74">
        <v>1</v>
      </c>
      <c r="AB40" s="74">
        <v>1</v>
      </c>
      <c r="AC40" s="74">
        <v>1</v>
      </c>
      <c r="AD40" s="74">
        <v>1</v>
      </c>
      <c r="AE40" s="78">
        <v>1</v>
      </c>
      <c r="AF40" s="74">
        <v>1</v>
      </c>
      <c r="AG40" s="74">
        <v>1</v>
      </c>
      <c r="AH40" s="74">
        <v>1</v>
      </c>
      <c r="AI40" s="74">
        <v>1</v>
      </c>
      <c r="AJ40" s="74">
        <v>1</v>
      </c>
      <c r="AK40" s="74">
        <v>1</v>
      </c>
      <c r="AL40" s="74">
        <v>1</v>
      </c>
      <c r="AM40" s="74">
        <v>1</v>
      </c>
      <c r="AN40" s="74">
        <v>1</v>
      </c>
      <c r="AO40" s="74">
        <v>1</v>
      </c>
      <c r="AP40" s="74">
        <v>1</v>
      </c>
      <c r="AQ40" s="74">
        <v>1</v>
      </c>
      <c r="AR40" s="74">
        <v>1</v>
      </c>
      <c r="AS40" s="74">
        <v>1</v>
      </c>
      <c r="AT40" s="74">
        <v>1</v>
      </c>
      <c r="AU40" s="74">
        <v>1</v>
      </c>
      <c r="AV40" s="74">
        <v>1</v>
      </c>
      <c r="AW40" s="74">
        <v>1</v>
      </c>
      <c r="AX40" s="74">
        <v>1</v>
      </c>
      <c r="AY40" s="74">
        <v>1</v>
      </c>
      <c r="AZ40" s="74">
        <v>1</v>
      </c>
      <c r="BA40" s="74">
        <v>1</v>
      </c>
      <c r="BB40" s="74">
        <v>1</v>
      </c>
      <c r="BC40" s="78">
        <v>1</v>
      </c>
      <c r="BD40" s="74">
        <v>1</v>
      </c>
      <c r="BE40" s="74">
        <v>1</v>
      </c>
      <c r="BF40" s="74">
        <v>1</v>
      </c>
      <c r="BG40" s="74">
        <v>1</v>
      </c>
      <c r="BH40" s="74">
        <v>1</v>
      </c>
      <c r="BI40" s="74">
        <v>1</v>
      </c>
      <c r="BJ40" s="74">
        <v>1</v>
      </c>
      <c r="BK40" s="74">
        <v>1</v>
      </c>
      <c r="BL40" s="74">
        <v>1</v>
      </c>
      <c r="BM40" s="74">
        <v>1</v>
      </c>
      <c r="BN40" s="74">
        <v>1</v>
      </c>
      <c r="BO40" s="74">
        <v>1</v>
      </c>
      <c r="BP40" s="74">
        <v>1</v>
      </c>
      <c r="BQ40" s="74">
        <v>1</v>
      </c>
      <c r="BR40" s="74">
        <v>1</v>
      </c>
      <c r="BS40" s="74">
        <v>1</v>
      </c>
      <c r="BT40" s="74">
        <v>1</v>
      </c>
      <c r="BU40" s="74">
        <v>1</v>
      </c>
      <c r="BV40" s="74">
        <v>1</v>
      </c>
      <c r="BW40" s="74">
        <v>1</v>
      </c>
      <c r="BX40" s="74">
        <v>1</v>
      </c>
      <c r="BY40" s="74">
        <v>1</v>
      </c>
      <c r="BZ40" s="74">
        <v>1</v>
      </c>
      <c r="CA40" s="78">
        <v>1</v>
      </c>
      <c r="CB40" s="74">
        <v>1</v>
      </c>
      <c r="CC40" s="74">
        <v>1</v>
      </c>
      <c r="CD40" s="74">
        <v>1</v>
      </c>
      <c r="CE40" s="74">
        <v>1</v>
      </c>
      <c r="CF40" s="74">
        <v>1</v>
      </c>
      <c r="CG40" s="74">
        <v>1</v>
      </c>
      <c r="CH40" s="74">
        <v>1</v>
      </c>
      <c r="CI40" s="74">
        <v>1</v>
      </c>
      <c r="CJ40" s="74">
        <v>1</v>
      </c>
      <c r="CK40" s="74">
        <v>1</v>
      </c>
      <c r="CL40" s="74">
        <v>1</v>
      </c>
      <c r="CM40" s="74">
        <v>1</v>
      </c>
      <c r="CN40" s="74">
        <v>1</v>
      </c>
      <c r="CO40" s="74">
        <v>1</v>
      </c>
      <c r="CP40" s="74">
        <v>1</v>
      </c>
      <c r="CQ40" s="74">
        <v>1</v>
      </c>
      <c r="CR40" s="74">
        <v>1</v>
      </c>
      <c r="CS40" s="74">
        <v>1</v>
      </c>
      <c r="CT40" s="74">
        <v>1</v>
      </c>
      <c r="CU40" s="74">
        <v>1</v>
      </c>
      <c r="CV40" s="74">
        <v>1</v>
      </c>
      <c r="CW40" s="74">
        <v>1</v>
      </c>
      <c r="CX40" s="74">
        <v>1</v>
      </c>
      <c r="CY40" s="78">
        <v>1</v>
      </c>
      <c r="CZ40" s="74">
        <v>1</v>
      </c>
      <c r="DA40" s="74">
        <v>1</v>
      </c>
      <c r="DB40" s="74">
        <v>1</v>
      </c>
      <c r="DC40" s="74">
        <v>1</v>
      </c>
      <c r="DD40" s="74">
        <v>1</v>
      </c>
      <c r="DE40" s="74">
        <v>1</v>
      </c>
      <c r="DF40" s="74">
        <v>1</v>
      </c>
      <c r="DG40" s="74">
        <v>1</v>
      </c>
      <c r="DH40" s="74">
        <v>1</v>
      </c>
      <c r="DI40" s="74">
        <v>1</v>
      </c>
      <c r="DJ40" s="74">
        <v>1</v>
      </c>
      <c r="DK40" s="74">
        <v>1</v>
      </c>
      <c r="DL40" s="74">
        <v>1</v>
      </c>
      <c r="DM40" s="74">
        <v>1</v>
      </c>
      <c r="DN40" s="74">
        <v>1</v>
      </c>
      <c r="DO40" s="74">
        <v>1</v>
      </c>
      <c r="DP40" s="74">
        <v>1</v>
      </c>
      <c r="DQ40" s="74">
        <v>1</v>
      </c>
      <c r="DR40" s="74">
        <v>1</v>
      </c>
      <c r="DS40" s="74">
        <v>1</v>
      </c>
      <c r="DT40" s="74">
        <v>1</v>
      </c>
      <c r="DU40" s="74">
        <v>1</v>
      </c>
      <c r="DV40" s="74">
        <v>1</v>
      </c>
      <c r="DW40" s="78">
        <v>1</v>
      </c>
      <c r="DX40" s="74">
        <v>1</v>
      </c>
      <c r="DY40" s="74">
        <v>1</v>
      </c>
      <c r="DZ40" s="74">
        <v>1</v>
      </c>
      <c r="EA40" s="74">
        <v>1</v>
      </c>
      <c r="EB40" s="74">
        <v>1</v>
      </c>
      <c r="EC40" s="74">
        <v>1</v>
      </c>
      <c r="ED40" s="74">
        <v>1</v>
      </c>
      <c r="EE40" s="74">
        <v>1</v>
      </c>
      <c r="EF40" s="74">
        <v>1</v>
      </c>
      <c r="EG40" s="74">
        <v>1</v>
      </c>
      <c r="EH40" s="74">
        <v>1</v>
      </c>
      <c r="EI40" s="74">
        <v>1</v>
      </c>
      <c r="EJ40" s="74">
        <v>1</v>
      </c>
      <c r="EK40" s="74">
        <v>1</v>
      </c>
      <c r="EL40" s="74">
        <v>1</v>
      </c>
      <c r="EM40" s="74">
        <v>1</v>
      </c>
      <c r="EN40" s="74">
        <v>1</v>
      </c>
      <c r="EO40" s="74">
        <v>1</v>
      </c>
      <c r="EP40" s="74">
        <v>1</v>
      </c>
      <c r="EQ40" s="74">
        <v>1</v>
      </c>
      <c r="ER40" s="74">
        <v>1</v>
      </c>
      <c r="ES40" s="74">
        <v>1</v>
      </c>
      <c r="ET40" s="74">
        <v>1</v>
      </c>
      <c r="EU40" s="78">
        <v>1</v>
      </c>
      <c r="EV40" s="74">
        <v>1</v>
      </c>
      <c r="EW40" s="74">
        <v>1</v>
      </c>
      <c r="EX40" s="74">
        <v>1</v>
      </c>
      <c r="EY40" s="74">
        <v>1</v>
      </c>
      <c r="EZ40" s="74">
        <v>1</v>
      </c>
      <c r="FA40" s="74">
        <v>1</v>
      </c>
      <c r="FB40" s="74">
        <v>1</v>
      </c>
      <c r="FC40" s="74">
        <v>1</v>
      </c>
      <c r="FD40" s="74">
        <v>1</v>
      </c>
      <c r="FE40" s="74">
        <v>1</v>
      </c>
      <c r="FF40" s="74">
        <v>1</v>
      </c>
      <c r="FG40" s="74">
        <v>1</v>
      </c>
      <c r="FH40" s="74">
        <v>1</v>
      </c>
      <c r="FI40" s="74">
        <v>1</v>
      </c>
      <c r="FJ40" s="74">
        <v>1</v>
      </c>
      <c r="FK40" s="74">
        <v>1</v>
      </c>
      <c r="FL40" s="74">
        <v>1</v>
      </c>
      <c r="FM40" s="74">
        <v>1</v>
      </c>
      <c r="FN40" s="74">
        <v>1</v>
      </c>
      <c r="FO40" s="74">
        <v>1</v>
      </c>
      <c r="FP40" s="74">
        <v>1</v>
      </c>
      <c r="FQ40" s="74">
        <v>1</v>
      </c>
      <c r="FR40" s="74">
        <v>1</v>
      </c>
      <c r="FS40" s="78">
        <v>1</v>
      </c>
      <c r="FT40" s="74">
        <v>1</v>
      </c>
      <c r="FU40" s="74">
        <v>1</v>
      </c>
      <c r="FV40" s="74">
        <v>1</v>
      </c>
      <c r="FW40" s="74">
        <v>1</v>
      </c>
      <c r="FX40" s="74">
        <v>1</v>
      </c>
      <c r="FY40" s="74">
        <v>1</v>
      </c>
      <c r="FZ40" s="74">
        <v>1</v>
      </c>
      <c r="GA40" s="74">
        <v>1</v>
      </c>
      <c r="GB40" s="74">
        <v>1</v>
      </c>
      <c r="GC40" s="74">
        <v>1</v>
      </c>
      <c r="GD40" s="74">
        <v>1</v>
      </c>
      <c r="GE40" s="74">
        <v>1</v>
      </c>
      <c r="GF40" s="74">
        <v>1</v>
      </c>
      <c r="GG40" s="74">
        <v>1</v>
      </c>
      <c r="GH40" s="74">
        <v>1</v>
      </c>
      <c r="GI40" s="74">
        <v>1</v>
      </c>
      <c r="GJ40" s="74">
        <v>1</v>
      </c>
      <c r="GK40" s="74">
        <v>1</v>
      </c>
      <c r="GL40" s="74">
        <v>1</v>
      </c>
      <c r="GM40" s="74">
        <v>1</v>
      </c>
      <c r="GN40" s="74">
        <v>1</v>
      </c>
      <c r="GO40" s="74">
        <v>1</v>
      </c>
      <c r="GP40" s="74">
        <v>1</v>
      </c>
      <c r="GQ40" s="78">
        <v>1</v>
      </c>
      <c r="GR40" s="74">
        <v>1</v>
      </c>
      <c r="GS40" s="74">
        <v>1</v>
      </c>
      <c r="GT40" s="74">
        <v>1</v>
      </c>
      <c r="GU40" s="74">
        <v>1</v>
      </c>
      <c r="GV40" s="74">
        <v>1</v>
      </c>
      <c r="GW40" s="74">
        <v>1</v>
      </c>
      <c r="GX40" s="74">
        <v>1</v>
      </c>
      <c r="GY40" s="74">
        <v>1</v>
      </c>
      <c r="GZ40" s="74">
        <v>1</v>
      </c>
      <c r="HA40" s="74">
        <v>1</v>
      </c>
      <c r="HB40" s="74">
        <v>1</v>
      </c>
      <c r="HC40" s="74">
        <v>1</v>
      </c>
      <c r="HD40" s="74">
        <v>1</v>
      </c>
      <c r="HE40" s="74">
        <v>1</v>
      </c>
      <c r="HF40" s="74">
        <v>1</v>
      </c>
      <c r="HG40" s="74">
        <v>1</v>
      </c>
      <c r="HH40" s="74">
        <v>1</v>
      </c>
      <c r="HI40" s="74">
        <v>1</v>
      </c>
      <c r="HJ40" s="74">
        <v>1</v>
      </c>
      <c r="HK40" s="74">
        <v>1</v>
      </c>
      <c r="HL40" s="74">
        <v>1</v>
      </c>
      <c r="HM40" s="74">
        <v>1</v>
      </c>
      <c r="HN40" s="74">
        <v>1</v>
      </c>
      <c r="HO40" s="74">
        <v>1</v>
      </c>
      <c r="HP40" s="74">
        <v>1</v>
      </c>
      <c r="HQ40" s="74">
        <v>1</v>
      </c>
      <c r="HR40" s="74">
        <v>1</v>
      </c>
      <c r="HS40" s="74">
        <v>1</v>
      </c>
      <c r="HT40" s="74">
        <v>1</v>
      </c>
      <c r="HU40" s="74">
        <v>1</v>
      </c>
      <c r="HV40" s="74">
        <v>1</v>
      </c>
      <c r="HW40" s="74">
        <v>1</v>
      </c>
      <c r="HX40" s="75">
        <v>1</v>
      </c>
    </row>
    <row r="41" spans="1:232" x14ac:dyDescent="0.2">
      <c r="A41" s="27" t="s">
        <v>124</v>
      </c>
      <c r="B41" s="82" t="s">
        <v>87</v>
      </c>
      <c r="C41" s="80" t="s">
        <v>131</v>
      </c>
      <c r="D41" s="81">
        <v>5.2</v>
      </c>
      <c r="E41" s="80" t="s">
        <v>127</v>
      </c>
      <c r="F41" s="80" t="s">
        <v>122</v>
      </c>
      <c r="G41" s="78">
        <v>1</v>
      </c>
      <c r="H41" s="74">
        <v>1</v>
      </c>
      <c r="I41" s="74">
        <v>1</v>
      </c>
      <c r="J41" s="74">
        <v>1</v>
      </c>
      <c r="K41" s="74">
        <v>1</v>
      </c>
      <c r="L41" s="74">
        <v>1</v>
      </c>
      <c r="M41" s="74">
        <v>1</v>
      </c>
      <c r="N41" s="74">
        <v>1</v>
      </c>
      <c r="O41" s="74">
        <v>1</v>
      </c>
      <c r="P41" s="74">
        <v>1</v>
      </c>
      <c r="Q41" s="74">
        <v>1</v>
      </c>
      <c r="R41" s="74">
        <v>1</v>
      </c>
      <c r="S41" s="74">
        <v>1</v>
      </c>
      <c r="T41" s="74">
        <v>1</v>
      </c>
      <c r="U41" s="74">
        <v>1</v>
      </c>
      <c r="V41" s="74">
        <v>1</v>
      </c>
      <c r="W41" s="74">
        <v>1</v>
      </c>
      <c r="X41" s="74">
        <v>1</v>
      </c>
      <c r="Y41" s="74">
        <v>1</v>
      </c>
      <c r="Z41" s="74">
        <v>1</v>
      </c>
      <c r="AA41" s="74">
        <v>1</v>
      </c>
      <c r="AB41" s="74">
        <v>1</v>
      </c>
      <c r="AC41" s="74">
        <v>1</v>
      </c>
      <c r="AD41" s="74">
        <v>1</v>
      </c>
      <c r="AE41" s="78">
        <v>1</v>
      </c>
      <c r="AF41" s="74">
        <v>1</v>
      </c>
      <c r="AG41" s="74">
        <v>1</v>
      </c>
      <c r="AH41" s="74">
        <v>1</v>
      </c>
      <c r="AI41" s="74">
        <v>1</v>
      </c>
      <c r="AJ41" s="74">
        <v>1</v>
      </c>
      <c r="AK41" s="74">
        <v>1</v>
      </c>
      <c r="AL41" s="74">
        <v>1</v>
      </c>
      <c r="AM41" s="74">
        <v>1</v>
      </c>
      <c r="AN41" s="74">
        <v>1</v>
      </c>
      <c r="AO41" s="74">
        <v>1</v>
      </c>
      <c r="AP41" s="74">
        <v>1</v>
      </c>
      <c r="AQ41" s="74">
        <v>1</v>
      </c>
      <c r="AR41" s="74">
        <v>1</v>
      </c>
      <c r="AS41" s="74">
        <v>1</v>
      </c>
      <c r="AT41" s="74">
        <v>1</v>
      </c>
      <c r="AU41" s="74">
        <v>1</v>
      </c>
      <c r="AV41" s="74">
        <v>1</v>
      </c>
      <c r="AW41" s="74">
        <v>1</v>
      </c>
      <c r="AX41" s="74">
        <v>1</v>
      </c>
      <c r="AY41" s="74">
        <v>1</v>
      </c>
      <c r="AZ41" s="74">
        <v>1</v>
      </c>
      <c r="BA41" s="74">
        <v>1</v>
      </c>
      <c r="BB41" s="74">
        <v>1</v>
      </c>
      <c r="BC41" s="78">
        <v>1</v>
      </c>
      <c r="BD41" s="74">
        <v>1</v>
      </c>
      <c r="BE41" s="74">
        <v>1</v>
      </c>
      <c r="BF41" s="74">
        <v>1</v>
      </c>
      <c r="BG41" s="74">
        <v>1</v>
      </c>
      <c r="BH41" s="74">
        <v>1</v>
      </c>
      <c r="BI41" s="74">
        <v>1</v>
      </c>
      <c r="BJ41" s="74">
        <v>1</v>
      </c>
      <c r="BK41" s="74">
        <v>1</v>
      </c>
      <c r="BL41" s="74">
        <v>1</v>
      </c>
      <c r="BM41" s="74">
        <v>1</v>
      </c>
      <c r="BN41" s="74">
        <v>1</v>
      </c>
      <c r="BO41" s="74">
        <v>1</v>
      </c>
      <c r="BP41" s="74">
        <v>1</v>
      </c>
      <c r="BQ41" s="74">
        <v>1</v>
      </c>
      <c r="BR41" s="74">
        <v>1</v>
      </c>
      <c r="BS41" s="74">
        <v>1</v>
      </c>
      <c r="BT41" s="74">
        <v>1</v>
      </c>
      <c r="BU41" s="74">
        <v>1</v>
      </c>
      <c r="BV41" s="74">
        <v>1</v>
      </c>
      <c r="BW41" s="74">
        <v>1</v>
      </c>
      <c r="BX41" s="74">
        <v>1</v>
      </c>
      <c r="BY41" s="74">
        <v>1</v>
      </c>
      <c r="BZ41" s="74">
        <v>1</v>
      </c>
      <c r="CA41" s="78">
        <v>1</v>
      </c>
      <c r="CB41" s="74">
        <v>1</v>
      </c>
      <c r="CC41" s="74">
        <v>1</v>
      </c>
      <c r="CD41" s="74">
        <v>1</v>
      </c>
      <c r="CE41" s="74">
        <v>1</v>
      </c>
      <c r="CF41" s="74">
        <v>1</v>
      </c>
      <c r="CG41" s="74">
        <v>1</v>
      </c>
      <c r="CH41" s="74">
        <v>1</v>
      </c>
      <c r="CI41" s="74">
        <v>1</v>
      </c>
      <c r="CJ41" s="74">
        <v>1</v>
      </c>
      <c r="CK41" s="74">
        <v>1</v>
      </c>
      <c r="CL41" s="74">
        <v>1</v>
      </c>
      <c r="CM41" s="74">
        <v>1</v>
      </c>
      <c r="CN41" s="74">
        <v>1</v>
      </c>
      <c r="CO41" s="74">
        <v>1</v>
      </c>
      <c r="CP41" s="74">
        <v>1</v>
      </c>
      <c r="CQ41" s="74">
        <v>1</v>
      </c>
      <c r="CR41" s="74">
        <v>1</v>
      </c>
      <c r="CS41" s="74">
        <v>1</v>
      </c>
      <c r="CT41" s="74">
        <v>1</v>
      </c>
      <c r="CU41" s="74">
        <v>1</v>
      </c>
      <c r="CV41" s="74">
        <v>1</v>
      </c>
      <c r="CW41" s="74">
        <v>1</v>
      </c>
      <c r="CX41" s="74">
        <v>1</v>
      </c>
      <c r="CY41" s="78">
        <v>1</v>
      </c>
      <c r="CZ41" s="74">
        <v>1</v>
      </c>
      <c r="DA41" s="74">
        <v>1</v>
      </c>
      <c r="DB41" s="74">
        <v>1</v>
      </c>
      <c r="DC41" s="74">
        <v>1</v>
      </c>
      <c r="DD41" s="74">
        <v>1</v>
      </c>
      <c r="DE41" s="74">
        <v>1</v>
      </c>
      <c r="DF41" s="74">
        <v>1</v>
      </c>
      <c r="DG41" s="74">
        <v>1</v>
      </c>
      <c r="DH41" s="74">
        <v>1</v>
      </c>
      <c r="DI41" s="74">
        <v>1</v>
      </c>
      <c r="DJ41" s="74">
        <v>1</v>
      </c>
      <c r="DK41" s="74">
        <v>1</v>
      </c>
      <c r="DL41" s="74">
        <v>1</v>
      </c>
      <c r="DM41" s="74">
        <v>1</v>
      </c>
      <c r="DN41" s="74">
        <v>1</v>
      </c>
      <c r="DO41" s="74">
        <v>1</v>
      </c>
      <c r="DP41" s="74">
        <v>1</v>
      </c>
      <c r="DQ41" s="74">
        <v>1</v>
      </c>
      <c r="DR41" s="74">
        <v>1</v>
      </c>
      <c r="DS41" s="74">
        <v>1</v>
      </c>
      <c r="DT41" s="74">
        <v>1</v>
      </c>
      <c r="DU41" s="74">
        <v>1</v>
      </c>
      <c r="DV41" s="74">
        <v>1</v>
      </c>
      <c r="DW41" s="78">
        <v>1</v>
      </c>
      <c r="DX41" s="74">
        <v>1</v>
      </c>
      <c r="DY41" s="74">
        <v>1</v>
      </c>
      <c r="DZ41" s="74">
        <v>1</v>
      </c>
      <c r="EA41" s="74">
        <v>1</v>
      </c>
      <c r="EB41" s="74">
        <v>1</v>
      </c>
      <c r="EC41" s="74">
        <v>1</v>
      </c>
      <c r="ED41" s="74">
        <v>1</v>
      </c>
      <c r="EE41" s="74">
        <v>1</v>
      </c>
      <c r="EF41" s="74">
        <v>1</v>
      </c>
      <c r="EG41" s="74">
        <v>1</v>
      </c>
      <c r="EH41" s="74">
        <v>1</v>
      </c>
      <c r="EI41" s="74">
        <v>1</v>
      </c>
      <c r="EJ41" s="74">
        <v>1</v>
      </c>
      <c r="EK41" s="74">
        <v>1</v>
      </c>
      <c r="EL41" s="74">
        <v>1</v>
      </c>
      <c r="EM41" s="74">
        <v>1</v>
      </c>
      <c r="EN41" s="74">
        <v>1</v>
      </c>
      <c r="EO41" s="74">
        <v>1</v>
      </c>
      <c r="EP41" s="74">
        <v>1</v>
      </c>
      <c r="EQ41" s="74">
        <v>1</v>
      </c>
      <c r="ER41" s="74">
        <v>1</v>
      </c>
      <c r="ES41" s="74">
        <v>1</v>
      </c>
      <c r="ET41" s="74">
        <v>1</v>
      </c>
      <c r="EU41" s="78">
        <v>1</v>
      </c>
      <c r="EV41" s="74">
        <v>1</v>
      </c>
      <c r="EW41" s="74">
        <v>1</v>
      </c>
      <c r="EX41" s="74">
        <v>1</v>
      </c>
      <c r="EY41" s="74">
        <v>1</v>
      </c>
      <c r="EZ41" s="74">
        <v>1</v>
      </c>
      <c r="FA41" s="74">
        <v>1</v>
      </c>
      <c r="FB41" s="74">
        <v>1</v>
      </c>
      <c r="FC41" s="74">
        <v>1</v>
      </c>
      <c r="FD41" s="74">
        <v>1</v>
      </c>
      <c r="FE41" s="74">
        <v>1</v>
      </c>
      <c r="FF41" s="74">
        <v>1</v>
      </c>
      <c r="FG41" s="74">
        <v>1</v>
      </c>
      <c r="FH41" s="74">
        <v>1</v>
      </c>
      <c r="FI41" s="74">
        <v>1</v>
      </c>
      <c r="FJ41" s="74">
        <v>1</v>
      </c>
      <c r="FK41" s="74">
        <v>1</v>
      </c>
      <c r="FL41" s="74">
        <v>1</v>
      </c>
      <c r="FM41" s="74">
        <v>1</v>
      </c>
      <c r="FN41" s="74">
        <v>1</v>
      </c>
      <c r="FO41" s="74">
        <v>1</v>
      </c>
      <c r="FP41" s="74">
        <v>1</v>
      </c>
      <c r="FQ41" s="74">
        <v>1</v>
      </c>
      <c r="FR41" s="74">
        <v>1</v>
      </c>
      <c r="FS41" s="78">
        <v>1</v>
      </c>
      <c r="FT41" s="74">
        <v>1</v>
      </c>
      <c r="FU41" s="74">
        <v>1</v>
      </c>
      <c r="FV41" s="74">
        <v>1</v>
      </c>
      <c r="FW41" s="74">
        <v>1</v>
      </c>
      <c r="FX41" s="74">
        <v>1</v>
      </c>
      <c r="FY41" s="74">
        <v>1</v>
      </c>
      <c r="FZ41" s="74">
        <v>1</v>
      </c>
      <c r="GA41" s="74">
        <v>1</v>
      </c>
      <c r="GB41" s="74">
        <v>1</v>
      </c>
      <c r="GC41" s="74">
        <v>1</v>
      </c>
      <c r="GD41" s="74">
        <v>1</v>
      </c>
      <c r="GE41" s="74">
        <v>1</v>
      </c>
      <c r="GF41" s="74">
        <v>1</v>
      </c>
      <c r="GG41" s="74">
        <v>1</v>
      </c>
      <c r="GH41" s="74">
        <v>1</v>
      </c>
      <c r="GI41" s="74">
        <v>1</v>
      </c>
      <c r="GJ41" s="74">
        <v>1</v>
      </c>
      <c r="GK41" s="74">
        <v>1</v>
      </c>
      <c r="GL41" s="74">
        <v>1</v>
      </c>
      <c r="GM41" s="74">
        <v>1</v>
      </c>
      <c r="GN41" s="74">
        <v>1</v>
      </c>
      <c r="GO41" s="74">
        <v>1</v>
      </c>
      <c r="GP41" s="74">
        <v>1</v>
      </c>
      <c r="GQ41" s="78">
        <v>1</v>
      </c>
      <c r="GR41" s="74">
        <v>1</v>
      </c>
      <c r="GS41" s="74">
        <v>1</v>
      </c>
      <c r="GT41" s="74">
        <v>1</v>
      </c>
      <c r="GU41" s="74">
        <v>1</v>
      </c>
      <c r="GV41" s="74">
        <v>1</v>
      </c>
      <c r="GW41" s="74">
        <v>1</v>
      </c>
      <c r="GX41" s="74">
        <v>1</v>
      </c>
      <c r="GY41" s="74">
        <v>1</v>
      </c>
      <c r="GZ41" s="74">
        <v>1</v>
      </c>
      <c r="HA41" s="74">
        <v>1</v>
      </c>
      <c r="HB41" s="74">
        <v>1</v>
      </c>
      <c r="HC41" s="74">
        <v>1</v>
      </c>
      <c r="HD41" s="74">
        <v>1</v>
      </c>
      <c r="HE41" s="74">
        <v>1</v>
      </c>
      <c r="HF41" s="74">
        <v>1</v>
      </c>
      <c r="HG41" s="74">
        <v>1</v>
      </c>
      <c r="HH41" s="74">
        <v>1</v>
      </c>
      <c r="HI41" s="74">
        <v>1</v>
      </c>
      <c r="HJ41" s="74">
        <v>1</v>
      </c>
      <c r="HK41" s="74">
        <v>1</v>
      </c>
      <c r="HL41" s="74">
        <v>1</v>
      </c>
      <c r="HM41" s="74">
        <v>1</v>
      </c>
      <c r="HN41" s="74">
        <v>1</v>
      </c>
      <c r="HO41" s="74">
        <v>1</v>
      </c>
      <c r="HP41" s="74">
        <v>1</v>
      </c>
      <c r="HQ41" s="74">
        <v>1</v>
      </c>
      <c r="HR41" s="74">
        <v>1</v>
      </c>
      <c r="HS41" s="74">
        <v>1</v>
      </c>
      <c r="HT41" s="74">
        <v>1</v>
      </c>
      <c r="HU41" s="74">
        <v>1</v>
      </c>
      <c r="HV41" s="74">
        <v>1</v>
      </c>
      <c r="HW41" s="74">
        <v>1</v>
      </c>
      <c r="HX41" s="75">
        <v>1</v>
      </c>
    </row>
    <row r="42" spans="1:232" x14ac:dyDescent="0.2">
      <c r="A42" s="27" t="s">
        <v>124</v>
      </c>
      <c r="B42" s="82" t="s">
        <v>88</v>
      </c>
      <c r="C42" s="80" t="s">
        <v>131</v>
      </c>
      <c r="D42" s="81">
        <v>5.2</v>
      </c>
      <c r="E42" s="80" t="s">
        <v>127</v>
      </c>
      <c r="F42" s="80" t="s">
        <v>122</v>
      </c>
      <c r="G42" s="78">
        <v>1</v>
      </c>
      <c r="H42" s="74">
        <v>1</v>
      </c>
      <c r="I42" s="74">
        <v>1</v>
      </c>
      <c r="J42" s="74">
        <v>1</v>
      </c>
      <c r="K42" s="74">
        <v>1</v>
      </c>
      <c r="L42" s="74">
        <v>1</v>
      </c>
      <c r="M42" s="74">
        <v>1</v>
      </c>
      <c r="N42" s="74">
        <v>1</v>
      </c>
      <c r="O42" s="74">
        <v>1</v>
      </c>
      <c r="P42" s="74">
        <v>1</v>
      </c>
      <c r="Q42" s="74">
        <v>1</v>
      </c>
      <c r="R42" s="74">
        <v>1</v>
      </c>
      <c r="S42" s="74">
        <v>1</v>
      </c>
      <c r="T42" s="74">
        <v>1</v>
      </c>
      <c r="U42" s="74">
        <v>1</v>
      </c>
      <c r="V42" s="74">
        <v>1</v>
      </c>
      <c r="W42" s="74">
        <v>1</v>
      </c>
      <c r="X42" s="74">
        <v>1</v>
      </c>
      <c r="Y42" s="74">
        <v>1</v>
      </c>
      <c r="Z42" s="74">
        <v>1</v>
      </c>
      <c r="AA42" s="74">
        <v>1</v>
      </c>
      <c r="AB42" s="74">
        <v>1</v>
      </c>
      <c r="AC42" s="74">
        <v>1</v>
      </c>
      <c r="AD42" s="74">
        <v>1</v>
      </c>
      <c r="AE42" s="78">
        <v>1</v>
      </c>
      <c r="AF42" s="74">
        <v>1</v>
      </c>
      <c r="AG42" s="74">
        <v>1</v>
      </c>
      <c r="AH42" s="74">
        <v>1</v>
      </c>
      <c r="AI42" s="74">
        <v>1</v>
      </c>
      <c r="AJ42" s="74">
        <v>1</v>
      </c>
      <c r="AK42" s="74">
        <v>1</v>
      </c>
      <c r="AL42" s="74">
        <v>1</v>
      </c>
      <c r="AM42" s="74">
        <v>1</v>
      </c>
      <c r="AN42" s="74">
        <v>1</v>
      </c>
      <c r="AO42" s="74">
        <v>1</v>
      </c>
      <c r="AP42" s="74">
        <v>1</v>
      </c>
      <c r="AQ42" s="74">
        <v>1</v>
      </c>
      <c r="AR42" s="74">
        <v>1</v>
      </c>
      <c r="AS42" s="74">
        <v>1</v>
      </c>
      <c r="AT42" s="74">
        <v>1</v>
      </c>
      <c r="AU42" s="74">
        <v>1</v>
      </c>
      <c r="AV42" s="74">
        <v>1</v>
      </c>
      <c r="AW42" s="74">
        <v>1</v>
      </c>
      <c r="AX42" s="74">
        <v>1</v>
      </c>
      <c r="AY42" s="74">
        <v>1</v>
      </c>
      <c r="AZ42" s="74">
        <v>1</v>
      </c>
      <c r="BA42" s="74">
        <v>1</v>
      </c>
      <c r="BB42" s="74">
        <v>1</v>
      </c>
      <c r="BC42" s="78">
        <v>1</v>
      </c>
      <c r="BD42" s="74">
        <v>1</v>
      </c>
      <c r="BE42" s="74">
        <v>1</v>
      </c>
      <c r="BF42" s="74">
        <v>1</v>
      </c>
      <c r="BG42" s="74">
        <v>1</v>
      </c>
      <c r="BH42" s="74">
        <v>1</v>
      </c>
      <c r="BI42" s="74">
        <v>1</v>
      </c>
      <c r="BJ42" s="74">
        <v>1</v>
      </c>
      <c r="BK42" s="74">
        <v>1</v>
      </c>
      <c r="BL42" s="74">
        <v>1</v>
      </c>
      <c r="BM42" s="74">
        <v>1</v>
      </c>
      <c r="BN42" s="74">
        <v>1</v>
      </c>
      <c r="BO42" s="74">
        <v>1</v>
      </c>
      <c r="BP42" s="74">
        <v>1</v>
      </c>
      <c r="BQ42" s="74">
        <v>1</v>
      </c>
      <c r="BR42" s="74">
        <v>1</v>
      </c>
      <c r="BS42" s="74">
        <v>1</v>
      </c>
      <c r="BT42" s="74">
        <v>1</v>
      </c>
      <c r="BU42" s="74">
        <v>1</v>
      </c>
      <c r="BV42" s="74">
        <v>1</v>
      </c>
      <c r="BW42" s="74">
        <v>1</v>
      </c>
      <c r="BX42" s="74">
        <v>1</v>
      </c>
      <c r="BY42" s="74">
        <v>1</v>
      </c>
      <c r="BZ42" s="74">
        <v>1</v>
      </c>
      <c r="CA42" s="78">
        <v>1</v>
      </c>
      <c r="CB42" s="74">
        <v>1</v>
      </c>
      <c r="CC42" s="74">
        <v>1</v>
      </c>
      <c r="CD42" s="74">
        <v>1</v>
      </c>
      <c r="CE42" s="74">
        <v>1</v>
      </c>
      <c r="CF42" s="74">
        <v>1</v>
      </c>
      <c r="CG42" s="74">
        <v>1</v>
      </c>
      <c r="CH42" s="74">
        <v>1</v>
      </c>
      <c r="CI42" s="74">
        <v>1</v>
      </c>
      <c r="CJ42" s="74">
        <v>1</v>
      </c>
      <c r="CK42" s="74">
        <v>1</v>
      </c>
      <c r="CL42" s="74">
        <v>1</v>
      </c>
      <c r="CM42" s="74">
        <v>1</v>
      </c>
      <c r="CN42" s="74">
        <v>1</v>
      </c>
      <c r="CO42" s="74">
        <v>1</v>
      </c>
      <c r="CP42" s="74">
        <v>1</v>
      </c>
      <c r="CQ42" s="74">
        <v>1</v>
      </c>
      <c r="CR42" s="74">
        <v>1</v>
      </c>
      <c r="CS42" s="74">
        <v>1</v>
      </c>
      <c r="CT42" s="74">
        <v>1</v>
      </c>
      <c r="CU42" s="74">
        <v>1</v>
      </c>
      <c r="CV42" s="74">
        <v>1</v>
      </c>
      <c r="CW42" s="74">
        <v>1</v>
      </c>
      <c r="CX42" s="74">
        <v>1</v>
      </c>
      <c r="CY42" s="78">
        <v>1</v>
      </c>
      <c r="CZ42" s="74">
        <v>1</v>
      </c>
      <c r="DA42" s="74">
        <v>1</v>
      </c>
      <c r="DB42" s="74">
        <v>1</v>
      </c>
      <c r="DC42" s="74">
        <v>1</v>
      </c>
      <c r="DD42" s="74">
        <v>1</v>
      </c>
      <c r="DE42" s="74">
        <v>1</v>
      </c>
      <c r="DF42" s="74">
        <v>1</v>
      </c>
      <c r="DG42" s="74">
        <v>1</v>
      </c>
      <c r="DH42" s="74">
        <v>1</v>
      </c>
      <c r="DI42" s="74">
        <v>1</v>
      </c>
      <c r="DJ42" s="74">
        <v>1</v>
      </c>
      <c r="DK42" s="74">
        <v>1</v>
      </c>
      <c r="DL42" s="74">
        <v>1</v>
      </c>
      <c r="DM42" s="74">
        <v>1</v>
      </c>
      <c r="DN42" s="74">
        <v>1</v>
      </c>
      <c r="DO42" s="74">
        <v>1</v>
      </c>
      <c r="DP42" s="74">
        <v>1</v>
      </c>
      <c r="DQ42" s="74">
        <v>1</v>
      </c>
      <c r="DR42" s="74">
        <v>1</v>
      </c>
      <c r="DS42" s="74">
        <v>1</v>
      </c>
      <c r="DT42" s="74">
        <v>1</v>
      </c>
      <c r="DU42" s="74">
        <v>1</v>
      </c>
      <c r="DV42" s="74">
        <v>1</v>
      </c>
      <c r="DW42" s="78">
        <v>1</v>
      </c>
      <c r="DX42" s="74">
        <v>1</v>
      </c>
      <c r="DY42" s="74">
        <v>1</v>
      </c>
      <c r="DZ42" s="74">
        <v>1</v>
      </c>
      <c r="EA42" s="74">
        <v>1</v>
      </c>
      <c r="EB42" s="74">
        <v>1</v>
      </c>
      <c r="EC42" s="74">
        <v>1</v>
      </c>
      <c r="ED42" s="74">
        <v>1</v>
      </c>
      <c r="EE42" s="74">
        <v>1</v>
      </c>
      <c r="EF42" s="74">
        <v>1</v>
      </c>
      <c r="EG42" s="74">
        <v>1</v>
      </c>
      <c r="EH42" s="74">
        <v>1</v>
      </c>
      <c r="EI42" s="74">
        <v>1</v>
      </c>
      <c r="EJ42" s="74">
        <v>1</v>
      </c>
      <c r="EK42" s="74">
        <v>1</v>
      </c>
      <c r="EL42" s="74">
        <v>1</v>
      </c>
      <c r="EM42" s="74">
        <v>1</v>
      </c>
      <c r="EN42" s="74">
        <v>1</v>
      </c>
      <c r="EO42" s="74">
        <v>1</v>
      </c>
      <c r="EP42" s="74">
        <v>1</v>
      </c>
      <c r="EQ42" s="74">
        <v>1</v>
      </c>
      <c r="ER42" s="74">
        <v>1</v>
      </c>
      <c r="ES42" s="74">
        <v>1</v>
      </c>
      <c r="ET42" s="74">
        <v>1</v>
      </c>
      <c r="EU42" s="78">
        <v>1</v>
      </c>
      <c r="EV42" s="74">
        <v>1</v>
      </c>
      <c r="EW42" s="74">
        <v>1</v>
      </c>
      <c r="EX42" s="74">
        <v>1</v>
      </c>
      <c r="EY42" s="74">
        <v>1</v>
      </c>
      <c r="EZ42" s="74">
        <v>1</v>
      </c>
      <c r="FA42" s="74">
        <v>1</v>
      </c>
      <c r="FB42" s="74">
        <v>1</v>
      </c>
      <c r="FC42" s="74">
        <v>1</v>
      </c>
      <c r="FD42" s="74">
        <v>1</v>
      </c>
      <c r="FE42" s="74">
        <v>1</v>
      </c>
      <c r="FF42" s="74">
        <v>1</v>
      </c>
      <c r="FG42" s="74">
        <v>1</v>
      </c>
      <c r="FH42" s="74">
        <v>1</v>
      </c>
      <c r="FI42" s="74">
        <v>1</v>
      </c>
      <c r="FJ42" s="74">
        <v>1</v>
      </c>
      <c r="FK42" s="74">
        <v>1</v>
      </c>
      <c r="FL42" s="74">
        <v>1</v>
      </c>
      <c r="FM42" s="74">
        <v>1</v>
      </c>
      <c r="FN42" s="74">
        <v>1</v>
      </c>
      <c r="FO42" s="74">
        <v>1</v>
      </c>
      <c r="FP42" s="74">
        <v>1</v>
      </c>
      <c r="FQ42" s="74">
        <v>1</v>
      </c>
      <c r="FR42" s="74">
        <v>1</v>
      </c>
      <c r="FS42" s="78">
        <v>1</v>
      </c>
      <c r="FT42" s="74">
        <v>1</v>
      </c>
      <c r="FU42" s="74">
        <v>1</v>
      </c>
      <c r="FV42" s="74">
        <v>1</v>
      </c>
      <c r="FW42" s="74">
        <v>1</v>
      </c>
      <c r="FX42" s="74">
        <v>1</v>
      </c>
      <c r="FY42" s="74">
        <v>1</v>
      </c>
      <c r="FZ42" s="74">
        <v>1</v>
      </c>
      <c r="GA42" s="74">
        <v>1</v>
      </c>
      <c r="GB42" s="74">
        <v>1</v>
      </c>
      <c r="GC42" s="74">
        <v>1</v>
      </c>
      <c r="GD42" s="74">
        <v>1</v>
      </c>
      <c r="GE42" s="74">
        <v>1</v>
      </c>
      <c r="GF42" s="74">
        <v>1</v>
      </c>
      <c r="GG42" s="74">
        <v>1</v>
      </c>
      <c r="GH42" s="74">
        <v>1</v>
      </c>
      <c r="GI42" s="74">
        <v>1</v>
      </c>
      <c r="GJ42" s="74">
        <v>1</v>
      </c>
      <c r="GK42" s="74">
        <v>1</v>
      </c>
      <c r="GL42" s="74">
        <v>1</v>
      </c>
      <c r="GM42" s="74">
        <v>1</v>
      </c>
      <c r="GN42" s="74">
        <v>1</v>
      </c>
      <c r="GO42" s="74">
        <v>1</v>
      </c>
      <c r="GP42" s="74">
        <v>1</v>
      </c>
      <c r="GQ42" s="78">
        <v>1</v>
      </c>
      <c r="GR42" s="74">
        <v>1</v>
      </c>
      <c r="GS42" s="74">
        <v>1</v>
      </c>
      <c r="GT42" s="74">
        <v>1</v>
      </c>
      <c r="GU42" s="74">
        <v>1</v>
      </c>
      <c r="GV42" s="74">
        <v>1</v>
      </c>
      <c r="GW42" s="74">
        <v>1</v>
      </c>
      <c r="GX42" s="74">
        <v>1</v>
      </c>
      <c r="GY42" s="74">
        <v>1</v>
      </c>
      <c r="GZ42" s="74">
        <v>1</v>
      </c>
      <c r="HA42" s="74">
        <v>1</v>
      </c>
      <c r="HB42" s="74">
        <v>1</v>
      </c>
      <c r="HC42" s="74">
        <v>1</v>
      </c>
      <c r="HD42" s="74">
        <v>1</v>
      </c>
      <c r="HE42" s="74">
        <v>1</v>
      </c>
      <c r="HF42" s="74">
        <v>1</v>
      </c>
      <c r="HG42" s="74">
        <v>1</v>
      </c>
      <c r="HH42" s="74">
        <v>1</v>
      </c>
      <c r="HI42" s="74">
        <v>1</v>
      </c>
      <c r="HJ42" s="74">
        <v>1</v>
      </c>
      <c r="HK42" s="74">
        <v>1</v>
      </c>
      <c r="HL42" s="74">
        <v>1</v>
      </c>
      <c r="HM42" s="74">
        <v>1</v>
      </c>
      <c r="HN42" s="74">
        <v>1</v>
      </c>
      <c r="HO42" s="74">
        <v>1</v>
      </c>
      <c r="HP42" s="74">
        <v>1</v>
      </c>
      <c r="HQ42" s="74">
        <v>1</v>
      </c>
      <c r="HR42" s="74">
        <v>1</v>
      </c>
      <c r="HS42" s="74">
        <v>1</v>
      </c>
      <c r="HT42" s="74">
        <v>1</v>
      </c>
      <c r="HU42" s="74">
        <v>1</v>
      </c>
      <c r="HV42" s="74">
        <v>1</v>
      </c>
      <c r="HW42" s="74">
        <v>1</v>
      </c>
      <c r="HX42" s="75">
        <v>1</v>
      </c>
    </row>
    <row r="43" spans="1:232" x14ac:dyDescent="0.2">
      <c r="B43" s="83" t="s">
        <v>89</v>
      </c>
      <c r="C43" s="80" t="s">
        <v>131</v>
      </c>
      <c r="D43" s="81">
        <v>5.2</v>
      </c>
      <c r="E43" s="80" t="s">
        <v>127</v>
      </c>
      <c r="F43" s="80" t="s">
        <v>122</v>
      </c>
      <c r="G43" s="78">
        <v>1</v>
      </c>
      <c r="H43" s="74">
        <v>1</v>
      </c>
      <c r="I43" s="74">
        <v>1</v>
      </c>
      <c r="J43" s="74">
        <v>1</v>
      </c>
      <c r="K43" s="74">
        <v>1</v>
      </c>
      <c r="L43" s="74">
        <v>1</v>
      </c>
      <c r="M43" s="74">
        <v>1</v>
      </c>
      <c r="N43" s="74">
        <v>1</v>
      </c>
      <c r="O43" s="74">
        <v>1</v>
      </c>
      <c r="P43" s="74">
        <v>1</v>
      </c>
      <c r="Q43" s="74">
        <v>1</v>
      </c>
      <c r="R43" s="74">
        <v>1</v>
      </c>
      <c r="S43" s="74">
        <v>1</v>
      </c>
      <c r="T43" s="74">
        <v>1</v>
      </c>
      <c r="U43" s="74">
        <v>1</v>
      </c>
      <c r="V43" s="74">
        <v>1</v>
      </c>
      <c r="W43" s="74">
        <v>1</v>
      </c>
      <c r="X43" s="74">
        <v>1</v>
      </c>
      <c r="Y43" s="74">
        <v>1</v>
      </c>
      <c r="Z43" s="74">
        <v>1</v>
      </c>
      <c r="AA43" s="74">
        <v>1</v>
      </c>
      <c r="AB43" s="74">
        <v>1</v>
      </c>
      <c r="AC43" s="74">
        <v>1</v>
      </c>
      <c r="AD43" s="74">
        <v>1</v>
      </c>
      <c r="AE43" s="78">
        <v>1</v>
      </c>
      <c r="AF43" s="74">
        <v>1</v>
      </c>
      <c r="AG43" s="74">
        <v>1</v>
      </c>
      <c r="AH43" s="74">
        <v>1</v>
      </c>
      <c r="AI43" s="74">
        <v>1</v>
      </c>
      <c r="AJ43" s="74">
        <v>1</v>
      </c>
      <c r="AK43" s="74">
        <v>1</v>
      </c>
      <c r="AL43" s="74">
        <v>1</v>
      </c>
      <c r="AM43" s="74">
        <v>1</v>
      </c>
      <c r="AN43" s="74">
        <v>1</v>
      </c>
      <c r="AO43" s="74">
        <v>1</v>
      </c>
      <c r="AP43" s="74">
        <v>1</v>
      </c>
      <c r="AQ43" s="74">
        <v>1</v>
      </c>
      <c r="AR43" s="74">
        <v>1</v>
      </c>
      <c r="AS43" s="74">
        <v>1</v>
      </c>
      <c r="AT43" s="74">
        <v>1</v>
      </c>
      <c r="AU43" s="74">
        <v>1</v>
      </c>
      <c r="AV43" s="74">
        <v>1</v>
      </c>
      <c r="AW43" s="74">
        <v>1</v>
      </c>
      <c r="AX43" s="74">
        <v>1</v>
      </c>
      <c r="AY43" s="74">
        <v>1</v>
      </c>
      <c r="AZ43" s="74">
        <v>1</v>
      </c>
      <c r="BA43" s="74">
        <v>1</v>
      </c>
      <c r="BB43" s="74">
        <v>1</v>
      </c>
      <c r="BC43" s="78">
        <v>1</v>
      </c>
      <c r="BD43" s="74">
        <v>1</v>
      </c>
      <c r="BE43" s="74">
        <v>1</v>
      </c>
      <c r="BF43" s="74">
        <v>1</v>
      </c>
      <c r="BG43" s="74">
        <v>1</v>
      </c>
      <c r="BH43" s="74">
        <v>1</v>
      </c>
      <c r="BI43" s="74">
        <v>1</v>
      </c>
      <c r="BJ43" s="74">
        <v>1</v>
      </c>
      <c r="BK43" s="74">
        <v>1</v>
      </c>
      <c r="BL43" s="74">
        <v>1</v>
      </c>
      <c r="BM43" s="74">
        <v>1</v>
      </c>
      <c r="BN43" s="74">
        <v>1</v>
      </c>
      <c r="BO43" s="74">
        <v>1</v>
      </c>
      <c r="BP43" s="74">
        <v>1</v>
      </c>
      <c r="BQ43" s="74">
        <v>1</v>
      </c>
      <c r="BR43" s="74">
        <v>1</v>
      </c>
      <c r="BS43" s="74">
        <v>1</v>
      </c>
      <c r="BT43" s="74">
        <v>1</v>
      </c>
      <c r="BU43" s="74">
        <v>1</v>
      </c>
      <c r="BV43" s="74">
        <v>1</v>
      </c>
      <c r="BW43" s="74">
        <v>1</v>
      </c>
      <c r="BX43" s="74">
        <v>1</v>
      </c>
      <c r="BY43" s="74">
        <v>1</v>
      </c>
      <c r="BZ43" s="74">
        <v>1</v>
      </c>
      <c r="CA43" s="78">
        <v>1</v>
      </c>
      <c r="CB43" s="74">
        <v>1</v>
      </c>
      <c r="CC43" s="74">
        <v>1</v>
      </c>
      <c r="CD43" s="74">
        <v>1</v>
      </c>
      <c r="CE43" s="74">
        <v>1</v>
      </c>
      <c r="CF43" s="74">
        <v>1</v>
      </c>
      <c r="CG43" s="74">
        <v>1</v>
      </c>
      <c r="CH43" s="74">
        <v>1</v>
      </c>
      <c r="CI43" s="74">
        <v>1</v>
      </c>
      <c r="CJ43" s="74">
        <v>1</v>
      </c>
      <c r="CK43" s="74">
        <v>1</v>
      </c>
      <c r="CL43" s="74">
        <v>1</v>
      </c>
      <c r="CM43" s="74">
        <v>1</v>
      </c>
      <c r="CN43" s="74">
        <v>1</v>
      </c>
      <c r="CO43" s="74">
        <v>1</v>
      </c>
      <c r="CP43" s="74">
        <v>1</v>
      </c>
      <c r="CQ43" s="74">
        <v>1</v>
      </c>
      <c r="CR43" s="74">
        <v>1</v>
      </c>
      <c r="CS43" s="74">
        <v>1</v>
      </c>
      <c r="CT43" s="74">
        <v>1</v>
      </c>
      <c r="CU43" s="74">
        <v>1</v>
      </c>
      <c r="CV43" s="74">
        <v>1</v>
      </c>
      <c r="CW43" s="74">
        <v>1</v>
      </c>
      <c r="CX43" s="74">
        <v>1</v>
      </c>
      <c r="CY43" s="78">
        <v>1</v>
      </c>
      <c r="CZ43" s="74">
        <v>1</v>
      </c>
      <c r="DA43" s="74">
        <v>1</v>
      </c>
      <c r="DB43" s="74">
        <v>1</v>
      </c>
      <c r="DC43" s="74">
        <v>1</v>
      </c>
      <c r="DD43" s="74">
        <v>1</v>
      </c>
      <c r="DE43" s="74">
        <v>1</v>
      </c>
      <c r="DF43" s="74">
        <v>1</v>
      </c>
      <c r="DG43" s="74">
        <v>1</v>
      </c>
      <c r="DH43" s="74">
        <v>1</v>
      </c>
      <c r="DI43" s="74">
        <v>1</v>
      </c>
      <c r="DJ43" s="74">
        <v>1</v>
      </c>
      <c r="DK43" s="74">
        <v>1</v>
      </c>
      <c r="DL43" s="74">
        <v>1</v>
      </c>
      <c r="DM43" s="74">
        <v>1</v>
      </c>
      <c r="DN43" s="74">
        <v>1</v>
      </c>
      <c r="DO43" s="74">
        <v>1</v>
      </c>
      <c r="DP43" s="74">
        <v>1</v>
      </c>
      <c r="DQ43" s="74">
        <v>1</v>
      </c>
      <c r="DR43" s="74">
        <v>1</v>
      </c>
      <c r="DS43" s="74">
        <v>1</v>
      </c>
      <c r="DT43" s="74">
        <v>1</v>
      </c>
      <c r="DU43" s="74">
        <v>1</v>
      </c>
      <c r="DV43" s="74">
        <v>1</v>
      </c>
      <c r="DW43" s="78">
        <v>1</v>
      </c>
      <c r="DX43" s="74">
        <v>1</v>
      </c>
      <c r="DY43" s="74">
        <v>1</v>
      </c>
      <c r="DZ43" s="74">
        <v>1</v>
      </c>
      <c r="EA43" s="74">
        <v>1</v>
      </c>
      <c r="EB43" s="74">
        <v>1</v>
      </c>
      <c r="EC43" s="74">
        <v>1</v>
      </c>
      <c r="ED43" s="74">
        <v>1</v>
      </c>
      <c r="EE43" s="74">
        <v>1</v>
      </c>
      <c r="EF43" s="74">
        <v>1</v>
      </c>
      <c r="EG43" s="74">
        <v>1</v>
      </c>
      <c r="EH43" s="74">
        <v>1</v>
      </c>
      <c r="EI43" s="74">
        <v>1</v>
      </c>
      <c r="EJ43" s="74">
        <v>1</v>
      </c>
      <c r="EK43" s="74">
        <v>1</v>
      </c>
      <c r="EL43" s="74">
        <v>1</v>
      </c>
      <c r="EM43" s="74">
        <v>1</v>
      </c>
      <c r="EN43" s="74">
        <v>1</v>
      </c>
      <c r="EO43" s="74">
        <v>1</v>
      </c>
      <c r="EP43" s="74">
        <v>1</v>
      </c>
      <c r="EQ43" s="74">
        <v>1</v>
      </c>
      <c r="ER43" s="74">
        <v>1</v>
      </c>
      <c r="ES43" s="74">
        <v>1</v>
      </c>
      <c r="ET43" s="74">
        <v>1</v>
      </c>
      <c r="EU43" s="78">
        <v>1</v>
      </c>
      <c r="EV43" s="74">
        <v>1</v>
      </c>
      <c r="EW43" s="74">
        <v>1</v>
      </c>
      <c r="EX43" s="74">
        <v>1</v>
      </c>
      <c r="EY43" s="74">
        <v>1</v>
      </c>
      <c r="EZ43" s="74">
        <v>1</v>
      </c>
      <c r="FA43" s="74">
        <v>1</v>
      </c>
      <c r="FB43" s="74">
        <v>1</v>
      </c>
      <c r="FC43" s="74">
        <v>1</v>
      </c>
      <c r="FD43" s="74">
        <v>1</v>
      </c>
      <c r="FE43" s="74">
        <v>1</v>
      </c>
      <c r="FF43" s="74">
        <v>1</v>
      </c>
      <c r="FG43" s="74">
        <v>1</v>
      </c>
      <c r="FH43" s="74">
        <v>1</v>
      </c>
      <c r="FI43" s="74">
        <v>1</v>
      </c>
      <c r="FJ43" s="74">
        <v>1</v>
      </c>
      <c r="FK43" s="74">
        <v>1</v>
      </c>
      <c r="FL43" s="74">
        <v>1</v>
      </c>
      <c r="FM43" s="74">
        <v>1</v>
      </c>
      <c r="FN43" s="74">
        <v>1</v>
      </c>
      <c r="FO43" s="74">
        <v>1</v>
      </c>
      <c r="FP43" s="74">
        <v>1</v>
      </c>
      <c r="FQ43" s="74">
        <v>1</v>
      </c>
      <c r="FR43" s="74">
        <v>1</v>
      </c>
      <c r="FS43" s="78">
        <v>1</v>
      </c>
      <c r="FT43" s="74">
        <v>1</v>
      </c>
      <c r="FU43" s="74">
        <v>1</v>
      </c>
      <c r="FV43" s="74">
        <v>1</v>
      </c>
      <c r="FW43" s="74">
        <v>1</v>
      </c>
      <c r="FX43" s="74">
        <v>1</v>
      </c>
      <c r="FY43" s="74">
        <v>1</v>
      </c>
      <c r="FZ43" s="74">
        <v>1</v>
      </c>
      <c r="GA43" s="74">
        <v>1</v>
      </c>
      <c r="GB43" s="74">
        <v>1</v>
      </c>
      <c r="GC43" s="74">
        <v>1</v>
      </c>
      <c r="GD43" s="74">
        <v>1</v>
      </c>
      <c r="GE43" s="74">
        <v>1</v>
      </c>
      <c r="GF43" s="74">
        <v>1</v>
      </c>
      <c r="GG43" s="74">
        <v>1</v>
      </c>
      <c r="GH43" s="74">
        <v>1</v>
      </c>
      <c r="GI43" s="74">
        <v>1</v>
      </c>
      <c r="GJ43" s="74">
        <v>1</v>
      </c>
      <c r="GK43" s="74">
        <v>1</v>
      </c>
      <c r="GL43" s="74">
        <v>1</v>
      </c>
      <c r="GM43" s="74">
        <v>1</v>
      </c>
      <c r="GN43" s="74">
        <v>1</v>
      </c>
      <c r="GO43" s="74">
        <v>1</v>
      </c>
      <c r="GP43" s="74">
        <v>1</v>
      </c>
      <c r="GQ43" s="78">
        <v>1</v>
      </c>
      <c r="GR43" s="74">
        <v>1</v>
      </c>
      <c r="GS43" s="74">
        <v>1</v>
      </c>
      <c r="GT43" s="74">
        <v>1</v>
      </c>
      <c r="GU43" s="74">
        <v>1</v>
      </c>
      <c r="GV43" s="74">
        <v>1</v>
      </c>
      <c r="GW43" s="74">
        <v>1</v>
      </c>
      <c r="GX43" s="74">
        <v>1</v>
      </c>
      <c r="GY43" s="74">
        <v>1</v>
      </c>
      <c r="GZ43" s="74">
        <v>1</v>
      </c>
      <c r="HA43" s="74">
        <v>1</v>
      </c>
      <c r="HB43" s="74">
        <v>1</v>
      </c>
      <c r="HC43" s="74">
        <v>1</v>
      </c>
      <c r="HD43" s="74">
        <v>1</v>
      </c>
      <c r="HE43" s="74">
        <v>1</v>
      </c>
      <c r="HF43" s="74">
        <v>1</v>
      </c>
      <c r="HG43" s="74">
        <v>1</v>
      </c>
      <c r="HH43" s="74">
        <v>1</v>
      </c>
      <c r="HI43" s="74">
        <v>1</v>
      </c>
      <c r="HJ43" s="74">
        <v>1</v>
      </c>
      <c r="HK43" s="74">
        <v>1</v>
      </c>
      <c r="HL43" s="74">
        <v>1</v>
      </c>
      <c r="HM43" s="74">
        <v>1</v>
      </c>
      <c r="HN43" s="74">
        <v>1</v>
      </c>
      <c r="HO43" s="74">
        <v>1</v>
      </c>
      <c r="HP43" s="74">
        <v>1</v>
      </c>
      <c r="HQ43" s="74">
        <v>1</v>
      </c>
      <c r="HR43" s="74">
        <v>1</v>
      </c>
      <c r="HS43" s="74">
        <v>1</v>
      </c>
      <c r="HT43" s="74">
        <v>1</v>
      </c>
      <c r="HU43" s="74">
        <v>1</v>
      </c>
      <c r="HV43" s="74">
        <v>1</v>
      </c>
      <c r="HW43" s="74">
        <v>1</v>
      </c>
      <c r="HX43" s="75">
        <v>1</v>
      </c>
    </row>
    <row r="44" spans="1:232" x14ac:dyDescent="0.2">
      <c r="A44" s="27" t="s">
        <v>122</v>
      </c>
      <c r="B44" s="82" t="s">
        <v>90</v>
      </c>
      <c r="C44" s="80" t="s">
        <v>131</v>
      </c>
      <c r="D44" s="81">
        <v>5.2</v>
      </c>
      <c r="E44" s="80" t="s">
        <v>127</v>
      </c>
      <c r="F44" s="80" t="s">
        <v>123</v>
      </c>
      <c r="G44" s="78">
        <v>0</v>
      </c>
      <c r="H44" s="78">
        <v>0</v>
      </c>
      <c r="I44" s="78">
        <v>0</v>
      </c>
      <c r="J44" s="78">
        <v>0</v>
      </c>
      <c r="K44" s="78">
        <v>0</v>
      </c>
      <c r="L44" s="78">
        <v>0</v>
      </c>
      <c r="M44" s="78">
        <v>0</v>
      </c>
      <c r="N44" s="78">
        <v>0</v>
      </c>
      <c r="O44" s="78">
        <v>0</v>
      </c>
      <c r="P44" s="78">
        <v>0</v>
      </c>
      <c r="Q44" s="78">
        <v>0</v>
      </c>
      <c r="R44" s="78">
        <v>0</v>
      </c>
      <c r="S44" s="78">
        <v>0</v>
      </c>
      <c r="T44" s="74">
        <v>0</v>
      </c>
      <c r="U44" s="74">
        <v>0</v>
      </c>
      <c r="V44" s="74">
        <v>0</v>
      </c>
      <c r="W44" s="74">
        <v>0</v>
      </c>
      <c r="X44" s="74">
        <v>0</v>
      </c>
      <c r="Y44" s="74">
        <v>0</v>
      </c>
      <c r="Z44" s="74">
        <v>0</v>
      </c>
      <c r="AA44" s="74">
        <v>0</v>
      </c>
      <c r="AB44" s="74">
        <v>0</v>
      </c>
      <c r="AC44" s="74">
        <v>0</v>
      </c>
      <c r="AD44" s="74">
        <v>0</v>
      </c>
      <c r="AE44" s="74">
        <v>0</v>
      </c>
      <c r="AF44" s="74">
        <v>0</v>
      </c>
      <c r="AG44" s="74">
        <v>0</v>
      </c>
      <c r="AH44" s="74">
        <v>0</v>
      </c>
      <c r="AI44" s="74">
        <v>0</v>
      </c>
      <c r="AJ44" s="74">
        <v>0</v>
      </c>
      <c r="AK44" s="74">
        <v>0</v>
      </c>
      <c r="AL44" s="74">
        <v>0</v>
      </c>
      <c r="AM44" s="74">
        <v>0</v>
      </c>
      <c r="AN44" s="74">
        <v>0</v>
      </c>
      <c r="AO44" s="74">
        <v>0</v>
      </c>
      <c r="AP44" s="74">
        <v>0</v>
      </c>
      <c r="AQ44" s="78">
        <v>0</v>
      </c>
      <c r="AR44" s="74">
        <v>0</v>
      </c>
      <c r="AS44" s="74">
        <v>0</v>
      </c>
      <c r="AT44" s="74">
        <v>0</v>
      </c>
      <c r="AU44" s="74">
        <v>0</v>
      </c>
      <c r="AV44" s="74">
        <v>0</v>
      </c>
      <c r="AW44" s="74">
        <v>0</v>
      </c>
      <c r="AX44" s="74">
        <v>0</v>
      </c>
      <c r="AY44" s="74">
        <v>0</v>
      </c>
      <c r="AZ44" s="74">
        <v>0</v>
      </c>
      <c r="BA44" s="74">
        <v>0</v>
      </c>
      <c r="BB44" s="74">
        <v>0</v>
      </c>
      <c r="BC44" s="74">
        <v>0</v>
      </c>
      <c r="BD44" s="74">
        <v>0</v>
      </c>
      <c r="BE44" s="74">
        <v>0</v>
      </c>
      <c r="BF44" s="74">
        <v>0</v>
      </c>
      <c r="BG44" s="74">
        <v>0</v>
      </c>
      <c r="BH44" s="74">
        <v>0</v>
      </c>
      <c r="BI44" s="74">
        <v>0</v>
      </c>
      <c r="BJ44" s="74">
        <v>0</v>
      </c>
      <c r="BK44" s="74">
        <v>0</v>
      </c>
      <c r="BL44" s="74">
        <v>0</v>
      </c>
      <c r="BM44" s="74">
        <v>1</v>
      </c>
      <c r="BN44" s="74">
        <v>1</v>
      </c>
      <c r="BO44" s="74">
        <v>1</v>
      </c>
      <c r="BP44" s="74">
        <v>1</v>
      </c>
      <c r="BQ44" s="74">
        <v>1</v>
      </c>
      <c r="BR44" s="74">
        <v>1</v>
      </c>
      <c r="BS44" s="74">
        <v>1</v>
      </c>
      <c r="BT44" s="74">
        <v>1</v>
      </c>
      <c r="BU44" s="74">
        <v>1</v>
      </c>
      <c r="BV44" s="74">
        <v>1</v>
      </c>
      <c r="BW44" s="74">
        <v>1</v>
      </c>
      <c r="BX44" s="74">
        <v>1</v>
      </c>
      <c r="BY44" s="74">
        <v>1</v>
      </c>
      <c r="BZ44" s="74">
        <v>1</v>
      </c>
      <c r="CA44" s="78">
        <v>1</v>
      </c>
      <c r="CB44" s="74">
        <v>1</v>
      </c>
      <c r="CC44" s="74">
        <v>1</v>
      </c>
      <c r="CD44" s="74">
        <v>1</v>
      </c>
      <c r="CE44" s="74">
        <v>1</v>
      </c>
      <c r="CF44" s="74">
        <v>1</v>
      </c>
      <c r="CG44" s="74">
        <v>1</v>
      </c>
      <c r="CH44" s="74">
        <v>1</v>
      </c>
      <c r="CI44" s="74">
        <v>1</v>
      </c>
      <c r="CJ44" s="74">
        <v>1</v>
      </c>
      <c r="CK44" s="74">
        <v>1</v>
      </c>
      <c r="CL44" s="74">
        <v>1</v>
      </c>
      <c r="CM44" s="74">
        <v>1</v>
      </c>
      <c r="CN44" s="74">
        <v>1</v>
      </c>
      <c r="CO44" s="74">
        <v>1</v>
      </c>
      <c r="CP44" s="74">
        <v>1</v>
      </c>
      <c r="CQ44" s="74">
        <v>1</v>
      </c>
      <c r="CR44" s="74">
        <v>1</v>
      </c>
      <c r="CS44" s="74">
        <v>1</v>
      </c>
      <c r="CT44" s="74">
        <v>1</v>
      </c>
      <c r="CU44" s="74">
        <v>1</v>
      </c>
      <c r="CV44" s="74">
        <v>1</v>
      </c>
      <c r="CW44" s="74">
        <v>1</v>
      </c>
      <c r="CX44" s="74">
        <v>1</v>
      </c>
      <c r="CY44" s="78">
        <v>1</v>
      </c>
      <c r="CZ44" s="74">
        <v>1</v>
      </c>
      <c r="DA44" s="74">
        <v>1</v>
      </c>
      <c r="DB44" s="74">
        <v>1</v>
      </c>
      <c r="DC44" s="74">
        <v>1</v>
      </c>
      <c r="DD44" s="74">
        <v>1</v>
      </c>
      <c r="DE44" s="74">
        <v>1</v>
      </c>
      <c r="DF44" s="74">
        <v>1</v>
      </c>
      <c r="DG44" s="74">
        <v>1</v>
      </c>
      <c r="DH44" s="74">
        <v>1</v>
      </c>
      <c r="DI44" s="74">
        <v>1</v>
      </c>
      <c r="DJ44" s="74">
        <v>1</v>
      </c>
      <c r="DK44" s="74">
        <v>1</v>
      </c>
      <c r="DL44" s="74">
        <v>1</v>
      </c>
      <c r="DM44" s="74">
        <v>1</v>
      </c>
      <c r="DN44" s="74">
        <v>1</v>
      </c>
      <c r="DO44" s="74">
        <v>1</v>
      </c>
      <c r="DP44" s="74">
        <v>1</v>
      </c>
      <c r="DQ44" s="74">
        <v>1</v>
      </c>
      <c r="DR44" s="74">
        <v>1</v>
      </c>
      <c r="DS44" s="74">
        <v>1</v>
      </c>
      <c r="DT44" s="74">
        <v>1</v>
      </c>
      <c r="DU44" s="74">
        <v>1</v>
      </c>
      <c r="DV44" s="74">
        <v>1</v>
      </c>
      <c r="DW44" s="78">
        <v>1</v>
      </c>
      <c r="DX44" s="74">
        <v>1</v>
      </c>
      <c r="DY44" s="74">
        <v>1</v>
      </c>
      <c r="DZ44" s="74">
        <v>1</v>
      </c>
      <c r="EA44" s="74">
        <v>1</v>
      </c>
      <c r="EB44" s="74">
        <v>1</v>
      </c>
      <c r="EC44" s="74">
        <v>1</v>
      </c>
      <c r="ED44" s="74">
        <v>1</v>
      </c>
      <c r="EE44" s="74">
        <v>1</v>
      </c>
      <c r="EF44" s="74">
        <v>1</v>
      </c>
      <c r="EG44" s="74">
        <v>1</v>
      </c>
      <c r="EH44" s="74">
        <v>1</v>
      </c>
      <c r="EI44" s="74">
        <v>1</v>
      </c>
      <c r="EJ44" s="74">
        <v>1</v>
      </c>
      <c r="EK44" s="74">
        <v>1</v>
      </c>
      <c r="EL44" s="74">
        <v>1</v>
      </c>
      <c r="EM44" s="74">
        <v>1</v>
      </c>
      <c r="EN44" s="74">
        <v>1</v>
      </c>
      <c r="EO44" s="74">
        <v>1</v>
      </c>
      <c r="EP44" s="74">
        <v>1</v>
      </c>
      <c r="EQ44" s="74">
        <v>1</v>
      </c>
      <c r="ER44" s="74">
        <v>1</v>
      </c>
      <c r="ES44" s="74">
        <v>1</v>
      </c>
      <c r="ET44" s="74">
        <v>1</v>
      </c>
      <c r="EU44" s="78">
        <v>1</v>
      </c>
      <c r="EV44" s="74">
        <v>1</v>
      </c>
      <c r="EW44" s="74">
        <v>1</v>
      </c>
      <c r="EX44" s="74">
        <v>1</v>
      </c>
      <c r="EY44" s="74">
        <v>1</v>
      </c>
      <c r="EZ44" s="74">
        <v>1</v>
      </c>
      <c r="FA44" s="74">
        <v>1</v>
      </c>
      <c r="FB44" s="74">
        <v>1</v>
      </c>
      <c r="FC44" s="74">
        <v>1</v>
      </c>
      <c r="FD44" s="74">
        <v>1</v>
      </c>
      <c r="FE44" s="74">
        <v>1</v>
      </c>
      <c r="FF44" s="74">
        <v>1</v>
      </c>
      <c r="FG44" s="74">
        <v>1</v>
      </c>
      <c r="FH44" s="74">
        <v>1</v>
      </c>
      <c r="FI44" s="74">
        <v>1</v>
      </c>
      <c r="FJ44" s="74">
        <v>1</v>
      </c>
      <c r="FK44" s="74">
        <v>1</v>
      </c>
      <c r="FL44" s="74">
        <v>1</v>
      </c>
      <c r="FM44" s="74">
        <v>1</v>
      </c>
      <c r="FN44" s="74">
        <v>1</v>
      </c>
      <c r="FO44" s="74">
        <v>1</v>
      </c>
      <c r="FP44" s="74">
        <v>1</v>
      </c>
      <c r="FQ44" s="74">
        <v>1</v>
      </c>
      <c r="FR44" s="74">
        <v>1</v>
      </c>
      <c r="FS44" s="78">
        <v>1</v>
      </c>
      <c r="FT44" s="74">
        <v>1</v>
      </c>
      <c r="FU44" s="74">
        <v>1</v>
      </c>
      <c r="FV44" s="74">
        <v>1</v>
      </c>
      <c r="FW44" s="74">
        <v>1</v>
      </c>
      <c r="FX44" s="74">
        <v>1</v>
      </c>
      <c r="FY44" s="74">
        <v>1</v>
      </c>
      <c r="FZ44" s="74">
        <v>1</v>
      </c>
      <c r="GA44" s="74">
        <v>1</v>
      </c>
      <c r="GB44" s="74">
        <v>1</v>
      </c>
      <c r="GC44" s="74">
        <v>1</v>
      </c>
      <c r="GD44" s="74">
        <v>1</v>
      </c>
      <c r="GE44" s="74">
        <v>1</v>
      </c>
      <c r="GF44" s="74">
        <v>1</v>
      </c>
      <c r="GG44" s="74">
        <v>1</v>
      </c>
      <c r="GH44" s="74">
        <v>1</v>
      </c>
      <c r="GI44" s="74">
        <v>1</v>
      </c>
      <c r="GJ44" s="74">
        <v>1</v>
      </c>
      <c r="GK44" s="74">
        <v>1</v>
      </c>
      <c r="GL44" s="74">
        <v>1</v>
      </c>
      <c r="GM44" s="74">
        <v>1</v>
      </c>
      <c r="GN44" s="74">
        <v>1</v>
      </c>
      <c r="GO44" s="74">
        <v>1</v>
      </c>
      <c r="GP44" s="74">
        <v>1</v>
      </c>
      <c r="GQ44" s="78">
        <v>1</v>
      </c>
      <c r="GR44" s="74">
        <v>1</v>
      </c>
      <c r="GS44" s="74">
        <v>1</v>
      </c>
      <c r="GT44" s="74">
        <v>1</v>
      </c>
      <c r="GU44" s="74">
        <v>1</v>
      </c>
      <c r="GV44" s="74">
        <v>1</v>
      </c>
      <c r="GW44" s="74">
        <v>1</v>
      </c>
      <c r="GX44" s="74">
        <v>1</v>
      </c>
      <c r="GY44" s="74">
        <v>1</v>
      </c>
      <c r="GZ44" s="74">
        <v>1</v>
      </c>
      <c r="HA44" s="74">
        <v>1</v>
      </c>
      <c r="HB44" s="74">
        <v>1</v>
      </c>
      <c r="HC44" s="74">
        <v>1</v>
      </c>
      <c r="HD44" s="74">
        <v>1</v>
      </c>
      <c r="HE44" s="74">
        <v>1</v>
      </c>
      <c r="HF44" s="74">
        <v>1</v>
      </c>
      <c r="HG44" s="74">
        <v>1</v>
      </c>
      <c r="HH44" s="74">
        <v>1</v>
      </c>
      <c r="HI44" s="74">
        <v>1</v>
      </c>
      <c r="HJ44" s="74">
        <v>1</v>
      </c>
      <c r="HK44" s="74">
        <v>1</v>
      </c>
      <c r="HL44" s="74">
        <v>1</v>
      </c>
      <c r="HM44" s="74">
        <v>1</v>
      </c>
      <c r="HN44" s="74">
        <v>1</v>
      </c>
      <c r="HO44" s="74">
        <v>1</v>
      </c>
      <c r="HP44" s="74">
        <v>1</v>
      </c>
      <c r="HQ44" s="74">
        <v>1</v>
      </c>
      <c r="HR44" s="74">
        <v>1</v>
      </c>
      <c r="HS44" s="74">
        <v>1</v>
      </c>
      <c r="HT44" s="74">
        <v>1</v>
      </c>
      <c r="HU44" s="74">
        <v>1</v>
      </c>
      <c r="HV44" s="74">
        <v>1</v>
      </c>
      <c r="HW44" s="74">
        <v>1</v>
      </c>
      <c r="HX44" s="75">
        <v>1</v>
      </c>
    </row>
    <row r="45" spans="1:232" x14ac:dyDescent="0.2">
      <c r="A45" s="27" t="s">
        <v>122</v>
      </c>
      <c r="B45" s="82" t="s">
        <v>91</v>
      </c>
      <c r="C45" s="80" t="s">
        <v>131</v>
      </c>
      <c r="D45" s="81">
        <v>5.2</v>
      </c>
      <c r="E45" s="80" t="s">
        <v>127</v>
      </c>
      <c r="F45" s="80" t="s">
        <v>123</v>
      </c>
      <c r="G45" s="78">
        <v>1</v>
      </c>
      <c r="H45" s="74">
        <v>1</v>
      </c>
      <c r="I45" s="74">
        <v>1</v>
      </c>
      <c r="J45" s="74">
        <v>1</v>
      </c>
      <c r="K45" s="74">
        <v>1</v>
      </c>
      <c r="L45" s="74">
        <v>1</v>
      </c>
      <c r="M45" s="74">
        <v>1</v>
      </c>
      <c r="N45" s="74">
        <v>1</v>
      </c>
      <c r="O45" s="74">
        <v>1</v>
      </c>
      <c r="P45" s="74">
        <v>1</v>
      </c>
      <c r="Q45" s="74">
        <v>1</v>
      </c>
      <c r="R45" s="74">
        <v>1</v>
      </c>
      <c r="S45" s="74">
        <v>1</v>
      </c>
      <c r="T45" s="74">
        <v>1</v>
      </c>
      <c r="U45" s="74">
        <v>1</v>
      </c>
      <c r="V45" s="74">
        <v>1</v>
      </c>
      <c r="W45" s="74">
        <v>1</v>
      </c>
      <c r="X45" s="74">
        <v>1</v>
      </c>
      <c r="Y45" s="74">
        <v>1</v>
      </c>
      <c r="Z45" s="74">
        <v>1</v>
      </c>
      <c r="AA45" s="74">
        <v>1</v>
      </c>
      <c r="AB45" s="74">
        <v>1</v>
      </c>
      <c r="AC45" s="74">
        <v>1</v>
      </c>
      <c r="AD45" s="74">
        <v>1</v>
      </c>
      <c r="AE45" s="78">
        <v>1</v>
      </c>
      <c r="AF45" s="74">
        <v>1</v>
      </c>
      <c r="AG45" s="74">
        <v>1</v>
      </c>
      <c r="AH45" s="74">
        <v>1</v>
      </c>
      <c r="AI45" s="74">
        <v>1</v>
      </c>
      <c r="AJ45" s="74">
        <v>1</v>
      </c>
      <c r="AK45" s="74">
        <v>1</v>
      </c>
      <c r="AL45" s="74">
        <v>1</v>
      </c>
      <c r="AM45" s="74">
        <v>1</v>
      </c>
      <c r="AN45" s="74">
        <v>1</v>
      </c>
      <c r="AO45" s="74">
        <v>1</v>
      </c>
      <c r="AP45" s="74">
        <v>1</v>
      </c>
      <c r="AQ45" s="74">
        <v>1</v>
      </c>
      <c r="AR45" s="74">
        <v>1</v>
      </c>
      <c r="AS45" s="74">
        <v>1</v>
      </c>
      <c r="AT45" s="74">
        <v>1</v>
      </c>
      <c r="AU45" s="74">
        <v>1</v>
      </c>
      <c r="AV45" s="74">
        <v>1</v>
      </c>
      <c r="AW45" s="74">
        <v>1</v>
      </c>
      <c r="AX45" s="74">
        <v>1</v>
      </c>
      <c r="AY45" s="74">
        <v>1</v>
      </c>
      <c r="AZ45" s="74">
        <v>1</v>
      </c>
      <c r="BA45" s="74">
        <v>1</v>
      </c>
      <c r="BB45" s="74">
        <v>1</v>
      </c>
      <c r="BC45" s="78">
        <v>1</v>
      </c>
      <c r="BD45" s="74">
        <v>1</v>
      </c>
      <c r="BE45" s="74">
        <v>1</v>
      </c>
      <c r="BF45" s="74">
        <v>1</v>
      </c>
      <c r="BG45" s="74">
        <v>1</v>
      </c>
      <c r="BH45" s="74">
        <v>1</v>
      </c>
      <c r="BI45" s="74">
        <v>1</v>
      </c>
      <c r="BJ45" s="74">
        <v>1</v>
      </c>
      <c r="BK45" s="74">
        <v>1</v>
      </c>
      <c r="BL45" s="74">
        <v>1</v>
      </c>
      <c r="BM45" s="74">
        <v>1</v>
      </c>
      <c r="BN45" s="74">
        <v>1</v>
      </c>
      <c r="BO45" s="74">
        <v>1</v>
      </c>
      <c r="BP45" s="74">
        <v>1</v>
      </c>
      <c r="BQ45" s="74">
        <v>1</v>
      </c>
      <c r="BR45" s="74">
        <v>1</v>
      </c>
      <c r="BS45" s="74">
        <v>1</v>
      </c>
      <c r="BT45" s="74">
        <v>1</v>
      </c>
      <c r="BU45" s="74">
        <v>1</v>
      </c>
      <c r="BV45" s="74">
        <v>1</v>
      </c>
      <c r="BW45" s="74">
        <v>1</v>
      </c>
      <c r="BX45" s="74">
        <v>1</v>
      </c>
      <c r="BY45" s="74">
        <v>1</v>
      </c>
      <c r="BZ45" s="74">
        <v>1</v>
      </c>
      <c r="CA45" s="78">
        <v>1</v>
      </c>
      <c r="CB45" s="74">
        <v>1</v>
      </c>
      <c r="CC45" s="74">
        <v>1</v>
      </c>
      <c r="CD45" s="74">
        <v>1</v>
      </c>
      <c r="CE45" s="74">
        <v>1</v>
      </c>
      <c r="CF45" s="74">
        <v>1</v>
      </c>
      <c r="CG45" s="74">
        <v>1</v>
      </c>
      <c r="CH45" s="74">
        <v>1</v>
      </c>
      <c r="CI45" s="74">
        <v>1</v>
      </c>
      <c r="CJ45" s="74">
        <v>1</v>
      </c>
      <c r="CK45" s="74">
        <v>1</v>
      </c>
      <c r="CL45" s="74">
        <v>1</v>
      </c>
      <c r="CM45" s="74">
        <v>1</v>
      </c>
      <c r="CN45" s="74">
        <v>1</v>
      </c>
      <c r="CO45" s="74">
        <v>1</v>
      </c>
      <c r="CP45" s="74">
        <v>1</v>
      </c>
      <c r="CQ45" s="74">
        <v>1</v>
      </c>
      <c r="CR45" s="74">
        <v>1</v>
      </c>
      <c r="CS45" s="74">
        <v>1</v>
      </c>
      <c r="CT45" s="74">
        <v>1</v>
      </c>
      <c r="CU45" s="74">
        <v>1</v>
      </c>
      <c r="CV45" s="74">
        <v>1</v>
      </c>
      <c r="CW45" s="74">
        <v>1</v>
      </c>
      <c r="CX45" s="74">
        <v>1</v>
      </c>
      <c r="CY45" s="78">
        <v>1</v>
      </c>
      <c r="CZ45" s="74">
        <v>1</v>
      </c>
      <c r="DA45" s="74">
        <v>1</v>
      </c>
      <c r="DB45" s="74">
        <v>1</v>
      </c>
      <c r="DC45" s="74">
        <v>1</v>
      </c>
      <c r="DD45" s="74">
        <v>1</v>
      </c>
      <c r="DE45" s="74">
        <v>1</v>
      </c>
      <c r="DF45" s="74">
        <v>1</v>
      </c>
      <c r="DG45" s="74">
        <v>1</v>
      </c>
      <c r="DH45" s="74">
        <v>1</v>
      </c>
      <c r="DI45" s="74">
        <v>1</v>
      </c>
      <c r="DJ45" s="74">
        <v>1</v>
      </c>
      <c r="DK45" s="74">
        <v>1</v>
      </c>
      <c r="DL45" s="74">
        <v>1</v>
      </c>
      <c r="DM45" s="74">
        <v>1</v>
      </c>
      <c r="DN45" s="74">
        <v>1</v>
      </c>
      <c r="DO45" s="74">
        <v>1</v>
      </c>
      <c r="DP45" s="74">
        <v>1</v>
      </c>
      <c r="DQ45" s="74">
        <v>1</v>
      </c>
      <c r="DR45" s="74">
        <v>1</v>
      </c>
      <c r="DS45" s="74">
        <v>1</v>
      </c>
      <c r="DT45" s="74">
        <v>1</v>
      </c>
      <c r="DU45" s="74">
        <v>1</v>
      </c>
      <c r="DV45" s="74">
        <v>1</v>
      </c>
      <c r="DW45" s="78">
        <v>1</v>
      </c>
      <c r="DX45" s="74">
        <v>1</v>
      </c>
      <c r="DY45" s="74">
        <v>1</v>
      </c>
      <c r="DZ45" s="74">
        <v>1</v>
      </c>
      <c r="EA45" s="74">
        <v>1</v>
      </c>
      <c r="EB45" s="74">
        <v>1</v>
      </c>
      <c r="EC45" s="74">
        <v>1</v>
      </c>
      <c r="ED45" s="74">
        <v>1</v>
      </c>
      <c r="EE45" s="74">
        <v>1</v>
      </c>
      <c r="EF45" s="74">
        <v>1</v>
      </c>
      <c r="EG45" s="74">
        <v>1</v>
      </c>
      <c r="EH45" s="74">
        <v>1</v>
      </c>
      <c r="EI45" s="74">
        <v>1</v>
      </c>
      <c r="EJ45" s="74">
        <v>1</v>
      </c>
      <c r="EK45" s="74">
        <v>1</v>
      </c>
      <c r="EL45" s="74">
        <v>1</v>
      </c>
      <c r="EM45" s="74">
        <v>1</v>
      </c>
      <c r="EN45" s="74">
        <v>1</v>
      </c>
      <c r="EO45" s="74">
        <v>1</v>
      </c>
      <c r="EP45" s="74">
        <v>1</v>
      </c>
      <c r="EQ45" s="74">
        <v>1</v>
      </c>
      <c r="ER45" s="74">
        <v>1</v>
      </c>
      <c r="ES45" s="74">
        <v>1</v>
      </c>
      <c r="ET45" s="74">
        <v>1</v>
      </c>
      <c r="EU45" s="78">
        <v>1</v>
      </c>
      <c r="EV45" s="74">
        <v>1</v>
      </c>
      <c r="EW45" s="74">
        <v>1</v>
      </c>
      <c r="EX45" s="74">
        <v>1</v>
      </c>
      <c r="EY45" s="74">
        <v>1</v>
      </c>
      <c r="EZ45" s="74">
        <v>1</v>
      </c>
      <c r="FA45" s="74">
        <v>1</v>
      </c>
      <c r="FB45" s="74">
        <v>1</v>
      </c>
      <c r="FC45" s="74">
        <v>1</v>
      </c>
      <c r="FD45" s="74">
        <v>1</v>
      </c>
      <c r="FE45" s="74">
        <v>1</v>
      </c>
      <c r="FF45" s="74">
        <v>1</v>
      </c>
      <c r="FG45" s="74">
        <v>1</v>
      </c>
      <c r="FH45" s="74">
        <v>1</v>
      </c>
      <c r="FI45" s="74">
        <v>1</v>
      </c>
      <c r="FJ45" s="74">
        <v>1</v>
      </c>
      <c r="FK45" s="74">
        <v>1</v>
      </c>
      <c r="FL45" s="74">
        <v>1</v>
      </c>
      <c r="FM45" s="74">
        <v>1</v>
      </c>
      <c r="FN45" s="74">
        <v>1</v>
      </c>
      <c r="FO45" s="74">
        <v>1</v>
      </c>
      <c r="FP45" s="74">
        <v>1</v>
      </c>
      <c r="FQ45" s="74">
        <v>1</v>
      </c>
      <c r="FR45" s="74">
        <v>1</v>
      </c>
      <c r="FS45" s="78">
        <v>1</v>
      </c>
      <c r="FT45" s="74">
        <v>1</v>
      </c>
      <c r="FU45" s="74">
        <v>1</v>
      </c>
      <c r="FV45" s="74">
        <v>1</v>
      </c>
      <c r="FW45" s="74">
        <v>1</v>
      </c>
      <c r="FX45" s="74">
        <v>1</v>
      </c>
      <c r="FY45" s="74">
        <v>1</v>
      </c>
      <c r="FZ45" s="74">
        <v>1</v>
      </c>
      <c r="GA45" s="74">
        <v>1</v>
      </c>
      <c r="GB45" s="74">
        <v>1</v>
      </c>
      <c r="GC45" s="74">
        <v>1</v>
      </c>
      <c r="GD45" s="74">
        <v>1</v>
      </c>
      <c r="GE45" s="74">
        <v>1</v>
      </c>
      <c r="GF45" s="74">
        <v>1</v>
      </c>
      <c r="GG45" s="74">
        <v>1</v>
      </c>
      <c r="GH45" s="74">
        <v>1</v>
      </c>
      <c r="GI45" s="74">
        <v>1</v>
      </c>
      <c r="GJ45" s="74">
        <v>1</v>
      </c>
      <c r="GK45" s="74">
        <v>1</v>
      </c>
      <c r="GL45" s="74">
        <v>1</v>
      </c>
      <c r="GM45" s="74">
        <v>1</v>
      </c>
      <c r="GN45" s="74">
        <v>1</v>
      </c>
      <c r="GO45" s="74">
        <v>1</v>
      </c>
      <c r="GP45" s="74">
        <v>1</v>
      </c>
      <c r="GQ45" s="78">
        <v>1</v>
      </c>
      <c r="GR45" s="74">
        <v>1</v>
      </c>
      <c r="GS45" s="74">
        <v>1</v>
      </c>
      <c r="GT45" s="74">
        <v>1</v>
      </c>
      <c r="GU45" s="74">
        <v>1</v>
      </c>
      <c r="GV45" s="74">
        <v>1</v>
      </c>
      <c r="GW45" s="74">
        <v>1</v>
      </c>
      <c r="GX45" s="74">
        <v>1</v>
      </c>
      <c r="GY45" s="74">
        <v>1</v>
      </c>
      <c r="GZ45" s="74">
        <v>1</v>
      </c>
      <c r="HA45" s="74">
        <v>1</v>
      </c>
      <c r="HB45" s="74">
        <v>1</v>
      </c>
      <c r="HC45" s="74">
        <v>1</v>
      </c>
      <c r="HD45" s="74">
        <v>1</v>
      </c>
      <c r="HE45" s="74">
        <v>1</v>
      </c>
      <c r="HF45" s="74">
        <v>1</v>
      </c>
      <c r="HG45" s="74">
        <v>1</v>
      </c>
      <c r="HH45" s="74">
        <v>1</v>
      </c>
      <c r="HI45" s="74">
        <v>1</v>
      </c>
      <c r="HJ45" s="74">
        <v>1</v>
      </c>
      <c r="HK45" s="74">
        <v>1</v>
      </c>
      <c r="HL45" s="74">
        <v>1</v>
      </c>
      <c r="HM45" s="74">
        <v>1</v>
      </c>
      <c r="HN45" s="74">
        <v>1</v>
      </c>
      <c r="HO45" s="74">
        <v>1</v>
      </c>
      <c r="HP45" s="74">
        <v>1</v>
      </c>
      <c r="HQ45" s="74">
        <v>1</v>
      </c>
      <c r="HR45" s="74">
        <v>1</v>
      </c>
      <c r="HS45" s="74">
        <v>1</v>
      </c>
      <c r="HT45" s="74">
        <v>1</v>
      </c>
      <c r="HU45" s="74">
        <v>1</v>
      </c>
      <c r="HV45" s="74">
        <v>1</v>
      </c>
      <c r="HW45" s="74">
        <v>1</v>
      </c>
      <c r="HX45" s="75">
        <v>1</v>
      </c>
    </row>
    <row r="46" spans="1:232" x14ac:dyDescent="0.2">
      <c r="B46" s="80" t="s">
        <v>92</v>
      </c>
      <c r="C46" s="80" t="s">
        <v>131</v>
      </c>
      <c r="D46" s="81">
        <v>5.2</v>
      </c>
      <c r="E46" s="80" t="s">
        <v>127</v>
      </c>
      <c r="F46" s="80" t="s">
        <v>123</v>
      </c>
      <c r="G46" s="78">
        <v>1</v>
      </c>
      <c r="H46" s="74">
        <v>1</v>
      </c>
      <c r="I46" s="74">
        <v>1</v>
      </c>
      <c r="J46" s="74">
        <v>1</v>
      </c>
      <c r="K46" s="74">
        <v>1</v>
      </c>
      <c r="L46" s="74">
        <v>1</v>
      </c>
      <c r="M46" s="74">
        <v>1</v>
      </c>
      <c r="N46" s="74">
        <v>1</v>
      </c>
      <c r="O46" s="74">
        <v>1</v>
      </c>
      <c r="P46" s="74">
        <v>1</v>
      </c>
      <c r="Q46" s="74">
        <v>1</v>
      </c>
      <c r="R46" s="74">
        <v>1</v>
      </c>
      <c r="S46" s="74">
        <v>1</v>
      </c>
      <c r="T46" s="74">
        <v>1</v>
      </c>
      <c r="U46" s="74">
        <v>1</v>
      </c>
      <c r="V46" s="74">
        <v>1</v>
      </c>
      <c r="W46" s="74">
        <v>1</v>
      </c>
      <c r="X46" s="74">
        <v>1</v>
      </c>
      <c r="Y46" s="74">
        <v>1</v>
      </c>
      <c r="Z46" s="74">
        <v>1</v>
      </c>
      <c r="AA46" s="74">
        <v>1</v>
      </c>
      <c r="AB46" s="74">
        <v>1</v>
      </c>
      <c r="AC46" s="74">
        <v>1</v>
      </c>
      <c r="AD46" s="74">
        <v>1</v>
      </c>
      <c r="AE46" s="78">
        <v>1</v>
      </c>
      <c r="AF46" s="74">
        <v>1</v>
      </c>
      <c r="AG46" s="74">
        <v>1</v>
      </c>
      <c r="AH46" s="74">
        <v>1</v>
      </c>
      <c r="AI46" s="74">
        <v>1</v>
      </c>
      <c r="AJ46" s="74">
        <v>1</v>
      </c>
      <c r="AK46" s="74">
        <v>1</v>
      </c>
      <c r="AL46" s="74">
        <v>1</v>
      </c>
      <c r="AM46" s="74">
        <v>1</v>
      </c>
      <c r="AN46" s="74">
        <v>1</v>
      </c>
      <c r="AO46" s="74">
        <v>1</v>
      </c>
      <c r="AP46" s="74">
        <v>1</v>
      </c>
      <c r="AQ46" s="74">
        <v>1</v>
      </c>
      <c r="AR46" s="74">
        <v>1</v>
      </c>
      <c r="AS46" s="74">
        <v>1</v>
      </c>
      <c r="AT46" s="74">
        <v>1</v>
      </c>
      <c r="AU46" s="74">
        <v>1</v>
      </c>
      <c r="AV46" s="74">
        <v>1</v>
      </c>
      <c r="AW46" s="74">
        <v>1</v>
      </c>
      <c r="AX46" s="74">
        <v>1</v>
      </c>
      <c r="AY46" s="74">
        <v>1</v>
      </c>
      <c r="AZ46" s="74">
        <v>1</v>
      </c>
      <c r="BA46" s="74">
        <v>1</v>
      </c>
      <c r="BB46" s="74">
        <v>1</v>
      </c>
      <c r="BC46" s="78">
        <v>1</v>
      </c>
      <c r="BD46" s="74">
        <v>1</v>
      </c>
      <c r="BE46" s="74">
        <v>1</v>
      </c>
      <c r="BF46" s="74">
        <v>1</v>
      </c>
      <c r="BG46" s="74">
        <v>1</v>
      </c>
      <c r="BH46" s="74">
        <v>1</v>
      </c>
      <c r="BI46" s="74">
        <v>1</v>
      </c>
      <c r="BJ46" s="74">
        <v>1</v>
      </c>
      <c r="BK46" s="74">
        <v>1</v>
      </c>
      <c r="BL46" s="74">
        <v>1</v>
      </c>
      <c r="BM46" s="74">
        <v>1</v>
      </c>
      <c r="BN46" s="74">
        <v>1</v>
      </c>
      <c r="BO46" s="74">
        <v>1</v>
      </c>
      <c r="BP46" s="74">
        <v>1</v>
      </c>
      <c r="BQ46" s="74">
        <v>1</v>
      </c>
      <c r="BR46" s="74">
        <v>1</v>
      </c>
      <c r="BS46" s="74">
        <v>1</v>
      </c>
      <c r="BT46" s="74">
        <v>1</v>
      </c>
      <c r="BU46" s="74">
        <v>1</v>
      </c>
      <c r="BV46" s="74">
        <v>1</v>
      </c>
      <c r="BW46" s="74">
        <v>1</v>
      </c>
      <c r="BX46" s="74">
        <v>1</v>
      </c>
      <c r="BY46" s="74">
        <v>1</v>
      </c>
      <c r="BZ46" s="74">
        <v>1</v>
      </c>
      <c r="CA46" s="78">
        <v>1</v>
      </c>
      <c r="CB46" s="74">
        <v>1</v>
      </c>
      <c r="CC46" s="74">
        <v>1</v>
      </c>
      <c r="CD46" s="74">
        <v>1</v>
      </c>
      <c r="CE46" s="74">
        <v>1</v>
      </c>
      <c r="CF46" s="74">
        <v>1</v>
      </c>
      <c r="CG46" s="74">
        <v>1</v>
      </c>
      <c r="CH46" s="74">
        <v>1</v>
      </c>
      <c r="CI46" s="74">
        <v>1</v>
      </c>
      <c r="CJ46" s="74">
        <v>1</v>
      </c>
      <c r="CK46" s="74">
        <v>1</v>
      </c>
      <c r="CL46" s="74">
        <v>1</v>
      </c>
      <c r="CM46" s="74">
        <v>1</v>
      </c>
      <c r="CN46" s="74">
        <v>1</v>
      </c>
      <c r="CO46" s="74">
        <v>1</v>
      </c>
      <c r="CP46" s="74">
        <v>1</v>
      </c>
      <c r="CQ46" s="74">
        <v>1</v>
      </c>
      <c r="CR46" s="74">
        <v>1</v>
      </c>
      <c r="CS46" s="74">
        <v>1</v>
      </c>
      <c r="CT46" s="74">
        <v>1</v>
      </c>
      <c r="CU46" s="74">
        <v>1</v>
      </c>
      <c r="CV46" s="74">
        <v>1</v>
      </c>
      <c r="CW46" s="74">
        <v>1</v>
      </c>
      <c r="CX46" s="74">
        <v>1</v>
      </c>
      <c r="CY46" s="78">
        <v>1</v>
      </c>
      <c r="CZ46" s="74">
        <v>1</v>
      </c>
      <c r="DA46" s="74">
        <v>1</v>
      </c>
      <c r="DB46" s="74">
        <v>1</v>
      </c>
      <c r="DC46" s="74">
        <v>1</v>
      </c>
      <c r="DD46" s="74">
        <v>1</v>
      </c>
      <c r="DE46" s="74">
        <v>1</v>
      </c>
      <c r="DF46" s="74">
        <v>1</v>
      </c>
      <c r="DG46" s="74">
        <v>1</v>
      </c>
      <c r="DH46" s="74">
        <v>1</v>
      </c>
      <c r="DI46" s="74">
        <v>1</v>
      </c>
      <c r="DJ46" s="74">
        <v>1</v>
      </c>
      <c r="DK46" s="74">
        <v>1</v>
      </c>
      <c r="DL46" s="74">
        <v>1</v>
      </c>
      <c r="DM46" s="74">
        <v>1</v>
      </c>
      <c r="DN46" s="74">
        <v>1</v>
      </c>
      <c r="DO46" s="74">
        <v>1</v>
      </c>
      <c r="DP46" s="74">
        <v>1</v>
      </c>
      <c r="DQ46" s="74">
        <v>1</v>
      </c>
      <c r="DR46" s="74">
        <v>1</v>
      </c>
      <c r="DS46" s="74">
        <v>1</v>
      </c>
      <c r="DT46" s="74">
        <v>1</v>
      </c>
      <c r="DU46" s="74">
        <v>1</v>
      </c>
      <c r="DV46" s="74">
        <v>1</v>
      </c>
      <c r="DW46" s="78">
        <v>1</v>
      </c>
      <c r="DX46" s="74">
        <v>1</v>
      </c>
      <c r="DY46" s="74">
        <v>1</v>
      </c>
      <c r="DZ46" s="74">
        <v>1</v>
      </c>
      <c r="EA46" s="74">
        <v>1</v>
      </c>
      <c r="EB46" s="74">
        <v>1</v>
      </c>
      <c r="EC46" s="74">
        <v>1</v>
      </c>
      <c r="ED46" s="74">
        <v>1</v>
      </c>
      <c r="EE46" s="74">
        <v>1</v>
      </c>
      <c r="EF46" s="74">
        <v>1</v>
      </c>
      <c r="EG46" s="74">
        <v>1</v>
      </c>
      <c r="EH46" s="74">
        <v>1</v>
      </c>
      <c r="EI46" s="74">
        <v>1</v>
      </c>
      <c r="EJ46" s="74">
        <v>1</v>
      </c>
      <c r="EK46" s="74">
        <v>1</v>
      </c>
      <c r="EL46" s="74">
        <v>1</v>
      </c>
      <c r="EM46" s="74">
        <v>1</v>
      </c>
      <c r="EN46" s="74">
        <v>1</v>
      </c>
      <c r="EO46" s="74">
        <v>1</v>
      </c>
      <c r="EP46" s="74">
        <v>1</v>
      </c>
      <c r="EQ46" s="74">
        <v>1</v>
      </c>
      <c r="ER46" s="74">
        <v>1</v>
      </c>
      <c r="ES46" s="74">
        <v>1</v>
      </c>
      <c r="ET46" s="74">
        <v>1</v>
      </c>
      <c r="EU46" s="78">
        <v>1</v>
      </c>
      <c r="EV46" s="74">
        <v>1</v>
      </c>
      <c r="EW46" s="74">
        <v>1</v>
      </c>
      <c r="EX46" s="74">
        <v>1</v>
      </c>
      <c r="EY46" s="74">
        <v>1</v>
      </c>
      <c r="EZ46" s="74">
        <v>1</v>
      </c>
      <c r="FA46" s="74">
        <v>1</v>
      </c>
      <c r="FB46" s="74">
        <v>1</v>
      </c>
      <c r="FC46" s="74">
        <v>1</v>
      </c>
      <c r="FD46" s="74">
        <v>1</v>
      </c>
      <c r="FE46" s="74">
        <v>1</v>
      </c>
      <c r="FF46" s="74">
        <v>1</v>
      </c>
      <c r="FG46" s="74">
        <v>1</v>
      </c>
      <c r="FH46" s="74">
        <v>1</v>
      </c>
      <c r="FI46" s="74">
        <v>1</v>
      </c>
      <c r="FJ46" s="74">
        <v>1</v>
      </c>
      <c r="FK46" s="74">
        <v>1</v>
      </c>
      <c r="FL46" s="74">
        <v>1</v>
      </c>
      <c r="FM46" s="74">
        <v>1</v>
      </c>
      <c r="FN46" s="74">
        <v>1</v>
      </c>
      <c r="FO46" s="74">
        <v>1</v>
      </c>
      <c r="FP46" s="74">
        <v>1</v>
      </c>
      <c r="FQ46" s="74">
        <v>1</v>
      </c>
      <c r="FR46" s="74">
        <v>1</v>
      </c>
      <c r="FS46" s="78">
        <v>1</v>
      </c>
      <c r="FT46" s="74">
        <v>1</v>
      </c>
      <c r="FU46" s="74">
        <v>1</v>
      </c>
      <c r="FV46" s="74">
        <v>1</v>
      </c>
      <c r="FW46" s="74">
        <v>1</v>
      </c>
      <c r="FX46" s="74">
        <v>1</v>
      </c>
      <c r="FY46" s="74">
        <v>1</v>
      </c>
      <c r="FZ46" s="74">
        <v>1</v>
      </c>
      <c r="GA46" s="74">
        <v>1</v>
      </c>
      <c r="GB46" s="74">
        <v>1</v>
      </c>
      <c r="GC46" s="74">
        <v>1</v>
      </c>
      <c r="GD46" s="74">
        <v>1</v>
      </c>
      <c r="GE46" s="74">
        <v>1</v>
      </c>
      <c r="GF46" s="74">
        <v>1</v>
      </c>
      <c r="GG46" s="74">
        <v>1</v>
      </c>
      <c r="GH46" s="74">
        <v>1</v>
      </c>
      <c r="GI46" s="74">
        <v>1</v>
      </c>
      <c r="GJ46" s="74">
        <v>1</v>
      </c>
      <c r="GK46" s="74">
        <v>1</v>
      </c>
      <c r="GL46" s="74">
        <v>1</v>
      </c>
      <c r="GM46" s="74">
        <v>1</v>
      </c>
      <c r="GN46" s="74">
        <v>1</v>
      </c>
      <c r="GO46" s="74">
        <v>1</v>
      </c>
      <c r="GP46" s="74">
        <v>1</v>
      </c>
      <c r="GQ46" s="78">
        <v>1</v>
      </c>
      <c r="GR46" s="74">
        <v>1</v>
      </c>
      <c r="GS46" s="74">
        <v>1</v>
      </c>
      <c r="GT46" s="74">
        <v>1</v>
      </c>
      <c r="GU46" s="74">
        <v>1</v>
      </c>
      <c r="GV46" s="74">
        <v>1</v>
      </c>
      <c r="GW46" s="74">
        <v>1</v>
      </c>
      <c r="GX46" s="74">
        <v>1</v>
      </c>
      <c r="GY46" s="74">
        <v>1</v>
      </c>
      <c r="GZ46" s="74">
        <v>1</v>
      </c>
      <c r="HA46" s="74">
        <v>1</v>
      </c>
      <c r="HB46" s="74">
        <v>1</v>
      </c>
      <c r="HC46" s="74">
        <v>1</v>
      </c>
      <c r="HD46" s="74">
        <v>1</v>
      </c>
      <c r="HE46" s="74">
        <v>1</v>
      </c>
      <c r="HF46" s="74">
        <v>1</v>
      </c>
      <c r="HG46" s="74">
        <v>1</v>
      </c>
      <c r="HH46" s="74">
        <v>1</v>
      </c>
      <c r="HI46" s="74">
        <v>1</v>
      </c>
      <c r="HJ46" s="74">
        <v>1</v>
      </c>
      <c r="HK46" s="74">
        <v>1</v>
      </c>
      <c r="HL46" s="74">
        <v>1</v>
      </c>
      <c r="HM46" s="74">
        <v>1</v>
      </c>
      <c r="HN46" s="74">
        <v>1</v>
      </c>
      <c r="HO46" s="74">
        <v>1</v>
      </c>
      <c r="HP46" s="74">
        <v>1</v>
      </c>
      <c r="HQ46" s="74">
        <v>1</v>
      </c>
      <c r="HR46" s="74">
        <v>1</v>
      </c>
      <c r="HS46" s="74">
        <v>1</v>
      </c>
      <c r="HT46" s="74">
        <v>1</v>
      </c>
      <c r="HU46" s="74">
        <v>1</v>
      </c>
      <c r="HV46" s="74">
        <v>1</v>
      </c>
      <c r="HW46" s="74">
        <v>1</v>
      </c>
      <c r="HX46" s="75">
        <v>1</v>
      </c>
    </row>
    <row r="47" spans="1:232" x14ac:dyDescent="0.2">
      <c r="B47" s="80" t="s">
        <v>93</v>
      </c>
      <c r="C47" s="80" t="s">
        <v>131</v>
      </c>
      <c r="D47" s="81">
        <v>5.2</v>
      </c>
      <c r="E47" s="80" t="s">
        <v>127</v>
      </c>
      <c r="F47" s="80" t="s">
        <v>123</v>
      </c>
      <c r="G47" s="78">
        <v>1</v>
      </c>
      <c r="H47" s="74">
        <v>1</v>
      </c>
      <c r="I47" s="74">
        <v>1</v>
      </c>
      <c r="J47" s="74">
        <v>1</v>
      </c>
      <c r="K47" s="74">
        <v>1</v>
      </c>
      <c r="L47" s="74">
        <v>1</v>
      </c>
      <c r="M47" s="74">
        <v>1</v>
      </c>
      <c r="N47" s="74">
        <v>1</v>
      </c>
      <c r="O47" s="74">
        <v>1</v>
      </c>
      <c r="P47" s="74">
        <v>1</v>
      </c>
      <c r="Q47" s="74">
        <v>1</v>
      </c>
      <c r="R47" s="74">
        <v>1</v>
      </c>
      <c r="S47" s="74">
        <v>1</v>
      </c>
      <c r="T47" s="74">
        <v>1</v>
      </c>
      <c r="U47" s="74">
        <v>1</v>
      </c>
      <c r="V47" s="74">
        <v>1</v>
      </c>
      <c r="W47" s="74">
        <v>1</v>
      </c>
      <c r="X47" s="74">
        <v>1</v>
      </c>
      <c r="Y47" s="74">
        <v>1</v>
      </c>
      <c r="Z47" s="74">
        <v>1</v>
      </c>
      <c r="AA47" s="74">
        <v>1</v>
      </c>
      <c r="AB47" s="74">
        <v>1</v>
      </c>
      <c r="AC47" s="74">
        <v>1</v>
      </c>
      <c r="AD47" s="74">
        <v>1</v>
      </c>
      <c r="AE47" s="78">
        <v>1</v>
      </c>
      <c r="AF47" s="74">
        <v>1</v>
      </c>
      <c r="AG47" s="74">
        <v>1</v>
      </c>
      <c r="AH47" s="74">
        <v>1</v>
      </c>
      <c r="AI47" s="74">
        <v>1</v>
      </c>
      <c r="AJ47" s="74">
        <v>1</v>
      </c>
      <c r="AK47" s="74">
        <v>1</v>
      </c>
      <c r="AL47" s="74">
        <v>1</v>
      </c>
      <c r="AM47" s="74">
        <v>1</v>
      </c>
      <c r="AN47" s="74">
        <v>1</v>
      </c>
      <c r="AO47" s="74">
        <v>1</v>
      </c>
      <c r="AP47" s="74">
        <v>1</v>
      </c>
      <c r="AQ47" s="74">
        <v>1</v>
      </c>
      <c r="AR47" s="74">
        <v>1</v>
      </c>
      <c r="AS47" s="74">
        <v>1</v>
      </c>
      <c r="AT47" s="74">
        <v>1</v>
      </c>
      <c r="AU47" s="74">
        <v>1</v>
      </c>
      <c r="AV47" s="74">
        <v>1</v>
      </c>
      <c r="AW47" s="74">
        <v>1</v>
      </c>
      <c r="AX47" s="74">
        <v>1</v>
      </c>
      <c r="AY47" s="74">
        <v>1</v>
      </c>
      <c r="AZ47" s="74">
        <v>1</v>
      </c>
      <c r="BA47" s="74">
        <v>1</v>
      </c>
      <c r="BB47" s="74">
        <v>1</v>
      </c>
      <c r="BC47" s="78">
        <v>1</v>
      </c>
      <c r="BD47" s="74">
        <v>1</v>
      </c>
      <c r="BE47" s="74">
        <v>1</v>
      </c>
      <c r="BF47" s="74">
        <v>1</v>
      </c>
      <c r="BG47" s="74">
        <v>1</v>
      </c>
      <c r="BH47" s="74">
        <v>1</v>
      </c>
      <c r="BI47" s="74">
        <v>1</v>
      </c>
      <c r="BJ47" s="74">
        <v>1</v>
      </c>
      <c r="BK47" s="74">
        <v>1</v>
      </c>
      <c r="BL47" s="74">
        <v>1</v>
      </c>
      <c r="BM47" s="74">
        <v>1</v>
      </c>
      <c r="BN47" s="74">
        <v>1</v>
      </c>
      <c r="BO47" s="74">
        <v>1</v>
      </c>
      <c r="BP47" s="74">
        <v>1</v>
      </c>
      <c r="BQ47" s="74">
        <v>1</v>
      </c>
      <c r="BR47" s="74">
        <v>1</v>
      </c>
      <c r="BS47" s="74">
        <v>1</v>
      </c>
      <c r="BT47" s="74">
        <v>1</v>
      </c>
      <c r="BU47" s="74">
        <v>1</v>
      </c>
      <c r="BV47" s="74">
        <v>1</v>
      </c>
      <c r="BW47" s="74">
        <v>1</v>
      </c>
      <c r="BX47" s="74">
        <v>1</v>
      </c>
      <c r="BY47" s="74">
        <v>1</v>
      </c>
      <c r="BZ47" s="74">
        <v>1</v>
      </c>
      <c r="CA47" s="78">
        <v>1</v>
      </c>
      <c r="CB47" s="74">
        <v>1</v>
      </c>
      <c r="CC47" s="74">
        <v>1</v>
      </c>
      <c r="CD47" s="74">
        <v>1</v>
      </c>
      <c r="CE47" s="74">
        <v>1</v>
      </c>
      <c r="CF47" s="74">
        <v>1</v>
      </c>
      <c r="CG47" s="74">
        <v>1</v>
      </c>
      <c r="CH47" s="74">
        <v>1</v>
      </c>
      <c r="CI47" s="74">
        <v>1</v>
      </c>
      <c r="CJ47" s="74">
        <v>1</v>
      </c>
      <c r="CK47" s="74">
        <v>1</v>
      </c>
      <c r="CL47" s="74">
        <v>1</v>
      </c>
      <c r="CM47" s="74">
        <v>1</v>
      </c>
      <c r="CN47" s="74">
        <v>1</v>
      </c>
      <c r="CO47" s="74">
        <v>1</v>
      </c>
      <c r="CP47" s="74">
        <v>1</v>
      </c>
      <c r="CQ47" s="74">
        <v>1</v>
      </c>
      <c r="CR47" s="74">
        <v>1</v>
      </c>
      <c r="CS47" s="74">
        <v>1</v>
      </c>
      <c r="CT47" s="74">
        <v>1</v>
      </c>
      <c r="CU47" s="74">
        <v>1</v>
      </c>
      <c r="CV47" s="74">
        <v>1</v>
      </c>
      <c r="CW47" s="74">
        <v>1</v>
      </c>
      <c r="CX47" s="74">
        <v>1</v>
      </c>
      <c r="CY47" s="78">
        <v>1</v>
      </c>
      <c r="CZ47" s="74">
        <v>1</v>
      </c>
      <c r="DA47" s="74">
        <v>1</v>
      </c>
      <c r="DB47" s="74">
        <v>1</v>
      </c>
      <c r="DC47" s="74">
        <v>1</v>
      </c>
      <c r="DD47" s="74">
        <v>1</v>
      </c>
      <c r="DE47" s="74">
        <v>1</v>
      </c>
      <c r="DF47" s="74">
        <v>1</v>
      </c>
      <c r="DG47" s="74">
        <v>1</v>
      </c>
      <c r="DH47" s="74">
        <v>1</v>
      </c>
      <c r="DI47" s="74">
        <v>1</v>
      </c>
      <c r="DJ47" s="74">
        <v>1</v>
      </c>
      <c r="DK47" s="74">
        <v>1</v>
      </c>
      <c r="DL47" s="74">
        <v>1</v>
      </c>
      <c r="DM47" s="74">
        <v>1</v>
      </c>
      <c r="DN47" s="74">
        <v>1</v>
      </c>
      <c r="DO47" s="74">
        <v>1</v>
      </c>
      <c r="DP47" s="74">
        <v>1</v>
      </c>
      <c r="DQ47" s="74">
        <v>1</v>
      </c>
      <c r="DR47" s="74">
        <v>1</v>
      </c>
      <c r="DS47" s="74">
        <v>1</v>
      </c>
      <c r="DT47" s="74">
        <v>1</v>
      </c>
      <c r="DU47" s="74">
        <v>1</v>
      </c>
      <c r="DV47" s="74">
        <v>1</v>
      </c>
      <c r="DW47" s="78">
        <v>1</v>
      </c>
      <c r="DX47" s="74">
        <v>1</v>
      </c>
      <c r="DY47" s="74">
        <v>1</v>
      </c>
      <c r="DZ47" s="74">
        <v>1</v>
      </c>
      <c r="EA47" s="74">
        <v>1</v>
      </c>
      <c r="EB47" s="74">
        <v>1</v>
      </c>
      <c r="EC47" s="74">
        <v>1</v>
      </c>
      <c r="ED47" s="74">
        <v>1</v>
      </c>
      <c r="EE47" s="74">
        <v>1</v>
      </c>
      <c r="EF47" s="74">
        <v>1</v>
      </c>
      <c r="EG47" s="74">
        <v>1</v>
      </c>
      <c r="EH47" s="74">
        <v>1</v>
      </c>
      <c r="EI47" s="74">
        <v>1</v>
      </c>
      <c r="EJ47" s="74">
        <v>1</v>
      </c>
      <c r="EK47" s="74">
        <v>1</v>
      </c>
      <c r="EL47" s="74">
        <v>1</v>
      </c>
      <c r="EM47" s="74">
        <v>1</v>
      </c>
      <c r="EN47" s="74">
        <v>1</v>
      </c>
      <c r="EO47" s="74">
        <v>1</v>
      </c>
      <c r="EP47" s="74">
        <v>1</v>
      </c>
      <c r="EQ47" s="74">
        <v>1</v>
      </c>
      <c r="ER47" s="74">
        <v>1</v>
      </c>
      <c r="ES47" s="74">
        <v>1</v>
      </c>
      <c r="ET47" s="74">
        <v>1</v>
      </c>
      <c r="EU47" s="78">
        <v>1</v>
      </c>
      <c r="EV47" s="74">
        <v>1</v>
      </c>
      <c r="EW47" s="74">
        <v>1</v>
      </c>
      <c r="EX47" s="74">
        <v>1</v>
      </c>
      <c r="EY47" s="74">
        <v>1</v>
      </c>
      <c r="EZ47" s="74">
        <v>1</v>
      </c>
      <c r="FA47" s="74">
        <v>1</v>
      </c>
      <c r="FB47" s="74">
        <v>1</v>
      </c>
      <c r="FC47" s="74">
        <v>1</v>
      </c>
      <c r="FD47" s="74">
        <v>1</v>
      </c>
      <c r="FE47" s="74">
        <v>1</v>
      </c>
      <c r="FF47" s="74">
        <v>1</v>
      </c>
      <c r="FG47" s="74">
        <v>1</v>
      </c>
      <c r="FH47" s="74">
        <v>1</v>
      </c>
      <c r="FI47" s="74">
        <v>1</v>
      </c>
      <c r="FJ47" s="74">
        <v>1</v>
      </c>
      <c r="FK47" s="74">
        <v>1</v>
      </c>
      <c r="FL47" s="74">
        <v>1</v>
      </c>
      <c r="FM47" s="74">
        <v>1</v>
      </c>
      <c r="FN47" s="74">
        <v>1</v>
      </c>
      <c r="FO47" s="74">
        <v>1</v>
      </c>
      <c r="FP47" s="74">
        <v>1</v>
      </c>
      <c r="FQ47" s="74">
        <v>1</v>
      </c>
      <c r="FR47" s="74">
        <v>1</v>
      </c>
      <c r="FS47" s="78">
        <v>1</v>
      </c>
      <c r="FT47" s="74">
        <v>1</v>
      </c>
      <c r="FU47" s="74">
        <v>1</v>
      </c>
      <c r="FV47" s="74">
        <v>1</v>
      </c>
      <c r="FW47" s="74">
        <v>1</v>
      </c>
      <c r="FX47" s="74">
        <v>1</v>
      </c>
      <c r="FY47" s="74">
        <v>1</v>
      </c>
      <c r="FZ47" s="74">
        <v>1</v>
      </c>
      <c r="GA47" s="74">
        <v>1</v>
      </c>
      <c r="GB47" s="74">
        <v>1</v>
      </c>
      <c r="GC47" s="74">
        <v>1</v>
      </c>
      <c r="GD47" s="74">
        <v>1</v>
      </c>
      <c r="GE47" s="74">
        <v>1</v>
      </c>
      <c r="GF47" s="74">
        <v>1</v>
      </c>
      <c r="GG47" s="74">
        <v>1</v>
      </c>
      <c r="GH47" s="74">
        <v>1</v>
      </c>
      <c r="GI47" s="74">
        <v>1</v>
      </c>
      <c r="GJ47" s="74">
        <v>1</v>
      </c>
      <c r="GK47" s="74">
        <v>1</v>
      </c>
      <c r="GL47" s="74">
        <v>1</v>
      </c>
      <c r="GM47" s="74">
        <v>1</v>
      </c>
      <c r="GN47" s="74">
        <v>1</v>
      </c>
      <c r="GO47" s="74">
        <v>1</v>
      </c>
      <c r="GP47" s="74">
        <v>1</v>
      </c>
      <c r="GQ47" s="78">
        <v>1</v>
      </c>
      <c r="GR47" s="74">
        <v>1</v>
      </c>
      <c r="GS47" s="74">
        <v>1</v>
      </c>
      <c r="GT47" s="74">
        <v>1</v>
      </c>
      <c r="GU47" s="74">
        <v>1</v>
      </c>
      <c r="GV47" s="74">
        <v>1</v>
      </c>
      <c r="GW47" s="74">
        <v>1</v>
      </c>
      <c r="GX47" s="74">
        <v>1</v>
      </c>
      <c r="GY47" s="74">
        <v>1</v>
      </c>
      <c r="GZ47" s="74">
        <v>1</v>
      </c>
      <c r="HA47" s="74">
        <v>1</v>
      </c>
      <c r="HB47" s="74">
        <v>1</v>
      </c>
      <c r="HC47" s="74">
        <v>1</v>
      </c>
      <c r="HD47" s="74">
        <v>1</v>
      </c>
      <c r="HE47" s="74">
        <v>1</v>
      </c>
      <c r="HF47" s="74">
        <v>1</v>
      </c>
      <c r="HG47" s="74">
        <v>1</v>
      </c>
      <c r="HH47" s="74">
        <v>1</v>
      </c>
      <c r="HI47" s="74">
        <v>1</v>
      </c>
      <c r="HJ47" s="74">
        <v>1</v>
      </c>
      <c r="HK47" s="74">
        <v>1</v>
      </c>
      <c r="HL47" s="74">
        <v>1</v>
      </c>
      <c r="HM47" s="74">
        <v>1</v>
      </c>
      <c r="HN47" s="74">
        <v>1</v>
      </c>
      <c r="HO47" s="74">
        <v>1</v>
      </c>
      <c r="HP47" s="74">
        <v>1</v>
      </c>
      <c r="HQ47" s="74">
        <v>1</v>
      </c>
      <c r="HR47" s="74">
        <v>1</v>
      </c>
      <c r="HS47" s="74">
        <v>1</v>
      </c>
      <c r="HT47" s="74">
        <v>1</v>
      </c>
      <c r="HU47" s="74">
        <v>1</v>
      </c>
      <c r="HV47" s="74">
        <v>1</v>
      </c>
      <c r="HW47" s="74">
        <v>1</v>
      </c>
      <c r="HX47" s="75">
        <v>1</v>
      </c>
    </row>
    <row r="48" spans="1:232" x14ac:dyDescent="0.2">
      <c r="B48" s="103" t="s">
        <v>94</v>
      </c>
      <c r="C48" s="108" t="s">
        <v>132</v>
      </c>
      <c r="D48" s="109">
        <v>5.2</v>
      </c>
      <c r="E48" s="108" t="s">
        <v>127</v>
      </c>
      <c r="F48" s="108" t="s">
        <v>123</v>
      </c>
      <c r="G48" s="74">
        <v>1</v>
      </c>
      <c r="H48" s="74">
        <v>1</v>
      </c>
      <c r="I48" s="74">
        <v>1</v>
      </c>
      <c r="J48" s="74">
        <v>1</v>
      </c>
      <c r="K48" s="74">
        <v>1</v>
      </c>
      <c r="L48" s="74">
        <v>1</v>
      </c>
      <c r="M48" s="74">
        <v>1</v>
      </c>
      <c r="N48" s="74">
        <v>1</v>
      </c>
      <c r="O48" s="74">
        <v>1</v>
      </c>
      <c r="P48" s="74">
        <v>1</v>
      </c>
      <c r="Q48" s="74">
        <v>1</v>
      </c>
      <c r="R48" s="74">
        <v>1</v>
      </c>
      <c r="S48" s="74">
        <v>1</v>
      </c>
      <c r="T48" s="74">
        <v>1</v>
      </c>
      <c r="U48" s="74">
        <v>1</v>
      </c>
      <c r="V48" s="74">
        <v>1</v>
      </c>
      <c r="W48" s="74">
        <v>1</v>
      </c>
      <c r="X48" s="74">
        <v>1</v>
      </c>
      <c r="Y48" s="74">
        <v>1</v>
      </c>
      <c r="Z48" s="74">
        <v>1</v>
      </c>
      <c r="AA48" s="74">
        <v>1</v>
      </c>
      <c r="AB48" s="74">
        <v>1</v>
      </c>
      <c r="AC48" s="74">
        <v>1</v>
      </c>
      <c r="AD48" s="74">
        <v>1</v>
      </c>
      <c r="AE48" s="78">
        <v>1</v>
      </c>
      <c r="AF48" s="74">
        <v>1</v>
      </c>
      <c r="AG48" s="74">
        <v>1</v>
      </c>
      <c r="AH48" s="74">
        <v>1</v>
      </c>
      <c r="AI48" s="74">
        <v>1</v>
      </c>
      <c r="AJ48" s="74">
        <v>1</v>
      </c>
      <c r="AK48" s="74">
        <v>1</v>
      </c>
      <c r="AL48" s="74">
        <v>1</v>
      </c>
      <c r="AM48" s="74">
        <v>1</v>
      </c>
      <c r="AN48" s="74">
        <v>1</v>
      </c>
      <c r="AO48" s="74">
        <v>1</v>
      </c>
      <c r="AP48" s="74">
        <v>1</v>
      </c>
      <c r="AQ48" s="74">
        <v>1</v>
      </c>
      <c r="AR48" s="74">
        <v>1</v>
      </c>
      <c r="AS48" s="74">
        <v>1</v>
      </c>
      <c r="AT48" s="74">
        <v>1</v>
      </c>
      <c r="AU48" s="74">
        <v>1</v>
      </c>
      <c r="AV48" s="74">
        <v>1</v>
      </c>
      <c r="AW48" s="74">
        <v>1</v>
      </c>
      <c r="AX48" s="74">
        <v>1</v>
      </c>
      <c r="AY48" s="74">
        <v>1</v>
      </c>
      <c r="AZ48" s="74">
        <v>1</v>
      </c>
      <c r="BA48" s="74">
        <v>0</v>
      </c>
      <c r="BB48" s="74">
        <v>0</v>
      </c>
      <c r="BC48" s="78">
        <v>0</v>
      </c>
      <c r="BD48" s="74">
        <v>0</v>
      </c>
      <c r="BE48" s="74">
        <v>0</v>
      </c>
      <c r="BF48" s="74">
        <v>0</v>
      </c>
      <c r="BG48" s="74">
        <v>0</v>
      </c>
      <c r="BH48" s="74">
        <v>0</v>
      </c>
      <c r="BI48" s="74">
        <v>0</v>
      </c>
      <c r="BJ48" s="74">
        <v>0</v>
      </c>
      <c r="BK48" s="74">
        <v>0</v>
      </c>
      <c r="BL48" s="74">
        <v>0</v>
      </c>
      <c r="BM48" s="74">
        <v>0</v>
      </c>
      <c r="BN48" s="74">
        <v>0</v>
      </c>
      <c r="BO48" s="74">
        <v>0</v>
      </c>
      <c r="BP48" s="74">
        <v>0</v>
      </c>
      <c r="BQ48" s="74">
        <v>0</v>
      </c>
      <c r="BR48" s="74">
        <v>0</v>
      </c>
      <c r="BS48" s="74">
        <v>0</v>
      </c>
      <c r="BT48" s="74">
        <v>0</v>
      </c>
      <c r="BU48" s="74">
        <v>0</v>
      </c>
      <c r="BV48" s="74">
        <v>0</v>
      </c>
      <c r="BW48" s="74">
        <v>0</v>
      </c>
      <c r="BX48" s="74">
        <v>0</v>
      </c>
      <c r="BY48" s="74">
        <v>0</v>
      </c>
      <c r="BZ48" s="74">
        <v>0</v>
      </c>
      <c r="CA48" s="78">
        <v>0</v>
      </c>
      <c r="CB48" s="74">
        <v>0</v>
      </c>
      <c r="CC48" s="74">
        <v>0</v>
      </c>
      <c r="CD48" s="74">
        <v>0</v>
      </c>
      <c r="CE48" s="74">
        <v>0</v>
      </c>
      <c r="CF48" s="74">
        <v>0</v>
      </c>
      <c r="CG48" s="74">
        <v>0</v>
      </c>
      <c r="CH48" s="74">
        <v>0</v>
      </c>
      <c r="CI48" s="74">
        <v>0</v>
      </c>
      <c r="CJ48" s="74">
        <v>0</v>
      </c>
      <c r="CK48" s="74">
        <v>0</v>
      </c>
      <c r="CL48" s="74">
        <v>0</v>
      </c>
      <c r="CM48" s="74">
        <v>0</v>
      </c>
      <c r="CN48" s="74">
        <v>0</v>
      </c>
      <c r="CO48" s="74">
        <v>0</v>
      </c>
      <c r="CP48" s="74">
        <v>0</v>
      </c>
      <c r="CQ48" s="74">
        <v>0</v>
      </c>
      <c r="CR48" s="74">
        <v>0</v>
      </c>
      <c r="CS48" s="74">
        <v>0</v>
      </c>
      <c r="CT48" s="74">
        <v>0</v>
      </c>
      <c r="CU48" s="74">
        <v>0</v>
      </c>
      <c r="CV48" s="74">
        <v>0</v>
      </c>
      <c r="CW48" s="74">
        <v>0</v>
      </c>
      <c r="CX48" s="74">
        <v>0</v>
      </c>
      <c r="CY48" s="78">
        <v>0</v>
      </c>
      <c r="CZ48" s="74">
        <v>0</v>
      </c>
      <c r="DA48" s="74">
        <v>0</v>
      </c>
      <c r="DB48" s="74">
        <v>0</v>
      </c>
      <c r="DC48" s="74">
        <v>0</v>
      </c>
      <c r="DD48" s="74">
        <v>0</v>
      </c>
      <c r="DE48" s="74">
        <v>0</v>
      </c>
      <c r="DF48" s="74">
        <v>0</v>
      </c>
      <c r="DG48" s="74">
        <v>0</v>
      </c>
      <c r="DH48" s="74">
        <v>0</v>
      </c>
      <c r="DI48" s="74">
        <v>0</v>
      </c>
      <c r="DJ48" s="74">
        <v>0</v>
      </c>
      <c r="DK48" s="74">
        <v>0</v>
      </c>
      <c r="DL48" s="74">
        <v>0</v>
      </c>
      <c r="DM48" s="74">
        <v>0</v>
      </c>
      <c r="DN48" s="74">
        <v>0</v>
      </c>
      <c r="DO48" s="74">
        <v>0</v>
      </c>
      <c r="DP48" s="74">
        <v>0</v>
      </c>
      <c r="DQ48" s="74">
        <v>0</v>
      </c>
      <c r="DR48" s="74">
        <v>0</v>
      </c>
      <c r="DS48" s="74">
        <v>0</v>
      </c>
      <c r="DT48" s="74">
        <v>0</v>
      </c>
      <c r="DU48" s="74">
        <v>0</v>
      </c>
      <c r="DV48" s="74">
        <v>0</v>
      </c>
      <c r="DW48" s="78">
        <v>0</v>
      </c>
      <c r="DX48" s="74">
        <v>0</v>
      </c>
      <c r="DY48" s="74">
        <v>0</v>
      </c>
      <c r="DZ48" s="74">
        <v>0</v>
      </c>
      <c r="EA48" s="74">
        <v>0</v>
      </c>
      <c r="EB48" s="74">
        <v>0</v>
      </c>
      <c r="EC48" s="74">
        <v>0</v>
      </c>
      <c r="ED48" s="74">
        <v>0</v>
      </c>
      <c r="EE48" s="74">
        <v>0</v>
      </c>
      <c r="EF48" s="74">
        <v>0</v>
      </c>
      <c r="EG48" s="74">
        <v>0</v>
      </c>
      <c r="EH48" s="74">
        <v>0</v>
      </c>
      <c r="EI48" s="74">
        <v>0</v>
      </c>
      <c r="EJ48" s="74">
        <v>0</v>
      </c>
      <c r="EK48" s="74">
        <v>0</v>
      </c>
      <c r="EL48" s="74">
        <v>0</v>
      </c>
      <c r="EM48" s="74">
        <v>0</v>
      </c>
      <c r="EN48" s="74">
        <v>0</v>
      </c>
      <c r="EO48" s="74">
        <v>0</v>
      </c>
      <c r="EP48" s="74">
        <v>0</v>
      </c>
      <c r="EQ48" s="74">
        <v>0</v>
      </c>
      <c r="ER48" s="74">
        <v>0</v>
      </c>
      <c r="ES48" s="74">
        <v>0</v>
      </c>
      <c r="ET48" s="74">
        <v>0</v>
      </c>
      <c r="EU48" s="78">
        <v>0</v>
      </c>
      <c r="EV48" s="74">
        <v>0</v>
      </c>
      <c r="EW48" s="74">
        <v>0</v>
      </c>
      <c r="EX48" s="74">
        <v>0</v>
      </c>
      <c r="EY48" s="74">
        <v>0</v>
      </c>
      <c r="EZ48" s="74">
        <v>0</v>
      </c>
      <c r="FA48" s="74">
        <v>0</v>
      </c>
      <c r="FB48" s="74">
        <v>0</v>
      </c>
      <c r="FC48" s="74">
        <v>0</v>
      </c>
      <c r="FD48" s="74">
        <v>0</v>
      </c>
      <c r="FE48" s="74">
        <v>0</v>
      </c>
      <c r="FF48" s="74">
        <v>0</v>
      </c>
      <c r="FG48" s="74">
        <v>0</v>
      </c>
      <c r="FH48" s="74">
        <v>0</v>
      </c>
      <c r="FI48" s="74">
        <v>0</v>
      </c>
      <c r="FJ48" s="74">
        <v>0</v>
      </c>
      <c r="FK48" s="74">
        <v>0</v>
      </c>
      <c r="FL48" s="74">
        <v>0</v>
      </c>
      <c r="FM48" s="74">
        <v>0</v>
      </c>
      <c r="FN48" s="74">
        <v>0</v>
      </c>
      <c r="FO48" s="74">
        <v>0</v>
      </c>
      <c r="FP48" s="74">
        <v>0</v>
      </c>
      <c r="FQ48" s="74">
        <v>0</v>
      </c>
      <c r="FR48" s="74">
        <v>0</v>
      </c>
      <c r="FS48" s="78">
        <v>0</v>
      </c>
      <c r="FT48" s="74">
        <v>0</v>
      </c>
      <c r="FU48" s="74">
        <v>0</v>
      </c>
      <c r="FV48" s="74">
        <v>0</v>
      </c>
      <c r="FW48" s="74">
        <v>0</v>
      </c>
      <c r="FX48" s="74">
        <v>0</v>
      </c>
      <c r="FY48" s="74">
        <v>0</v>
      </c>
      <c r="FZ48" s="74">
        <v>0</v>
      </c>
      <c r="GA48" s="74">
        <v>0</v>
      </c>
      <c r="GB48" s="74">
        <v>0</v>
      </c>
      <c r="GC48" s="74">
        <v>0</v>
      </c>
      <c r="GD48" s="74">
        <v>0</v>
      </c>
      <c r="GE48" s="74">
        <v>0</v>
      </c>
      <c r="GF48" s="74">
        <v>0</v>
      </c>
      <c r="GG48" s="74">
        <v>0</v>
      </c>
      <c r="GH48" s="74">
        <v>0</v>
      </c>
      <c r="GI48" s="74">
        <v>0</v>
      </c>
      <c r="GJ48" s="74">
        <v>0</v>
      </c>
      <c r="GK48" s="74">
        <v>0</v>
      </c>
      <c r="GL48" s="74">
        <v>0</v>
      </c>
      <c r="GM48" s="74">
        <v>0</v>
      </c>
      <c r="GN48" s="74">
        <v>0</v>
      </c>
      <c r="GO48" s="74">
        <v>0</v>
      </c>
      <c r="GP48" s="74">
        <v>0</v>
      </c>
      <c r="GQ48" s="78">
        <v>0</v>
      </c>
      <c r="GR48" s="74">
        <v>0</v>
      </c>
      <c r="GS48" s="74">
        <v>0</v>
      </c>
      <c r="GT48" s="74">
        <v>0</v>
      </c>
      <c r="GU48" s="74">
        <v>0</v>
      </c>
      <c r="GV48" s="74">
        <v>0</v>
      </c>
      <c r="GW48" s="74">
        <v>0</v>
      </c>
      <c r="GX48" s="74">
        <v>0</v>
      </c>
      <c r="GY48" s="74">
        <v>0</v>
      </c>
      <c r="GZ48" s="74">
        <v>0</v>
      </c>
      <c r="HA48" s="74">
        <v>0</v>
      </c>
      <c r="HB48" s="74">
        <v>0</v>
      </c>
      <c r="HC48" s="74">
        <v>0</v>
      </c>
      <c r="HD48" s="74">
        <v>0</v>
      </c>
      <c r="HE48" s="74">
        <v>0</v>
      </c>
      <c r="HF48" s="74">
        <v>0</v>
      </c>
      <c r="HG48" s="74">
        <v>0</v>
      </c>
      <c r="HH48" s="74">
        <v>0</v>
      </c>
      <c r="HI48" s="74">
        <v>0</v>
      </c>
      <c r="HJ48" s="74">
        <v>0</v>
      </c>
      <c r="HK48" s="74">
        <v>0</v>
      </c>
      <c r="HL48" s="74">
        <v>0</v>
      </c>
      <c r="HM48" s="74">
        <v>0</v>
      </c>
      <c r="HN48" s="74">
        <v>0</v>
      </c>
      <c r="HO48" s="74">
        <v>0</v>
      </c>
      <c r="HP48" s="74">
        <v>0</v>
      </c>
      <c r="HQ48" s="74">
        <v>0</v>
      </c>
      <c r="HR48" s="74">
        <v>0</v>
      </c>
      <c r="HS48" s="74">
        <v>0</v>
      </c>
      <c r="HT48" s="74">
        <v>0</v>
      </c>
      <c r="HU48" s="74">
        <v>0</v>
      </c>
      <c r="HV48" s="74">
        <v>0</v>
      </c>
      <c r="HW48" s="74">
        <v>0</v>
      </c>
      <c r="HX48" s="75">
        <v>0</v>
      </c>
    </row>
    <row r="49" spans="1:232" x14ac:dyDescent="0.2">
      <c r="B49" s="80" t="s">
        <v>95</v>
      </c>
      <c r="C49" s="80" t="s">
        <v>132</v>
      </c>
      <c r="D49" s="81">
        <v>5.2</v>
      </c>
      <c r="E49" s="80" t="s">
        <v>127</v>
      </c>
      <c r="F49" s="80" t="s">
        <v>123</v>
      </c>
      <c r="G49" s="78">
        <v>1</v>
      </c>
      <c r="H49" s="74">
        <v>1</v>
      </c>
      <c r="I49" s="74">
        <v>1</v>
      </c>
      <c r="J49" s="74">
        <v>1</v>
      </c>
      <c r="K49" s="74">
        <v>1</v>
      </c>
      <c r="L49" s="74">
        <v>1</v>
      </c>
      <c r="M49" s="74">
        <v>1</v>
      </c>
      <c r="N49" s="74">
        <v>1</v>
      </c>
      <c r="O49" s="74">
        <v>1</v>
      </c>
      <c r="P49" s="74">
        <v>1</v>
      </c>
      <c r="Q49" s="74">
        <v>1</v>
      </c>
      <c r="R49" s="74">
        <v>1</v>
      </c>
      <c r="S49" s="74">
        <v>1</v>
      </c>
      <c r="T49" s="74">
        <v>1</v>
      </c>
      <c r="U49" s="74">
        <v>1</v>
      </c>
      <c r="V49" s="74">
        <v>1</v>
      </c>
      <c r="W49" s="74">
        <v>1</v>
      </c>
      <c r="X49" s="74">
        <v>1</v>
      </c>
      <c r="Y49" s="74">
        <v>1</v>
      </c>
      <c r="Z49" s="74">
        <v>1</v>
      </c>
      <c r="AA49" s="74">
        <v>1</v>
      </c>
      <c r="AB49" s="74">
        <v>1</v>
      </c>
      <c r="AC49" s="74">
        <v>1</v>
      </c>
      <c r="AD49" s="74">
        <v>1</v>
      </c>
      <c r="AE49" s="78">
        <v>1</v>
      </c>
      <c r="AF49" s="74">
        <v>1</v>
      </c>
      <c r="AG49" s="74">
        <v>1</v>
      </c>
      <c r="AH49" s="74">
        <v>1</v>
      </c>
      <c r="AI49" s="74">
        <v>1</v>
      </c>
      <c r="AJ49" s="74">
        <v>1</v>
      </c>
      <c r="AK49" s="74">
        <v>1</v>
      </c>
      <c r="AL49" s="74">
        <v>1</v>
      </c>
      <c r="AM49" s="74">
        <v>1</v>
      </c>
      <c r="AN49" s="74">
        <v>1</v>
      </c>
      <c r="AO49" s="74">
        <v>1</v>
      </c>
      <c r="AP49" s="74">
        <v>1</v>
      </c>
      <c r="AQ49" s="74">
        <v>1</v>
      </c>
      <c r="AR49" s="74">
        <v>1</v>
      </c>
      <c r="AS49" s="74">
        <v>1</v>
      </c>
      <c r="AT49" s="74">
        <v>1</v>
      </c>
      <c r="AU49" s="74">
        <v>1</v>
      </c>
      <c r="AV49" s="74">
        <v>1</v>
      </c>
      <c r="AW49" s="74">
        <v>1</v>
      </c>
      <c r="AX49" s="74">
        <v>1</v>
      </c>
      <c r="AY49" s="74">
        <v>1</v>
      </c>
      <c r="AZ49" s="74">
        <v>1</v>
      </c>
      <c r="BA49" s="74">
        <v>1</v>
      </c>
      <c r="BB49" s="74">
        <v>1</v>
      </c>
      <c r="BC49" s="78">
        <v>1</v>
      </c>
      <c r="BD49" s="74">
        <v>1</v>
      </c>
      <c r="BE49" s="74">
        <v>1</v>
      </c>
      <c r="BF49" s="74">
        <v>1</v>
      </c>
      <c r="BG49" s="74">
        <v>1</v>
      </c>
      <c r="BH49" s="74">
        <v>1</v>
      </c>
      <c r="BI49" s="74">
        <v>1</v>
      </c>
      <c r="BJ49" s="74">
        <v>1</v>
      </c>
      <c r="BK49" s="74">
        <v>1</v>
      </c>
      <c r="BL49" s="74">
        <v>1</v>
      </c>
      <c r="BM49" s="74">
        <v>1</v>
      </c>
      <c r="BN49" s="74">
        <v>1</v>
      </c>
      <c r="BO49" s="74">
        <v>1</v>
      </c>
      <c r="BP49" s="74">
        <v>1</v>
      </c>
      <c r="BQ49" s="74">
        <v>1</v>
      </c>
      <c r="BR49" s="74">
        <v>1</v>
      </c>
      <c r="BS49" s="74">
        <v>1</v>
      </c>
      <c r="BT49" s="74">
        <v>1</v>
      </c>
      <c r="BU49" s="74">
        <v>1</v>
      </c>
      <c r="BV49" s="74">
        <v>1</v>
      </c>
      <c r="BW49" s="74">
        <v>1</v>
      </c>
      <c r="BX49" s="74">
        <v>1</v>
      </c>
      <c r="BY49" s="74">
        <v>1</v>
      </c>
      <c r="BZ49" s="74">
        <v>1</v>
      </c>
      <c r="CA49" s="78">
        <v>1</v>
      </c>
      <c r="CB49" s="74">
        <v>1</v>
      </c>
      <c r="CC49" s="74">
        <v>1</v>
      </c>
      <c r="CD49" s="74">
        <v>1</v>
      </c>
      <c r="CE49" s="74">
        <v>1</v>
      </c>
      <c r="CF49" s="74">
        <v>1</v>
      </c>
      <c r="CG49" s="74">
        <v>1</v>
      </c>
      <c r="CH49" s="74">
        <v>1</v>
      </c>
      <c r="CI49" s="74">
        <v>1</v>
      </c>
      <c r="CJ49" s="74">
        <v>1</v>
      </c>
      <c r="CK49" s="74">
        <v>1</v>
      </c>
      <c r="CL49" s="74">
        <v>1</v>
      </c>
      <c r="CM49" s="74">
        <v>1</v>
      </c>
      <c r="CN49" s="74">
        <v>1</v>
      </c>
      <c r="CO49" s="74">
        <v>1</v>
      </c>
      <c r="CP49" s="74">
        <v>1</v>
      </c>
      <c r="CQ49" s="74">
        <v>1</v>
      </c>
      <c r="CR49" s="74">
        <v>1</v>
      </c>
      <c r="CS49" s="74">
        <v>1</v>
      </c>
      <c r="CT49" s="74">
        <v>1</v>
      </c>
      <c r="CU49" s="74">
        <v>1</v>
      </c>
      <c r="CV49" s="74">
        <v>1</v>
      </c>
      <c r="CW49" s="74">
        <v>1</v>
      </c>
      <c r="CX49" s="74">
        <v>1</v>
      </c>
      <c r="CY49" s="78">
        <v>1</v>
      </c>
      <c r="CZ49" s="74">
        <v>1</v>
      </c>
      <c r="DA49" s="74">
        <v>1</v>
      </c>
      <c r="DB49" s="74">
        <v>1</v>
      </c>
      <c r="DC49" s="74">
        <v>1</v>
      </c>
      <c r="DD49" s="74">
        <v>1</v>
      </c>
      <c r="DE49" s="74">
        <v>1</v>
      </c>
      <c r="DF49" s="74">
        <v>1</v>
      </c>
      <c r="DG49" s="74">
        <v>1</v>
      </c>
      <c r="DH49" s="74">
        <v>1</v>
      </c>
      <c r="DI49" s="74">
        <v>1</v>
      </c>
      <c r="DJ49" s="74">
        <v>1</v>
      </c>
      <c r="DK49" s="74">
        <v>1</v>
      </c>
      <c r="DL49" s="74">
        <v>1</v>
      </c>
      <c r="DM49" s="74">
        <v>1</v>
      </c>
      <c r="DN49" s="74">
        <v>1</v>
      </c>
      <c r="DO49" s="74">
        <v>1</v>
      </c>
      <c r="DP49" s="74">
        <v>1</v>
      </c>
      <c r="DQ49" s="74">
        <v>1</v>
      </c>
      <c r="DR49" s="74">
        <v>1</v>
      </c>
      <c r="DS49" s="74">
        <v>1</v>
      </c>
      <c r="DT49" s="74">
        <v>1</v>
      </c>
      <c r="DU49" s="74">
        <v>1</v>
      </c>
      <c r="DV49" s="74">
        <v>1</v>
      </c>
      <c r="DW49" s="78">
        <v>1</v>
      </c>
      <c r="DX49" s="74">
        <v>1</v>
      </c>
      <c r="DY49" s="74">
        <v>1</v>
      </c>
      <c r="DZ49" s="74">
        <v>1</v>
      </c>
      <c r="EA49" s="74">
        <v>1</v>
      </c>
      <c r="EB49" s="74">
        <v>1</v>
      </c>
      <c r="EC49" s="74">
        <v>1</v>
      </c>
      <c r="ED49" s="74">
        <v>1</v>
      </c>
      <c r="EE49" s="74">
        <v>1</v>
      </c>
      <c r="EF49" s="74">
        <v>1</v>
      </c>
      <c r="EG49" s="74">
        <v>1</v>
      </c>
      <c r="EH49" s="74">
        <v>1</v>
      </c>
      <c r="EI49" s="74">
        <v>1</v>
      </c>
      <c r="EJ49" s="74">
        <v>1</v>
      </c>
      <c r="EK49" s="74">
        <v>1</v>
      </c>
      <c r="EL49" s="74">
        <v>1</v>
      </c>
      <c r="EM49" s="74">
        <v>1</v>
      </c>
      <c r="EN49" s="74">
        <v>1</v>
      </c>
      <c r="EO49" s="74">
        <v>1</v>
      </c>
      <c r="EP49" s="74">
        <v>1</v>
      </c>
      <c r="EQ49" s="74">
        <v>1</v>
      </c>
      <c r="ER49" s="74">
        <v>1</v>
      </c>
      <c r="ES49" s="74">
        <v>1</v>
      </c>
      <c r="ET49" s="74">
        <v>1</v>
      </c>
      <c r="EU49" s="78">
        <v>1</v>
      </c>
      <c r="EV49" s="74">
        <v>1</v>
      </c>
      <c r="EW49" s="74">
        <v>1</v>
      </c>
      <c r="EX49" s="74">
        <v>1</v>
      </c>
      <c r="EY49" s="74">
        <v>1</v>
      </c>
      <c r="EZ49" s="74">
        <v>1</v>
      </c>
      <c r="FA49" s="74">
        <v>1</v>
      </c>
      <c r="FB49" s="74">
        <v>1</v>
      </c>
      <c r="FC49" s="74">
        <v>1</v>
      </c>
      <c r="FD49" s="74">
        <v>1</v>
      </c>
      <c r="FE49" s="74">
        <v>1</v>
      </c>
      <c r="FF49" s="74">
        <v>1</v>
      </c>
      <c r="FG49" s="74">
        <v>1</v>
      </c>
      <c r="FH49" s="74">
        <v>1</v>
      </c>
      <c r="FI49" s="74">
        <v>1</v>
      </c>
      <c r="FJ49" s="74">
        <v>1</v>
      </c>
      <c r="FK49" s="74">
        <v>1</v>
      </c>
      <c r="FL49" s="74">
        <v>1</v>
      </c>
      <c r="FM49" s="74">
        <v>1</v>
      </c>
      <c r="FN49" s="74">
        <v>1</v>
      </c>
      <c r="FO49" s="74">
        <v>1</v>
      </c>
      <c r="FP49" s="74">
        <v>1</v>
      </c>
      <c r="FQ49" s="74">
        <v>1</v>
      </c>
      <c r="FR49" s="74">
        <v>1</v>
      </c>
      <c r="FS49" s="78">
        <v>1</v>
      </c>
      <c r="FT49" s="74">
        <v>1</v>
      </c>
      <c r="FU49" s="74">
        <v>1</v>
      </c>
      <c r="FV49" s="74">
        <v>1</v>
      </c>
      <c r="FW49" s="74">
        <v>1</v>
      </c>
      <c r="FX49" s="74">
        <v>1</v>
      </c>
      <c r="FY49" s="74">
        <v>1</v>
      </c>
      <c r="FZ49" s="74">
        <v>1</v>
      </c>
      <c r="GA49" s="74">
        <v>1</v>
      </c>
      <c r="GB49" s="74">
        <v>1</v>
      </c>
      <c r="GC49" s="74">
        <v>1</v>
      </c>
      <c r="GD49" s="74">
        <v>1</v>
      </c>
      <c r="GE49" s="74">
        <v>1</v>
      </c>
      <c r="GF49" s="74">
        <v>1</v>
      </c>
      <c r="GG49" s="74">
        <v>1</v>
      </c>
      <c r="GH49" s="74">
        <v>1</v>
      </c>
      <c r="GI49" s="74">
        <v>1</v>
      </c>
      <c r="GJ49" s="74">
        <v>1</v>
      </c>
      <c r="GK49" s="74">
        <v>1</v>
      </c>
      <c r="GL49" s="74">
        <v>1</v>
      </c>
      <c r="GM49" s="74">
        <v>1</v>
      </c>
      <c r="GN49" s="74">
        <v>1</v>
      </c>
      <c r="GO49" s="74">
        <v>1</v>
      </c>
      <c r="GP49" s="74">
        <v>1</v>
      </c>
      <c r="GQ49" s="78">
        <v>1</v>
      </c>
      <c r="GR49" s="74">
        <v>1</v>
      </c>
      <c r="GS49" s="74">
        <v>1</v>
      </c>
      <c r="GT49" s="74">
        <v>1</v>
      </c>
      <c r="GU49" s="74">
        <v>1</v>
      </c>
      <c r="GV49" s="74">
        <v>1</v>
      </c>
      <c r="GW49" s="74">
        <v>1</v>
      </c>
      <c r="GX49" s="74">
        <v>1</v>
      </c>
      <c r="GY49" s="74">
        <v>1</v>
      </c>
      <c r="GZ49" s="74">
        <v>1</v>
      </c>
      <c r="HA49" s="74">
        <v>1</v>
      </c>
      <c r="HB49" s="74">
        <v>1</v>
      </c>
      <c r="HC49" s="74">
        <v>1</v>
      </c>
      <c r="HD49" s="74">
        <v>1</v>
      </c>
      <c r="HE49" s="74">
        <v>1</v>
      </c>
      <c r="HF49" s="74">
        <v>1</v>
      </c>
      <c r="HG49" s="74">
        <v>1</v>
      </c>
      <c r="HH49" s="74">
        <v>1</v>
      </c>
      <c r="HI49" s="74">
        <v>1</v>
      </c>
      <c r="HJ49" s="74">
        <v>1</v>
      </c>
      <c r="HK49" s="74">
        <v>1</v>
      </c>
      <c r="HL49" s="74">
        <v>1</v>
      </c>
      <c r="HM49" s="74">
        <v>1</v>
      </c>
      <c r="HN49" s="74">
        <v>1</v>
      </c>
      <c r="HO49" s="74">
        <v>1</v>
      </c>
      <c r="HP49" s="74">
        <v>1</v>
      </c>
      <c r="HQ49" s="74">
        <v>1</v>
      </c>
      <c r="HR49" s="74">
        <v>1</v>
      </c>
      <c r="HS49" s="74">
        <v>1</v>
      </c>
      <c r="HT49" s="74">
        <v>1</v>
      </c>
      <c r="HU49" s="74">
        <v>1</v>
      </c>
      <c r="HV49" s="74">
        <v>1</v>
      </c>
      <c r="HW49" s="74">
        <v>1</v>
      </c>
      <c r="HX49" s="75">
        <v>1</v>
      </c>
    </row>
    <row r="50" spans="1:232" x14ac:dyDescent="0.2">
      <c r="B50" s="80" t="s">
        <v>96</v>
      </c>
      <c r="C50" s="80" t="s">
        <v>132</v>
      </c>
      <c r="D50" s="81">
        <v>5.2</v>
      </c>
      <c r="E50" s="80" t="s">
        <v>127</v>
      </c>
      <c r="F50" s="80" t="s">
        <v>123</v>
      </c>
      <c r="G50" s="78">
        <v>1</v>
      </c>
      <c r="H50" s="74">
        <v>1</v>
      </c>
      <c r="I50" s="74">
        <v>1</v>
      </c>
      <c r="J50" s="74">
        <v>1</v>
      </c>
      <c r="K50" s="74">
        <v>1</v>
      </c>
      <c r="L50" s="74">
        <v>1</v>
      </c>
      <c r="M50" s="74">
        <v>1</v>
      </c>
      <c r="N50" s="74">
        <v>1</v>
      </c>
      <c r="O50" s="74">
        <v>1</v>
      </c>
      <c r="P50" s="74">
        <v>1</v>
      </c>
      <c r="Q50" s="74">
        <v>1</v>
      </c>
      <c r="R50" s="74">
        <v>1</v>
      </c>
      <c r="S50" s="74">
        <v>1</v>
      </c>
      <c r="T50" s="74">
        <v>1</v>
      </c>
      <c r="U50" s="74">
        <v>1</v>
      </c>
      <c r="V50" s="74">
        <v>1</v>
      </c>
      <c r="W50" s="74">
        <v>1</v>
      </c>
      <c r="X50" s="74">
        <v>1</v>
      </c>
      <c r="Y50" s="74">
        <v>1</v>
      </c>
      <c r="Z50" s="74">
        <v>1</v>
      </c>
      <c r="AA50" s="74">
        <v>1</v>
      </c>
      <c r="AB50" s="74">
        <v>1</v>
      </c>
      <c r="AC50" s="74">
        <v>1</v>
      </c>
      <c r="AD50" s="74">
        <v>1</v>
      </c>
      <c r="AE50" s="78">
        <v>1</v>
      </c>
      <c r="AF50" s="74">
        <v>1</v>
      </c>
      <c r="AG50" s="74">
        <v>1</v>
      </c>
      <c r="AH50" s="74">
        <v>1</v>
      </c>
      <c r="AI50" s="74">
        <v>1</v>
      </c>
      <c r="AJ50" s="74">
        <v>1</v>
      </c>
      <c r="AK50" s="74">
        <v>1</v>
      </c>
      <c r="AL50" s="74">
        <v>1</v>
      </c>
      <c r="AM50" s="74">
        <v>1</v>
      </c>
      <c r="AN50" s="74">
        <v>1</v>
      </c>
      <c r="AO50" s="74">
        <v>1</v>
      </c>
      <c r="AP50" s="74">
        <v>1</v>
      </c>
      <c r="AQ50" s="74">
        <v>1</v>
      </c>
      <c r="AR50" s="74">
        <v>1</v>
      </c>
      <c r="AS50" s="74">
        <v>1</v>
      </c>
      <c r="AT50" s="74">
        <v>1</v>
      </c>
      <c r="AU50" s="74">
        <v>1</v>
      </c>
      <c r="AV50" s="74">
        <v>1</v>
      </c>
      <c r="AW50" s="74">
        <v>1</v>
      </c>
      <c r="AX50" s="74">
        <v>1</v>
      </c>
      <c r="AY50" s="74">
        <v>1</v>
      </c>
      <c r="AZ50" s="74">
        <v>1</v>
      </c>
      <c r="BA50" s="74">
        <v>1</v>
      </c>
      <c r="BB50" s="74">
        <v>1</v>
      </c>
      <c r="BC50" s="78">
        <v>1</v>
      </c>
      <c r="BD50" s="74">
        <v>1</v>
      </c>
      <c r="BE50" s="74">
        <v>1</v>
      </c>
      <c r="BF50" s="74">
        <v>1</v>
      </c>
      <c r="BG50" s="74">
        <v>1</v>
      </c>
      <c r="BH50" s="74">
        <v>1</v>
      </c>
      <c r="BI50" s="74">
        <v>1</v>
      </c>
      <c r="BJ50" s="74">
        <v>1</v>
      </c>
      <c r="BK50" s="74">
        <v>1</v>
      </c>
      <c r="BL50" s="74">
        <v>1</v>
      </c>
      <c r="BM50" s="74">
        <v>1</v>
      </c>
      <c r="BN50" s="74">
        <v>1</v>
      </c>
      <c r="BO50" s="74">
        <v>1</v>
      </c>
      <c r="BP50" s="74">
        <v>1</v>
      </c>
      <c r="BQ50" s="74">
        <v>1</v>
      </c>
      <c r="BR50" s="74">
        <v>1</v>
      </c>
      <c r="BS50" s="74">
        <v>1</v>
      </c>
      <c r="BT50" s="74">
        <v>1</v>
      </c>
      <c r="BU50" s="74">
        <v>1</v>
      </c>
      <c r="BV50" s="74">
        <v>1</v>
      </c>
      <c r="BW50" s="74">
        <v>1</v>
      </c>
      <c r="BX50" s="74">
        <v>1</v>
      </c>
      <c r="BY50" s="74">
        <v>1</v>
      </c>
      <c r="BZ50" s="74">
        <v>1</v>
      </c>
      <c r="CA50" s="78">
        <v>1</v>
      </c>
      <c r="CB50" s="74">
        <v>1</v>
      </c>
      <c r="CC50" s="74">
        <v>1</v>
      </c>
      <c r="CD50" s="74">
        <v>1</v>
      </c>
      <c r="CE50" s="74">
        <v>1</v>
      </c>
      <c r="CF50" s="74">
        <v>1</v>
      </c>
      <c r="CG50" s="74">
        <v>1</v>
      </c>
      <c r="CH50" s="74">
        <v>1</v>
      </c>
      <c r="CI50" s="74">
        <v>1</v>
      </c>
      <c r="CJ50" s="74">
        <v>1</v>
      </c>
      <c r="CK50" s="74">
        <v>1</v>
      </c>
      <c r="CL50" s="74">
        <v>1</v>
      </c>
      <c r="CM50" s="74">
        <v>1</v>
      </c>
      <c r="CN50" s="74">
        <v>1</v>
      </c>
      <c r="CO50" s="74">
        <v>1</v>
      </c>
      <c r="CP50" s="74">
        <v>1</v>
      </c>
      <c r="CQ50" s="74">
        <v>1</v>
      </c>
      <c r="CR50" s="74">
        <v>1</v>
      </c>
      <c r="CS50" s="74">
        <v>1</v>
      </c>
      <c r="CT50" s="74">
        <v>1</v>
      </c>
      <c r="CU50" s="74">
        <v>1</v>
      </c>
      <c r="CV50" s="74">
        <v>1</v>
      </c>
      <c r="CW50" s="74">
        <v>1</v>
      </c>
      <c r="CX50" s="74">
        <v>1</v>
      </c>
      <c r="CY50" s="78">
        <v>1</v>
      </c>
      <c r="CZ50" s="74">
        <v>1</v>
      </c>
      <c r="DA50" s="74">
        <v>1</v>
      </c>
      <c r="DB50" s="74">
        <v>1</v>
      </c>
      <c r="DC50" s="74">
        <v>1</v>
      </c>
      <c r="DD50" s="74">
        <v>1</v>
      </c>
      <c r="DE50" s="74">
        <v>1</v>
      </c>
      <c r="DF50" s="74">
        <v>1</v>
      </c>
      <c r="DG50" s="74">
        <v>1</v>
      </c>
      <c r="DH50" s="74">
        <v>1</v>
      </c>
      <c r="DI50" s="74">
        <v>1</v>
      </c>
      <c r="DJ50" s="74">
        <v>1</v>
      </c>
      <c r="DK50" s="74">
        <v>1</v>
      </c>
      <c r="DL50" s="74">
        <v>1</v>
      </c>
      <c r="DM50" s="74">
        <v>1</v>
      </c>
      <c r="DN50" s="74">
        <v>1</v>
      </c>
      <c r="DO50" s="74">
        <v>1</v>
      </c>
      <c r="DP50" s="74">
        <v>1</v>
      </c>
      <c r="DQ50" s="74">
        <v>1</v>
      </c>
      <c r="DR50" s="74">
        <v>1</v>
      </c>
      <c r="DS50" s="74">
        <v>1</v>
      </c>
      <c r="DT50" s="74">
        <v>1</v>
      </c>
      <c r="DU50" s="74">
        <v>1</v>
      </c>
      <c r="DV50" s="74">
        <v>1</v>
      </c>
      <c r="DW50" s="78">
        <v>1</v>
      </c>
      <c r="DX50" s="74">
        <v>1</v>
      </c>
      <c r="DY50" s="74">
        <v>1</v>
      </c>
      <c r="DZ50" s="74">
        <v>1</v>
      </c>
      <c r="EA50" s="74">
        <v>1</v>
      </c>
      <c r="EB50" s="74">
        <v>1</v>
      </c>
      <c r="EC50" s="74">
        <v>1</v>
      </c>
      <c r="ED50" s="74">
        <v>1</v>
      </c>
      <c r="EE50" s="74">
        <v>1</v>
      </c>
      <c r="EF50" s="74">
        <v>1</v>
      </c>
      <c r="EG50" s="74">
        <v>1</v>
      </c>
      <c r="EH50" s="74">
        <v>1</v>
      </c>
      <c r="EI50" s="74">
        <v>1</v>
      </c>
      <c r="EJ50" s="74">
        <v>1</v>
      </c>
      <c r="EK50" s="74">
        <v>1</v>
      </c>
      <c r="EL50" s="74">
        <v>1</v>
      </c>
      <c r="EM50" s="74">
        <v>1</v>
      </c>
      <c r="EN50" s="74">
        <v>1</v>
      </c>
      <c r="EO50" s="74">
        <v>1</v>
      </c>
      <c r="EP50" s="74">
        <v>1</v>
      </c>
      <c r="EQ50" s="74">
        <v>1</v>
      </c>
      <c r="ER50" s="74">
        <v>1</v>
      </c>
      <c r="ES50" s="74">
        <v>1</v>
      </c>
      <c r="ET50" s="74">
        <v>1</v>
      </c>
      <c r="EU50" s="78">
        <v>1</v>
      </c>
      <c r="EV50" s="74">
        <v>1</v>
      </c>
      <c r="EW50" s="74">
        <v>1</v>
      </c>
      <c r="EX50" s="74">
        <v>1</v>
      </c>
      <c r="EY50" s="74">
        <v>1</v>
      </c>
      <c r="EZ50" s="74">
        <v>1</v>
      </c>
      <c r="FA50" s="74">
        <v>1</v>
      </c>
      <c r="FB50" s="74">
        <v>1</v>
      </c>
      <c r="FC50" s="74">
        <v>1</v>
      </c>
      <c r="FD50" s="74">
        <v>1</v>
      </c>
      <c r="FE50" s="74">
        <v>1</v>
      </c>
      <c r="FF50" s="74">
        <v>1</v>
      </c>
      <c r="FG50" s="74">
        <v>1</v>
      </c>
      <c r="FH50" s="74">
        <v>1</v>
      </c>
      <c r="FI50" s="74">
        <v>1</v>
      </c>
      <c r="FJ50" s="74">
        <v>1</v>
      </c>
      <c r="FK50" s="74">
        <v>1</v>
      </c>
      <c r="FL50" s="74">
        <v>1</v>
      </c>
      <c r="FM50" s="74">
        <v>1</v>
      </c>
      <c r="FN50" s="74">
        <v>1</v>
      </c>
      <c r="FO50" s="74">
        <v>1</v>
      </c>
      <c r="FP50" s="74">
        <v>1</v>
      </c>
      <c r="FQ50" s="74">
        <v>1</v>
      </c>
      <c r="FR50" s="74">
        <v>1</v>
      </c>
      <c r="FS50" s="78">
        <v>1</v>
      </c>
      <c r="FT50" s="74">
        <v>1</v>
      </c>
      <c r="FU50" s="74">
        <v>1</v>
      </c>
      <c r="FV50" s="74">
        <v>1</v>
      </c>
      <c r="FW50" s="74">
        <v>1</v>
      </c>
      <c r="FX50" s="74">
        <v>1</v>
      </c>
      <c r="FY50" s="74">
        <v>1</v>
      </c>
      <c r="FZ50" s="74">
        <v>1</v>
      </c>
      <c r="GA50" s="74">
        <v>1</v>
      </c>
      <c r="GB50" s="74">
        <v>1</v>
      </c>
      <c r="GC50" s="74">
        <v>1</v>
      </c>
      <c r="GD50" s="74">
        <v>1</v>
      </c>
      <c r="GE50" s="74">
        <v>1</v>
      </c>
      <c r="GF50" s="74">
        <v>1</v>
      </c>
      <c r="GG50" s="74">
        <v>1</v>
      </c>
      <c r="GH50" s="74">
        <v>1</v>
      </c>
      <c r="GI50" s="74">
        <v>1</v>
      </c>
      <c r="GJ50" s="74">
        <v>1</v>
      </c>
      <c r="GK50" s="74">
        <v>1</v>
      </c>
      <c r="GL50" s="74">
        <v>1</v>
      </c>
      <c r="GM50" s="74">
        <v>1</v>
      </c>
      <c r="GN50" s="74">
        <v>1</v>
      </c>
      <c r="GO50" s="74">
        <v>1</v>
      </c>
      <c r="GP50" s="74">
        <v>1</v>
      </c>
      <c r="GQ50" s="78">
        <v>1</v>
      </c>
      <c r="GR50" s="74">
        <v>1</v>
      </c>
      <c r="GS50" s="74">
        <v>1</v>
      </c>
      <c r="GT50" s="74">
        <v>1</v>
      </c>
      <c r="GU50" s="74">
        <v>1</v>
      </c>
      <c r="GV50" s="74">
        <v>1</v>
      </c>
      <c r="GW50" s="74">
        <v>1</v>
      </c>
      <c r="GX50" s="74">
        <v>1</v>
      </c>
      <c r="GY50" s="74">
        <v>1</v>
      </c>
      <c r="GZ50" s="74">
        <v>1</v>
      </c>
      <c r="HA50" s="74">
        <v>1</v>
      </c>
      <c r="HB50" s="74">
        <v>1</v>
      </c>
      <c r="HC50" s="74">
        <v>1</v>
      </c>
      <c r="HD50" s="74">
        <v>1</v>
      </c>
      <c r="HE50" s="74">
        <v>1</v>
      </c>
      <c r="HF50" s="74">
        <v>1</v>
      </c>
      <c r="HG50" s="74">
        <v>1</v>
      </c>
      <c r="HH50" s="74">
        <v>1</v>
      </c>
      <c r="HI50" s="74">
        <v>1</v>
      </c>
      <c r="HJ50" s="74">
        <v>1</v>
      </c>
      <c r="HK50" s="74">
        <v>1</v>
      </c>
      <c r="HL50" s="74">
        <v>1</v>
      </c>
      <c r="HM50" s="74">
        <v>1</v>
      </c>
      <c r="HN50" s="74">
        <v>1</v>
      </c>
      <c r="HO50" s="74">
        <v>1</v>
      </c>
      <c r="HP50" s="74">
        <v>1</v>
      </c>
      <c r="HQ50" s="74">
        <v>1</v>
      </c>
      <c r="HR50" s="74">
        <v>1</v>
      </c>
      <c r="HS50" s="74">
        <v>1</v>
      </c>
      <c r="HT50" s="74">
        <v>1</v>
      </c>
      <c r="HU50" s="74">
        <v>1</v>
      </c>
      <c r="HV50" s="74">
        <v>1</v>
      </c>
      <c r="HW50" s="74">
        <v>1</v>
      </c>
      <c r="HX50" s="75">
        <v>1</v>
      </c>
    </row>
    <row r="51" spans="1:232" x14ac:dyDescent="0.2">
      <c r="B51" s="80" t="s">
        <v>97</v>
      </c>
      <c r="C51" s="80" t="s">
        <v>132</v>
      </c>
      <c r="D51" s="81">
        <v>5.2</v>
      </c>
      <c r="E51" s="80" t="s">
        <v>127</v>
      </c>
      <c r="F51" s="80" t="s">
        <v>123</v>
      </c>
      <c r="G51" s="78">
        <v>1</v>
      </c>
      <c r="H51" s="74">
        <v>1</v>
      </c>
      <c r="I51" s="74">
        <v>1</v>
      </c>
      <c r="J51" s="74">
        <v>1</v>
      </c>
      <c r="K51" s="74">
        <v>1</v>
      </c>
      <c r="L51" s="74">
        <v>1</v>
      </c>
      <c r="M51" s="74">
        <v>1</v>
      </c>
      <c r="N51" s="74">
        <v>1</v>
      </c>
      <c r="O51" s="74">
        <v>1</v>
      </c>
      <c r="P51" s="74">
        <v>1</v>
      </c>
      <c r="Q51" s="74">
        <v>1</v>
      </c>
      <c r="R51" s="74">
        <v>1</v>
      </c>
      <c r="S51" s="74">
        <v>1</v>
      </c>
      <c r="T51" s="74">
        <v>1</v>
      </c>
      <c r="U51" s="74">
        <v>1</v>
      </c>
      <c r="V51" s="74">
        <v>1</v>
      </c>
      <c r="W51" s="74">
        <v>1</v>
      </c>
      <c r="X51" s="74">
        <v>1</v>
      </c>
      <c r="Y51" s="74">
        <v>1</v>
      </c>
      <c r="Z51" s="74">
        <v>1</v>
      </c>
      <c r="AA51" s="74">
        <v>1</v>
      </c>
      <c r="AB51" s="74">
        <v>1</v>
      </c>
      <c r="AC51" s="74">
        <v>1</v>
      </c>
      <c r="AD51" s="74">
        <v>1</v>
      </c>
      <c r="AE51" s="78">
        <v>1</v>
      </c>
      <c r="AF51" s="74">
        <v>1</v>
      </c>
      <c r="AG51" s="74">
        <v>1</v>
      </c>
      <c r="AH51" s="74">
        <v>1</v>
      </c>
      <c r="AI51" s="74">
        <v>1</v>
      </c>
      <c r="AJ51" s="74">
        <v>1</v>
      </c>
      <c r="AK51" s="74">
        <v>1</v>
      </c>
      <c r="AL51" s="74">
        <v>1</v>
      </c>
      <c r="AM51" s="74">
        <v>1</v>
      </c>
      <c r="AN51" s="74">
        <v>1</v>
      </c>
      <c r="AO51" s="74">
        <v>1</v>
      </c>
      <c r="AP51" s="74">
        <v>1</v>
      </c>
      <c r="AQ51" s="74">
        <v>1</v>
      </c>
      <c r="AR51" s="74">
        <v>1</v>
      </c>
      <c r="AS51" s="74">
        <v>1</v>
      </c>
      <c r="AT51" s="74">
        <v>1</v>
      </c>
      <c r="AU51" s="74">
        <v>1</v>
      </c>
      <c r="AV51" s="74">
        <v>1</v>
      </c>
      <c r="AW51" s="74">
        <v>1</v>
      </c>
      <c r="AX51" s="74">
        <v>1</v>
      </c>
      <c r="AY51" s="74">
        <v>1</v>
      </c>
      <c r="AZ51" s="74">
        <v>1</v>
      </c>
      <c r="BA51" s="74">
        <v>1</v>
      </c>
      <c r="BB51" s="74">
        <v>1</v>
      </c>
      <c r="BC51" s="78">
        <v>1</v>
      </c>
      <c r="BD51" s="74">
        <v>1</v>
      </c>
      <c r="BE51" s="74">
        <v>1</v>
      </c>
      <c r="BF51" s="74">
        <v>1</v>
      </c>
      <c r="BG51" s="74">
        <v>1</v>
      </c>
      <c r="BH51" s="74">
        <v>1</v>
      </c>
      <c r="BI51" s="74">
        <v>1</v>
      </c>
      <c r="BJ51" s="74">
        <v>1</v>
      </c>
      <c r="BK51" s="74">
        <v>1</v>
      </c>
      <c r="BL51" s="74">
        <v>1</v>
      </c>
      <c r="BM51" s="74">
        <v>1</v>
      </c>
      <c r="BN51" s="74">
        <v>1</v>
      </c>
      <c r="BO51" s="74">
        <v>1</v>
      </c>
      <c r="BP51" s="74">
        <v>1</v>
      </c>
      <c r="BQ51" s="74">
        <v>1</v>
      </c>
      <c r="BR51" s="74">
        <v>1</v>
      </c>
      <c r="BS51" s="74">
        <v>1</v>
      </c>
      <c r="BT51" s="74">
        <v>1</v>
      </c>
      <c r="BU51" s="74">
        <v>1</v>
      </c>
      <c r="BV51" s="74">
        <v>1</v>
      </c>
      <c r="BW51" s="74">
        <v>1</v>
      </c>
      <c r="BX51" s="74">
        <v>1</v>
      </c>
      <c r="BY51" s="74">
        <v>1</v>
      </c>
      <c r="BZ51" s="74">
        <v>1</v>
      </c>
      <c r="CA51" s="78">
        <v>1</v>
      </c>
      <c r="CB51" s="74">
        <v>1</v>
      </c>
      <c r="CC51" s="74">
        <v>1</v>
      </c>
      <c r="CD51" s="74">
        <v>1</v>
      </c>
      <c r="CE51" s="74">
        <v>1</v>
      </c>
      <c r="CF51" s="74">
        <v>1</v>
      </c>
      <c r="CG51" s="74">
        <v>1</v>
      </c>
      <c r="CH51" s="74">
        <v>1</v>
      </c>
      <c r="CI51" s="74">
        <v>1</v>
      </c>
      <c r="CJ51" s="74">
        <v>1</v>
      </c>
      <c r="CK51" s="74">
        <v>1</v>
      </c>
      <c r="CL51" s="74">
        <v>1</v>
      </c>
      <c r="CM51" s="74">
        <v>1</v>
      </c>
      <c r="CN51" s="74">
        <v>1</v>
      </c>
      <c r="CO51" s="74">
        <v>1</v>
      </c>
      <c r="CP51" s="74">
        <v>1</v>
      </c>
      <c r="CQ51" s="74">
        <v>1</v>
      </c>
      <c r="CR51" s="74">
        <v>1</v>
      </c>
      <c r="CS51" s="74">
        <v>1</v>
      </c>
      <c r="CT51" s="74">
        <v>1</v>
      </c>
      <c r="CU51" s="74">
        <v>1</v>
      </c>
      <c r="CV51" s="74">
        <v>1</v>
      </c>
      <c r="CW51" s="74">
        <v>1</v>
      </c>
      <c r="CX51" s="74">
        <v>1</v>
      </c>
      <c r="CY51" s="78">
        <v>1</v>
      </c>
      <c r="CZ51" s="74">
        <v>1</v>
      </c>
      <c r="DA51" s="74">
        <v>1</v>
      </c>
      <c r="DB51" s="74">
        <v>1</v>
      </c>
      <c r="DC51" s="74">
        <v>1</v>
      </c>
      <c r="DD51" s="74">
        <v>1</v>
      </c>
      <c r="DE51" s="74">
        <v>1</v>
      </c>
      <c r="DF51" s="74">
        <v>1</v>
      </c>
      <c r="DG51" s="74">
        <v>1</v>
      </c>
      <c r="DH51" s="74">
        <v>1</v>
      </c>
      <c r="DI51" s="74">
        <v>1</v>
      </c>
      <c r="DJ51" s="74">
        <v>1</v>
      </c>
      <c r="DK51" s="74">
        <v>1</v>
      </c>
      <c r="DL51" s="74">
        <v>1</v>
      </c>
      <c r="DM51" s="74">
        <v>1</v>
      </c>
      <c r="DN51" s="74">
        <v>1</v>
      </c>
      <c r="DO51" s="74">
        <v>1</v>
      </c>
      <c r="DP51" s="74">
        <v>1</v>
      </c>
      <c r="DQ51" s="74">
        <v>1</v>
      </c>
      <c r="DR51" s="74">
        <v>1</v>
      </c>
      <c r="DS51" s="74">
        <v>1</v>
      </c>
      <c r="DT51" s="74">
        <v>1</v>
      </c>
      <c r="DU51" s="74">
        <v>1</v>
      </c>
      <c r="DV51" s="74">
        <v>1</v>
      </c>
      <c r="DW51" s="78">
        <v>1</v>
      </c>
      <c r="DX51" s="74">
        <v>1</v>
      </c>
      <c r="DY51" s="74">
        <v>1</v>
      </c>
      <c r="DZ51" s="74">
        <v>1</v>
      </c>
      <c r="EA51" s="74">
        <v>1</v>
      </c>
      <c r="EB51" s="74">
        <v>1</v>
      </c>
      <c r="EC51" s="74">
        <v>1</v>
      </c>
      <c r="ED51" s="74">
        <v>1</v>
      </c>
      <c r="EE51" s="74">
        <v>1</v>
      </c>
      <c r="EF51" s="74">
        <v>1</v>
      </c>
      <c r="EG51" s="74">
        <v>1</v>
      </c>
      <c r="EH51" s="74">
        <v>1</v>
      </c>
      <c r="EI51" s="74">
        <v>1</v>
      </c>
      <c r="EJ51" s="74">
        <v>1</v>
      </c>
      <c r="EK51" s="74">
        <v>1</v>
      </c>
      <c r="EL51" s="74">
        <v>1</v>
      </c>
      <c r="EM51" s="74">
        <v>1</v>
      </c>
      <c r="EN51" s="74">
        <v>1</v>
      </c>
      <c r="EO51" s="74">
        <v>1</v>
      </c>
      <c r="EP51" s="74">
        <v>1</v>
      </c>
      <c r="EQ51" s="74">
        <v>1</v>
      </c>
      <c r="ER51" s="74">
        <v>1</v>
      </c>
      <c r="ES51" s="74">
        <v>1</v>
      </c>
      <c r="ET51" s="74">
        <v>1</v>
      </c>
      <c r="EU51" s="78">
        <v>1</v>
      </c>
      <c r="EV51" s="74">
        <v>1</v>
      </c>
      <c r="EW51" s="74">
        <v>1</v>
      </c>
      <c r="EX51" s="74">
        <v>1</v>
      </c>
      <c r="EY51" s="74">
        <v>1</v>
      </c>
      <c r="EZ51" s="74">
        <v>1</v>
      </c>
      <c r="FA51" s="74">
        <v>1</v>
      </c>
      <c r="FB51" s="74">
        <v>1</v>
      </c>
      <c r="FC51" s="74">
        <v>1</v>
      </c>
      <c r="FD51" s="74">
        <v>1</v>
      </c>
      <c r="FE51" s="74">
        <v>1</v>
      </c>
      <c r="FF51" s="74">
        <v>1</v>
      </c>
      <c r="FG51" s="74">
        <v>1</v>
      </c>
      <c r="FH51" s="74">
        <v>1</v>
      </c>
      <c r="FI51" s="74">
        <v>1</v>
      </c>
      <c r="FJ51" s="74">
        <v>1</v>
      </c>
      <c r="FK51" s="74">
        <v>1</v>
      </c>
      <c r="FL51" s="74">
        <v>1</v>
      </c>
      <c r="FM51" s="74">
        <v>1</v>
      </c>
      <c r="FN51" s="74">
        <v>1</v>
      </c>
      <c r="FO51" s="74">
        <v>1</v>
      </c>
      <c r="FP51" s="74">
        <v>1</v>
      </c>
      <c r="FQ51" s="74">
        <v>1</v>
      </c>
      <c r="FR51" s="74">
        <v>1</v>
      </c>
      <c r="FS51" s="78">
        <v>1</v>
      </c>
      <c r="FT51" s="74">
        <v>1</v>
      </c>
      <c r="FU51" s="74">
        <v>1</v>
      </c>
      <c r="FV51" s="74">
        <v>1</v>
      </c>
      <c r="FW51" s="74">
        <v>1</v>
      </c>
      <c r="FX51" s="74">
        <v>1</v>
      </c>
      <c r="FY51" s="74">
        <v>1</v>
      </c>
      <c r="FZ51" s="74">
        <v>1</v>
      </c>
      <c r="GA51" s="74">
        <v>1</v>
      </c>
      <c r="GB51" s="74">
        <v>1</v>
      </c>
      <c r="GC51" s="74">
        <v>1</v>
      </c>
      <c r="GD51" s="74">
        <v>1</v>
      </c>
      <c r="GE51" s="74">
        <v>1</v>
      </c>
      <c r="GF51" s="74">
        <v>1</v>
      </c>
      <c r="GG51" s="74">
        <v>1</v>
      </c>
      <c r="GH51" s="74">
        <v>1</v>
      </c>
      <c r="GI51" s="74">
        <v>1</v>
      </c>
      <c r="GJ51" s="74">
        <v>1</v>
      </c>
      <c r="GK51" s="74">
        <v>1</v>
      </c>
      <c r="GL51" s="74">
        <v>1</v>
      </c>
      <c r="GM51" s="74">
        <v>1</v>
      </c>
      <c r="GN51" s="74">
        <v>1</v>
      </c>
      <c r="GO51" s="74">
        <v>1</v>
      </c>
      <c r="GP51" s="74">
        <v>1</v>
      </c>
      <c r="GQ51" s="78">
        <v>1</v>
      </c>
      <c r="GR51" s="74">
        <v>1</v>
      </c>
      <c r="GS51" s="74">
        <v>1</v>
      </c>
      <c r="GT51" s="74">
        <v>1</v>
      </c>
      <c r="GU51" s="74">
        <v>1</v>
      </c>
      <c r="GV51" s="74">
        <v>1</v>
      </c>
      <c r="GW51" s="74">
        <v>1</v>
      </c>
      <c r="GX51" s="74">
        <v>1</v>
      </c>
      <c r="GY51" s="74">
        <v>1</v>
      </c>
      <c r="GZ51" s="74">
        <v>1</v>
      </c>
      <c r="HA51" s="74">
        <v>1</v>
      </c>
      <c r="HB51" s="74">
        <v>1</v>
      </c>
      <c r="HC51" s="74">
        <v>1</v>
      </c>
      <c r="HD51" s="74">
        <v>1</v>
      </c>
      <c r="HE51" s="74">
        <v>1</v>
      </c>
      <c r="HF51" s="74">
        <v>1</v>
      </c>
      <c r="HG51" s="74">
        <v>1</v>
      </c>
      <c r="HH51" s="74">
        <v>1</v>
      </c>
      <c r="HI51" s="74">
        <v>1</v>
      </c>
      <c r="HJ51" s="74">
        <v>1</v>
      </c>
      <c r="HK51" s="74">
        <v>1</v>
      </c>
      <c r="HL51" s="74">
        <v>1</v>
      </c>
      <c r="HM51" s="74">
        <v>1</v>
      </c>
      <c r="HN51" s="74">
        <v>1</v>
      </c>
      <c r="HO51" s="74">
        <v>1</v>
      </c>
      <c r="HP51" s="74">
        <v>1</v>
      </c>
      <c r="HQ51" s="74">
        <v>1</v>
      </c>
      <c r="HR51" s="74">
        <v>1</v>
      </c>
      <c r="HS51" s="74">
        <v>1</v>
      </c>
      <c r="HT51" s="74">
        <v>1</v>
      </c>
      <c r="HU51" s="74">
        <v>1</v>
      </c>
      <c r="HV51" s="74">
        <v>1</v>
      </c>
      <c r="HW51" s="74">
        <v>1</v>
      </c>
      <c r="HX51" s="75">
        <v>1</v>
      </c>
    </row>
    <row r="52" spans="1:232" x14ac:dyDescent="0.2">
      <c r="B52" s="80" t="s">
        <v>98</v>
      </c>
      <c r="C52" s="80" t="s">
        <v>132</v>
      </c>
      <c r="D52" s="81">
        <v>5.2</v>
      </c>
      <c r="E52" s="80" t="s">
        <v>127</v>
      </c>
      <c r="F52" s="80" t="s">
        <v>123</v>
      </c>
      <c r="G52" s="78">
        <v>1</v>
      </c>
      <c r="H52" s="74">
        <v>1</v>
      </c>
      <c r="I52" s="74">
        <v>1</v>
      </c>
      <c r="J52" s="74">
        <v>1</v>
      </c>
      <c r="K52" s="74">
        <v>1</v>
      </c>
      <c r="L52" s="74">
        <v>1</v>
      </c>
      <c r="M52" s="74">
        <v>1</v>
      </c>
      <c r="N52" s="74">
        <v>1</v>
      </c>
      <c r="O52" s="74">
        <v>1</v>
      </c>
      <c r="P52" s="74">
        <v>1</v>
      </c>
      <c r="Q52" s="74">
        <v>1</v>
      </c>
      <c r="R52" s="74">
        <v>1</v>
      </c>
      <c r="S52" s="74">
        <v>1</v>
      </c>
      <c r="T52" s="74">
        <v>1</v>
      </c>
      <c r="U52" s="74">
        <v>1</v>
      </c>
      <c r="V52" s="74">
        <v>1</v>
      </c>
      <c r="W52" s="74">
        <v>1</v>
      </c>
      <c r="X52" s="74">
        <v>1</v>
      </c>
      <c r="Y52" s="74">
        <v>1</v>
      </c>
      <c r="Z52" s="74">
        <v>1</v>
      </c>
      <c r="AA52" s="74">
        <v>1</v>
      </c>
      <c r="AB52" s="74">
        <v>1</v>
      </c>
      <c r="AC52" s="74">
        <v>1</v>
      </c>
      <c r="AD52" s="74">
        <v>1</v>
      </c>
      <c r="AE52" s="78">
        <v>1</v>
      </c>
      <c r="AF52" s="74">
        <v>1</v>
      </c>
      <c r="AG52" s="74">
        <v>1</v>
      </c>
      <c r="AH52" s="74">
        <v>1</v>
      </c>
      <c r="AI52" s="74">
        <v>1</v>
      </c>
      <c r="AJ52" s="74">
        <v>1</v>
      </c>
      <c r="AK52" s="74">
        <v>1</v>
      </c>
      <c r="AL52" s="74">
        <v>1</v>
      </c>
      <c r="AM52" s="74">
        <v>1</v>
      </c>
      <c r="AN52" s="74">
        <v>1</v>
      </c>
      <c r="AO52" s="74">
        <v>1</v>
      </c>
      <c r="AP52" s="74">
        <v>1</v>
      </c>
      <c r="AQ52" s="74">
        <v>1</v>
      </c>
      <c r="AR52" s="74">
        <v>1</v>
      </c>
      <c r="AS52" s="74">
        <v>1</v>
      </c>
      <c r="AT52" s="74">
        <v>1</v>
      </c>
      <c r="AU52" s="74">
        <v>1</v>
      </c>
      <c r="AV52" s="74">
        <v>1</v>
      </c>
      <c r="AW52" s="74">
        <v>1</v>
      </c>
      <c r="AX52" s="74">
        <v>1</v>
      </c>
      <c r="AY52" s="74">
        <v>1</v>
      </c>
      <c r="AZ52" s="74">
        <v>1</v>
      </c>
      <c r="BA52" s="74">
        <v>1</v>
      </c>
      <c r="BB52" s="74">
        <v>1</v>
      </c>
      <c r="BC52" s="78">
        <v>1</v>
      </c>
      <c r="BD52" s="74">
        <v>1</v>
      </c>
      <c r="BE52" s="74">
        <v>1</v>
      </c>
      <c r="BF52" s="74">
        <v>1</v>
      </c>
      <c r="BG52" s="74">
        <v>1</v>
      </c>
      <c r="BH52" s="74">
        <v>1</v>
      </c>
      <c r="BI52" s="74">
        <v>1</v>
      </c>
      <c r="BJ52" s="74">
        <v>1</v>
      </c>
      <c r="BK52" s="74">
        <v>1</v>
      </c>
      <c r="BL52" s="74">
        <v>1</v>
      </c>
      <c r="BM52" s="74">
        <v>1</v>
      </c>
      <c r="BN52" s="74">
        <v>1</v>
      </c>
      <c r="BO52" s="74">
        <v>1</v>
      </c>
      <c r="BP52" s="74">
        <v>1</v>
      </c>
      <c r="BQ52" s="74">
        <v>1</v>
      </c>
      <c r="BR52" s="74">
        <v>1</v>
      </c>
      <c r="BS52" s="74">
        <v>1</v>
      </c>
      <c r="BT52" s="74">
        <v>1</v>
      </c>
      <c r="BU52" s="74">
        <v>1</v>
      </c>
      <c r="BV52" s="74">
        <v>1</v>
      </c>
      <c r="BW52" s="74">
        <v>1</v>
      </c>
      <c r="BX52" s="74">
        <v>1</v>
      </c>
      <c r="BY52" s="74">
        <v>1</v>
      </c>
      <c r="BZ52" s="74">
        <v>1</v>
      </c>
      <c r="CA52" s="78">
        <v>1</v>
      </c>
      <c r="CB52" s="74">
        <v>1</v>
      </c>
      <c r="CC52" s="74">
        <v>1</v>
      </c>
      <c r="CD52" s="74">
        <v>1</v>
      </c>
      <c r="CE52" s="74">
        <v>1</v>
      </c>
      <c r="CF52" s="74">
        <v>1</v>
      </c>
      <c r="CG52" s="74">
        <v>1</v>
      </c>
      <c r="CH52" s="74">
        <v>1</v>
      </c>
      <c r="CI52" s="74">
        <v>1</v>
      </c>
      <c r="CJ52" s="74">
        <v>1</v>
      </c>
      <c r="CK52" s="74">
        <v>1</v>
      </c>
      <c r="CL52" s="74">
        <v>1</v>
      </c>
      <c r="CM52" s="74">
        <v>1</v>
      </c>
      <c r="CN52" s="74">
        <v>1</v>
      </c>
      <c r="CO52" s="74">
        <v>1</v>
      </c>
      <c r="CP52" s="74">
        <v>1</v>
      </c>
      <c r="CQ52" s="74">
        <v>1</v>
      </c>
      <c r="CR52" s="74">
        <v>1</v>
      </c>
      <c r="CS52" s="74">
        <v>1</v>
      </c>
      <c r="CT52" s="74">
        <v>1</v>
      </c>
      <c r="CU52" s="74">
        <v>1</v>
      </c>
      <c r="CV52" s="74">
        <v>1</v>
      </c>
      <c r="CW52" s="74">
        <v>1</v>
      </c>
      <c r="CX52" s="74">
        <v>1</v>
      </c>
      <c r="CY52" s="78">
        <v>1</v>
      </c>
      <c r="CZ52" s="74">
        <v>1</v>
      </c>
      <c r="DA52" s="74">
        <v>1</v>
      </c>
      <c r="DB52" s="74">
        <v>1</v>
      </c>
      <c r="DC52" s="74">
        <v>1</v>
      </c>
      <c r="DD52" s="74">
        <v>1</v>
      </c>
      <c r="DE52" s="74">
        <v>1</v>
      </c>
      <c r="DF52" s="74">
        <v>1</v>
      </c>
      <c r="DG52" s="74">
        <v>1</v>
      </c>
      <c r="DH52" s="74">
        <v>1</v>
      </c>
      <c r="DI52" s="74">
        <v>1</v>
      </c>
      <c r="DJ52" s="74">
        <v>1</v>
      </c>
      <c r="DK52" s="74">
        <v>1</v>
      </c>
      <c r="DL52" s="74">
        <v>1</v>
      </c>
      <c r="DM52" s="74">
        <v>1</v>
      </c>
      <c r="DN52" s="74">
        <v>1</v>
      </c>
      <c r="DO52" s="74">
        <v>1</v>
      </c>
      <c r="DP52" s="74">
        <v>1</v>
      </c>
      <c r="DQ52" s="74">
        <v>1</v>
      </c>
      <c r="DR52" s="74">
        <v>1</v>
      </c>
      <c r="DS52" s="74">
        <v>1</v>
      </c>
      <c r="DT52" s="74">
        <v>1</v>
      </c>
      <c r="DU52" s="74">
        <v>1</v>
      </c>
      <c r="DV52" s="74">
        <v>1</v>
      </c>
      <c r="DW52" s="78">
        <v>1</v>
      </c>
      <c r="DX52" s="74">
        <v>1</v>
      </c>
      <c r="DY52" s="74">
        <v>1</v>
      </c>
      <c r="DZ52" s="74">
        <v>1</v>
      </c>
      <c r="EA52" s="74">
        <v>1</v>
      </c>
      <c r="EB52" s="74">
        <v>1</v>
      </c>
      <c r="EC52" s="74">
        <v>1</v>
      </c>
      <c r="ED52" s="74">
        <v>1</v>
      </c>
      <c r="EE52" s="74">
        <v>1</v>
      </c>
      <c r="EF52" s="74">
        <v>1</v>
      </c>
      <c r="EG52" s="74">
        <v>1</v>
      </c>
      <c r="EH52" s="74">
        <v>1</v>
      </c>
      <c r="EI52" s="74">
        <v>1</v>
      </c>
      <c r="EJ52" s="74">
        <v>1</v>
      </c>
      <c r="EK52" s="74">
        <v>1</v>
      </c>
      <c r="EL52" s="74">
        <v>1</v>
      </c>
      <c r="EM52" s="74">
        <v>1</v>
      </c>
      <c r="EN52" s="74">
        <v>1</v>
      </c>
      <c r="EO52" s="74">
        <v>1</v>
      </c>
      <c r="EP52" s="74">
        <v>1</v>
      </c>
      <c r="EQ52" s="74">
        <v>1</v>
      </c>
      <c r="ER52" s="74">
        <v>1</v>
      </c>
      <c r="ES52" s="74">
        <v>1</v>
      </c>
      <c r="ET52" s="74">
        <v>1</v>
      </c>
      <c r="EU52" s="78">
        <v>1</v>
      </c>
      <c r="EV52" s="74">
        <v>1</v>
      </c>
      <c r="EW52" s="74">
        <v>1</v>
      </c>
      <c r="EX52" s="74">
        <v>1</v>
      </c>
      <c r="EY52" s="74">
        <v>1</v>
      </c>
      <c r="EZ52" s="74">
        <v>1</v>
      </c>
      <c r="FA52" s="74">
        <v>1</v>
      </c>
      <c r="FB52" s="74">
        <v>1</v>
      </c>
      <c r="FC52" s="74">
        <v>1</v>
      </c>
      <c r="FD52" s="74">
        <v>1</v>
      </c>
      <c r="FE52" s="74">
        <v>1</v>
      </c>
      <c r="FF52" s="74">
        <v>1</v>
      </c>
      <c r="FG52" s="74">
        <v>1</v>
      </c>
      <c r="FH52" s="74">
        <v>1</v>
      </c>
      <c r="FI52" s="74">
        <v>1</v>
      </c>
      <c r="FJ52" s="74">
        <v>1</v>
      </c>
      <c r="FK52" s="74">
        <v>1</v>
      </c>
      <c r="FL52" s="74">
        <v>1</v>
      </c>
      <c r="FM52" s="74">
        <v>1</v>
      </c>
      <c r="FN52" s="74">
        <v>1</v>
      </c>
      <c r="FO52" s="74">
        <v>1</v>
      </c>
      <c r="FP52" s="74">
        <v>1</v>
      </c>
      <c r="FQ52" s="74">
        <v>1</v>
      </c>
      <c r="FR52" s="74">
        <v>1</v>
      </c>
      <c r="FS52" s="78">
        <v>1</v>
      </c>
      <c r="FT52" s="74">
        <v>1</v>
      </c>
      <c r="FU52" s="74">
        <v>1</v>
      </c>
      <c r="FV52" s="74">
        <v>1</v>
      </c>
      <c r="FW52" s="74">
        <v>1</v>
      </c>
      <c r="FX52" s="74">
        <v>1</v>
      </c>
      <c r="FY52" s="74">
        <v>1</v>
      </c>
      <c r="FZ52" s="74">
        <v>1</v>
      </c>
      <c r="GA52" s="74">
        <v>1</v>
      </c>
      <c r="GB52" s="74">
        <v>1</v>
      </c>
      <c r="GC52" s="74">
        <v>1</v>
      </c>
      <c r="GD52" s="74">
        <v>1</v>
      </c>
      <c r="GE52" s="74">
        <v>1</v>
      </c>
      <c r="GF52" s="74">
        <v>1</v>
      </c>
      <c r="GG52" s="74">
        <v>1</v>
      </c>
      <c r="GH52" s="74">
        <v>1</v>
      </c>
      <c r="GI52" s="74">
        <v>1</v>
      </c>
      <c r="GJ52" s="74">
        <v>1</v>
      </c>
      <c r="GK52" s="74">
        <v>1</v>
      </c>
      <c r="GL52" s="74">
        <v>1</v>
      </c>
      <c r="GM52" s="74">
        <v>1</v>
      </c>
      <c r="GN52" s="74">
        <v>1</v>
      </c>
      <c r="GO52" s="74">
        <v>1</v>
      </c>
      <c r="GP52" s="74">
        <v>1</v>
      </c>
      <c r="GQ52" s="78">
        <v>1</v>
      </c>
      <c r="GR52" s="74">
        <v>1</v>
      </c>
      <c r="GS52" s="74">
        <v>1</v>
      </c>
      <c r="GT52" s="74">
        <v>1</v>
      </c>
      <c r="GU52" s="74">
        <v>1</v>
      </c>
      <c r="GV52" s="74">
        <v>1</v>
      </c>
      <c r="GW52" s="74">
        <v>1</v>
      </c>
      <c r="GX52" s="74">
        <v>1</v>
      </c>
      <c r="GY52" s="74">
        <v>1</v>
      </c>
      <c r="GZ52" s="74">
        <v>1</v>
      </c>
      <c r="HA52" s="74">
        <v>1</v>
      </c>
      <c r="HB52" s="74">
        <v>1</v>
      </c>
      <c r="HC52" s="74">
        <v>1</v>
      </c>
      <c r="HD52" s="74">
        <v>1</v>
      </c>
      <c r="HE52" s="74">
        <v>1</v>
      </c>
      <c r="HF52" s="74">
        <v>1</v>
      </c>
      <c r="HG52" s="74">
        <v>1</v>
      </c>
      <c r="HH52" s="74">
        <v>1</v>
      </c>
      <c r="HI52" s="74">
        <v>1</v>
      </c>
      <c r="HJ52" s="74">
        <v>1</v>
      </c>
      <c r="HK52" s="74">
        <v>1</v>
      </c>
      <c r="HL52" s="74">
        <v>1</v>
      </c>
      <c r="HM52" s="74">
        <v>1</v>
      </c>
      <c r="HN52" s="74">
        <v>1</v>
      </c>
      <c r="HO52" s="74">
        <v>1</v>
      </c>
      <c r="HP52" s="74">
        <v>1</v>
      </c>
      <c r="HQ52" s="74">
        <v>1</v>
      </c>
      <c r="HR52" s="74">
        <v>1</v>
      </c>
      <c r="HS52" s="74">
        <v>1</v>
      </c>
      <c r="HT52" s="74">
        <v>1</v>
      </c>
      <c r="HU52" s="74">
        <v>1</v>
      </c>
      <c r="HV52" s="74">
        <v>1</v>
      </c>
      <c r="HW52" s="74">
        <v>1</v>
      </c>
      <c r="HX52" s="75">
        <v>1</v>
      </c>
    </row>
    <row r="53" spans="1:232" x14ac:dyDescent="0.2">
      <c r="B53" s="80" t="s">
        <v>99</v>
      </c>
      <c r="C53" s="80" t="s">
        <v>132</v>
      </c>
      <c r="D53" s="81">
        <v>5.2</v>
      </c>
      <c r="E53" s="80" t="s">
        <v>127</v>
      </c>
      <c r="F53" s="80" t="s">
        <v>123</v>
      </c>
      <c r="G53" s="78">
        <v>1</v>
      </c>
      <c r="H53" s="74">
        <v>1</v>
      </c>
      <c r="I53" s="74">
        <v>1</v>
      </c>
      <c r="J53" s="74">
        <v>1</v>
      </c>
      <c r="K53" s="74">
        <v>1</v>
      </c>
      <c r="L53" s="74">
        <v>1</v>
      </c>
      <c r="M53" s="74">
        <v>1</v>
      </c>
      <c r="N53" s="74">
        <v>1</v>
      </c>
      <c r="O53" s="74">
        <v>1</v>
      </c>
      <c r="P53" s="74">
        <v>1</v>
      </c>
      <c r="Q53" s="74">
        <v>1</v>
      </c>
      <c r="R53" s="74">
        <v>1</v>
      </c>
      <c r="S53" s="74">
        <v>1</v>
      </c>
      <c r="T53" s="74">
        <v>1</v>
      </c>
      <c r="U53" s="74">
        <v>1</v>
      </c>
      <c r="V53" s="74">
        <v>1</v>
      </c>
      <c r="W53" s="74">
        <v>1</v>
      </c>
      <c r="X53" s="74">
        <v>1</v>
      </c>
      <c r="Y53" s="74">
        <v>1</v>
      </c>
      <c r="Z53" s="74">
        <v>1</v>
      </c>
      <c r="AA53" s="74">
        <v>1</v>
      </c>
      <c r="AB53" s="74">
        <v>1</v>
      </c>
      <c r="AC53" s="74">
        <v>1</v>
      </c>
      <c r="AD53" s="74">
        <v>1</v>
      </c>
      <c r="AE53" s="78">
        <v>1</v>
      </c>
      <c r="AF53" s="74">
        <v>1</v>
      </c>
      <c r="AG53" s="74">
        <v>1</v>
      </c>
      <c r="AH53" s="74">
        <v>1</v>
      </c>
      <c r="AI53" s="74">
        <v>1</v>
      </c>
      <c r="AJ53" s="74">
        <v>1</v>
      </c>
      <c r="AK53" s="74">
        <v>1</v>
      </c>
      <c r="AL53" s="74">
        <v>1</v>
      </c>
      <c r="AM53" s="74">
        <v>1</v>
      </c>
      <c r="AN53" s="74">
        <v>1</v>
      </c>
      <c r="AO53" s="74">
        <v>1</v>
      </c>
      <c r="AP53" s="74">
        <v>1</v>
      </c>
      <c r="AQ53" s="74">
        <v>1</v>
      </c>
      <c r="AR53" s="74">
        <v>1</v>
      </c>
      <c r="AS53" s="74">
        <v>1</v>
      </c>
      <c r="AT53" s="74">
        <v>1</v>
      </c>
      <c r="AU53" s="74">
        <v>1</v>
      </c>
      <c r="AV53" s="74">
        <v>1</v>
      </c>
      <c r="AW53" s="74">
        <v>1</v>
      </c>
      <c r="AX53" s="74">
        <v>1</v>
      </c>
      <c r="AY53" s="74">
        <v>1</v>
      </c>
      <c r="AZ53" s="74">
        <v>1</v>
      </c>
      <c r="BA53" s="74">
        <v>1</v>
      </c>
      <c r="BB53" s="74">
        <v>1</v>
      </c>
      <c r="BC53" s="78">
        <v>1</v>
      </c>
      <c r="BD53" s="74">
        <v>1</v>
      </c>
      <c r="BE53" s="74">
        <v>1</v>
      </c>
      <c r="BF53" s="74">
        <v>1</v>
      </c>
      <c r="BG53" s="74">
        <v>1</v>
      </c>
      <c r="BH53" s="74">
        <v>1</v>
      </c>
      <c r="BI53" s="74">
        <v>1</v>
      </c>
      <c r="BJ53" s="74">
        <v>1</v>
      </c>
      <c r="BK53" s="74">
        <v>1</v>
      </c>
      <c r="BL53" s="74">
        <v>1</v>
      </c>
      <c r="BM53" s="74">
        <v>1</v>
      </c>
      <c r="BN53" s="74">
        <v>1</v>
      </c>
      <c r="BO53" s="74">
        <v>1</v>
      </c>
      <c r="BP53" s="74">
        <v>1</v>
      </c>
      <c r="BQ53" s="74">
        <v>1</v>
      </c>
      <c r="BR53" s="74">
        <v>1</v>
      </c>
      <c r="BS53" s="74">
        <v>1</v>
      </c>
      <c r="BT53" s="74">
        <v>1</v>
      </c>
      <c r="BU53" s="74">
        <v>1</v>
      </c>
      <c r="BV53" s="74">
        <v>1</v>
      </c>
      <c r="BW53" s="74">
        <v>1</v>
      </c>
      <c r="BX53" s="74">
        <v>1</v>
      </c>
      <c r="BY53" s="74">
        <v>1</v>
      </c>
      <c r="BZ53" s="74">
        <v>1</v>
      </c>
      <c r="CA53" s="78">
        <v>1</v>
      </c>
      <c r="CB53" s="74">
        <v>1</v>
      </c>
      <c r="CC53" s="74">
        <v>1</v>
      </c>
      <c r="CD53" s="74">
        <v>1</v>
      </c>
      <c r="CE53" s="74">
        <v>1</v>
      </c>
      <c r="CF53" s="74">
        <v>1</v>
      </c>
      <c r="CG53" s="74">
        <v>1</v>
      </c>
      <c r="CH53" s="74">
        <v>1</v>
      </c>
      <c r="CI53" s="74">
        <v>1</v>
      </c>
      <c r="CJ53" s="74">
        <v>1</v>
      </c>
      <c r="CK53" s="74">
        <v>1</v>
      </c>
      <c r="CL53" s="74">
        <v>1</v>
      </c>
      <c r="CM53" s="74">
        <v>1</v>
      </c>
      <c r="CN53" s="74">
        <v>1</v>
      </c>
      <c r="CO53" s="74">
        <v>1</v>
      </c>
      <c r="CP53" s="74">
        <v>1</v>
      </c>
      <c r="CQ53" s="74">
        <v>1</v>
      </c>
      <c r="CR53" s="74">
        <v>1</v>
      </c>
      <c r="CS53" s="74">
        <v>1</v>
      </c>
      <c r="CT53" s="74">
        <v>1</v>
      </c>
      <c r="CU53" s="74">
        <v>1</v>
      </c>
      <c r="CV53" s="74">
        <v>1</v>
      </c>
      <c r="CW53" s="74">
        <v>1</v>
      </c>
      <c r="CX53" s="74">
        <v>1</v>
      </c>
      <c r="CY53" s="78">
        <v>1</v>
      </c>
      <c r="CZ53" s="74">
        <v>1</v>
      </c>
      <c r="DA53" s="74">
        <v>1</v>
      </c>
      <c r="DB53" s="74">
        <v>1</v>
      </c>
      <c r="DC53" s="74">
        <v>1</v>
      </c>
      <c r="DD53" s="74">
        <v>1</v>
      </c>
      <c r="DE53" s="74">
        <v>1</v>
      </c>
      <c r="DF53" s="74">
        <v>1</v>
      </c>
      <c r="DG53" s="74">
        <v>1</v>
      </c>
      <c r="DH53" s="74">
        <v>1</v>
      </c>
      <c r="DI53" s="74">
        <v>1</v>
      </c>
      <c r="DJ53" s="74">
        <v>1</v>
      </c>
      <c r="DK53" s="74">
        <v>1</v>
      </c>
      <c r="DL53" s="74">
        <v>1</v>
      </c>
      <c r="DM53" s="74">
        <v>1</v>
      </c>
      <c r="DN53" s="74">
        <v>1</v>
      </c>
      <c r="DO53" s="74">
        <v>1</v>
      </c>
      <c r="DP53" s="74">
        <v>1</v>
      </c>
      <c r="DQ53" s="74">
        <v>1</v>
      </c>
      <c r="DR53" s="74">
        <v>1</v>
      </c>
      <c r="DS53" s="74">
        <v>1</v>
      </c>
      <c r="DT53" s="74">
        <v>1</v>
      </c>
      <c r="DU53" s="74">
        <v>1</v>
      </c>
      <c r="DV53" s="74">
        <v>1</v>
      </c>
      <c r="DW53" s="78">
        <v>1</v>
      </c>
      <c r="DX53" s="74">
        <v>1</v>
      </c>
      <c r="DY53" s="74">
        <v>1</v>
      </c>
      <c r="DZ53" s="74">
        <v>1</v>
      </c>
      <c r="EA53" s="74">
        <v>1</v>
      </c>
      <c r="EB53" s="74">
        <v>1</v>
      </c>
      <c r="EC53" s="74">
        <v>1</v>
      </c>
      <c r="ED53" s="74">
        <v>1</v>
      </c>
      <c r="EE53" s="74">
        <v>1</v>
      </c>
      <c r="EF53" s="74">
        <v>1</v>
      </c>
      <c r="EG53" s="74">
        <v>1</v>
      </c>
      <c r="EH53" s="74">
        <v>1</v>
      </c>
      <c r="EI53" s="74">
        <v>1</v>
      </c>
      <c r="EJ53" s="74">
        <v>1</v>
      </c>
      <c r="EK53" s="74">
        <v>1</v>
      </c>
      <c r="EL53" s="74">
        <v>1</v>
      </c>
      <c r="EM53" s="74">
        <v>1</v>
      </c>
      <c r="EN53" s="74">
        <v>1</v>
      </c>
      <c r="EO53" s="74">
        <v>1</v>
      </c>
      <c r="EP53" s="74">
        <v>1</v>
      </c>
      <c r="EQ53" s="74">
        <v>1</v>
      </c>
      <c r="ER53" s="74">
        <v>1</v>
      </c>
      <c r="ES53" s="74">
        <v>1</v>
      </c>
      <c r="ET53" s="74">
        <v>1</v>
      </c>
      <c r="EU53" s="78">
        <v>1</v>
      </c>
      <c r="EV53" s="74">
        <v>1</v>
      </c>
      <c r="EW53" s="74">
        <v>1</v>
      </c>
      <c r="EX53" s="74">
        <v>1</v>
      </c>
      <c r="EY53" s="74">
        <v>1</v>
      </c>
      <c r="EZ53" s="74">
        <v>1</v>
      </c>
      <c r="FA53" s="74">
        <v>1</v>
      </c>
      <c r="FB53" s="74">
        <v>1</v>
      </c>
      <c r="FC53" s="74">
        <v>1</v>
      </c>
      <c r="FD53" s="74">
        <v>1</v>
      </c>
      <c r="FE53" s="74">
        <v>1</v>
      </c>
      <c r="FF53" s="74">
        <v>1</v>
      </c>
      <c r="FG53" s="74">
        <v>1</v>
      </c>
      <c r="FH53" s="74">
        <v>1</v>
      </c>
      <c r="FI53" s="74">
        <v>1</v>
      </c>
      <c r="FJ53" s="74">
        <v>1</v>
      </c>
      <c r="FK53" s="74">
        <v>1</v>
      </c>
      <c r="FL53" s="74">
        <v>1</v>
      </c>
      <c r="FM53" s="74">
        <v>1</v>
      </c>
      <c r="FN53" s="74">
        <v>1</v>
      </c>
      <c r="FO53" s="74">
        <v>1</v>
      </c>
      <c r="FP53" s="74">
        <v>1</v>
      </c>
      <c r="FQ53" s="74">
        <v>1</v>
      </c>
      <c r="FR53" s="74">
        <v>1</v>
      </c>
      <c r="FS53" s="78">
        <v>1</v>
      </c>
      <c r="FT53" s="74">
        <v>1</v>
      </c>
      <c r="FU53" s="74">
        <v>1</v>
      </c>
      <c r="FV53" s="74">
        <v>1</v>
      </c>
      <c r="FW53" s="74">
        <v>1</v>
      </c>
      <c r="FX53" s="74">
        <v>1</v>
      </c>
      <c r="FY53" s="74">
        <v>1</v>
      </c>
      <c r="FZ53" s="74">
        <v>1</v>
      </c>
      <c r="GA53" s="74">
        <v>1</v>
      </c>
      <c r="GB53" s="74">
        <v>1</v>
      </c>
      <c r="GC53" s="74">
        <v>1</v>
      </c>
      <c r="GD53" s="74">
        <v>1</v>
      </c>
      <c r="GE53" s="74">
        <v>1</v>
      </c>
      <c r="GF53" s="74">
        <v>1</v>
      </c>
      <c r="GG53" s="74">
        <v>1</v>
      </c>
      <c r="GH53" s="74">
        <v>1</v>
      </c>
      <c r="GI53" s="74">
        <v>1</v>
      </c>
      <c r="GJ53" s="74">
        <v>1</v>
      </c>
      <c r="GK53" s="74">
        <v>1</v>
      </c>
      <c r="GL53" s="74">
        <v>1</v>
      </c>
      <c r="GM53" s="74">
        <v>1</v>
      </c>
      <c r="GN53" s="74">
        <v>1</v>
      </c>
      <c r="GO53" s="74">
        <v>1</v>
      </c>
      <c r="GP53" s="74">
        <v>1</v>
      </c>
      <c r="GQ53" s="78">
        <v>1</v>
      </c>
      <c r="GR53" s="74">
        <v>1</v>
      </c>
      <c r="GS53" s="74">
        <v>1</v>
      </c>
      <c r="GT53" s="74">
        <v>1</v>
      </c>
      <c r="GU53" s="74">
        <v>1</v>
      </c>
      <c r="GV53" s="74">
        <v>1</v>
      </c>
      <c r="GW53" s="74">
        <v>1</v>
      </c>
      <c r="GX53" s="74">
        <v>1</v>
      </c>
      <c r="GY53" s="74">
        <v>1</v>
      </c>
      <c r="GZ53" s="74">
        <v>1</v>
      </c>
      <c r="HA53" s="74">
        <v>1</v>
      </c>
      <c r="HB53" s="74">
        <v>1</v>
      </c>
      <c r="HC53" s="74">
        <v>1</v>
      </c>
      <c r="HD53" s="74">
        <v>1</v>
      </c>
      <c r="HE53" s="74">
        <v>1</v>
      </c>
      <c r="HF53" s="74">
        <v>1</v>
      </c>
      <c r="HG53" s="74">
        <v>1</v>
      </c>
      <c r="HH53" s="74">
        <v>1</v>
      </c>
      <c r="HI53" s="74">
        <v>1</v>
      </c>
      <c r="HJ53" s="74">
        <v>1</v>
      </c>
      <c r="HK53" s="74">
        <v>1</v>
      </c>
      <c r="HL53" s="74">
        <v>1</v>
      </c>
      <c r="HM53" s="74">
        <v>1</v>
      </c>
      <c r="HN53" s="74">
        <v>1</v>
      </c>
      <c r="HO53" s="74">
        <v>1</v>
      </c>
      <c r="HP53" s="74">
        <v>1</v>
      </c>
      <c r="HQ53" s="74">
        <v>1</v>
      </c>
      <c r="HR53" s="74">
        <v>1</v>
      </c>
      <c r="HS53" s="74">
        <v>1</v>
      </c>
      <c r="HT53" s="74">
        <v>1</v>
      </c>
      <c r="HU53" s="74">
        <v>1</v>
      </c>
      <c r="HV53" s="74">
        <v>1</v>
      </c>
      <c r="HW53" s="74">
        <v>1</v>
      </c>
      <c r="HX53" s="75">
        <v>1</v>
      </c>
    </row>
    <row r="54" spans="1:232" x14ac:dyDescent="0.2">
      <c r="B54" s="80" t="s">
        <v>100</v>
      </c>
      <c r="C54" s="80" t="s">
        <v>132</v>
      </c>
      <c r="D54" s="81">
        <v>5.2</v>
      </c>
      <c r="E54" s="80" t="s">
        <v>127</v>
      </c>
      <c r="F54" s="80" t="s">
        <v>123</v>
      </c>
      <c r="G54" s="78">
        <v>1</v>
      </c>
      <c r="H54" s="74">
        <v>1</v>
      </c>
      <c r="I54" s="74">
        <v>1</v>
      </c>
      <c r="J54" s="74">
        <v>1</v>
      </c>
      <c r="K54" s="74">
        <v>1</v>
      </c>
      <c r="L54" s="74">
        <v>1</v>
      </c>
      <c r="M54" s="74">
        <v>1</v>
      </c>
      <c r="N54" s="74">
        <v>1</v>
      </c>
      <c r="O54" s="74">
        <v>1</v>
      </c>
      <c r="P54" s="74">
        <v>1</v>
      </c>
      <c r="Q54" s="74">
        <v>1</v>
      </c>
      <c r="R54" s="74">
        <v>1</v>
      </c>
      <c r="S54" s="74">
        <v>1</v>
      </c>
      <c r="T54" s="74">
        <v>1</v>
      </c>
      <c r="U54" s="74">
        <v>1</v>
      </c>
      <c r="V54" s="74">
        <v>1</v>
      </c>
      <c r="W54" s="74">
        <v>1</v>
      </c>
      <c r="X54" s="74">
        <v>1</v>
      </c>
      <c r="Y54" s="74">
        <v>1</v>
      </c>
      <c r="Z54" s="74">
        <v>1</v>
      </c>
      <c r="AA54" s="74">
        <v>1</v>
      </c>
      <c r="AB54" s="74">
        <v>1</v>
      </c>
      <c r="AC54" s="74">
        <v>1</v>
      </c>
      <c r="AD54" s="74">
        <v>1</v>
      </c>
      <c r="AE54" s="78">
        <v>1</v>
      </c>
      <c r="AF54" s="74">
        <v>1</v>
      </c>
      <c r="AG54" s="74">
        <v>1</v>
      </c>
      <c r="AH54" s="74">
        <v>1</v>
      </c>
      <c r="AI54" s="74">
        <v>1</v>
      </c>
      <c r="AJ54" s="74">
        <v>1</v>
      </c>
      <c r="AK54" s="74">
        <v>1</v>
      </c>
      <c r="AL54" s="74">
        <v>1</v>
      </c>
      <c r="AM54" s="74">
        <v>1</v>
      </c>
      <c r="AN54" s="74">
        <v>1</v>
      </c>
      <c r="AO54" s="74">
        <v>1</v>
      </c>
      <c r="AP54" s="74">
        <v>1</v>
      </c>
      <c r="AQ54" s="74">
        <v>1</v>
      </c>
      <c r="AR54" s="74">
        <v>1</v>
      </c>
      <c r="AS54" s="74">
        <v>1</v>
      </c>
      <c r="AT54" s="74">
        <v>1</v>
      </c>
      <c r="AU54" s="74">
        <v>1</v>
      </c>
      <c r="AV54" s="74">
        <v>1</v>
      </c>
      <c r="AW54" s="74">
        <v>1</v>
      </c>
      <c r="AX54" s="74">
        <v>1</v>
      </c>
      <c r="AY54" s="74">
        <v>1</v>
      </c>
      <c r="AZ54" s="74">
        <v>1</v>
      </c>
      <c r="BA54" s="74">
        <v>1</v>
      </c>
      <c r="BB54" s="74">
        <v>1</v>
      </c>
      <c r="BC54" s="78">
        <v>1</v>
      </c>
      <c r="BD54" s="74">
        <v>1</v>
      </c>
      <c r="BE54" s="74">
        <v>1</v>
      </c>
      <c r="BF54" s="74">
        <v>1</v>
      </c>
      <c r="BG54" s="74">
        <v>1</v>
      </c>
      <c r="BH54" s="74">
        <v>1</v>
      </c>
      <c r="BI54" s="74">
        <v>1</v>
      </c>
      <c r="BJ54" s="74">
        <v>1</v>
      </c>
      <c r="BK54" s="74">
        <v>1</v>
      </c>
      <c r="BL54" s="74">
        <v>1</v>
      </c>
      <c r="BM54" s="74">
        <v>1</v>
      </c>
      <c r="BN54" s="74">
        <v>1</v>
      </c>
      <c r="BO54" s="74">
        <v>1</v>
      </c>
      <c r="BP54" s="74">
        <v>1</v>
      </c>
      <c r="BQ54" s="74">
        <v>1</v>
      </c>
      <c r="BR54" s="74">
        <v>1</v>
      </c>
      <c r="BS54" s="74">
        <v>1</v>
      </c>
      <c r="BT54" s="74">
        <v>1</v>
      </c>
      <c r="BU54" s="74">
        <v>1</v>
      </c>
      <c r="BV54" s="74">
        <v>1</v>
      </c>
      <c r="BW54" s="74">
        <v>1</v>
      </c>
      <c r="BX54" s="74">
        <v>1</v>
      </c>
      <c r="BY54" s="74">
        <v>1</v>
      </c>
      <c r="BZ54" s="74">
        <v>1</v>
      </c>
      <c r="CA54" s="78">
        <v>1</v>
      </c>
      <c r="CB54" s="74">
        <v>1</v>
      </c>
      <c r="CC54" s="74">
        <v>1</v>
      </c>
      <c r="CD54" s="74">
        <v>1</v>
      </c>
      <c r="CE54" s="74">
        <v>1</v>
      </c>
      <c r="CF54" s="74">
        <v>1</v>
      </c>
      <c r="CG54" s="74">
        <v>1</v>
      </c>
      <c r="CH54" s="74">
        <v>1</v>
      </c>
      <c r="CI54" s="74">
        <v>1</v>
      </c>
      <c r="CJ54" s="74">
        <v>1</v>
      </c>
      <c r="CK54" s="74">
        <v>1</v>
      </c>
      <c r="CL54" s="74">
        <v>1</v>
      </c>
      <c r="CM54" s="74">
        <v>1</v>
      </c>
      <c r="CN54" s="74">
        <v>1</v>
      </c>
      <c r="CO54" s="74">
        <v>1</v>
      </c>
      <c r="CP54" s="74">
        <v>1</v>
      </c>
      <c r="CQ54" s="74">
        <v>1</v>
      </c>
      <c r="CR54" s="74">
        <v>1</v>
      </c>
      <c r="CS54" s="74">
        <v>1</v>
      </c>
      <c r="CT54" s="74">
        <v>1</v>
      </c>
      <c r="CU54" s="74">
        <v>1</v>
      </c>
      <c r="CV54" s="74">
        <v>1</v>
      </c>
      <c r="CW54" s="74">
        <v>1</v>
      </c>
      <c r="CX54" s="74">
        <v>1</v>
      </c>
      <c r="CY54" s="78">
        <v>1</v>
      </c>
      <c r="CZ54" s="74">
        <v>1</v>
      </c>
      <c r="DA54" s="74">
        <v>1</v>
      </c>
      <c r="DB54" s="74">
        <v>1</v>
      </c>
      <c r="DC54" s="74">
        <v>1</v>
      </c>
      <c r="DD54" s="74">
        <v>1</v>
      </c>
      <c r="DE54" s="74">
        <v>1</v>
      </c>
      <c r="DF54" s="74">
        <v>1</v>
      </c>
      <c r="DG54" s="74">
        <v>1</v>
      </c>
      <c r="DH54" s="74">
        <v>1</v>
      </c>
      <c r="DI54" s="74">
        <v>1</v>
      </c>
      <c r="DJ54" s="74">
        <v>1</v>
      </c>
      <c r="DK54" s="74">
        <v>1</v>
      </c>
      <c r="DL54" s="74">
        <v>1</v>
      </c>
      <c r="DM54" s="74">
        <v>1</v>
      </c>
      <c r="DN54" s="74">
        <v>1</v>
      </c>
      <c r="DO54" s="74">
        <v>1</v>
      </c>
      <c r="DP54" s="74">
        <v>1</v>
      </c>
      <c r="DQ54" s="74">
        <v>1</v>
      </c>
      <c r="DR54" s="74">
        <v>1</v>
      </c>
      <c r="DS54" s="74">
        <v>1</v>
      </c>
      <c r="DT54" s="74">
        <v>1</v>
      </c>
      <c r="DU54" s="74">
        <v>1</v>
      </c>
      <c r="DV54" s="74">
        <v>1</v>
      </c>
      <c r="DW54" s="78">
        <v>1</v>
      </c>
      <c r="DX54" s="74">
        <v>1</v>
      </c>
      <c r="DY54" s="74">
        <v>1</v>
      </c>
      <c r="DZ54" s="74">
        <v>1</v>
      </c>
      <c r="EA54" s="74">
        <v>1</v>
      </c>
      <c r="EB54" s="74">
        <v>1</v>
      </c>
      <c r="EC54" s="74">
        <v>1</v>
      </c>
      <c r="ED54" s="74">
        <v>1</v>
      </c>
      <c r="EE54" s="74">
        <v>1</v>
      </c>
      <c r="EF54" s="74">
        <v>1</v>
      </c>
      <c r="EG54" s="74">
        <v>1</v>
      </c>
      <c r="EH54" s="74">
        <v>1</v>
      </c>
      <c r="EI54" s="74">
        <v>1</v>
      </c>
      <c r="EJ54" s="74">
        <v>1</v>
      </c>
      <c r="EK54" s="74">
        <v>1</v>
      </c>
      <c r="EL54" s="74">
        <v>1</v>
      </c>
      <c r="EM54" s="74">
        <v>1</v>
      </c>
      <c r="EN54" s="74">
        <v>1</v>
      </c>
      <c r="EO54" s="74">
        <v>1</v>
      </c>
      <c r="EP54" s="74">
        <v>1</v>
      </c>
      <c r="EQ54" s="74">
        <v>1</v>
      </c>
      <c r="ER54" s="74">
        <v>1</v>
      </c>
      <c r="ES54" s="74">
        <v>1</v>
      </c>
      <c r="ET54" s="74">
        <v>1</v>
      </c>
      <c r="EU54" s="78">
        <v>1</v>
      </c>
      <c r="EV54" s="74">
        <v>1</v>
      </c>
      <c r="EW54" s="74">
        <v>1</v>
      </c>
      <c r="EX54" s="74">
        <v>1</v>
      </c>
      <c r="EY54" s="74">
        <v>1</v>
      </c>
      <c r="EZ54" s="74">
        <v>1</v>
      </c>
      <c r="FA54" s="74">
        <v>1</v>
      </c>
      <c r="FB54" s="74">
        <v>1</v>
      </c>
      <c r="FC54" s="74">
        <v>1</v>
      </c>
      <c r="FD54" s="74">
        <v>1</v>
      </c>
      <c r="FE54" s="74">
        <v>1</v>
      </c>
      <c r="FF54" s="74">
        <v>1</v>
      </c>
      <c r="FG54" s="74">
        <v>1</v>
      </c>
      <c r="FH54" s="74">
        <v>1</v>
      </c>
      <c r="FI54" s="74">
        <v>1</v>
      </c>
      <c r="FJ54" s="74">
        <v>1</v>
      </c>
      <c r="FK54" s="74">
        <v>1</v>
      </c>
      <c r="FL54" s="74">
        <v>1</v>
      </c>
      <c r="FM54" s="74">
        <v>1</v>
      </c>
      <c r="FN54" s="74">
        <v>1</v>
      </c>
      <c r="FO54" s="74">
        <v>1</v>
      </c>
      <c r="FP54" s="74">
        <v>1</v>
      </c>
      <c r="FQ54" s="74">
        <v>1</v>
      </c>
      <c r="FR54" s="74">
        <v>1</v>
      </c>
      <c r="FS54" s="78">
        <v>1</v>
      </c>
      <c r="FT54" s="74">
        <v>1</v>
      </c>
      <c r="FU54" s="74">
        <v>1</v>
      </c>
      <c r="FV54" s="74">
        <v>1</v>
      </c>
      <c r="FW54" s="74">
        <v>1</v>
      </c>
      <c r="FX54" s="74">
        <v>1</v>
      </c>
      <c r="FY54" s="74">
        <v>1</v>
      </c>
      <c r="FZ54" s="74">
        <v>1</v>
      </c>
      <c r="GA54" s="74">
        <v>1</v>
      </c>
      <c r="GB54" s="74">
        <v>1</v>
      </c>
      <c r="GC54" s="74">
        <v>1</v>
      </c>
      <c r="GD54" s="74">
        <v>1</v>
      </c>
      <c r="GE54" s="74">
        <v>1</v>
      </c>
      <c r="GF54" s="74">
        <v>1</v>
      </c>
      <c r="GG54" s="74">
        <v>1</v>
      </c>
      <c r="GH54" s="74">
        <v>1</v>
      </c>
      <c r="GI54" s="74">
        <v>1</v>
      </c>
      <c r="GJ54" s="74">
        <v>1</v>
      </c>
      <c r="GK54" s="74">
        <v>1</v>
      </c>
      <c r="GL54" s="74">
        <v>1</v>
      </c>
      <c r="GM54" s="74">
        <v>1</v>
      </c>
      <c r="GN54" s="74">
        <v>1</v>
      </c>
      <c r="GO54" s="74">
        <v>1</v>
      </c>
      <c r="GP54" s="74">
        <v>1</v>
      </c>
      <c r="GQ54" s="78">
        <v>1</v>
      </c>
      <c r="GR54" s="74">
        <v>1</v>
      </c>
      <c r="GS54" s="74">
        <v>1</v>
      </c>
      <c r="GT54" s="74">
        <v>1</v>
      </c>
      <c r="GU54" s="74">
        <v>1</v>
      </c>
      <c r="GV54" s="74">
        <v>1</v>
      </c>
      <c r="GW54" s="74">
        <v>1</v>
      </c>
      <c r="GX54" s="74">
        <v>1</v>
      </c>
      <c r="GY54" s="74">
        <v>1</v>
      </c>
      <c r="GZ54" s="74">
        <v>1</v>
      </c>
      <c r="HA54" s="74">
        <v>1</v>
      </c>
      <c r="HB54" s="74">
        <v>1</v>
      </c>
      <c r="HC54" s="74">
        <v>1</v>
      </c>
      <c r="HD54" s="74">
        <v>1</v>
      </c>
      <c r="HE54" s="74">
        <v>1</v>
      </c>
      <c r="HF54" s="74">
        <v>1</v>
      </c>
      <c r="HG54" s="74">
        <v>1</v>
      </c>
      <c r="HH54" s="74">
        <v>1</v>
      </c>
      <c r="HI54" s="74">
        <v>1</v>
      </c>
      <c r="HJ54" s="74">
        <v>1</v>
      </c>
      <c r="HK54" s="74">
        <v>1</v>
      </c>
      <c r="HL54" s="74">
        <v>1</v>
      </c>
      <c r="HM54" s="74">
        <v>1</v>
      </c>
      <c r="HN54" s="74">
        <v>1</v>
      </c>
      <c r="HO54" s="74">
        <v>1</v>
      </c>
      <c r="HP54" s="74">
        <v>1</v>
      </c>
      <c r="HQ54" s="74">
        <v>1</v>
      </c>
      <c r="HR54" s="74">
        <v>1</v>
      </c>
      <c r="HS54" s="74">
        <v>1</v>
      </c>
      <c r="HT54" s="74">
        <v>1</v>
      </c>
      <c r="HU54" s="74">
        <v>1</v>
      </c>
      <c r="HV54" s="74">
        <v>1</v>
      </c>
      <c r="HW54" s="74">
        <v>1</v>
      </c>
      <c r="HX54" s="75">
        <v>1</v>
      </c>
    </row>
    <row r="55" spans="1:232" x14ac:dyDescent="0.2">
      <c r="B55" s="80" t="s">
        <v>101</v>
      </c>
      <c r="C55" s="80" t="s">
        <v>132</v>
      </c>
      <c r="D55" s="81">
        <v>5.2</v>
      </c>
      <c r="E55" s="80" t="s">
        <v>127</v>
      </c>
      <c r="F55" s="80" t="s">
        <v>123</v>
      </c>
      <c r="G55" s="78">
        <v>1</v>
      </c>
      <c r="H55" s="74">
        <v>1</v>
      </c>
      <c r="I55" s="74">
        <v>1</v>
      </c>
      <c r="J55" s="74">
        <v>1</v>
      </c>
      <c r="K55" s="74">
        <v>1</v>
      </c>
      <c r="L55" s="74">
        <v>1</v>
      </c>
      <c r="M55" s="74">
        <v>1</v>
      </c>
      <c r="N55" s="74">
        <v>1</v>
      </c>
      <c r="O55" s="74">
        <v>1</v>
      </c>
      <c r="P55" s="74">
        <v>1</v>
      </c>
      <c r="Q55" s="74">
        <v>1</v>
      </c>
      <c r="R55" s="74">
        <v>1</v>
      </c>
      <c r="S55" s="74">
        <v>1</v>
      </c>
      <c r="T55" s="74">
        <v>1</v>
      </c>
      <c r="U55" s="74">
        <v>1</v>
      </c>
      <c r="V55" s="74">
        <v>1</v>
      </c>
      <c r="W55" s="74">
        <v>1</v>
      </c>
      <c r="X55" s="74">
        <v>1</v>
      </c>
      <c r="Y55" s="74">
        <v>1</v>
      </c>
      <c r="Z55" s="74">
        <v>1</v>
      </c>
      <c r="AA55" s="74">
        <v>1</v>
      </c>
      <c r="AB55" s="74">
        <v>1</v>
      </c>
      <c r="AC55" s="74">
        <v>1</v>
      </c>
      <c r="AD55" s="74">
        <v>1</v>
      </c>
      <c r="AE55" s="78">
        <v>1</v>
      </c>
      <c r="AF55" s="74">
        <v>1</v>
      </c>
      <c r="AG55" s="74">
        <v>1</v>
      </c>
      <c r="AH55" s="74">
        <v>1</v>
      </c>
      <c r="AI55" s="74">
        <v>1</v>
      </c>
      <c r="AJ55" s="74">
        <v>1</v>
      </c>
      <c r="AK55" s="74">
        <v>1</v>
      </c>
      <c r="AL55" s="74">
        <v>1</v>
      </c>
      <c r="AM55" s="74">
        <v>1</v>
      </c>
      <c r="AN55" s="74">
        <v>1</v>
      </c>
      <c r="AO55" s="74">
        <v>1</v>
      </c>
      <c r="AP55" s="74">
        <v>1</v>
      </c>
      <c r="AQ55" s="74">
        <v>1</v>
      </c>
      <c r="AR55" s="74">
        <v>1</v>
      </c>
      <c r="AS55" s="74">
        <v>1</v>
      </c>
      <c r="AT55" s="74">
        <v>1</v>
      </c>
      <c r="AU55" s="74">
        <v>1</v>
      </c>
      <c r="AV55" s="74">
        <v>1</v>
      </c>
      <c r="AW55" s="74">
        <v>1</v>
      </c>
      <c r="AX55" s="74">
        <v>1</v>
      </c>
      <c r="AY55" s="74">
        <v>1</v>
      </c>
      <c r="AZ55" s="74">
        <v>1</v>
      </c>
      <c r="BA55" s="74">
        <v>1</v>
      </c>
      <c r="BB55" s="74">
        <v>1</v>
      </c>
      <c r="BC55" s="78">
        <v>1</v>
      </c>
      <c r="BD55" s="74">
        <v>1</v>
      </c>
      <c r="BE55" s="74">
        <v>1</v>
      </c>
      <c r="BF55" s="74">
        <v>1</v>
      </c>
      <c r="BG55" s="74">
        <v>1</v>
      </c>
      <c r="BH55" s="74">
        <v>1</v>
      </c>
      <c r="BI55" s="74">
        <v>1</v>
      </c>
      <c r="BJ55" s="74">
        <v>1</v>
      </c>
      <c r="BK55" s="74">
        <v>1</v>
      </c>
      <c r="BL55" s="74">
        <v>1</v>
      </c>
      <c r="BM55" s="74">
        <v>1</v>
      </c>
      <c r="BN55" s="74">
        <v>1</v>
      </c>
      <c r="BO55" s="74">
        <v>1</v>
      </c>
      <c r="BP55" s="74">
        <v>1</v>
      </c>
      <c r="BQ55" s="74">
        <v>1</v>
      </c>
      <c r="BR55" s="74">
        <v>1</v>
      </c>
      <c r="BS55" s="74">
        <v>1</v>
      </c>
      <c r="BT55" s="74">
        <v>1</v>
      </c>
      <c r="BU55" s="74">
        <v>1</v>
      </c>
      <c r="BV55" s="74">
        <v>1</v>
      </c>
      <c r="BW55" s="74">
        <v>1</v>
      </c>
      <c r="BX55" s="74">
        <v>1</v>
      </c>
      <c r="BY55" s="74">
        <v>1</v>
      </c>
      <c r="BZ55" s="74">
        <v>1</v>
      </c>
      <c r="CA55" s="78">
        <v>1</v>
      </c>
      <c r="CB55" s="74">
        <v>1</v>
      </c>
      <c r="CC55" s="74">
        <v>1</v>
      </c>
      <c r="CD55" s="74">
        <v>1</v>
      </c>
      <c r="CE55" s="74">
        <v>1</v>
      </c>
      <c r="CF55" s="74">
        <v>1</v>
      </c>
      <c r="CG55" s="74">
        <v>1</v>
      </c>
      <c r="CH55" s="74">
        <v>1</v>
      </c>
      <c r="CI55" s="74">
        <v>1</v>
      </c>
      <c r="CJ55" s="74">
        <v>1</v>
      </c>
      <c r="CK55" s="74">
        <v>1</v>
      </c>
      <c r="CL55" s="74">
        <v>1</v>
      </c>
      <c r="CM55" s="74">
        <v>1</v>
      </c>
      <c r="CN55" s="74">
        <v>1</v>
      </c>
      <c r="CO55" s="74">
        <v>1</v>
      </c>
      <c r="CP55" s="74">
        <v>1</v>
      </c>
      <c r="CQ55" s="74">
        <v>1</v>
      </c>
      <c r="CR55" s="74">
        <v>1</v>
      </c>
      <c r="CS55" s="74">
        <v>1</v>
      </c>
      <c r="CT55" s="74">
        <v>1</v>
      </c>
      <c r="CU55" s="74">
        <v>1</v>
      </c>
      <c r="CV55" s="74">
        <v>1</v>
      </c>
      <c r="CW55" s="74">
        <v>1</v>
      </c>
      <c r="CX55" s="74">
        <v>1</v>
      </c>
      <c r="CY55" s="78">
        <v>1</v>
      </c>
      <c r="CZ55" s="74">
        <v>1</v>
      </c>
      <c r="DA55" s="74">
        <v>1</v>
      </c>
      <c r="DB55" s="74">
        <v>1</v>
      </c>
      <c r="DC55" s="74">
        <v>1</v>
      </c>
      <c r="DD55" s="74">
        <v>1</v>
      </c>
      <c r="DE55" s="74">
        <v>1</v>
      </c>
      <c r="DF55" s="74">
        <v>1</v>
      </c>
      <c r="DG55" s="74">
        <v>1</v>
      </c>
      <c r="DH55" s="74">
        <v>1</v>
      </c>
      <c r="DI55" s="74">
        <v>1</v>
      </c>
      <c r="DJ55" s="74">
        <v>1</v>
      </c>
      <c r="DK55" s="74">
        <v>1</v>
      </c>
      <c r="DL55" s="74">
        <v>1</v>
      </c>
      <c r="DM55" s="74">
        <v>1</v>
      </c>
      <c r="DN55" s="74">
        <v>1</v>
      </c>
      <c r="DO55" s="74">
        <v>1</v>
      </c>
      <c r="DP55" s="74">
        <v>1</v>
      </c>
      <c r="DQ55" s="74">
        <v>1</v>
      </c>
      <c r="DR55" s="74">
        <v>1</v>
      </c>
      <c r="DS55" s="74">
        <v>1</v>
      </c>
      <c r="DT55" s="74">
        <v>1</v>
      </c>
      <c r="DU55" s="74">
        <v>1</v>
      </c>
      <c r="DV55" s="74">
        <v>1</v>
      </c>
      <c r="DW55" s="78">
        <v>1</v>
      </c>
      <c r="DX55" s="74">
        <v>1</v>
      </c>
      <c r="DY55" s="74">
        <v>1</v>
      </c>
      <c r="DZ55" s="74">
        <v>1</v>
      </c>
      <c r="EA55" s="74">
        <v>1</v>
      </c>
      <c r="EB55" s="74">
        <v>1</v>
      </c>
      <c r="EC55" s="74">
        <v>1</v>
      </c>
      <c r="ED55" s="74">
        <v>1</v>
      </c>
      <c r="EE55" s="74">
        <v>1</v>
      </c>
      <c r="EF55" s="74">
        <v>1</v>
      </c>
      <c r="EG55" s="74">
        <v>1</v>
      </c>
      <c r="EH55" s="74">
        <v>1</v>
      </c>
      <c r="EI55" s="74">
        <v>1</v>
      </c>
      <c r="EJ55" s="74">
        <v>1</v>
      </c>
      <c r="EK55" s="74">
        <v>1</v>
      </c>
      <c r="EL55" s="74">
        <v>1</v>
      </c>
      <c r="EM55" s="74">
        <v>1</v>
      </c>
      <c r="EN55" s="74">
        <v>1</v>
      </c>
      <c r="EO55" s="74">
        <v>1</v>
      </c>
      <c r="EP55" s="74">
        <v>1</v>
      </c>
      <c r="EQ55" s="74">
        <v>1</v>
      </c>
      <c r="ER55" s="74">
        <v>1</v>
      </c>
      <c r="ES55" s="74">
        <v>1</v>
      </c>
      <c r="ET55" s="74">
        <v>1</v>
      </c>
      <c r="EU55" s="78">
        <v>1</v>
      </c>
      <c r="EV55" s="74">
        <v>1</v>
      </c>
      <c r="EW55" s="74">
        <v>1</v>
      </c>
      <c r="EX55" s="74">
        <v>1</v>
      </c>
      <c r="EY55" s="74">
        <v>1</v>
      </c>
      <c r="EZ55" s="74">
        <v>1</v>
      </c>
      <c r="FA55" s="74">
        <v>1</v>
      </c>
      <c r="FB55" s="74">
        <v>1</v>
      </c>
      <c r="FC55" s="74">
        <v>1</v>
      </c>
      <c r="FD55" s="74">
        <v>1</v>
      </c>
      <c r="FE55" s="74">
        <v>1</v>
      </c>
      <c r="FF55" s="74">
        <v>1</v>
      </c>
      <c r="FG55" s="74">
        <v>1</v>
      </c>
      <c r="FH55" s="74">
        <v>1</v>
      </c>
      <c r="FI55" s="74">
        <v>1</v>
      </c>
      <c r="FJ55" s="74">
        <v>1</v>
      </c>
      <c r="FK55" s="74">
        <v>1</v>
      </c>
      <c r="FL55" s="74">
        <v>1</v>
      </c>
      <c r="FM55" s="74">
        <v>1</v>
      </c>
      <c r="FN55" s="74">
        <v>1</v>
      </c>
      <c r="FO55" s="74">
        <v>1</v>
      </c>
      <c r="FP55" s="74">
        <v>1</v>
      </c>
      <c r="FQ55" s="74">
        <v>1</v>
      </c>
      <c r="FR55" s="74">
        <v>1</v>
      </c>
      <c r="FS55" s="78">
        <v>1</v>
      </c>
      <c r="FT55" s="74">
        <v>1</v>
      </c>
      <c r="FU55" s="74">
        <v>1</v>
      </c>
      <c r="FV55" s="74">
        <v>1</v>
      </c>
      <c r="FW55" s="74">
        <v>1</v>
      </c>
      <c r="FX55" s="74">
        <v>1</v>
      </c>
      <c r="FY55" s="74">
        <v>1</v>
      </c>
      <c r="FZ55" s="74">
        <v>1</v>
      </c>
      <c r="GA55" s="74">
        <v>1</v>
      </c>
      <c r="GB55" s="74">
        <v>1</v>
      </c>
      <c r="GC55" s="74">
        <v>1</v>
      </c>
      <c r="GD55" s="74">
        <v>1</v>
      </c>
      <c r="GE55" s="74">
        <v>1</v>
      </c>
      <c r="GF55" s="74">
        <v>1</v>
      </c>
      <c r="GG55" s="74">
        <v>1</v>
      </c>
      <c r="GH55" s="74">
        <v>1</v>
      </c>
      <c r="GI55" s="74">
        <v>1</v>
      </c>
      <c r="GJ55" s="74">
        <v>1</v>
      </c>
      <c r="GK55" s="74">
        <v>1</v>
      </c>
      <c r="GL55" s="74">
        <v>1</v>
      </c>
      <c r="GM55" s="74">
        <v>1</v>
      </c>
      <c r="GN55" s="74">
        <v>1</v>
      </c>
      <c r="GO55" s="74">
        <v>1</v>
      </c>
      <c r="GP55" s="74">
        <v>1</v>
      </c>
      <c r="GQ55" s="78">
        <v>1</v>
      </c>
      <c r="GR55" s="74">
        <v>1</v>
      </c>
      <c r="GS55" s="74">
        <v>1</v>
      </c>
      <c r="GT55" s="74">
        <v>1</v>
      </c>
      <c r="GU55" s="74">
        <v>1</v>
      </c>
      <c r="GV55" s="74">
        <v>1</v>
      </c>
      <c r="GW55" s="74">
        <v>1</v>
      </c>
      <c r="GX55" s="74">
        <v>1</v>
      </c>
      <c r="GY55" s="74">
        <v>1</v>
      </c>
      <c r="GZ55" s="74">
        <v>1</v>
      </c>
      <c r="HA55" s="74">
        <v>1</v>
      </c>
      <c r="HB55" s="74">
        <v>1</v>
      </c>
      <c r="HC55" s="74">
        <v>1</v>
      </c>
      <c r="HD55" s="74">
        <v>1</v>
      </c>
      <c r="HE55" s="74">
        <v>1</v>
      </c>
      <c r="HF55" s="74">
        <v>1</v>
      </c>
      <c r="HG55" s="74">
        <v>1</v>
      </c>
      <c r="HH55" s="74">
        <v>1</v>
      </c>
      <c r="HI55" s="74">
        <v>1</v>
      </c>
      <c r="HJ55" s="74">
        <v>1</v>
      </c>
      <c r="HK55" s="74">
        <v>1</v>
      </c>
      <c r="HL55" s="74">
        <v>1</v>
      </c>
      <c r="HM55" s="74">
        <v>1</v>
      </c>
      <c r="HN55" s="74">
        <v>1</v>
      </c>
      <c r="HO55" s="74">
        <v>1</v>
      </c>
      <c r="HP55" s="74">
        <v>1</v>
      </c>
      <c r="HQ55" s="74">
        <v>1</v>
      </c>
      <c r="HR55" s="74">
        <v>1</v>
      </c>
      <c r="HS55" s="74">
        <v>1</v>
      </c>
      <c r="HT55" s="74">
        <v>1</v>
      </c>
      <c r="HU55" s="74">
        <v>1</v>
      </c>
      <c r="HV55" s="74">
        <v>1</v>
      </c>
      <c r="HW55" s="74">
        <v>1</v>
      </c>
      <c r="HX55" s="75">
        <v>1</v>
      </c>
    </row>
    <row r="56" spans="1:232" x14ac:dyDescent="0.2">
      <c r="B56" s="80" t="s">
        <v>102</v>
      </c>
      <c r="C56" s="80" t="s">
        <v>132</v>
      </c>
      <c r="D56" s="81">
        <v>5.2</v>
      </c>
      <c r="E56" s="80" t="s">
        <v>127</v>
      </c>
      <c r="F56" s="80" t="s">
        <v>123</v>
      </c>
      <c r="G56" s="78">
        <v>1</v>
      </c>
      <c r="H56" s="74">
        <v>1</v>
      </c>
      <c r="I56" s="74">
        <v>1</v>
      </c>
      <c r="J56" s="74">
        <v>1</v>
      </c>
      <c r="K56" s="74">
        <v>1</v>
      </c>
      <c r="L56" s="74">
        <v>1</v>
      </c>
      <c r="M56" s="74">
        <v>1</v>
      </c>
      <c r="N56" s="74">
        <v>1</v>
      </c>
      <c r="O56" s="74">
        <v>1</v>
      </c>
      <c r="P56" s="74">
        <v>1</v>
      </c>
      <c r="Q56" s="74">
        <v>1</v>
      </c>
      <c r="R56" s="74">
        <v>1</v>
      </c>
      <c r="S56" s="74">
        <v>1</v>
      </c>
      <c r="T56" s="74">
        <v>1</v>
      </c>
      <c r="U56" s="74">
        <v>1</v>
      </c>
      <c r="V56" s="74">
        <v>1</v>
      </c>
      <c r="W56" s="74">
        <v>1</v>
      </c>
      <c r="X56" s="74">
        <v>1</v>
      </c>
      <c r="Y56" s="74">
        <v>1</v>
      </c>
      <c r="Z56" s="74">
        <v>1</v>
      </c>
      <c r="AA56" s="74">
        <v>1</v>
      </c>
      <c r="AB56" s="74">
        <v>1</v>
      </c>
      <c r="AC56" s="74">
        <v>1</v>
      </c>
      <c r="AD56" s="74">
        <v>1</v>
      </c>
      <c r="AE56" s="78">
        <v>1</v>
      </c>
      <c r="AF56" s="74">
        <v>1</v>
      </c>
      <c r="AG56" s="74">
        <v>1</v>
      </c>
      <c r="AH56" s="74">
        <v>1</v>
      </c>
      <c r="AI56" s="74">
        <v>1</v>
      </c>
      <c r="AJ56" s="74">
        <v>1</v>
      </c>
      <c r="AK56" s="74">
        <v>1</v>
      </c>
      <c r="AL56" s="74">
        <v>1</v>
      </c>
      <c r="AM56" s="74">
        <v>1</v>
      </c>
      <c r="AN56" s="74">
        <v>1</v>
      </c>
      <c r="AO56" s="74">
        <v>1</v>
      </c>
      <c r="AP56" s="74">
        <v>1</v>
      </c>
      <c r="AQ56" s="74">
        <v>1</v>
      </c>
      <c r="AR56" s="74">
        <v>1</v>
      </c>
      <c r="AS56" s="74">
        <v>1</v>
      </c>
      <c r="AT56" s="74">
        <v>1</v>
      </c>
      <c r="AU56" s="74">
        <v>1</v>
      </c>
      <c r="AV56" s="74">
        <v>1</v>
      </c>
      <c r="AW56" s="74">
        <v>1</v>
      </c>
      <c r="AX56" s="74">
        <v>1</v>
      </c>
      <c r="AY56" s="74">
        <v>1</v>
      </c>
      <c r="AZ56" s="74">
        <v>1</v>
      </c>
      <c r="BA56" s="74">
        <v>1</v>
      </c>
      <c r="BB56" s="74">
        <v>1</v>
      </c>
      <c r="BC56" s="78">
        <v>1</v>
      </c>
      <c r="BD56" s="74">
        <v>1</v>
      </c>
      <c r="BE56" s="74">
        <v>1</v>
      </c>
      <c r="BF56" s="74">
        <v>1</v>
      </c>
      <c r="BG56" s="74">
        <v>1</v>
      </c>
      <c r="BH56" s="74">
        <v>1</v>
      </c>
      <c r="BI56" s="74">
        <v>1</v>
      </c>
      <c r="BJ56" s="74">
        <v>1</v>
      </c>
      <c r="BK56" s="74">
        <v>1</v>
      </c>
      <c r="BL56" s="74">
        <v>1</v>
      </c>
      <c r="BM56" s="74">
        <v>1</v>
      </c>
      <c r="BN56" s="74">
        <v>1</v>
      </c>
      <c r="BO56" s="74">
        <v>1</v>
      </c>
      <c r="BP56" s="74">
        <v>1</v>
      </c>
      <c r="BQ56" s="74">
        <v>1</v>
      </c>
      <c r="BR56" s="74">
        <v>1</v>
      </c>
      <c r="BS56" s="74">
        <v>1</v>
      </c>
      <c r="BT56" s="74">
        <v>1</v>
      </c>
      <c r="BU56" s="74">
        <v>1</v>
      </c>
      <c r="BV56" s="74">
        <v>1</v>
      </c>
      <c r="BW56" s="74">
        <v>1</v>
      </c>
      <c r="BX56" s="74">
        <v>1</v>
      </c>
      <c r="BY56" s="74">
        <v>1</v>
      </c>
      <c r="BZ56" s="74">
        <v>1</v>
      </c>
      <c r="CA56" s="78">
        <v>1</v>
      </c>
      <c r="CB56" s="74">
        <v>1</v>
      </c>
      <c r="CC56" s="74">
        <v>1</v>
      </c>
      <c r="CD56" s="74">
        <v>1</v>
      </c>
      <c r="CE56" s="74">
        <v>1</v>
      </c>
      <c r="CF56" s="74">
        <v>1</v>
      </c>
      <c r="CG56" s="74">
        <v>1</v>
      </c>
      <c r="CH56" s="74">
        <v>1</v>
      </c>
      <c r="CI56" s="74">
        <v>1</v>
      </c>
      <c r="CJ56" s="74">
        <v>1</v>
      </c>
      <c r="CK56" s="74">
        <v>1</v>
      </c>
      <c r="CL56" s="74">
        <v>1</v>
      </c>
      <c r="CM56" s="74">
        <v>1</v>
      </c>
      <c r="CN56" s="74">
        <v>1</v>
      </c>
      <c r="CO56" s="74">
        <v>1</v>
      </c>
      <c r="CP56" s="74">
        <v>1</v>
      </c>
      <c r="CQ56" s="74">
        <v>1</v>
      </c>
      <c r="CR56" s="74">
        <v>1</v>
      </c>
      <c r="CS56" s="74">
        <v>1</v>
      </c>
      <c r="CT56" s="74">
        <v>1</v>
      </c>
      <c r="CU56" s="74">
        <v>1</v>
      </c>
      <c r="CV56" s="74">
        <v>1</v>
      </c>
      <c r="CW56" s="74">
        <v>1</v>
      </c>
      <c r="CX56" s="74">
        <v>1</v>
      </c>
      <c r="CY56" s="78">
        <v>1</v>
      </c>
      <c r="CZ56" s="74">
        <v>1</v>
      </c>
      <c r="DA56" s="74">
        <v>1</v>
      </c>
      <c r="DB56" s="74">
        <v>1</v>
      </c>
      <c r="DC56" s="74">
        <v>1</v>
      </c>
      <c r="DD56" s="74">
        <v>1</v>
      </c>
      <c r="DE56" s="74">
        <v>1</v>
      </c>
      <c r="DF56" s="74">
        <v>1</v>
      </c>
      <c r="DG56" s="74">
        <v>1</v>
      </c>
      <c r="DH56" s="74">
        <v>1</v>
      </c>
      <c r="DI56" s="74">
        <v>1</v>
      </c>
      <c r="DJ56" s="74">
        <v>1</v>
      </c>
      <c r="DK56" s="74">
        <v>1</v>
      </c>
      <c r="DL56" s="74">
        <v>1</v>
      </c>
      <c r="DM56" s="74">
        <v>1</v>
      </c>
      <c r="DN56" s="74">
        <v>1</v>
      </c>
      <c r="DO56" s="74">
        <v>1</v>
      </c>
      <c r="DP56" s="74">
        <v>1</v>
      </c>
      <c r="DQ56" s="74">
        <v>1</v>
      </c>
      <c r="DR56" s="74">
        <v>1</v>
      </c>
      <c r="DS56" s="74">
        <v>1</v>
      </c>
      <c r="DT56" s="74">
        <v>1</v>
      </c>
      <c r="DU56" s="74">
        <v>1</v>
      </c>
      <c r="DV56" s="74">
        <v>1</v>
      </c>
      <c r="DW56" s="78">
        <v>1</v>
      </c>
      <c r="DX56" s="74">
        <v>1</v>
      </c>
      <c r="DY56" s="74">
        <v>1</v>
      </c>
      <c r="DZ56" s="74">
        <v>1</v>
      </c>
      <c r="EA56" s="74">
        <v>1</v>
      </c>
      <c r="EB56" s="74">
        <v>1</v>
      </c>
      <c r="EC56" s="74">
        <v>1</v>
      </c>
      <c r="ED56" s="74">
        <v>1</v>
      </c>
      <c r="EE56" s="74">
        <v>1</v>
      </c>
      <c r="EF56" s="74">
        <v>1</v>
      </c>
      <c r="EG56" s="74">
        <v>1</v>
      </c>
      <c r="EH56" s="74">
        <v>1</v>
      </c>
      <c r="EI56" s="74">
        <v>1</v>
      </c>
      <c r="EJ56" s="74">
        <v>1</v>
      </c>
      <c r="EK56" s="74">
        <v>1</v>
      </c>
      <c r="EL56" s="74">
        <v>1</v>
      </c>
      <c r="EM56" s="74">
        <v>1</v>
      </c>
      <c r="EN56" s="74">
        <v>1</v>
      </c>
      <c r="EO56" s="74">
        <v>1</v>
      </c>
      <c r="EP56" s="74">
        <v>1</v>
      </c>
      <c r="EQ56" s="74">
        <v>1</v>
      </c>
      <c r="ER56" s="74">
        <v>1</v>
      </c>
      <c r="ES56" s="74">
        <v>1</v>
      </c>
      <c r="ET56" s="74">
        <v>1</v>
      </c>
      <c r="EU56" s="78">
        <v>1</v>
      </c>
      <c r="EV56" s="74">
        <v>1</v>
      </c>
      <c r="EW56" s="74">
        <v>1</v>
      </c>
      <c r="EX56" s="74">
        <v>1</v>
      </c>
      <c r="EY56" s="74">
        <v>1</v>
      </c>
      <c r="EZ56" s="74">
        <v>1</v>
      </c>
      <c r="FA56" s="74">
        <v>1</v>
      </c>
      <c r="FB56" s="74">
        <v>1</v>
      </c>
      <c r="FC56" s="74">
        <v>1</v>
      </c>
      <c r="FD56" s="74">
        <v>1</v>
      </c>
      <c r="FE56" s="74">
        <v>1</v>
      </c>
      <c r="FF56" s="74">
        <v>1</v>
      </c>
      <c r="FG56" s="74">
        <v>1</v>
      </c>
      <c r="FH56" s="74">
        <v>1</v>
      </c>
      <c r="FI56" s="74">
        <v>1</v>
      </c>
      <c r="FJ56" s="74">
        <v>1</v>
      </c>
      <c r="FK56" s="74">
        <v>1</v>
      </c>
      <c r="FL56" s="74">
        <v>1</v>
      </c>
      <c r="FM56" s="74">
        <v>1</v>
      </c>
      <c r="FN56" s="74">
        <v>1</v>
      </c>
      <c r="FO56" s="74">
        <v>1</v>
      </c>
      <c r="FP56" s="74">
        <v>1</v>
      </c>
      <c r="FQ56" s="74">
        <v>1</v>
      </c>
      <c r="FR56" s="74">
        <v>1</v>
      </c>
      <c r="FS56" s="78">
        <v>1</v>
      </c>
      <c r="FT56" s="74">
        <v>1</v>
      </c>
      <c r="FU56" s="74">
        <v>1</v>
      </c>
      <c r="FV56" s="74">
        <v>1</v>
      </c>
      <c r="FW56" s="74">
        <v>1</v>
      </c>
      <c r="FX56" s="74">
        <v>1</v>
      </c>
      <c r="FY56" s="74">
        <v>1</v>
      </c>
      <c r="FZ56" s="74">
        <v>1</v>
      </c>
      <c r="GA56" s="74">
        <v>1</v>
      </c>
      <c r="GB56" s="74">
        <v>1</v>
      </c>
      <c r="GC56" s="74">
        <v>1</v>
      </c>
      <c r="GD56" s="74">
        <v>1</v>
      </c>
      <c r="GE56" s="74">
        <v>1</v>
      </c>
      <c r="GF56" s="74">
        <v>1</v>
      </c>
      <c r="GG56" s="74">
        <v>1</v>
      </c>
      <c r="GH56" s="74">
        <v>1</v>
      </c>
      <c r="GI56" s="74">
        <v>1</v>
      </c>
      <c r="GJ56" s="74">
        <v>1</v>
      </c>
      <c r="GK56" s="74">
        <v>1</v>
      </c>
      <c r="GL56" s="74">
        <v>1</v>
      </c>
      <c r="GM56" s="74">
        <v>1</v>
      </c>
      <c r="GN56" s="74">
        <v>1</v>
      </c>
      <c r="GO56" s="74">
        <v>1</v>
      </c>
      <c r="GP56" s="74">
        <v>1</v>
      </c>
      <c r="GQ56" s="78">
        <v>1</v>
      </c>
      <c r="GR56" s="74">
        <v>1</v>
      </c>
      <c r="GS56" s="74">
        <v>1</v>
      </c>
      <c r="GT56" s="74">
        <v>1</v>
      </c>
      <c r="GU56" s="74">
        <v>1</v>
      </c>
      <c r="GV56" s="74">
        <v>1</v>
      </c>
      <c r="GW56" s="74">
        <v>1</v>
      </c>
      <c r="GX56" s="74">
        <v>1</v>
      </c>
      <c r="GY56" s="74">
        <v>1</v>
      </c>
      <c r="GZ56" s="74">
        <v>1</v>
      </c>
      <c r="HA56" s="74">
        <v>1</v>
      </c>
      <c r="HB56" s="74">
        <v>1</v>
      </c>
      <c r="HC56" s="74">
        <v>1</v>
      </c>
      <c r="HD56" s="74">
        <v>1</v>
      </c>
      <c r="HE56" s="74">
        <v>1</v>
      </c>
      <c r="HF56" s="74">
        <v>1</v>
      </c>
      <c r="HG56" s="74">
        <v>1</v>
      </c>
      <c r="HH56" s="74">
        <v>1</v>
      </c>
      <c r="HI56" s="74">
        <v>1</v>
      </c>
      <c r="HJ56" s="74">
        <v>1</v>
      </c>
      <c r="HK56" s="74">
        <v>1</v>
      </c>
      <c r="HL56" s="74">
        <v>1</v>
      </c>
      <c r="HM56" s="74">
        <v>1</v>
      </c>
      <c r="HN56" s="74">
        <v>1</v>
      </c>
      <c r="HO56" s="74">
        <v>1</v>
      </c>
      <c r="HP56" s="74">
        <v>1</v>
      </c>
      <c r="HQ56" s="74">
        <v>1</v>
      </c>
      <c r="HR56" s="74">
        <v>1</v>
      </c>
      <c r="HS56" s="74">
        <v>1</v>
      </c>
      <c r="HT56" s="74">
        <v>1</v>
      </c>
      <c r="HU56" s="74">
        <v>1</v>
      </c>
      <c r="HV56" s="74">
        <v>1</v>
      </c>
      <c r="HW56" s="74">
        <v>1</v>
      </c>
      <c r="HX56" s="75">
        <v>1</v>
      </c>
    </row>
    <row r="57" spans="1:232" x14ac:dyDescent="0.2">
      <c r="B57" s="80" t="s">
        <v>103</v>
      </c>
      <c r="C57" s="80" t="s">
        <v>132</v>
      </c>
      <c r="D57" s="81">
        <v>5.2</v>
      </c>
      <c r="E57" s="80" t="s">
        <v>127</v>
      </c>
      <c r="F57" s="80" t="s">
        <v>123</v>
      </c>
      <c r="G57" s="78">
        <v>1</v>
      </c>
      <c r="H57" s="78">
        <v>1</v>
      </c>
      <c r="I57" s="78">
        <v>1</v>
      </c>
      <c r="J57" s="78">
        <v>1</v>
      </c>
      <c r="K57" s="78">
        <v>1</v>
      </c>
      <c r="L57" s="78">
        <v>1</v>
      </c>
      <c r="M57" s="78">
        <v>1</v>
      </c>
      <c r="N57" s="78">
        <v>1</v>
      </c>
      <c r="O57" s="78">
        <v>1</v>
      </c>
      <c r="P57" s="78">
        <v>1</v>
      </c>
      <c r="Q57" s="78">
        <v>1</v>
      </c>
      <c r="R57" s="78">
        <v>1</v>
      </c>
      <c r="S57" s="78">
        <v>1</v>
      </c>
      <c r="T57" s="78">
        <v>1</v>
      </c>
      <c r="U57" s="78">
        <v>1</v>
      </c>
      <c r="V57" s="78">
        <v>1</v>
      </c>
      <c r="W57" s="78">
        <v>1</v>
      </c>
      <c r="X57" s="78">
        <v>1</v>
      </c>
      <c r="Y57" s="78">
        <v>1</v>
      </c>
      <c r="Z57" s="78">
        <v>1</v>
      </c>
      <c r="AA57" s="78">
        <v>1</v>
      </c>
      <c r="AB57" s="78">
        <v>1</v>
      </c>
      <c r="AC57" s="74">
        <v>1</v>
      </c>
      <c r="AD57" s="74">
        <v>1</v>
      </c>
      <c r="AE57" s="78">
        <v>1</v>
      </c>
      <c r="AF57" s="78">
        <v>1</v>
      </c>
      <c r="AG57" s="78">
        <v>1</v>
      </c>
      <c r="AH57" s="78">
        <v>1</v>
      </c>
      <c r="AI57" s="78">
        <v>1</v>
      </c>
      <c r="AJ57" s="78">
        <v>1</v>
      </c>
      <c r="AK57" s="78">
        <v>1</v>
      </c>
      <c r="AL57" s="78">
        <v>1</v>
      </c>
      <c r="AM57" s="78">
        <v>1</v>
      </c>
      <c r="AN57" s="78">
        <v>1</v>
      </c>
      <c r="AO57" s="78">
        <v>1</v>
      </c>
      <c r="AP57" s="78">
        <v>1</v>
      </c>
      <c r="AQ57" s="78">
        <v>1</v>
      </c>
      <c r="AR57" s="78">
        <v>1</v>
      </c>
      <c r="AS57" s="78">
        <v>1</v>
      </c>
      <c r="AT57" s="78">
        <v>1</v>
      </c>
      <c r="AU57" s="78">
        <v>1</v>
      </c>
      <c r="AV57" s="78">
        <v>1</v>
      </c>
      <c r="AW57" s="78">
        <v>1</v>
      </c>
      <c r="AX57" s="78">
        <v>1</v>
      </c>
      <c r="AY57" s="78">
        <v>1</v>
      </c>
      <c r="AZ57" s="78">
        <v>1</v>
      </c>
      <c r="BA57" s="74">
        <v>1</v>
      </c>
      <c r="BB57" s="74">
        <v>1</v>
      </c>
      <c r="BC57" s="78">
        <v>1</v>
      </c>
      <c r="BD57" s="78">
        <v>1</v>
      </c>
      <c r="BE57" s="78">
        <v>1</v>
      </c>
      <c r="BF57" s="78">
        <v>1</v>
      </c>
      <c r="BG57" s="78">
        <v>1</v>
      </c>
      <c r="BH57" s="78">
        <v>1</v>
      </c>
      <c r="BI57" s="78">
        <v>1</v>
      </c>
      <c r="BJ57" s="78">
        <v>1</v>
      </c>
      <c r="BK57" s="78">
        <v>1</v>
      </c>
      <c r="BL57" s="78">
        <v>1</v>
      </c>
      <c r="BM57" s="78">
        <v>1</v>
      </c>
      <c r="BN57" s="78">
        <v>1</v>
      </c>
      <c r="BO57" s="78">
        <v>1</v>
      </c>
      <c r="BP57" s="78">
        <v>1</v>
      </c>
      <c r="BQ57" s="78">
        <v>1</v>
      </c>
      <c r="BR57" s="78">
        <v>1</v>
      </c>
      <c r="BS57" s="78">
        <v>1</v>
      </c>
      <c r="BT57" s="78">
        <v>1</v>
      </c>
      <c r="BU57" s="78">
        <v>1</v>
      </c>
      <c r="BV57" s="78">
        <v>1</v>
      </c>
      <c r="BW57" s="78">
        <v>1</v>
      </c>
      <c r="BX57" s="78">
        <v>1</v>
      </c>
      <c r="BY57" s="74">
        <v>1</v>
      </c>
      <c r="BZ57" s="74">
        <v>1</v>
      </c>
      <c r="CA57" s="78">
        <v>1</v>
      </c>
      <c r="CB57" s="78">
        <v>1</v>
      </c>
      <c r="CC57" s="78">
        <v>1</v>
      </c>
      <c r="CD57" s="78">
        <v>1</v>
      </c>
      <c r="CE57" s="78">
        <v>1</v>
      </c>
      <c r="CF57" s="78">
        <v>1</v>
      </c>
      <c r="CG57" s="78">
        <v>1</v>
      </c>
      <c r="CH57" s="78">
        <v>1</v>
      </c>
      <c r="CI57" s="78">
        <v>1</v>
      </c>
      <c r="CJ57" s="78">
        <v>1</v>
      </c>
      <c r="CK57" s="78">
        <v>1</v>
      </c>
      <c r="CL57" s="78">
        <v>1</v>
      </c>
      <c r="CM57" s="78">
        <v>1</v>
      </c>
      <c r="CN57" s="78">
        <v>1</v>
      </c>
      <c r="CO57" s="78">
        <v>1</v>
      </c>
      <c r="CP57" s="78">
        <v>1</v>
      </c>
      <c r="CQ57" s="78">
        <v>1</v>
      </c>
      <c r="CR57" s="78">
        <v>1</v>
      </c>
      <c r="CS57" s="78">
        <v>1</v>
      </c>
      <c r="CT57" s="78">
        <v>1</v>
      </c>
      <c r="CU57" s="78">
        <v>1</v>
      </c>
      <c r="CV57" s="78">
        <v>1</v>
      </c>
      <c r="CW57" s="74">
        <v>1</v>
      </c>
      <c r="CX57" s="74">
        <v>1</v>
      </c>
      <c r="CY57" s="78">
        <v>1</v>
      </c>
      <c r="CZ57" s="78">
        <v>1</v>
      </c>
      <c r="DA57" s="78">
        <v>1</v>
      </c>
      <c r="DB57" s="78">
        <v>1</v>
      </c>
      <c r="DC57" s="78">
        <v>1</v>
      </c>
      <c r="DD57" s="78">
        <v>1</v>
      </c>
      <c r="DE57" s="78">
        <v>1</v>
      </c>
      <c r="DF57" s="78">
        <v>1</v>
      </c>
      <c r="DG57" s="78">
        <v>1</v>
      </c>
      <c r="DH57" s="78">
        <v>1</v>
      </c>
      <c r="DI57" s="78">
        <v>1</v>
      </c>
      <c r="DJ57" s="78">
        <v>1</v>
      </c>
      <c r="DK57" s="78">
        <v>1</v>
      </c>
      <c r="DL57" s="78">
        <v>1</v>
      </c>
      <c r="DM57" s="78">
        <v>1</v>
      </c>
      <c r="DN57" s="78">
        <v>1</v>
      </c>
      <c r="DO57" s="78">
        <v>1</v>
      </c>
      <c r="DP57" s="78">
        <v>1</v>
      </c>
      <c r="DQ57" s="78">
        <v>1</v>
      </c>
      <c r="DR57" s="78">
        <v>1</v>
      </c>
      <c r="DS57" s="78">
        <v>1</v>
      </c>
      <c r="DT57" s="78">
        <v>1</v>
      </c>
      <c r="DU57" s="74">
        <v>1</v>
      </c>
      <c r="DV57" s="74">
        <v>1</v>
      </c>
      <c r="DW57" s="78">
        <v>1</v>
      </c>
      <c r="DX57" s="78">
        <v>1</v>
      </c>
      <c r="DY57" s="78">
        <v>1</v>
      </c>
      <c r="DZ57" s="78">
        <v>1</v>
      </c>
      <c r="EA57" s="78">
        <v>1</v>
      </c>
      <c r="EB57" s="78">
        <v>1</v>
      </c>
      <c r="EC57" s="78">
        <v>1</v>
      </c>
      <c r="ED57" s="78">
        <v>1</v>
      </c>
      <c r="EE57" s="78">
        <v>1</v>
      </c>
      <c r="EF57" s="78">
        <v>1</v>
      </c>
      <c r="EG57" s="78">
        <v>1</v>
      </c>
      <c r="EH57" s="78">
        <v>1</v>
      </c>
      <c r="EI57" s="78">
        <v>1</v>
      </c>
      <c r="EJ57" s="78">
        <v>1</v>
      </c>
      <c r="EK57" s="78">
        <v>1</v>
      </c>
      <c r="EL57" s="78">
        <v>1</v>
      </c>
      <c r="EM57" s="78">
        <v>1</v>
      </c>
      <c r="EN57" s="78">
        <v>1</v>
      </c>
      <c r="EO57" s="78">
        <v>1</v>
      </c>
      <c r="EP57" s="78">
        <v>1</v>
      </c>
      <c r="EQ57" s="78">
        <v>1</v>
      </c>
      <c r="ER57" s="78">
        <v>1</v>
      </c>
      <c r="ES57" s="74">
        <v>1</v>
      </c>
      <c r="ET57" s="74">
        <v>1</v>
      </c>
      <c r="EU57" s="78">
        <v>1</v>
      </c>
      <c r="EV57" s="78">
        <v>1</v>
      </c>
      <c r="EW57" s="78">
        <v>1</v>
      </c>
      <c r="EX57" s="78">
        <v>1</v>
      </c>
      <c r="EY57" s="78">
        <v>1</v>
      </c>
      <c r="EZ57" s="78">
        <v>1</v>
      </c>
      <c r="FA57" s="78">
        <v>1</v>
      </c>
      <c r="FB57" s="78">
        <v>1</v>
      </c>
      <c r="FC57" s="78">
        <v>1</v>
      </c>
      <c r="FD57" s="78">
        <v>1</v>
      </c>
      <c r="FE57" s="78">
        <v>1</v>
      </c>
      <c r="FF57" s="78">
        <v>1</v>
      </c>
      <c r="FG57" s="78">
        <v>1</v>
      </c>
      <c r="FH57" s="78">
        <v>1</v>
      </c>
      <c r="FI57" s="78">
        <v>1</v>
      </c>
      <c r="FJ57" s="78">
        <v>1</v>
      </c>
      <c r="FK57" s="78">
        <v>1</v>
      </c>
      <c r="FL57" s="78">
        <v>1</v>
      </c>
      <c r="FM57" s="78">
        <v>1</v>
      </c>
      <c r="FN57" s="78">
        <v>1</v>
      </c>
      <c r="FO57" s="78">
        <v>1</v>
      </c>
      <c r="FP57" s="78">
        <v>1</v>
      </c>
      <c r="FQ57" s="74">
        <v>1</v>
      </c>
      <c r="FR57" s="74">
        <v>1</v>
      </c>
      <c r="FS57" s="78">
        <v>1</v>
      </c>
      <c r="FT57" s="78">
        <v>1</v>
      </c>
      <c r="FU57" s="78">
        <v>1</v>
      </c>
      <c r="FV57" s="78">
        <v>1</v>
      </c>
      <c r="FW57" s="78">
        <v>1</v>
      </c>
      <c r="FX57" s="78">
        <v>1</v>
      </c>
      <c r="FY57" s="78">
        <v>1</v>
      </c>
      <c r="FZ57" s="78">
        <v>1</v>
      </c>
      <c r="GA57" s="78">
        <v>1</v>
      </c>
      <c r="GB57" s="78">
        <v>1</v>
      </c>
      <c r="GC57" s="78">
        <v>1</v>
      </c>
      <c r="GD57" s="78">
        <v>1</v>
      </c>
      <c r="GE57" s="78">
        <v>1</v>
      </c>
      <c r="GF57" s="78">
        <v>1</v>
      </c>
      <c r="GG57" s="78">
        <v>1</v>
      </c>
      <c r="GH57" s="78">
        <v>1</v>
      </c>
      <c r="GI57" s="78">
        <v>1</v>
      </c>
      <c r="GJ57" s="78">
        <v>1</v>
      </c>
      <c r="GK57" s="78">
        <v>1</v>
      </c>
      <c r="GL57" s="78">
        <v>1</v>
      </c>
      <c r="GM57" s="78">
        <v>1</v>
      </c>
      <c r="GN57" s="78">
        <v>1</v>
      </c>
      <c r="GO57" s="74">
        <v>1</v>
      </c>
      <c r="GP57" s="74">
        <v>1</v>
      </c>
      <c r="GQ57" s="78">
        <v>1</v>
      </c>
      <c r="GR57" s="78">
        <v>1</v>
      </c>
      <c r="GS57" s="78">
        <v>1</v>
      </c>
      <c r="GT57" s="78">
        <v>1</v>
      </c>
      <c r="GU57" s="78">
        <v>1</v>
      </c>
      <c r="GV57" s="78">
        <v>1</v>
      </c>
      <c r="GW57" s="78">
        <v>1</v>
      </c>
      <c r="GX57" s="78">
        <v>1</v>
      </c>
      <c r="GY57" s="78">
        <v>1</v>
      </c>
      <c r="GZ57" s="78">
        <v>1</v>
      </c>
      <c r="HA57" s="78">
        <v>1</v>
      </c>
      <c r="HB57" s="78">
        <v>1</v>
      </c>
      <c r="HC57" s="78">
        <v>1</v>
      </c>
      <c r="HD57" s="78">
        <v>1</v>
      </c>
      <c r="HE57" s="74">
        <v>1</v>
      </c>
      <c r="HF57" s="74">
        <v>1</v>
      </c>
      <c r="HG57" s="74">
        <v>1</v>
      </c>
      <c r="HH57" s="74">
        <v>1</v>
      </c>
      <c r="HI57" s="74">
        <v>1</v>
      </c>
      <c r="HJ57" s="74">
        <v>1</v>
      </c>
      <c r="HK57" s="74">
        <v>1</v>
      </c>
      <c r="HL57" s="74">
        <v>1</v>
      </c>
      <c r="HM57" s="74">
        <v>1</v>
      </c>
      <c r="HN57" s="74">
        <v>1</v>
      </c>
      <c r="HO57" s="74">
        <v>1</v>
      </c>
      <c r="HP57" s="74">
        <v>1</v>
      </c>
      <c r="HQ57" s="74">
        <v>1</v>
      </c>
      <c r="HR57" s="74">
        <v>1</v>
      </c>
      <c r="HS57" s="74">
        <v>1</v>
      </c>
      <c r="HT57" s="74">
        <v>1</v>
      </c>
      <c r="HU57" s="74">
        <v>1</v>
      </c>
      <c r="HV57" s="74">
        <v>1</v>
      </c>
      <c r="HW57" s="74">
        <v>1</v>
      </c>
      <c r="HX57" s="75">
        <v>1</v>
      </c>
    </row>
    <row r="58" spans="1:232" x14ac:dyDescent="0.2">
      <c r="B58" s="80" t="s">
        <v>104</v>
      </c>
      <c r="C58" s="80" t="s">
        <v>132</v>
      </c>
      <c r="D58" s="81">
        <v>5.2</v>
      </c>
      <c r="E58" s="80" t="s">
        <v>127</v>
      </c>
      <c r="F58" s="80" t="s">
        <v>123</v>
      </c>
      <c r="G58" s="78">
        <v>1</v>
      </c>
      <c r="H58" s="74">
        <v>1</v>
      </c>
      <c r="I58" s="74">
        <v>1</v>
      </c>
      <c r="J58" s="74">
        <v>1</v>
      </c>
      <c r="K58" s="74">
        <v>1</v>
      </c>
      <c r="L58" s="74">
        <v>1</v>
      </c>
      <c r="M58" s="74">
        <v>1</v>
      </c>
      <c r="N58" s="74">
        <v>1</v>
      </c>
      <c r="O58" s="74">
        <v>1</v>
      </c>
      <c r="P58" s="74">
        <v>1</v>
      </c>
      <c r="Q58" s="74">
        <v>1</v>
      </c>
      <c r="R58" s="74">
        <v>1</v>
      </c>
      <c r="S58" s="74">
        <v>1</v>
      </c>
      <c r="T58" s="74">
        <v>1</v>
      </c>
      <c r="U58" s="74">
        <v>1</v>
      </c>
      <c r="V58" s="74">
        <v>1</v>
      </c>
      <c r="W58" s="74">
        <v>1</v>
      </c>
      <c r="X58" s="74">
        <v>1</v>
      </c>
      <c r="Y58" s="74">
        <v>1</v>
      </c>
      <c r="Z58" s="74">
        <v>1</v>
      </c>
      <c r="AA58" s="74">
        <v>1</v>
      </c>
      <c r="AB58" s="74">
        <v>1</v>
      </c>
      <c r="AC58" s="74">
        <v>1</v>
      </c>
      <c r="AD58" s="74">
        <v>1</v>
      </c>
      <c r="AE58" s="78">
        <v>1</v>
      </c>
      <c r="AF58" s="74">
        <v>1</v>
      </c>
      <c r="AG58" s="74">
        <v>1</v>
      </c>
      <c r="AH58" s="74">
        <v>1</v>
      </c>
      <c r="AI58" s="74">
        <v>1</v>
      </c>
      <c r="AJ58" s="74">
        <v>1</v>
      </c>
      <c r="AK58" s="74">
        <v>1</v>
      </c>
      <c r="AL58" s="74">
        <v>1</v>
      </c>
      <c r="AM58" s="74">
        <v>1</v>
      </c>
      <c r="AN58" s="74">
        <v>1</v>
      </c>
      <c r="AO58" s="74">
        <v>1</v>
      </c>
      <c r="AP58" s="74">
        <v>1</v>
      </c>
      <c r="AQ58" s="74">
        <v>1</v>
      </c>
      <c r="AR58" s="74">
        <v>1</v>
      </c>
      <c r="AS58" s="74">
        <v>1</v>
      </c>
      <c r="AT58" s="74">
        <v>1</v>
      </c>
      <c r="AU58" s="74">
        <v>1</v>
      </c>
      <c r="AV58" s="74">
        <v>1</v>
      </c>
      <c r="AW58" s="74">
        <v>1</v>
      </c>
      <c r="AX58" s="74">
        <v>1</v>
      </c>
      <c r="AY58" s="74">
        <v>1</v>
      </c>
      <c r="AZ58" s="74">
        <v>1</v>
      </c>
      <c r="BA58" s="74">
        <v>1</v>
      </c>
      <c r="BB58" s="74">
        <v>1</v>
      </c>
      <c r="BC58" s="78">
        <v>1</v>
      </c>
      <c r="BD58" s="74">
        <v>1</v>
      </c>
      <c r="BE58" s="74">
        <v>1</v>
      </c>
      <c r="BF58" s="74">
        <v>1</v>
      </c>
      <c r="BG58" s="74">
        <v>1</v>
      </c>
      <c r="BH58" s="74">
        <v>1</v>
      </c>
      <c r="BI58" s="74">
        <v>1</v>
      </c>
      <c r="BJ58" s="74">
        <v>1</v>
      </c>
      <c r="BK58" s="74">
        <v>1</v>
      </c>
      <c r="BL58" s="74">
        <v>1</v>
      </c>
      <c r="BM58" s="74">
        <v>1</v>
      </c>
      <c r="BN58" s="74">
        <v>1</v>
      </c>
      <c r="BO58" s="74">
        <v>1</v>
      </c>
      <c r="BP58" s="74">
        <v>1</v>
      </c>
      <c r="BQ58" s="74">
        <v>1</v>
      </c>
      <c r="BR58" s="74">
        <v>1</v>
      </c>
      <c r="BS58" s="74">
        <v>1</v>
      </c>
      <c r="BT58" s="74">
        <v>1</v>
      </c>
      <c r="BU58" s="74">
        <v>1</v>
      </c>
      <c r="BV58" s="74">
        <v>1</v>
      </c>
      <c r="BW58" s="74">
        <v>1</v>
      </c>
      <c r="BX58" s="74">
        <v>1</v>
      </c>
      <c r="BY58" s="74">
        <v>1</v>
      </c>
      <c r="BZ58" s="74">
        <v>1</v>
      </c>
      <c r="CA58" s="78">
        <v>1</v>
      </c>
      <c r="CB58" s="74">
        <v>1</v>
      </c>
      <c r="CC58" s="74">
        <v>1</v>
      </c>
      <c r="CD58" s="74">
        <v>1</v>
      </c>
      <c r="CE58" s="74">
        <v>1</v>
      </c>
      <c r="CF58" s="74">
        <v>1</v>
      </c>
      <c r="CG58" s="74">
        <v>1</v>
      </c>
      <c r="CH58" s="74">
        <v>1</v>
      </c>
      <c r="CI58" s="74">
        <v>1</v>
      </c>
      <c r="CJ58" s="74">
        <v>1</v>
      </c>
      <c r="CK58" s="74">
        <v>1</v>
      </c>
      <c r="CL58" s="74">
        <v>1</v>
      </c>
      <c r="CM58" s="74">
        <v>1</v>
      </c>
      <c r="CN58" s="74">
        <v>1</v>
      </c>
      <c r="CO58" s="74">
        <v>1</v>
      </c>
      <c r="CP58" s="74">
        <v>1</v>
      </c>
      <c r="CQ58" s="74">
        <v>1</v>
      </c>
      <c r="CR58" s="74">
        <v>1</v>
      </c>
      <c r="CS58" s="74">
        <v>1</v>
      </c>
      <c r="CT58" s="74">
        <v>1</v>
      </c>
      <c r="CU58" s="74">
        <v>1</v>
      </c>
      <c r="CV58" s="74">
        <v>1</v>
      </c>
      <c r="CW58" s="74">
        <v>1</v>
      </c>
      <c r="CX58" s="74">
        <v>1</v>
      </c>
      <c r="CY58" s="78">
        <v>1</v>
      </c>
      <c r="CZ58" s="74">
        <v>1</v>
      </c>
      <c r="DA58" s="74">
        <v>1</v>
      </c>
      <c r="DB58" s="74">
        <v>1</v>
      </c>
      <c r="DC58" s="74">
        <v>1</v>
      </c>
      <c r="DD58" s="74">
        <v>1</v>
      </c>
      <c r="DE58" s="74">
        <v>1</v>
      </c>
      <c r="DF58" s="74">
        <v>1</v>
      </c>
      <c r="DG58" s="74">
        <v>1</v>
      </c>
      <c r="DH58" s="74">
        <v>1</v>
      </c>
      <c r="DI58" s="74">
        <v>1</v>
      </c>
      <c r="DJ58" s="74">
        <v>1</v>
      </c>
      <c r="DK58" s="74">
        <v>1</v>
      </c>
      <c r="DL58" s="74">
        <v>1</v>
      </c>
      <c r="DM58" s="74">
        <v>1</v>
      </c>
      <c r="DN58" s="74">
        <v>1</v>
      </c>
      <c r="DO58" s="74">
        <v>1</v>
      </c>
      <c r="DP58" s="74">
        <v>1</v>
      </c>
      <c r="DQ58" s="74">
        <v>1</v>
      </c>
      <c r="DR58" s="74">
        <v>1</v>
      </c>
      <c r="DS58" s="74">
        <v>1</v>
      </c>
      <c r="DT58" s="74">
        <v>1</v>
      </c>
      <c r="DU58" s="74">
        <v>1</v>
      </c>
      <c r="DV58" s="74">
        <v>1</v>
      </c>
      <c r="DW58" s="78">
        <v>1</v>
      </c>
      <c r="DX58" s="74">
        <v>1</v>
      </c>
      <c r="DY58" s="74">
        <v>1</v>
      </c>
      <c r="DZ58" s="74">
        <v>1</v>
      </c>
      <c r="EA58" s="74">
        <v>1</v>
      </c>
      <c r="EB58" s="74">
        <v>1</v>
      </c>
      <c r="EC58" s="74">
        <v>1</v>
      </c>
      <c r="ED58" s="74">
        <v>1</v>
      </c>
      <c r="EE58" s="74">
        <v>1</v>
      </c>
      <c r="EF58" s="74">
        <v>1</v>
      </c>
      <c r="EG58" s="74">
        <v>1</v>
      </c>
      <c r="EH58" s="74">
        <v>1</v>
      </c>
      <c r="EI58" s="74">
        <v>1</v>
      </c>
      <c r="EJ58" s="74">
        <v>1</v>
      </c>
      <c r="EK58" s="74">
        <v>1</v>
      </c>
      <c r="EL58" s="74">
        <v>1</v>
      </c>
      <c r="EM58" s="74">
        <v>1</v>
      </c>
      <c r="EN58" s="74">
        <v>1</v>
      </c>
      <c r="EO58" s="74">
        <v>1</v>
      </c>
      <c r="EP58" s="74">
        <v>1</v>
      </c>
      <c r="EQ58" s="74">
        <v>1</v>
      </c>
      <c r="ER58" s="74">
        <v>1</v>
      </c>
      <c r="ES58" s="74">
        <v>1</v>
      </c>
      <c r="ET58" s="74">
        <v>1</v>
      </c>
      <c r="EU58" s="78">
        <v>1</v>
      </c>
      <c r="EV58" s="74">
        <v>1</v>
      </c>
      <c r="EW58" s="74">
        <v>1</v>
      </c>
      <c r="EX58" s="74">
        <v>1</v>
      </c>
      <c r="EY58" s="74">
        <v>1</v>
      </c>
      <c r="EZ58" s="74">
        <v>1</v>
      </c>
      <c r="FA58" s="74">
        <v>1</v>
      </c>
      <c r="FB58" s="74">
        <v>1</v>
      </c>
      <c r="FC58" s="74">
        <v>1</v>
      </c>
      <c r="FD58" s="74">
        <v>1</v>
      </c>
      <c r="FE58" s="74">
        <v>1</v>
      </c>
      <c r="FF58" s="74">
        <v>1</v>
      </c>
      <c r="FG58" s="74">
        <v>1</v>
      </c>
      <c r="FH58" s="74">
        <v>1</v>
      </c>
      <c r="FI58" s="74">
        <v>1</v>
      </c>
      <c r="FJ58" s="74">
        <v>1</v>
      </c>
      <c r="FK58" s="74">
        <v>1</v>
      </c>
      <c r="FL58" s="74">
        <v>1</v>
      </c>
      <c r="FM58" s="74">
        <v>1</v>
      </c>
      <c r="FN58" s="74">
        <v>1</v>
      </c>
      <c r="FO58" s="74">
        <v>1</v>
      </c>
      <c r="FP58" s="74">
        <v>1</v>
      </c>
      <c r="FQ58" s="74">
        <v>1</v>
      </c>
      <c r="FR58" s="74">
        <v>1</v>
      </c>
      <c r="FS58" s="78">
        <v>1</v>
      </c>
      <c r="FT58" s="74">
        <v>1</v>
      </c>
      <c r="FU58" s="74">
        <v>1</v>
      </c>
      <c r="FV58" s="74">
        <v>1</v>
      </c>
      <c r="FW58" s="74">
        <v>1</v>
      </c>
      <c r="FX58" s="74">
        <v>1</v>
      </c>
      <c r="FY58" s="74">
        <v>1</v>
      </c>
      <c r="FZ58" s="74">
        <v>1</v>
      </c>
      <c r="GA58" s="74">
        <v>1</v>
      </c>
      <c r="GB58" s="74">
        <v>1</v>
      </c>
      <c r="GC58" s="74">
        <v>1</v>
      </c>
      <c r="GD58" s="74">
        <v>1</v>
      </c>
      <c r="GE58" s="74">
        <v>1</v>
      </c>
      <c r="GF58" s="74">
        <v>1</v>
      </c>
      <c r="GG58" s="74">
        <v>1</v>
      </c>
      <c r="GH58" s="74">
        <v>1</v>
      </c>
      <c r="GI58" s="74">
        <v>1</v>
      </c>
      <c r="GJ58" s="74">
        <v>1</v>
      </c>
      <c r="GK58" s="74">
        <v>1</v>
      </c>
      <c r="GL58" s="74">
        <v>1</v>
      </c>
      <c r="GM58" s="74">
        <v>1</v>
      </c>
      <c r="GN58" s="74">
        <v>1</v>
      </c>
      <c r="GO58" s="74">
        <v>1</v>
      </c>
      <c r="GP58" s="74">
        <v>1</v>
      </c>
      <c r="GQ58" s="78">
        <v>1</v>
      </c>
      <c r="GR58" s="74">
        <v>1</v>
      </c>
      <c r="GS58" s="74">
        <v>1</v>
      </c>
      <c r="GT58" s="74">
        <v>1</v>
      </c>
      <c r="GU58" s="74">
        <v>1</v>
      </c>
      <c r="GV58" s="74">
        <v>1</v>
      </c>
      <c r="GW58" s="74">
        <v>1</v>
      </c>
      <c r="GX58" s="74">
        <v>1</v>
      </c>
      <c r="GY58" s="74">
        <v>1</v>
      </c>
      <c r="GZ58" s="74">
        <v>1</v>
      </c>
      <c r="HA58" s="74">
        <v>1</v>
      </c>
      <c r="HB58" s="74">
        <v>1</v>
      </c>
      <c r="HC58" s="74">
        <v>1</v>
      </c>
      <c r="HD58" s="74">
        <v>1</v>
      </c>
      <c r="HE58" s="74">
        <v>1</v>
      </c>
      <c r="HF58" s="74">
        <v>1</v>
      </c>
      <c r="HG58" s="74">
        <v>1</v>
      </c>
      <c r="HH58" s="74">
        <v>1</v>
      </c>
      <c r="HI58" s="74">
        <v>1</v>
      </c>
      <c r="HJ58" s="74">
        <v>1</v>
      </c>
      <c r="HK58" s="74">
        <v>1</v>
      </c>
      <c r="HL58" s="74">
        <v>1</v>
      </c>
      <c r="HM58" s="74">
        <v>1</v>
      </c>
      <c r="HN58" s="74">
        <v>1</v>
      </c>
      <c r="HO58" s="74">
        <v>1</v>
      </c>
      <c r="HP58" s="74">
        <v>1</v>
      </c>
      <c r="HQ58" s="74">
        <v>1</v>
      </c>
      <c r="HR58" s="74">
        <v>1</v>
      </c>
      <c r="HS58" s="74">
        <v>1</v>
      </c>
      <c r="HT58" s="74">
        <v>1</v>
      </c>
      <c r="HU58" s="74">
        <v>1</v>
      </c>
      <c r="HV58" s="74">
        <v>1</v>
      </c>
      <c r="HW58" s="74">
        <v>1</v>
      </c>
      <c r="HX58" s="75">
        <v>1</v>
      </c>
    </row>
    <row r="59" spans="1:232" x14ac:dyDescent="0.2">
      <c r="B59" s="80" t="s">
        <v>105</v>
      </c>
      <c r="C59" s="80" t="s">
        <v>132</v>
      </c>
      <c r="D59" s="81">
        <v>5.2</v>
      </c>
      <c r="E59" s="80" t="s">
        <v>127</v>
      </c>
      <c r="F59" s="80" t="s">
        <v>122</v>
      </c>
      <c r="G59" s="78">
        <v>1</v>
      </c>
      <c r="H59" s="74">
        <v>1</v>
      </c>
      <c r="I59" s="74">
        <v>1</v>
      </c>
      <c r="J59" s="74">
        <v>1</v>
      </c>
      <c r="K59" s="74">
        <v>1</v>
      </c>
      <c r="L59" s="74">
        <v>1</v>
      </c>
      <c r="M59" s="74">
        <v>1</v>
      </c>
      <c r="N59" s="74">
        <v>1</v>
      </c>
      <c r="O59" s="74">
        <v>1</v>
      </c>
      <c r="P59" s="74">
        <v>1</v>
      </c>
      <c r="Q59" s="74">
        <v>1</v>
      </c>
      <c r="R59" s="74">
        <v>1</v>
      </c>
      <c r="S59" s="74">
        <v>1</v>
      </c>
      <c r="T59" s="74">
        <v>1</v>
      </c>
      <c r="U59" s="74">
        <v>1</v>
      </c>
      <c r="V59" s="74">
        <v>1</v>
      </c>
      <c r="W59" s="74">
        <v>1</v>
      </c>
      <c r="X59" s="74">
        <v>1</v>
      </c>
      <c r="Y59" s="74">
        <v>1</v>
      </c>
      <c r="Z59" s="74">
        <v>1</v>
      </c>
      <c r="AA59" s="74">
        <v>1</v>
      </c>
      <c r="AB59" s="74">
        <v>1</v>
      </c>
      <c r="AC59" s="74">
        <v>1</v>
      </c>
      <c r="AD59" s="74">
        <v>1</v>
      </c>
      <c r="AE59" s="78">
        <v>1</v>
      </c>
      <c r="AF59" s="74">
        <v>1</v>
      </c>
      <c r="AG59" s="74">
        <v>1</v>
      </c>
      <c r="AH59" s="74">
        <v>1</v>
      </c>
      <c r="AI59" s="74">
        <v>1</v>
      </c>
      <c r="AJ59" s="74">
        <v>1</v>
      </c>
      <c r="AK59" s="74">
        <v>1</v>
      </c>
      <c r="AL59" s="74">
        <v>1</v>
      </c>
      <c r="AM59" s="74">
        <v>1</v>
      </c>
      <c r="AN59" s="74">
        <v>1</v>
      </c>
      <c r="AO59" s="74">
        <v>1</v>
      </c>
      <c r="AP59" s="74">
        <v>1</v>
      </c>
      <c r="AQ59" s="74">
        <v>1</v>
      </c>
      <c r="AR59" s="74">
        <v>1</v>
      </c>
      <c r="AS59" s="74">
        <v>1</v>
      </c>
      <c r="AT59" s="74">
        <v>1</v>
      </c>
      <c r="AU59" s="74">
        <v>1</v>
      </c>
      <c r="AV59" s="74">
        <v>1</v>
      </c>
      <c r="AW59" s="74">
        <v>1</v>
      </c>
      <c r="AX59" s="74">
        <v>1</v>
      </c>
      <c r="AY59" s="74">
        <v>1</v>
      </c>
      <c r="AZ59" s="74">
        <v>1</v>
      </c>
      <c r="BA59" s="74">
        <v>1</v>
      </c>
      <c r="BB59" s="74">
        <v>1</v>
      </c>
      <c r="BC59" s="78">
        <v>1</v>
      </c>
      <c r="BD59" s="74">
        <v>1</v>
      </c>
      <c r="BE59" s="74">
        <v>1</v>
      </c>
      <c r="BF59" s="74">
        <v>1</v>
      </c>
      <c r="BG59" s="74">
        <v>1</v>
      </c>
      <c r="BH59" s="74">
        <v>1</v>
      </c>
      <c r="BI59" s="74">
        <v>1</v>
      </c>
      <c r="BJ59" s="74">
        <v>1</v>
      </c>
      <c r="BK59" s="74">
        <v>1</v>
      </c>
      <c r="BL59" s="74">
        <v>1</v>
      </c>
      <c r="BM59" s="74">
        <v>1</v>
      </c>
      <c r="BN59" s="74">
        <v>1</v>
      </c>
      <c r="BO59" s="74">
        <v>1</v>
      </c>
      <c r="BP59" s="74">
        <v>1</v>
      </c>
      <c r="BQ59" s="74">
        <v>1</v>
      </c>
      <c r="BR59" s="74">
        <v>1</v>
      </c>
      <c r="BS59" s="74">
        <v>1</v>
      </c>
      <c r="BT59" s="74">
        <v>1</v>
      </c>
      <c r="BU59" s="74">
        <v>1</v>
      </c>
      <c r="BV59" s="74">
        <v>1</v>
      </c>
      <c r="BW59" s="74">
        <v>1</v>
      </c>
      <c r="BX59" s="74">
        <v>1</v>
      </c>
      <c r="BY59" s="74">
        <v>1</v>
      </c>
      <c r="BZ59" s="74">
        <v>1</v>
      </c>
      <c r="CA59" s="78">
        <v>1</v>
      </c>
      <c r="CB59" s="74">
        <v>1</v>
      </c>
      <c r="CC59" s="74">
        <v>1</v>
      </c>
      <c r="CD59" s="74">
        <v>1</v>
      </c>
      <c r="CE59" s="74">
        <v>1</v>
      </c>
      <c r="CF59" s="74">
        <v>1</v>
      </c>
      <c r="CG59" s="74">
        <v>1</v>
      </c>
      <c r="CH59" s="74">
        <v>1</v>
      </c>
      <c r="CI59" s="74">
        <v>1</v>
      </c>
      <c r="CJ59" s="74">
        <v>1</v>
      </c>
      <c r="CK59" s="74">
        <v>1</v>
      </c>
      <c r="CL59" s="74">
        <v>1</v>
      </c>
      <c r="CM59" s="74">
        <v>1</v>
      </c>
      <c r="CN59" s="74">
        <v>1</v>
      </c>
      <c r="CO59" s="74">
        <v>1</v>
      </c>
      <c r="CP59" s="74">
        <v>1</v>
      </c>
      <c r="CQ59" s="74">
        <v>1</v>
      </c>
      <c r="CR59" s="74">
        <v>1</v>
      </c>
      <c r="CS59" s="74">
        <v>1</v>
      </c>
      <c r="CT59" s="74">
        <v>1</v>
      </c>
      <c r="CU59" s="74">
        <v>1</v>
      </c>
      <c r="CV59" s="74">
        <v>1</v>
      </c>
      <c r="CW59" s="74">
        <v>1</v>
      </c>
      <c r="CX59" s="74">
        <v>1</v>
      </c>
      <c r="CY59" s="78">
        <v>1</v>
      </c>
      <c r="CZ59" s="74">
        <v>1</v>
      </c>
      <c r="DA59" s="74">
        <v>1</v>
      </c>
      <c r="DB59" s="74">
        <v>1</v>
      </c>
      <c r="DC59" s="74">
        <v>1</v>
      </c>
      <c r="DD59" s="74">
        <v>1</v>
      </c>
      <c r="DE59" s="74">
        <v>1</v>
      </c>
      <c r="DF59" s="74">
        <v>1</v>
      </c>
      <c r="DG59" s="74">
        <v>1</v>
      </c>
      <c r="DH59" s="74">
        <v>1</v>
      </c>
      <c r="DI59" s="74">
        <v>1</v>
      </c>
      <c r="DJ59" s="74">
        <v>1</v>
      </c>
      <c r="DK59" s="74">
        <v>1</v>
      </c>
      <c r="DL59" s="74">
        <v>1</v>
      </c>
      <c r="DM59" s="74">
        <v>1</v>
      </c>
      <c r="DN59" s="74">
        <v>1</v>
      </c>
      <c r="DO59" s="74">
        <v>1</v>
      </c>
      <c r="DP59" s="74">
        <v>1</v>
      </c>
      <c r="DQ59" s="74">
        <v>1</v>
      </c>
      <c r="DR59" s="74">
        <v>1</v>
      </c>
      <c r="DS59" s="74">
        <v>1</v>
      </c>
      <c r="DT59" s="74">
        <v>1</v>
      </c>
      <c r="DU59" s="74">
        <v>1</v>
      </c>
      <c r="DV59" s="74">
        <v>1</v>
      </c>
      <c r="DW59" s="78">
        <v>1</v>
      </c>
      <c r="DX59" s="74">
        <v>1</v>
      </c>
      <c r="DY59" s="74">
        <v>1</v>
      </c>
      <c r="DZ59" s="74">
        <v>1</v>
      </c>
      <c r="EA59" s="74">
        <v>1</v>
      </c>
      <c r="EB59" s="74">
        <v>1</v>
      </c>
      <c r="EC59" s="74">
        <v>1</v>
      </c>
      <c r="ED59" s="74">
        <v>1</v>
      </c>
      <c r="EE59" s="74">
        <v>1</v>
      </c>
      <c r="EF59" s="74">
        <v>1</v>
      </c>
      <c r="EG59" s="74">
        <v>1</v>
      </c>
      <c r="EH59" s="74">
        <v>1</v>
      </c>
      <c r="EI59" s="74">
        <v>1</v>
      </c>
      <c r="EJ59" s="74">
        <v>1</v>
      </c>
      <c r="EK59" s="74">
        <v>1</v>
      </c>
      <c r="EL59" s="74">
        <v>1</v>
      </c>
      <c r="EM59" s="74">
        <v>1</v>
      </c>
      <c r="EN59" s="74">
        <v>1</v>
      </c>
      <c r="EO59" s="74">
        <v>1</v>
      </c>
      <c r="EP59" s="74">
        <v>1</v>
      </c>
      <c r="EQ59" s="74">
        <v>1</v>
      </c>
      <c r="ER59" s="74">
        <v>1</v>
      </c>
      <c r="ES59" s="74">
        <v>1</v>
      </c>
      <c r="ET59" s="74">
        <v>1</v>
      </c>
      <c r="EU59" s="78">
        <v>1</v>
      </c>
      <c r="EV59" s="74">
        <v>1</v>
      </c>
      <c r="EW59" s="74">
        <v>1</v>
      </c>
      <c r="EX59" s="74">
        <v>1</v>
      </c>
      <c r="EY59" s="74">
        <v>1</v>
      </c>
      <c r="EZ59" s="74">
        <v>1</v>
      </c>
      <c r="FA59" s="74">
        <v>1</v>
      </c>
      <c r="FB59" s="74">
        <v>1</v>
      </c>
      <c r="FC59" s="74">
        <v>1</v>
      </c>
      <c r="FD59" s="74">
        <v>1</v>
      </c>
      <c r="FE59" s="74">
        <v>1</v>
      </c>
      <c r="FF59" s="74">
        <v>1</v>
      </c>
      <c r="FG59" s="74">
        <v>1</v>
      </c>
      <c r="FH59" s="74">
        <v>1</v>
      </c>
      <c r="FI59" s="74">
        <v>1</v>
      </c>
      <c r="FJ59" s="74">
        <v>1</v>
      </c>
      <c r="FK59" s="74">
        <v>1</v>
      </c>
      <c r="FL59" s="74">
        <v>1</v>
      </c>
      <c r="FM59" s="74">
        <v>1</v>
      </c>
      <c r="FN59" s="74">
        <v>1</v>
      </c>
      <c r="FO59" s="74">
        <v>1</v>
      </c>
      <c r="FP59" s="74">
        <v>1</v>
      </c>
      <c r="FQ59" s="74">
        <v>1</v>
      </c>
      <c r="FR59" s="74">
        <v>1</v>
      </c>
      <c r="FS59" s="78">
        <v>1</v>
      </c>
      <c r="FT59" s="74">
        <v>1</v>
      </c>
      <c r="FU59" s="74">
        <v>1</v>
      </c>
      <c r="FV59" s="74">
        <v>1</v>
      </c>
      <c r="FW59" s="74">
        <v>1</v>
      </c>
      <c r="FX59" s="74">
        <v>1</v>
      </c>
      <c r="FY59" s="74">
        <v>1</v>
      </c>
      <c r="FZ59" s="74">
        <v>1</v>
      </c>
      <c r="GA59" s="74">
        <v>1</v>
      </c>
      <c r="GB59" s="74">
        <v>1</v>
      </c>
      <c r="GC59" s="74">
        <v>1</v>
      </c>
      <c r="GD59" s="74">
        <v>1</v>
      </c>
      <c r="GE59" s="74">
        <v>1</v>
      </c>
      <c r="GF59" s="74">
        <v>1</v>
      </c>
      <c r="GG59" s="74">
        <v>1</v>
      </c>
      <c r="GH59" s="74">
        <v>1</v>
      </c>
      <c r="GI59" s="74">
        <v>1</v>
      </c>
      <c r="GJ59" s="74">
        <v>1</v>
      </c>
      <c r="GK59" s="74">
        <v>1</v>
      </c>
      <c r="GL59" s="74">
        <v>1</v>
      </c>
      <c r="GM59" s="74">
        <v>1</v>
      </c>
      <c r="GN59" s="74">
        <v>1</v>
      </c>
      <c r="GO59" s="74">
        <v>1</v>
      </c>
      <c r="GP59" s="74">
        <v>1</v>
      </c>
      <c r="GQ59" s="78">
        <v>1</v>
      </c>
      <c r="GR59" s="74">
        <v>1</v>
      </c>
      <c r="GS59" s="74">
        <v>1</v>
      </c>
      <c r="GT59" s="74">
        <v>1</v>
      </c>
      <c r="GU59" s="74">
        <v>1</v>
      </c>
      <c r="GV59" s="74">
        <v>1</v>
      </c>
      <c r="GW59" s="74">
        <v>1</v>
      </c>
      <c r="GX59" s="74">
        <v>1</v>
      </c>
      <c r="GY59" s="74">
        <v>1</v>
      </c>
      <c r="GZ59" s="74">
        <v>1</v>
      </c>
      <c r="HA59" s="74">
        <v>1</v>
      </c>
      <c r="HB59" s="74">
        <v>1</v>
      </c>
      <c r="HC59" s="74">
        <v>1</v>
      </c>
      <c r="HD59" s="74">
        <v>1</v>
      </c>
      <c r="HE59" s="74">
        <v>1</v>
      </c>
      <c r="HF59" s="74">
        <v>1</v>
      </c>
      <c r="HG59" s="74">
        <v>1</v>
      </c>
      <c r="HH59" s="74">
        <v>1</v>
      </c>
      <c r="HI59" s="74">
        <v>1</v>
      </c>
      <c r="HJ59" s="74">
        <v>1</v>
      </c>
      <c r="HK59" s="74">
        <v>1</v>
      </c>
      <c r="HL59" s="74">
        <v>1</v>
      </c>
      <c r="HM59" s="74">
        <v>1</v>
      </c>
      <c r="HN59" s="74">
        <v>1</v>
      </c>
      <c r="HO59" s="74">
        <v>1</v>
      </c>
      <c r="HP59" s="74">
        <v>1</v>
      </c>
      <c r="HQ59" s="74">
        <v>1</v>
      </c>
      <c r="HR59" s="74">
        <v>1</v>
      </c>
      <c r="HS59" s="74">
        <v>1</v>
      </c>
      <c r="HT59" s="74">
        <v>1</v>
      </c>
      <c r="HU59" s="74">
        <v>1</v>
      </c>
      <c r="HV59" s="74">
        <v>1</v>
      </c>
      <c r="HW59" s="74">
        <v>1</v>
      </c>
      <c r="HX59" s="75">
        <v>1</v>
      </c>
    </row>
    <row r="60" spans="1:232" x14ac:dyDescent="0.2">
      <c r="B60" s="80" t="s">
        <v>106</v>
      </c>
      <c r="C60" s="80" t="s">
        <v>132</v>
      </c>
      <c r="D60" s="81">
        <v>5.2</v>
      </c>
      <c r="E60" s="80" t="s">
        <v>127</v>
      </c>
      <c r="F60" s="80" t="s">
        <v>122</v>
      </c>
      <c r="G60" s="78">
        <v>1</v>
      </c>
      <c r="H60" s="74">
        <v>1</v>
      </c>
      <c r="I60" s="74">
        <v>1</v>
      </c>
      <c r="J60" s="74">
        <v>1</v>
      </c>
      <c r="K60" s="74">
        <v>1</v>
      </c>
      <c r="L60" s="74">
        <v>1</v>
      </c>
      <c r="M60" s="74">
        <v>1</v>
      </c>
      <c r="N60" s="74">
        <v>1</v>
      </c>
      <c r="O60" s="74">
        <v>1</v>
      </c>
      <c r="P60" s="74">
        <v>1</v>
      </c>
      <c r="Q60" s="74">
        <v>1</v>
      </c>
      <c r="R60" s="74">
        <v>1</v>
      </c>
      <c r="S60" s="74">
        <v>1</v>
      </c>
      <c r="T60" s="74">
        <v>1</v>
      </c>
      <c r="U60" s="74">
        <v>1</v>
      </c>
      <c r="V60" s="74">
        <v>1</v>
      </c>
      <c r="W60" s="74">
        <v>1</v>
      </c>
      <c r="X60" s="74">
        <v>1</v>
      </c>
      <c r="Y60" s="74">
        <v>1</v>
      </c>
      <c r="Z60" s="74">
        <v>1</v>
      </c>
      <c r="AA60" s="74">
        <v>1</v>
      </c>
      <c r="AB60" s="74">
        <v>1</v>
      </c>
      <c r="AC60" s="74">
        <v>1</v>
      </c>
      <c r="AD60" s="74">
        <v>1</v>
      </c>
      <c r="AE60" s="78">
        <v>1</v>
      </c>
      <c r="AF60" s="74">
        <v>1</v>
      </c>
      <c r="AG60" s="74">
        <v>1</v>
      </c>
      <c r="AH60" s="74">
        <v>1</v>
      </c>
      <c r="AI60" s="74">
        <v>1</v>
      </c>
      <c r="AJ60" s="74">
        <v>1</v>
      </c>
      <c r="AK60" s="74">
        <v>1</v>
      </c>
      <c r="AL60" s="74">
        <v>1</v>
      </c>
      <c r="AM60" s="74">
        <v>1</v>
      </c>
      <c r="AN60" s="74">
        <v>1</v>
      </c>
      <c r="AO60" s="74">
        <v>1</v>
      </c>
      <c r="AP60" s="74">
        <v>1</v>
      </c>
      <c r="AQ60" s="74">
        <v>1</v>
      </c>
      <c r="AR60" s="74">
        <v>1</v>
      </c>
      <c r="AS60" s="74">
        <v>1</v>
      </c>
      <c r="AT60" s="74">
        <v>1</v>
      </c>
      <c r="AU60" s="74">
        <v>1</v>
      </c>
      <c r="AV60" s="74">
        <v>1</v>
      </c>
      <c r="AW60" s="74">
        <v>1</v>
      </c>
      <c r="AX60" s="74">
        <v>1</v>
      </c>
      <c r="AY60" s="74">
        <v>1</v>
      </c>
      <c r="AZ60" s="74">
        <v>1</v>
      </c>
      <c r="BA60" s="74">
        <v>1</v>
      </c>
      <c r="BB60" s="74">
        <v>1</v>
      </c>
      <c r="BC60" s="78">
        <v>1</v>
      </c>
      <c r="BD60" s="74">
        <v>1</v>
      </c>
      <c r="BE60" s="74">
        <v>1</v>
      </c>
      <c r="BF60" s="74">
        <v>1</v>
      </c>
      <c r="BG60" s="74">
        <v>1</v>
      </c>
      <c r="BH60" s="74">
        <v>1</v>
      </c>
      <c r="BI60" s="74">
        <v>1</v>
      </c>
      <c r="BJ60" s="74">
        <v>1</v>
      </c>
      <c r="BK60" s="74">
        <v>1</v>
      </c>
      <c r="BL60" s="74">
        <v>1</v>
      </c>
      <c r="BM60" s="74">
        <v>1</v>
      </c>
      <c r="BN60" s="74">
        <v>1</v>
      </c>
      <c r="BO60" s="74">
        <v>1</v>
      </c>
      <c r="BP60" s="74">
        <v>1</v>
      </c>
      <c r="BQ60" s="74">
        <v>1</v>
      </c>
      <c r="BR60" s="74">
        <v>1</v>
      </c>
      <c r="BS60" s="74">
        <v>1</v>
      </c>
      <c r="BT60" s="74">
        <v>1</v>
      </c>
      <c r="BU60" s="74">
        <v>1</v>
      </c>
      <c r="BV60" s="74">
        <v>1</v>
      </c>
      <c r="BW60" s="74">
        <v>1</v>
      </c>
      <c r="BX60" s="74">
        <v>1</v>
      </c>
      <c r="BY60" s="74">
        <v>1</v>
      </c>
      <c r="BZ60" s="74">
        <v>1</v>
      </c>
      <c r="CA60" s="78">
        <v>1</v>
      </c>
      <c r="CB60" s="74">
        <v>1</v>
      </c>
      <c r="CC60" s="74">
        <v>1</v>
      </c>
      <c r="CD60" s="74">
        <v>1</v>
      </c>
      <c r="CE60" s="74">
        <v>1</v>
      </c>
      <c r="CF60" s="74">
        <v>1</v>
      </c>
      <c r="CG60" s="74">
        <v>1</v>
      </c>
      <c r="CH60" s="74">
        <v>1</v>
      </c>
      <c r="CI60" s="74">
        <v>1</v>
      </c>
      <c r="CJ60" s="74">
        <v>1</v>
      </c>
      <c r="CK60" s="74">
        <v>1</v>
      </c>
      <c r="CL60" s="74">
        <v>1</v>
      </c>
      <c r="CM60" s="74">
        <v>1</v>
      </c>
      <c r="CN60" s="74">
        <v>1</v>
      </c>
      <c r="CO60" s="74">
        <v>1</v>
      </c>
      <c r="CP60" s="74">
        <v>1</v>
      </c>
      <c r="CQ60" s="74">
        <v>1</v>
      </c>
      <c r="CR60" s="74">
        <v>1</v>
      </c>
      <c r="CS60" s="74">
        <v>1</v>
      </c>
      <c r="CT60" s="74">
        <v>1</v>
      </c>
      <c r="CU60" s="74">
        <v>1</v>
      </c>
      <c r="CV60" s="74">
        <v>1</v>
      </c>
      <c r="CW60" s="74">
        <v>1</v>
      </c>
      <c r="CX60" s="74">
        <v>1</v>
      </c>
      <c r="CY60" s="78">
        <v>1</v>
      </c>
      <c r="CZ60" s="74">
        <v>1</v>
      </c>
      <c r="DA60" s="74">
        <v>1</v>
      </c>
      <c r="DB60" s="74">
        <v>1</v>
      </c>
      <c r="DC60" s="74">
        <v>1</v>
      </c>
      <c r="DD60" s="74">
        <v>1</v>
      </c>
      <c r="DE60" s="74">
        <v>1</v>
      </c>
      <c r="DF60" s="74">
        <v>1</v>
      </c>
      <c r="DG60" s="74">
        <v>1</v>
      </c>
      <c r="DH60" s="74">
        <v>1</v>
      </c>
      <c r="DI60" s="74">
        <v>1</v>
      </c>
      <c r="DJ60" s="74">
        <v>1</v>
      </c>
      <c r="DK60" s="74">
        <v>1</v>
      </c>
      <c r="DL60" s="74">
        <v>1</v>
      </c>
      <c r="DM60" s="74">
        <v>1</v>
      </c>
      <c r="DN60" s="74">
        <v>1</v>
      </c>
      <c r="DO60" s="74">
        <v>1</v>
      </c>
      <c r="DP60" s="74">
        <v>1</v>
      </c>
      <c r="DQ60" s="74">
        <v>1</v>
      </c>
      <c r="DR60" s="74">
        <v>1</v>
      </c>
      <c r="DS60" s="74">
        <v>1</v>
      </c>
      <c r="DT60" s="74">
        <v>1</v>
      </c>
      <c r="DU60" s="74">
        <v>1</v>
      </c>
      <c r="DV60" s="74">
        <v>1</v>
      </c>
      <c r="DW60" s="78">
        <v>1</v>
      </c>
      <c r="DX60" s="74">
        <v>1</v>
      </c>
      <c r="DY60" s="74">
        <v>1</v>
      </c>
      <c r="DZ60" s="74">
        <v>1</v>
      </c>
      <c r="EA60" s="74">
        <v>1</v>
      </c>
      <c r="EB60" s="74">
        <v>1</v>
      </c>
      <c r="EC60" s="74">
        <v>1</v>
      </c>
      <c r="ED60" s="74">
        <v>1</v>
      </c>
      <c r="EE60" s="74">
        <v>1</v>
      </c>
      <c r="EF60" s="74">
        <v>1</v>
      </c>
      <c r="EG60" s="74">
        <v>1</v>
      </c>
      <c r="EH60" s="74">
        <v>1</v>
      </c>
      <c r="EI60" s="74">
        <v>1</v>
      </c>
      <c r="EJ60" s="74">
        <v>1</v>
      </c>
      <c r="EK60" s="74">
        <v>1</v>
      </c>
      <c r="EL60" s="74">
        <v>1</v>
      </c>
      <c r="EM60" s="74">
        <v>1</v>
      </c>
      <c r="EN60" s="74">
        <v>1</v>
      </c>
      <c r="EO60" s="74">
        <v>1</v>
      </c>
      <c r="EP60" s="74">
        <v>1</v>
      </c>
      <c r="EQ60" s="74">
        <v>1</v>
      </c>
      <c r="ER60" s="74">
        <v>1</v>
      </c>
      <c r="ES60" s="74">
        <v>1</v>
      </c>
      <c r="ET60" s="74">
        <v>1</v>
      </c>
      <c r="EU60" s="78">
        <v>1</v>
      </c>
      <c r="EV60" s="74">
        <v>1</v>
      </c>
      <c r="EW60" s="74">
        <v>1</v>
      </c>
      <c r="EX60" s="74">
        <v>1</v>
      </c>
      <c r="EY60" s="74">
        <v>1</v>
      </c>
      <c r="EZ60" s="74">
        <v>1</v>
      </c>
      <c r="FA60" s="74">
        <v>1</v>
      </c>
      <c r="FB60" s="74">
        <v>1</v>
      </c>
      <c r="FC60" s="74">
        <v>1</v>
      </c>
      <c r="FD60" s="74">
        <v>1</v>
      </c>
      <c r="FE60" s="74">
        <v>1</v>
      </c>
      <c r="FF60" s="74">
        <v>1</v>
      </c>
      <c r="FG60" s="74">
        <v>1</v>
      </c>
      <c r="FH60" s="74">
        <v>1</v>
      </c>
      <c r="FI60" s="74">
        <v>1</v>
      </c>
      <c r="FJ60" s="74">
        <v>1</v>
      </c>
      <c r="FK60" s="74">
        <v>1</v>
      </c>
      <c r="FL60" s="74">
        <v>1</v>
      </c>
      <c r="FM60" s="74">
        <v>1</v>
      </c>
      <c r="FN60" s="74">
        <v>1</v>
      </c>
      <c r="FO60" s="74">
        <v>1</v>
      </c>
      <c r="FP60" s="74">
        <v>1</v>
      </c>
      <c r="FQ60" s="74">
        <v>1</v>
      </c>
      <c r="FR60" s="74">
        <v>1</v>
      </c>
      <c r="FS60" s="78">
        <v>1</v>
      </c>
      <c r="FT60" s="74">
        <v>1</v>
      </c>
      <c r="FU60" s="74">
        <v>1</v>
      </c>
      <c r="FV60" s="74">
        <v>1</v>
      </c>
      <c r="FW60" s="74">
        <v>1</v>
      </c>
      <c r="FX60" s="74">
        <v>1</v>
      </c>
      <c r="FY60" s="74">
        <v>1</v>
      </c>
      <c r="FZ60" s="74">
        <v>1</v>
      </c>
      <c r="GA60" s="74">
        <v>1</v>
      </c>
      <c r="GB60" s="74">
        <v>1</v>
      </c>
      <c r="GC60" s="74">
        <v>1</v>
      </c>
      <c r="GD60" s="74">
        <v>1</v>
      </c>
      <c r="GE60" s="74">
        <v>1</v>
      </c>
      <c r="GF60" s="74">
        <v>1</v>
      </c>
      <c r="GG60" s="74">
        <v>1</v>
      </c>
      <c r="GH60" s="74">
        <v>1</v>
      </c>
      <c r="GI60" s="74">
        <v>1</v>
      </c>
      <c r="GJ60" s="74">
        <v>1</v>
      </c>
      <c r="GK60" s="74">
        <v>1</v>
      </c>
      <c r="GL60" s="74">
        <v>1</v>
      </c>
      <c r="GM60" s="74">
        <v>1</v>
      </c>
      <c r="GN60" s="74">
        <v>1</v>
      </c>
      <c r="GO60" s="74">
        <v>1</v>
      </c>
      <c r="GP60" s="74">
        <v>1</v>
      </c>
      <c r="GQ60" s="78">
        <v>1</v>
      </c>
      <c r="GR60" s="74">
        <v>1</v>
      </c>
      <c r="GS60" s="74">
        <v>1</v>
      </c>
      <c r="GT60" s="74">
        <v>1</v>
      </c>
      <c r="GU60" s="74">
        <v>1</v>
      </c>
      <c r="GV60" s="74">
        <v>1</v>
      </c>
      <c r="GW60" s="74">
        <v>1</v>
      </c>
      <c r="GX60" s="74">
        <v>1</v>
      </c>
      <c r="GY60" s="74">
        <v>1</v>
      </c>
      <c r="GZ60" s="74">
        <v>1</v>
      </c>
      <c r="HA60" s="74">
        <v>1</v>
      </c>
      <c r="HB60" s="74">
        <v>1</v>
      </c>
      <c r="HC60" s="74">
        <v>1</v>
      </c>
      <c r="HD60" s="74">
        <v>1</v>
      </c>
      <c r="HE60" s="74">
        <v>1</v>
      </c>
      <c r="HF60" s="74">
        <v>1</v>
      </c>
      <c r="HG60" s="74">
        <v>1</v>
      </c>
      <c r="HH60" s="74">
        <v>1</v>
      </c>
      <c r="HI60" s="74">
        <v>1</v>
      </c>
      <c r="HJ60" s="74">
        <v>1</v>
      </c>
      <c r="HK60" s="74">
        <v>1</v>
      </c>
      <c r="HL60" s="74">
        <v>1</v>
      </c>
      <c r="HM60" s="74">
        <v>1</v>
      </c>
      <c r="HN60" s="74">
        <v>1</v>
      </c>
      <c r="HO60" s="74">
        <v>1</v>
      </c>
      <c r="HP60" s="74">
        <v>1</v>
      </c>
      <c r="HQ60" s="74">
        <v>1</v>
      </c>
      <c r="HR60" s="74">
        <v>1</v>
      </c>
      <c r="HS60" s="74">
        <v>1</v>
      </c>
      <c r="HT60" s="74">
        <v>1</v>
      </c>
      <c r="HU60" s="74">
        <v>1</v>
      </c>
      <c r="HV60" s="74">
        <v>1</v>
      </c>
      <c r="HW60" s="74">
        <v>1</v>
      </c>
      <c r="HX60" s="75">
        <v>1</v>
      </c>
    </row>
    <row r="61" spans="1:232" x14ac:dyDescent="0.2">
      <c r="B61" s="80" t="s">
        <v>107</v>
      </c>
      <c r="C61" s="80" t="s">
        <v>132</v>
      </c>
      <c r="D61" s="81">
        <v>5.2</v>
      </c>
      <c r="E61" s="80" t="s">
        <v>127</v>
      </c>
      <c r="F61" s="80" t="s">
        <v>122</v>
      </c>
      <c r="G61" s="78">
        <v>1</v>
      </c>
      <c r="H61" s="74">
        <v>1</v>
      </c>
      <c r="I61" s="74">
        <v>1</v>
      </c>
      <c r="J61" s="74">
        <v>1</v>
      </c>
      <c r="K61" s="74">
        <v>1</v>
      </c>
      <c r="L61" s="74">
        <v>1</v>
      </c>
      <c r="M61" s="74">
        <v>1</v>
      </c>
      <c r="N61" s="74">
        <v>1</v>
      </c>
      <c r="O61" s="74">
        <v>1</v>
      </c>
      <c r="P61" s="74">
        <v>1</v>
      </c>
      <c r="Q61" s="74">
        <v>1</v>
      </c>
      <c r="R61" s="74">
        <v>1</v>
      </c>
      <c r="S61" s="74">
        <v>1</v>
      </c>
      <c r="T61" s="74">
        <v>1</v>
      </c>
      <c r="U61" s="74">
        <v>1</v>
      </c>
      <c r="V61" s="74">
        <v>1</v>
      </c>
      <c r="W61" s="74">
        <v>1</v>
      </c>
      <c r="X61" s="74">
        <v>1</v>
      </c>
      <c r="Y61" s="74">
        <v>1</v>
      </c>
      <c r="Z61" s="74">
        <v>1</v>
      </c>
      <c r="AA61" s="74">
        <v>1</v>
      </c>
      <c r="AB61" s="74">
        <v>1</v>
      </c>
      <c r="AC61" s="74">
        <v>1</v>
      </c>
      <c r="AD61" s="74">
        <v>1</v>
      </c>
      <c r="AE61" s="78">
        <v>1</v>
      </c>
      <c r="AF61" s="74">
        <v>1</v>
      </c>
      <c r="AG61" s="74">
        <v>1</v>
      </c>
      <c r="AH61" s="74">
        <v>1</v>
      </c>
      <c r="AI61" s="74">
        <v>1</v>
      </c>
      <c r="AJ61" s="74">
        <v>1</v>
      </c>
      <c r="AK61" s="74">
        <v>1</v>
      </c>
      <c r="AL61" s="74">
        <v>1</v>
      </c>
      <c r="AM61" s="74">
        <v>1</v>
      </c>
      <c r="AN61" s="74">
        <v>1</v>
      </c>
      <c r="AO61" s="74">
        <v>1</v>
      </c>
      <c r="AP61" s="74">
        <v>1</v>
      </c>
      <c r="AQ61" s="74">
        <v>1</v>
      </c>
      <c r="AR61" s="74">
        <v>1</v>
      </c>
      <c r="AS61" s="74">
        <v>1</v>
      </c>
      <c r="AT61" s="74">
        <v>1</v>
      </c>
      <c r="AU61" s="74">
        <v>1</v>
      </c>
      <c r="AV61" s="74">
        <v>1</v>
      </c>
      <c r="AW61" s="74">
        <v>1</v>
      </c>
      <c r="AX61" s="74">
        <v>1</v>
      </c>
      <c r="AY61" s="74">
        <v>1</v>
      </c>
      <c r="AZ61" s="74">
        <v>1</v>
      </c>
      <c r="BA61" s="74">
        <v>1</v>
      </c>
      <c r="BB61" s="74">
        <v>1</v>
      </c>
      <c r="BC61" s="78">
        <v>1</v>
      </c>
      <c r="BD61" s="74">
        <v>1</v>
      </c>
      <c r="BE61" s="74">
        <v>1</v>
      </c>
      <c r="BF61" s="74">
        <v>1</v>
      </c>
      <c r="BG61" s="74">
        <v>1</v>
      </c>
      <c r="BH61" s="74">
        <v>1</v>
      </c>
      <c r="BI61" s="74">
        <v>1</v>
      </c>
      <c r="BJ61" s="74">
        <v>1</v>
      </c>
      <c r="BK61" s="74">
        <v>1</v>
      </c>
      <c r="BL61" s="74">
        <v>1</v>
      </c>
      <c r="BM61" s="74">
        <v>1</v>
      </c>
      <c r="BN61" s="74">
        <v>1</v>
      </c>
      <c r="BO61" s="74">
        <v>1</v>
      </c>
      <c r="BP61" s="74">
        <v>1</v>
      </c>
      <c r="BQ61" s="74">
        <v>1</v>
      </c>
      <c r="BR61" s="74">
        <v>1</v>
      </c>
      <c r="BS61" s="74">
        <v>1</v>
      </c>
      <c r="BT61" s="74">
        <v>1</v>
      </c>
      <c r="BU61" s="74">
        <v>1</v>
      </c>
      <c r="BV61" s="74">
        <v>1</v>
      </c>
      <c r="BW61" s="74">
        <v>1</v>
      </c>
      <c r="BX61" s="74">
        <v>1</v>
      </c>
      <c r="BY61" s="74">
        <v>1</v>
      </c>
      <c r="BZ61" s="74">
        <v>1</v>
      </c>
      <c r="CA61" s="78">
        <v>1</v>
      </c>
      <c r="CB61" s="74">
        <v>1</v>
      </c>
      <c r="CC61" s="74">
        <v>1</v>
      </c>
      <c r="CD61" s="74">
        <v>1</v>
      </c>
      <c r="CE61" s="74">
        <v>1</v>
      </c>
      <c r="CF61" s="74">
        <v>1</v>
      </c>
      <c r="CG61" s="74">
        <v>1</v>
      </c>
      <c r="CH61" s="74">
        <v>1</v>
      </c>
      <c r="CI61" s="74">
        <v>1</v>
      </c>
      <c r="CJ61" s="74">
        <v>1</v>
      </c>
      <c r="CK61" s="74">
        <v>1</v>
      </c>
      <c r="CL61" s="74">
        <v>1</v>
      </c>
      <c r="CM61" s="74">
        <v>1</v>
      </c>
      <c r="CN61" s="74">
        <v>1</v>
      </c>
      <c r="CO61" s="74">
        <v>1</v>
      </c>
      <c r="CP61" s="74">
        <v>1</v>
      </c>
      <c r="CQ61" s="74">
        <v>1</v>
      </c>
      <c r="CR61" s="74">
        <v>1</v>
      </c>
      <c r="CS61" s="74">
        <v>1</v>
      </c>
      <c r="CT61" s="74">
        <v>1</v>
      </c>
      <c r="CU61" s="74">
        <v>1</v>
      </c>
      <c r="CV61" s="74">
        <v>1</v>
      </c>
      <c r="CW61" s="74">
        <v>1</v>
      </c>
      <c r="CX61" s="74">
        <v>1</v>
      </c>
      <c r="CY61" s="78">
        <v>1</v>
      </c>
      <c r="CZ61" s="74">
        <v>1</v>
      </c>
      <c r="DA61" s="74">
        <v>1</v>
      </c>
      <c r="DB61" s="74">
        <v>1</v>
      </c>
      <c r="DC61" s="74">
        <v>1</v>
      </c>
      <c r="DD61" s="74">
        <v>1</v>
      </c>
      <c r="DE61" s="74">
        <v>1</v>
      </c>
      <c r="DF61" s="74">
        <v>1</v>
      </c>
      <c r="DG61" s="74">
        <v>1</v>
      </c>
      <c r="DH61" s="74">
        <v>1</v>
      </c>
      <c r="DI61" s="74">
        <v>1</v>
      </c>
      <c r="DJ61" s="74">
        <v>1</v>
      </c>
      <c r="DK61" s="74">
        <v>1</v>
      </c>
      <c r="DL61" s="74">
        <v>1</v>
      </c>
      <c r="DM61" s="74">
        <v>1</v>
      </c>
      <c r="DN61" s="74">
        <v>1</v>
      </c>
      <c r="DO61" s="74">
        <v>1</v>
      </c>
      <c r="DP61" s="74">
        <v>1</v>
      </c>
      <c r="DQ61" s="74">
        <v>1</v>
      </c>
      <c r="DR61" s="74">
        <v>1</v>
      </c>
      <c r="DS61" s="74">
        <v>1</v>
      </c>
      <c r="DT61" s="74">
        <v>1</v>
      </c>
      <c r="DU61" s="74">
        <v>1</v>
      </c>
      <c r="DV61" s="74">
        <v>1</v>
      </c>
      <c r="DW61" s="78">
        <v>1</v>
      </c>
      <c r="DX61" s="74">
        <v>1</v>
      </c>
      <c r="DY61" s="74">
        <v>1</v>
      </c>
      <c r="DZ61" s="74">
        <v>1</v>
      </c>
      <c r="EA61" s="74">
        <v>1</v>
      </c>
      <c r="EB61" s="74">
        <v>1</v>
      </c>
      <c r="EC61" s="74">
        <v>1</v>
      </c>
      <c r="ED61" s="74">
        <v>1</v>
      </c>
      <c r="EE61" s="74">
        <v>1</v>
      </c>
      <c r="EF61" s="74">
        <v>1</v>
      </c>
      <c r="EG61" s="74">
        <v>1</v>
      </c>
      <c r="EH61" s="74">
        <v>1</v>
      </c>
      <c r="EI61" s="74">
        <v>1</v>
      </c>
      <c r="EJ61" s="74">
        <v>1</v>
      </c>
      <c r="EK61" s="74">
        <v>1</v>
      </c>
      <c r="EL61" s="74">
        <v>1</v>
      </c>
      <c r="EM61" s="74">
        <v>1</v>
      </c>
      <c r="EN61" s="74">
        <v>1</v>
      </c>
      <c r="EO61" s="74">
        <v>1</v>
      </c>
      <c r="EP61" s="74">
        <v>1</v>
      </c>
      <c r="EQ61" s="74">
        <v>1</v>
      </c>
      <c r="ER61" s="74">
        <v>1</v>
      </c>
      <c r="ES61" s="74">
        <v>1</v>
      </c>
      <c r="ET61" s="74">
        <v>1</v>
      </c>
      <c r="EU61" s="78">
        <v>1</v>
      </c>
      <c r="EV61" s="74">
        <v>1</v>
      </c>
      <c r="EW61" s="74">
        <v>1</v>
      </c>
      <c r="EX61" s="74">
        <v>1</v>
      </c>
      <c r="EY61" s="74">
        <v>1</v>
      </c>
      <c r="EZ61" s="74">
        <v>1</v>
      </c>
      <c r="FA61" s="74">
        <v>1</v>
      </c>
      <c r="FB61" s="74">
        <v>1</v>
      </c>
      <c r="FC61" s="74">
        <v>1</v>
      </c>
      <c r="FD61" s="74">
        <v>1</v>
      </c>
      <c r="FE61" s="74">
        <v>1</v>
      </c>
      <c r="FF61" s="74">
        <v>1</v>
      </c>
      <c r="FG61" s="74">
        <v>1</v>
      </c>
      <c r="FH61" s="74">
        <v>1</v>
      </c>
      <c r="FI61" s="74">
        <v>1</v>
      </c>
      <c r="FJ61" s="74">
        <v>1</v>
      </c>
      <c r="FK61" s="74">
        <v>1</v>
      </c>
      <c r="FL61" s="74">
        <v>1</v>
      </c>
      <c r="FM61" s="74">
        <v>1</v>
      </c>
      <c r="FN61" s="74">
        <v>1</v>
      </c>
      <c r="FO61" s="74">
        <v>1</v>
      </c>
      <c r="FP61" s="74">
        <v>1</v>
      </c>
      <c r="FQ61" s="74">
        <v>1</v>
      </c>
      <c r="FR61" s="74">
        <v>1</v>
      </c>
      <c r="FS61" s="78">
        <v>1</v>
      </c>
      <c r="FT61" s="74">
        <v>1</v>
      </c>
      <c r="FU61" s="74">
        <v>1</v>
      </c>
      <c r="FV61" s="74">
        <v>1</v>
      </c>
      <c r="FW61" s="74">
        <v>1</v>
      </c>
      <c r="FX61" s="74">
        <v>1</v>
      </c>
      <c r="FY61" s="74">
        <v>1</v>
      </c>
      <c r="FZ61" s="74">
        <v>1</v>
      </c>
      <c r="GA61" s="74">
        <v>1</v>
      </c>
      <c r="GB61" s="74">
        <v>1</v>
      </c>
      <c r="GC61" s="74">
        <v>1</v>
      </c>
      <c r="GD61" s="74">
        <v>1</v>
      </c>
      <c r="GE61" s="74">
        <v>1</v>
      </c>
      <c r="GF61" s="74">
        <v>1</v>
      </c>
      <c r="GG61" s="74">
        <v>1</v>
      </c>
      <c r="GH61" s="74">
        <v>1</v>
      </c>
      <c r="GI61" s="74">
        <v>1</v>
      </c>
      <c r="GJ61" s="74">
        <v>1</v>
      </c>
      <c r="GK61" s="74">
        <v>1</v>
      </c>
      <c r="GL61" s="74">
        <v>1</v>
      </c>
      <c r="GM61" s="74">
        <v>1</v>
      </c>
      <c r="GN61" s="74">
        <v>1</v>
      </c>
      <c r="GO61" s="74">
        <v>1</v>
      </c>
      <c r="GP61" s="74">
        <v>1</v>
      </c>
      <c r="GQ61" s="78">
        <v>1</v>
      </c>
      <c r="GR61" s="74">
        <v>1</v>
      </c>
      <c r="GS61" s="74">
        <v>1</v>
      </c>
      <c r="GT61" s="74">
        <v>1</v>
      </c>
      <c r="GU61" s="74">
        <v>1</v>
      </c>
      <c r="GV61" s="74">
        <v>1</v>
      </c>
      <c r="GW61" s="74">
        <v>1</v>
      </c>
      <c r="GX61" s="74">
        <v>1</v>
      </c>
      <c r="GY61" s="74">
        <v>1</v>
      </c>
      <c r="GZ61" s="74">
        <v>1</v>
      </c>
      <c r="HA61" s="74">
        <v>1</v>
      </c>
      <c r="HB61" s="74">
        <v>1</v>
      </c>
      <c r="HC61" s="74">
        <v>1</v>
      </c>
      <c r="HD61" s="74">
        <v>1</v>
      </c>
      <c r="HE61" s="74">
        <v>1</v>
      </c>
      <c r="HF61" s="74">
        <v>1</v>
      </c>
      <c r="HG61" s="74">
        <v>1</v>
      </c>
      <c r="HH61" s="74">
        <v>1</v>
      </c>
      <c r="HI61" s="74">
        <v>1</v>
      </c>
      <c r="HJ61" s="74">
        <v>1</v>
      </c>
      <c r="HK61" s="74">
        <v>1</v>
      </c>
      <c r="HL61" s="74">
        <v>1</v>
      </c>
      <c r="HM61" s="74">
        <v>1</v>
      </c>
      <c r="HN61" s="74">
        <v>1</v>
      </c>
      <c r="HO61" s="74">
        <v>1</v>
      </c>
      <c r="HP61" s="74">
        <v>1</v>
      </c>
      <c r="HQ61" s="74">
        <v>1</v>
      </c>
      <c r="HR61" s="74">
        <v>1</v>
      </c>
      <c r="HS61" s="74">
        <v>1</v>
      </c>
      <c r="HT61" s="74">
        <v>1</v>
      </c>
      <c r="HU61" s="74">
        <v>1</v>
      </c>
      <c r="HV61" s="74">
        <v>1</v>
      </c>
      <c r="HW61" s="74">
        <v>1</v>
      </c>
      <c r="HX61" s="75">
        <v>1</v>
      </c>
    </row>
    <row r="62" spans="1:232" x14ac:dyDescent="0.2">
      <c r="A62" s="27" t="s">
        <v>122</v>
      </c>
      <c r="B62" s="104" t="s">
        <v>108</v>
      </c>
      <c r="C62" s="108" t="s">
        <v>131</v>
      </c>
      <c r="D62" s="109">
        <v>5.2</v>
      </c>
      <c r="E62" s="108" t="s">
        <v>127</v>
      </c>
      <c r="F62" s="108" t="s">
        <v>124</v>
      </c>
      <c r="G62" s="74">
        <v>1</v>
      </c>
      <c r="H62" s="74">
        <v>1</v>
      </c>
      <c r="I62" s="74">
        <v>1</v>
      </c>
      <c r="J62" s="74">
        <v>1</v>
      </c>
      <c r="K62" s="74">
        <v>1</v>
      </c>
      <c r="L62" s="74">
        <v>1</v>
      </c>
      <c r="M62" s="74">
        <v>1</v>
      </c>
      <c r="N62" s="74">
        <v>1</v>
      </c>
      <c r="O62" s="74">
        <v>1</v>
      </c>
      <c r="P62" s="74">
        <v>1</v>
      </c>
      <c r="Q62" s="74">
        <v>1</v>
      </c>
      <c r="R62" s="74">
        <v>1</v>
      </c>
      <c r="S62" s="74">
        <v>1</v>
      </c>
      <c r="T62" s="74">
        <v>1</v>
      </c>
      <c r="U62" s="74">
        <v>1</v>
      </c>
      <c r="V62" s="74">
        <v>1</v>
      </c>
      <c r="W62" s="74">
        <v>1</v>
      </c>
      <c r="X62" s="74">
        <v>1</v>
      </c>
      <c r="Y62" s="74">
        <v>1</v>
      </c>
      <c r="Z62" s="74">
        <v>1</v>
      </c>
      <c r="AA62" s="74">
        <v>1</v>
      </c>
      <c r="AB62" s="74">
        <v>1</v>
      </c>
      <c r="AC62" s="74">
        <v>1</v>
      </c>
      <c r="AD62" s="74">
        <v>1</v>
      </c>
      <c r="AE62" s="78">
        <v>1</v>
      </c>
      <c r="AF62" s="74">
        <v>1</v>
      </c>
      <c r="AG62" s="74">
        <v>1</v>
      </c>
      <c r="AH62" s="74">
        <v>1</v>
      </c>
      <c r="AI62" s="74">
        <v>1</v>
      </c>
      <c r="AJ62" s="74">
        <v>1</v>
      </c>
      <c r="AK62" s="74">
        <v>1</v>
      </c>
      <c r="AL62" s="74">
        <v>1</v>
      </c>
      <c r="AM62" s="74">
        <v>1</v>
      </c>
      <c r="AN62" s="74">
        <v>1</v>
      </c>
      <c r="AO62" s="74">
        <v>1</v>
      </c>
      <c r="AP62" s="74">
        <v>1</v>
      </c>
      <c r="AQ62" s="74">
        <v>1</v>
      </c>
      <c r="AR62" s="74">
        <v>1</v>
      </c>
      <c r="AS62" s="74">
        <v>1</v>
      </c>
      <c r="AT62" s="74">
        <v>1</v>
      </c>
      <c r="AU62" s="74">
        <v>1</v>
      </c>
      <c r="AV62" s="74">
        <v>1</v>
      </c>
      <c r="AW62" s="74">
        <v>1</v>
      </c>
      <c r="AX62" s="74">
        <v>1</v>
      </c>
      <c r="AY62" s="74">
        <v>1</v>
      </c>
      <c r="AZ62" s="74">
        <v>1</v>
      </c>
      <c r="BA62" s="74">
        <v>0</v>
      </c>
      <c r="BB62" s="74">
        <v>0</v>
      </c>
      <c r="BC62" s="78">
        <v>0</v>
      </c>
      <c r="BD62" s="74">
        <v>0</v>
      </c>
      <c r="BE62" s="74">
        <v>0</v>
      </c>
      <c r="BF62" s="74">
        <v>0</v>
      </c>
      <c r="BG62" s="74">
        <v>0</v>
      </c>
      <c r="BH62" s="74">
        <v>0</v>
      </c>
      <c r="BI62" s="74">
        <v>0</v>
      </c>
      <c r="BJ62" s="74">
        <v>0</v>
      </c>
      <c r="BK62" s="74">
        <v>0</v>
      </c>
      <c r="BL62" s="74">
        <v>0</v>
      </c>
      <c r="BM62" s="74">
        <v>0</v>
      </c>
      <c r="BN62" s="74">
        <v>0</v>
      </c>
      <c r="BO62" s="74">
        <v>0</v>
      </c>
      <c r="BP62" s="74">
        <v>0</v>
      </c>
      <c r="BQ62" s="74">
        <v>0</v>
      </c>
      <c r="BR62" s="74">
        <v>0</v>
      </c>
      <c r="BS62" s="74">
        <v>0</v>
      </c>
      <c r="BT62" s="74">
        <v>0</v>
      </c>
      <c r="BU62" s="74">
        <v>0</v>
      </c>
      <c r="BV62" s="74">
        <v>0</v>
      </c>
      <c r="BW62" s="74">
        <v>0</v>
      </c>
      <c r="BX62" s="74">
        <v>0</v>
      </c>
      <c r="BY62" s="74">
        <v>0</v>
      </c>
      <c r="BZ62" s="74">
        <v>0</v>
      </c>
      <c r="CA62" s="78">
        <v>0</v>
      </c>
      <c r="CB62" s="74">
        <v>0</v>
      </c>
      <c r="CC62" s="74">
        <v>0</v>
      </c>
      <c r="CD62" s="74">
        <v>0</v>
      </c>
      <c r="CE62" s="74">
        <v>0</v>
      </c>
      <c r="CF62" s="74">
        <v>0</v>
      </c>
      <c r="CG62" s="74">
        <v>0</v>
      </c>
      <c r="CH62" s="74">
        <v>0</v>
      </c>
      <c r="CI62" s="74">
        <v>0</v>
      </c>
      <c r="CJ62" s="74">
        <v>0</v>
      </c>
      <c r="CK62" s="74">
        <v>0</v>
      </c>
      <c r="CL62" s="74">
        <v>0</v>
      </c>
      <c r="CM62" s="74">
        <v>0</v>
      </c>
      <c r="CN62" s="74">
        <v>0</v>
      </c>
      <c r="CO62" s="74">
        <v>0</v>
      </c>
      <c r="CP62" s="74">
        <v>0</v>
      </c>
      <c r="CQ62" s="74">
        <v>0</v>
      </c>
      <c r="CR62" s="74">
        <v>0</v>
      </c>
      <c r="CS62" s="74">
        <v>0</v>
      </c>
      <c r="CT62" s="74">
        <v>0</v>
      </c>
      <c r="CU62" s="74">
        <v>0</v>
      </c>
      <c r="CV62" s="74">
        <v>0</v>
      </c>
      <c r="CW62" s="74">
        <v>0</v>
      </c>
      <c r="CX62" s="74">
        <v>0</v>
      </c>
      <c r="CY62" s="78">
        <v>0</v>
      </c>
      <c r="CZ62" s="74">
        <v>0</v>
      </c>
      <c r="DA62" s="74">
        <v>0</v>
      </c>
      <c r="DB62" s="74">
        <v>0</v>
      </c>
      <c r="DC62" s="74">
        <v>0</v>
      </c>
      <c r="DD62" s="74">
        <v>0</v>
      </c>
      <c r="DE62" s="74">
        <v>0</v>
      </c>
      <c r="DF62" s="74">
        <v>0</v>
      </c>
      <c r="DG62" s="74">
        <v>0</v>
      </c>
      <c r="DH62" s="74">
        <v>0</v>
      </c>
      <c r="DI62" s="74">
        <v>0</v>
      </c>
      <c r="DJ62" s="74">
        <v>0</v>
      </c>
      <c r="DK62" s="74">
        <v>0</v>
      </c>
      <c r="DL62" s="74">
        <v>0</v>
      </c>
      <c r="DM62" s="74">
        <v>0</v>
      </c>
      <c r="DN62" s="74">
        <v>0</v>
      </c>
      <c r="DO62" s="74">
        <v>0</v>
      </c>
      <c r="DP62" s="74">
        <v>0</v>
      </c>
      <c r="DQ62" s="74">
        <v>0</v>
      </c>
      <c r="DR62" s="74">
        <v>0</v>
      </c>
      <c r="DS62" s="74">
        <v>0</v>
      </c>
      <c r="DT62" s="74">
        <v>0</v>
      </c>
      <c r="DU62" s="74">
        <v>0</v>
      </c>
      <c r="DV62" s="74">
        <v>0</v>
      </c>
      <c r="DW62" s="78">
        <v>0</v>
      </c>
      <c r="DX62" s="74">
        <v>0</v>
      </c>
      <c r="DY62" s="74">
        <v>0</v>
      </c>
      <c r="DZ62" s="74">
        <v>0</v>
      </c>
      <c r="EA62" s="74">
        <v>0</v>
      </c>
      <c r="EB62" s="74">
        <v>0</v>
      </c>
      <c r="EC62" s="74">
        <v>0</v>
      </c>
      <c r="ED62" s="74">
        <v>0</v>
      </c>
      <c r="EE62" s="74">
        <v>0</v>
      </c>
      <c r="EF62" s="74">
        <v>0</v>
      </c>
      <c r="EG62" s="74">
        <v>0</v>
      </c>
      <c r="EH62" s="74">
        <v>0</v>
      </c>
      <c r="EI62" s="74">
        <v>0</v>
      </c>
      <c r="EJ62" s="74">
        <v>0</v>
      </c>
      <c r="EK62" s="74">
        <v>0</v>
      </c>
      <c r="EL62" s="74">
        <v>0</v>
      </c>
      <c r="EM62" s="74">
        <v>0</v>
      </c>
      <c r="EN62" s="74">
        <v>0</v>
      </c>
      <c r="EO62" s="74">
        <v>0</v>
      </c>
      <c r="EP62" s="74">
        <v>0</v>
      </c>
      <c r="EQ62" s="74">
        <v>0</v>
      </c>
      <c r="ER62" s="74">
        <v>0</v>
      </c>
      <c r="ES62" s="74">
        <v>0</v>
      </c>
      <c r="ET62" s="74">
        <v>0</v>
      </c>
      <c r="EU62" s="78">
        <v>0</v>
      </c>
      <c r="EV62" s="74">
        <v>0</v>
      </c>
      <c r="EW62" s="74">
        <v>0</v>
      </c>
      <c r="EX62" s="74">
        <v>0</v>
      </c>
      <c r="EY62" s="74">
        <v>0</v>
      </c>
      <c r="EZ62" s="74">
        <v>0</v>
      </c>
      <c r="FA62" s="74">
        <v>0</v>
      </c>
      <c r="FB62" s="74">
        <v>0</v>
      </c>
      <c r="FC62" s="74">
        <v>0</v>
      </c>
      <c r="FD62" s="74">
        <v>0</v>
      </c>
      <c r="FE62" s="74">
        <v>0</v>
      </c>
      <c r="FF62" s="74">
        <v>0</v>
      </c>
      <c r="FG62" s="74">
        <v>0</v>
      </c>
      <c r="FH62" s="74">
        <v>0</v>
      </c>
      <c r="FI62" s="74">
        <v>0</v>
      </c>
      <c r="FJ62" s="74">
        <v>0</v>
      </c>
      <c r="FK62" s="74">
        <v>0</v>
      </c>
      <c r="FL62" s="74">
        <v>0</v>
      </c>
      <c r="FM62" s="74">
        <v>0</v>
      </c>
      <c r="FN62" s="74">
        <v>0</v>
      </c>
      <c r="FO62" s="74">
        <v>0</v>
      </c>
      <c r="FP62" s="74">
        <v>0</v>
      </c>
      <c r="FQ62" s="74">
        <v>0</v>
      </c>
      <c r="FR62" s="74">
        <v>0</v>
      </c>
      <c r="FS62" s="78">
        <v>0</v>
      </c>
      <c r="FT62" s="74">
        <v>0</v>
      </c>
      <c r="FU62" s="74">
        <v>0</v>
      </c>
      <c r="FV62" s="74">
        <v>0</v>
      </c>
      <c r="FW62" s="74">
        <v>0</v>
      </c>
      <c r="FX62" s="74">
        <v>0</v>
      </c>
      <c r="FY62" s="74">
        <v>0</v>
      </c>
      <c r="FZ62" s="74">
        <v>0</v>
      </c>
      <c r="GA62" s="74">
        <v>0</v>
      </c>
      <c r="GB62" s="74">
        <v>0</v>
      </c>
      <c r="GC62" s="74">
        <v>0</v>
      </c>
      <c r="GD62" s="74">
        <v>0</v>
      </c>
      <c r="GE62" s="74">
        <v>0</v>
      </c>
      <c r="GF62" s="74">
        <v>0</v>
      </c>
      <c r="GG62" s="74">
        <v>0</v>
      </c>
      <c r="GH62" s="74">
        <v>0</v>
      </c>
      <c r="GI62" s="74">
        <v>0</v>
      </c>
      <c r="GJ62" s="74">
        <v>0</v>
      </c>
      <c r="GK62" s="74">
        <v>0</v>
      </c>
      <c r="GL62" s="74">
        <v>0</v>
      </c>
      <c r="GM62" s="74">
        <v>0</v>
      </c>
      <c r="GN62" s="74">
        <v>0</v>
      </c>
      <c r="GO62" s="74">
        <v>0</v>
      </c>
      <c r="GP62" s="74">
        <v>0</v>
      </c>
      <c r="GQ62" s="78">
        <v>0</v>
      </c>
      <c r="GR62" s="74">
        <v>0</v>
      </c>
      <c r="GS62" s="74">
        <v>0</v>
      </c>
      <c r="GT62" s="74">
        <v>0</v>
      </c>
      <c r="GU62" s="74">
        <v>0</v>
      </c>
      <c r="GV62" s="74">
        <v>0</v>
      </c>
      <c r="GW62" s="74">
        <v>0</v>
      </c>
      <c r="GX62" s="74">
        <v>0</v>
      </c>
      <c r="GY62" s="74">
        <v>0</v>
      </c>
      <c r="GZ62" s="74">
        <v>0</v>
      </c>
      <c r="HA62" s="74">
        <v>0</v>
      </c>
      <c r="HB62" s="74">
        <v>0</v>
      </c>
      <c r="HC62" s="74">
        <v>0</v>
      </c>
      <c r="HD62" s="74">
        <v>0</v>
      </c>
      <c r="HE62" s="74">
        <v>0</v>
      </c>
      <c r="HF62" s="74">
        <v>0</v>
      </c>
      <c r="HG62" s="74">
        <v>0</v>
      </c>
      <c r="HH62" s="74">
        <v>0</v>
      </c>
      <c r="HI62" s="74">
        <v>0</v>
      </c>
      <c r="HJ62" s="74">
        <v>0</v>
      </c>
      <c r="HK62" s="74">
        <v>0</v>
      </c>
      <c r="HL62" s="74">
        <v>0</v>
      </c>
      <c r="HM62" s="74">
        <v>0</v>
      </c>
      <c r="HN62" s="74">
        <v>0</v>
      </c>
      <c r="HO62" s="74">
        <v>0</v>
      </c>
      <c r="HP62" s="74">
        <v>0</v>
      </c>
      <c r="HQ62" s="74">
        <v>0</v>
      </c>
      <c r="HR62" s="74">
        <v>0</v>
      </c>
      <c r="HS62" s="74">
        <v>0</v>
      </c>
      <c r="HT62" s="74">
        <v>0</v>
      </c>
      <c r="HU62" s="74">
        <v>0</v>
      </c>
      <c r="HV62" s="74">
        <v>0</v>
      </c>
      <c r="HW62" s="74">
        <v>0</v>
      </c>
      <c r="HX62" s="75">
        <v>0</v>
      </c>
    </row>
    <row r="63" spans="1:232" x14ac:dyDescent="0.2">
      <c r="B63" s="80" t="s">
        <v>109</v>
      </c>
      <c r="C63" s="80" t="s">
        <v>131</v>
      </c>
      <c r="D63" s="81">
        <v>5.2</v>
      </c>
      <c r="E63" s="80" t="s">
        <v>127</v>
      </c>
      <c r="F63" s="80" t="s">
        <v>123</v>
      </c>
      <c r="G63" s="78">
        <v>1</v>
      </c>
      <c r="H63" s="74">
        <v>1</v>
      </c>
      <c r="I63" s="74">
        <v>1</v>
      </c>
      <c r="J63" s="74">
        <v>1</v>
      </c>
      <c r="K63" s="74">
        <v>1</v>
      </c>
      <c r="L63" s="74">
        <v>1</v>
      </c>
      <c r="M63" s="74">
        <v>1</v>
      </c>
      <c r="N63" s="74">
        <v>1</v>
      </c>
      <c r="O63" s="74">
        <v>1</v>
      </c>
      <c r="P63" s="74">
        <v>1</v>
      </c>
      <c r="Q63" s="74">
        <v>1</v>
      </c>
      <c r="R63" s="74">
        <v>1</v>
      </c>
      <c r="S63" s="74">
        <v>1</v>
      </c>
      <c r="T63" s="74">
        <v>1</v>
      </c>
      <c r="U63" s="74">
        <v>1</v>
      </c>
      <c r="V63" s="74">
        <v>1</v>
      </c>
      <c r="W63" s="74">
        <v>1</v>
      </c>
      <c r="X63" s="74">
        <v>1</v>
      </c>
      <c r="Y63" s="74">
        <v>1</v>
      </c>
      <c r="Z63" s="74">
        <v>1</v>
      </c>
      <c r="AA63" s="74">
        <v>1</v>
      </c>
      <c r="AB63" s="74">
        <v>1</v>
      </c>
      <c r="AC63" s="74">
        <v>1</v>
      </c>
      <c r="AD63" s="74">
        <v>1</v>
      </c>
      <c r="AE63" s="78">
        <v>1</v>
      </c>
      <c r="AF63" s="74">
        <v>1</v>
      </c>
      <c r="AG63" s="74">
        <v>1</v>
      </c>
      <c r="AH63" s="74">
        <v>1</v>
      </c>
      <c r="AI63" s="74">
        <v>1</v>
      </c>
      <c r="AJ63" s="74">
        <v>1</v>
      </c>
      <c r="AK63" s="74">
        <v>1</v>
      </c>
      <c r="AL63" s="74">
        <v>1</v>
      </c>
      <c r="AM63" s="74">
        <v>1</v>
      </c>
      <c r="AN63" s="74">
        <v>1</v>
      </c>
      <c r="AO63" s="74">
        <v>1</v>
      </c>
      <c r="AP63" s="74">
        <v>1</v>
      </c>
      <c r="AQ63" s="74">
        <v>1</v>
      </c>
      <c r="AR63" s="74">
        <v>1</v>
      </c>
      <c r="AS63" s="74">
        <v>1</v>
      </c>
      <c r="AT63" s="74">
        <v>1</v>
      </c>
      <c r="AU63" s="74">
        <v>1</v>
      </c>
      <c r="AV63" s="74">
        <v>1</v>
      </c>
      <c r="AW63" s="74">
        <v>1</v>
      </c>
      <c r="AX63" s="74">
        <v>1</v>
      </c>
      <c r="AY63" s="74">
        <v>1</v>
      </c>
      <c r="AZ63" s="74">
        <v>1</v>
      </c>
      <c r="BA63" s="74">
        <v>1</v>
      </c>
      <c r="BB63" s="74">
        <v>1</v>
      </c>
      <c r="BC63" s="78">
        <v>1</v>
      </c>
      <c r="BD63" s="74">
        <v>1</v>
      </c>
      <c r="BE63" s="74">
        <v>1</v>
      </c>
      <c r="BF63" s="74">
        <v>1</v>
      </c>
      <c r="BG63" s="74">
        <v>1</v>
      </c>
      <c r="BH63" s="74">
        <v>1</v>
      </c>
      <c r="BI63" s="74">
        <v>1</v>
      </c>
      <c r="BJ63" s="74">
        <v>1</v>
      </c>
      <c r="BK63" s="74">
        <v>1</v>
      </c>
      <c r="BL63" s="74">
        <v>1</v>
      </c>
      <c r="BM63" s="74">
        <v>1</v>
      </c>
      <c r="BN63" s="74">
        <v>1</v>
      </c>
      <c r="BO63" s="74">
        <v>1</v>
      </c>
      <c r="BP63" s="74">
        <v>1</v>
      </c>
      <c r="BQ63" s="74">
        <v>1</v>
      </c>
      <c r="BR63" s="74">
        <v>1</v>
      </c>
      <c r="BS63" s="74">
        <v>1</v>
      </c>
      <c r="BT63" s="74">
        <v>1</v>
      </c>
      <c r="BU63" s="74">
        <v>1</v>
      </c>
      <c r="BV63" s="74">
        <v>1</v>
      </c>
      <c r="BW63" s="74">
        <v>1</v>
      </c>
      <c r="BX63" s="74">
        <v>1</v>
      </c>
      <c r="BY63" s="74">
        <v>1</v>
      </c>
      <c r="BZ63" s="74">
        <v>1</v>
      </c>
      <c r="CA63" s="78">
        <v>1</v>
      </c>
      <c r="CB63" s="74">
        <v>1</v>
      </c>
      <c r="CC63" s="74">
        <v>1</v>
      </c>
      <c r="CD63" s="74">
        <v>1</v>
      </c>
      <c r="CE63" s="74">
        <v>1</v>
      </c>
      <c r="CF63" s="74">
        <v>1</v>
      </c>
      <c r="CG63" s="74">
        <v>1</v>
      </c>
      <c r="CH63" s="74">
        <v>1</v>
      </c>
      <c r="CI63" s="74">
        <v>1</v>
      </c>
      <c r="CJ63" s="74">
        <v>1</v>
      </c>
      <c r="CK63" s="74">
        <v>1</v>
      </c>
      <c r="CL63" s="74">
        <v>1</v>
      </c>
      <c r="CM63" s="74">
        <v>1</v>
      </c>
      <c r="CN63" s="74">
        <v>1</v>
      </c>
      <c r="CO63" s="74">
        <v>1</v>
      </c>
      <c r="CP63" s="74">
        <v>1</v>
      </c>
      <c r="CQ63" s="74">
        <v>1</v>
      </c>
      <c r="CR63" s="74">
        <v>1</v>
      </c>
      <c r="CS63" s="74">
        <v>1</v>
      </c>
      <c r="CT63" s="74">
        <v>1</v>
      </c>
      <c r="CU63" s="74">
        <v>1</v>
      </c>
      <c r="CV63" s="74">
        <v>1</v>
      </c>
      <c r="CW63" s="74">
        <v>1</v>
      </c>
      <c r="CX63" s="74">
        <v>1</v>
      </c>
      <c r="CY63" s="78">
        <v>1</v>
      </c>
      <c r="CZ63" s="74">
        <v>1</v>
      </c>
      <c r="DA63" s="74">
        <v>1</v>
      </c>
      <c r="DB63" s="74">
        <v>1</v>
      </c>
      <c r="DC63" s="74">
        <v>1</v>
      </c>
      <c r="DD63" s="74">
        <v>1</v>
      </c>
      <c r="DE63" s="74">
        <v>1</v>
      </c>
      <c r="DF63" s="74">
        <v>1</v>
      </c>
      <c r="DG63" s="74">
        <v>1</v>
      </c>
      <c r="DH63" s="74">
        <v>1</v>
      </c>
      <c r="DI63" s="74">
        <v>1</v>
      </c>
      <c r="DJ63" s="74">
        <v>1</v>
      </c>
      <c r="DK63" s="74">
        <v>1</v>
      </c>
      <c r="DL63" s="74">
        <v>1</v>
      </c>
      <c r="DM63" s="74">
        <v>1</v>
      </c>
      <c r="DN63" s="74">
        <v>1</v>
      </c>
      <c r="DO63" s="74">
        <v>1</v>
      </c>
      <c r="DP63" s="74">
        <v>1</v>
      </c>
      <c r="DQ63" s="74">
        <v>1</v>
      </c>
      <c r="DR63" s="74">
        <v>1</v>
      </c>
      <c r="DS63" s="74">
        <v>1</v>
      </c>
      <c r="DT63" s="74">
        <v>1</v>
      </c>
      <c r="DU63" s="74">
        <v>1</v>
      </c>
      <c r="DV63" s="74">
        <v>1</v>
      </c>
      <c r="DW63" s="78">
        <v>1</v>
      </c>
      <c r="DX63" s="74">
        <v>1</v>
      </c>
      <c r="DY63" s="74">
        <v>1</v>
      </c>
      <c r="DZ63" s="74">
        <v>1</v>
      </c>
      <c r="EA63" s="74">
        <v>1</v>
      </c>
      <c r="EB63" s="74">
        <v>1</v>
      </c>
      <c r="EC63" s="74">
        <v>1</v>
      </c>
      <c r="ED63" s="74">
        <v>1</v>
      </c>
      <c r="EE63" s="74">
        <v>1</v>
      </c>
      <c r="EF63" s="74">
        <v>1</v>
      </c>
      <c r="EG63" s="74">
        <v>1</v>
      </c>
      <c r="EH63" s="74">
        <v>1</v>
      </c>
      <c r="EI63" s="74">
        <v>1</v>
      </c>
      <c r="EJ63" s="74">
        <v>1</v>
      </c>
      <c r="EK63" s="74">
        <v>1</v>
      </c>
      <c r="EL63" s="74">
        <v>1</v>
      </c>
      <c r="EM63" s="74">
        <v>1</v>
      </c>
      <c r="EN63" s="74">
        <v>1</v>
      </c>
      <c r="EO63" s="74">
        <v>1</v>
      </c>
      <c r="EP63" s="74">
        <v>1</v>
      </c>
      <c r="EQ63" s="74">
        <v>1</v>
      </c>
      <c r="ER63" s="74">
        <v>1</v>
      </c>
      <c r="ES63" s="74">
        <v>1</v>
      </c>
      <c r="ET63" s="74">
        <v>1</v>
      </c>
      <c r="EU63" s="78">
        <v>1</v>
      </c>
      <c r="EV63" s="74">
        <v>1</v>
      </c>
      <c r="EW63" s="74">
        <v>1</v>
      </c>
      <c r="EX63" s="74">
        <v>1</v>
      </c>
      <c r="EY63" s="74">
        <v>1</v>
      </c>
      <c r="EZ63" s="74">
        <v>1</v>
      </c>
      <c r="FA63" s="74">
        <v>1</v>
      </c>
      <c r="FB63" s="74">
        <v>1</v>
      </c>
      <c r="FC63" s="74">
        <v>1</v>
      </c>
      <c r="FD63" s="74">
        <v>1</v>
      </c>
      <c r="FE63" s="74">
        <v>1</v>
      </c>
      <c r="FF63" s="74">
        <v>1</v>
      </c>
      <c r="FG63" s="74">
        <v>1</v>
      </c>
      <c r="FH63" s="74">
        <v>1</v>
      </c>
      <c r="FI63" s="74">
        <v>1</v>
      </c>
      <c r="FJ63" s="74">
        <v>1</v>
      </c>
      <c r="FK63" s="74">
        <v>1</v>
      </c>
      <c r="FL63" s="74">
        <v>1</v>
      </c>
      <c r="FM63" s="74">
        <v>1</v>
      </c>
      <c r="FN63" s="74">
        <v>1</v>
      </c>
      <c r="FO63" s="74">
        <v>1</v>
      </c>
      <c r="FP63" s="74">
        <v>1</v>
      </c>
      <c r="FQ63" s="74">
        <v>1</v>
      </c>
      <c r="FR63" s="74">
        <v>1</v>
      </c>
      <c r="FS63" s="78">
        <v>1</v>
      </c>
      <c r="FT63" s="74">
        <v>1</v>
      </c>
      <c r="FU63" s="74">
        <v>1</v>
      </c>
      <c r="FV63" s="74">
        <v>1</v>
      </c>
      <c r="FW63" s="74">
        <v>1</v>
      </c>
      <c r="FX63" s="74">
        <v>1</v>
      </c>
      <c r="FY63" s="74">
        <v>1</v>
      </c>
      <c r="FZ63" s="74">
        <v>1</v>
      </c>
      <c r="GA63" s="74">
        <v>1</v>
      </c>
      <c r="GB63" s="74">
        <v>1</v>
      </c>
      <c r="GC63" s="74">
        <v>1</v>
      </c>
      <c r="GD63" s="74">
        <v>1</v>
      </c>
      <c r="GE63" s="74">
        <v>1</v>
      </c>
      <c r="GF63" s="74">
        <v>1</v>
      </c>
      <c r="GG63" s="74">
        <v>1</v>
      </c>
      <c r="GH63" s="74">
        <v>1</v>
      </c>
      <c r="GI63" s="74">
        <v>1</v>
      </c>
      <c r="GJ63" s="74">
        <v>1</v>
      </c>
      <c r="GK63" s="74">
        <v>1</v>
      </c>
      <c r="GL63" s="74">
        <v>1</v>
      </c>
      <c r="GM63" s="74">
        <v>1</v>
      </c>
      <c r="GN63" s="74">
        <v>1</v>
      </c>
      <c r="GO63" s="74">
        <v>1</v>
      </c>
      <c r="GP63" s="74">
        <v>1</v>
      </c>
      <c r="GQ63" s="78">
        <v>1</v>
      </c>
      <c r="GR63" s="74">
        <v>1</v>
      </c>
      <c r="GS63" s="74">
        <v>1</v>
      </c>
      <c r="GT63" s="74">
        <v>1</v>
      </c>
      <c r="GU63" s="74">
        <v>1</v>
      </c>
      <c r="GV63" s="74">
        <v>1</v>
      </c>
      <c r="GW63" s="74">
        <v>1</v>
      </c>
      <c r="GX63" s="74">
        <v>1</v>
      </c>
      <c r="GY63" s="74">
        <v>1</v>
      </c>
      <c r="GZ63" s="74">
        <v>1</v>
      </c>
      <c r="HA63" s="74">
        <v>1</v>
      </c>
      <c r="HB63" s="74">
        <v>1</v>
      </c>
      <c r="HC63" s="74">
        <v>1</v>
      </c>
      <c r="HD63" s="74">
        <v>1</v>
      </c>
      <c r="HE63" s="74">
        <v>1</v>
      </c>
      <c r="HF63" s="74">
        <v>1</v>
      </c>
      <c r="HG63" s="74">
        <v>1</v>
      </c>
      <c r="HH63" s="74">
        <v>1</v>
      </c>
      <c r="HI63" s="74">
        <v>1</v>
      </c>
      <c r="HJ63" s="74">
        <v>1</v>
      </c>
      <c r="HK63" s="74">
        <v>1</v>
      </c>
      <c r="HL63" s="74">
        <v>1</v>
      </c>
      <c r="HM63" s="74">
        <v>1</v>
      </c>
      <c r="HN63" s="74">
        <v>1</v>
      </c>
      <c r="HO63" s="74">
        <v>1</v>
      </c>
      <c r="HP63" s="74">
        <v>1</v>
      </c>
      <c r="HQ63" s="74">
        <v>1</v>
      </c>
      <c r="HR63" s="74">
        <v>1</v>
      </c>
      <c r="HS63" s="74">
        <v>1</v>
      </c>
      <c r="HT63" s="74">
        <v>1</v>
      </c>
      <c r="HU63" s="74">
        <v>1</v>
      </c>
      <c r="HV63" s="74">
        <v>1</v>
      </c>
      <c r="HW63" s="74">
        <v>1</v>
      </c>
      <c r="HX63" s="75">
        <v>1</v>
      </c>
    </row>
    <row r="64" spans="1:232" x14ac:dyDescent="0.2">
      <c r="B64" s="80" t="s">
        <v>110</v>
      </c>
      <c r="C64" s="80" t="s">
        <v>131</v>
      </c>
      <c r="D64" s="81">
        <v>5.2</v>
      </c>
      <c r="E64" s="80" t="s">
        <v>127</v>
      </c>
      <c r="F64" s="80" t="s">
        <v>123</v>
      </c>
      <c r="G64" s="78">
        <v>1</v>
      </c>
      <c r="H64" s="74">
        <v>1</v>
      </c>
      <c r="I64" s="74">
        <v>1</v>
      </c>
      <c r="J64" s="74">
        <v>1</v>
      </c>
      <c r="K64" s="74">
        <v>1</v>
      </c>
      <c r="L64" s="74">
        <v>1</v>
      </c>
      <c r="M64" s="74">
        <v>1</v>
      </c>
      <c r="N64" s="74">
        <v>1</v>
      </c>
      <c r="O64" s="74">
        <v>1</v>
      </c>
      <c r="P64" s="74">
        <v>1</v>
      </c>
      <c r="Q64" s="74">
        <v>1</v>
      </c>
      <c r="R64" s="74">
        <v>1</v>
      </c>
      <c r="S64" s="74">
        <v>1</v>
      </c>
      <c r="T64" s="74">
        <v>1</v>
      </c>
      <c r="U64" s="74">
        <v>1</v>
      </c>
      <c r="V64" s="74">
        <v>1</v>
      </c>
      <c r="W64" s="74">
        <v>1</v>
      </c>
      <c r="X64" s="74">
        <v>1</v>
      </c>
      <c r="Y64" s="74">
        <v>1</v>
      </c>
      <c r="Z64" s="74">
        <v>1</v>
      </c>
      <c r="AA64" s="74">
        <v>1</v>
      </c>
      <c r="AB64" s="74">
        <v>1</v>
      </c>
      <c r="AC64" s="74">
        <v>1</v>
      </c>
      <c r="AD64" s="74">
        <v>1</v>
      </c>
      <c r="AE64" s="78">
        <v>1</v>
      </c>
      <c r="AF64" s="74">
        <v>1</v>
      </c>
      <c r="AG64" s="74">
        <v>1</v>
      </c>
      <c r="AH64" s="74">
        <v>1</v>
      </c>
      <c r="AI64" s="74">
        <v>1</v>
      </c>
      <c r="AJ64" s="74">
        <v>1</v>
      </c>
      <c r="AK64" s="74">
        <v>1</v>
      </c>
      <c r="AL64" s="74">
        <v>1</v>
      </c>
      <c r="AM64" s="74">
        <v>1</v>
      </c>
      <c r="AN64" s="74">
        <v>1</v>
      </c>
      <c r="AO64" s="74">
        <v>1</v>
      </c>
      <c r="AP64" s="74">
        <v>1</v>
      </c>
      <c r="AQ64" s="74">
        <v>1</v>
      </c>
      <c r="AR64" s="74">
        <v>1</v>
      </c>
      <c r="AS64" s="74">
        <v>1</v>
      </c>
      <c r="AT64" s="74">
        <v>1</v>
      </c>
      <c r="AU64" s="74">
        <v>1</v>
      </c>
      <c r="AV64" s="74">
        <v>1</v>
      </c>
      <c r="AW64" s="74">
        <v>1</v>
      </c>
      <c r="AX64" s="74">
        <v>1</v>
      </c>
      <c r="AY64" s="74">
        <v>1</v>
      </c>
      <c r="AZ64" s="74">
        <v>1</v>
      </c>
      <c r="BA64" s="74">
        <v>1</v>
      </c>
      <c r="BB64" s="74">
        <v>1</v>
      </c>
      <c r="BC64" s="78">
        <v>1</v>
      </c>
      <c r="BD64" s="74">
        <v>1</v>
      </c>
      <c r="BE64" s="74">
        <v>1</v>
      </c>
      <c r="BF64" s="74">
        <v>1</v>
      </c>
      <c r="BG64" s="74">
        <v>1</v>
      </c>
      <c r="BH64" s="74">
        <v>1</v>
      </c>
      <c r="BI64" s="74">
        <v>1</v>
      </c>
      <c r="BJ64" s="74">
        <v>1</v>
      </c>
      <c r="BK64" s="74">
        <v>1</v>
      </c>
      <c r="BL64" s="74">
        <v>1</v>
      </c>
      <c r="BM64" s="74">
        <v>1</v>
      </c>
      <c r="BN64" s="74">
        <v>1</v>
      </c>
      <c r="BO64" s="74">
        <v>1</v>
      </c>
      <c r="BP64" s="74">
        <v>1</v>
      </c>
      <c r="BQ64" s="74">
        <v>1</v>
      </c>
      <c r="BR64" s="74">
        <v>1</v>
      </c>
      <c r="BS64" s="74">
        <v>1</v>
      </c>
      <c r="BT64" s="74">
        <v>1</v>
      </c>
      <c r="BU64" s="74">
        <v>1</v>
      </c>
      <c r="BV64" s="74">
        <v>1</v>
      </c>
      <c r="BW64" s="74">
        <v>1</v>
      </c>
      <c r="BX64" s="74">
        <v>1</v>
      </c>
      <c r="BY64" s="74">
        <v>1</v>
      </c>
      <c r="BZ64" s="74">
        <v>1</v>
      </c>
      <c r="CA64" s="78">
        <v>1</v>
      </c>
      <c r="CB64" s="74">
        <v>1</v>
      </c>
      <c r="CC64" s="74">
        <v>1</v>
      </c>
      <c r="CD64" s="74">
        <v>1</v>
      </c>
      <c r="CE64" s="74">
        <v>1</v>
      </c>
      <c r="CF64" s="74">
        <v>1</v>
      </c>
      <c r="CG64" s="74">
        <v>1</v>
      </c>
      <c r="CH64" s="74">
        <v>1</v>
      </c>
      <c r="CI64" s="74">
        <v>1</v>
      </c>
      <c r="CJ64" s="74">
        <v>1</v>
      </c>
      <c r="CK64" s="74">
        <v>1</v>
      </c>
      <c r="CL64" s="74">
        <v>1</v>
      </c>
      <c r="CM64" s="74">
        <v>1</v>
      </c>
      <c r="CN64" s="74">
        <v>1</v>
      </c>
      <c r="CO64" s="74">
        <v>1</v>
      </c>
      <c r="CP64" s="74">
        <v>1</v>
      </c>
      <c r="CQ64" s="74">
        <v>1</v>
      </c>
      <c r="CR64" s="74">
        <v>1</v>
      </c>
      <c r="CS64" s="74">
        <v>1</v>
      </c>
      <c r="CT64" s="74">
        <v>1</v>
      </c>
      <c r="CU64" s="74">
        <v>1</v>
      </c>
      <c r="CV64" s="74">
        <v>1</v>
      </c>
      <c r="CW64" s="74">
        <v>1</v>
      </c>
      <c r="CX64" s="74">
        <v>1</v>
      </c>
      <c r="CY64" s="78">
        <v>1</v>
      </c>
      <c r="CZ64" s="74">
        <v>1</v>
      </c>
      <c r="DA64" s="74">
        <v>1</v>
      </c>
      <c r="DB64" s="74">
        <v>1</v>
      </c>
      <c r="DC64" s="74">
        <v>1</v>
      </c>
      <c r="DD64" s="74">
        <v>1</v>
      </c>
      <c r="DE64" s="74">
        <v>1</v>
      </c>
      <c r="DF64" s="74">
        <v>1</v>
      </c>
      <c r="DG64" s="74">
        <v>1</v>
      </c>
      <c r="DH64" s="74">
        <v>1</v>
      </c>
      <c r="DI64" s="74">
        <v>1</v>
      </c>
      <c r="DJ64" s="74">
        <v>1</v>
      </c>
      <c r="DK64" s="74">
        <v>1</v>
      </c>
      <c r="DL64" s="74">
        <v>1</v>
      </c>
      <c r="DM64" s="74">
        <v>1</v>
      </c>
      <c r="DN64" s="74">
        <v>1</v>
      </c>
      <c r="DO64" s="74">
        <v>1</v>
      </c>
      <c r="DP64" s="74">
        <v>1</v>
      </c>
      <c r="DQ64" s="74">
        <v>1</v>
      </c>
      <c r="DR64" s="74">
        <v>1</v>
      </c>
      <c r="DS64" s="74">
        <v>1</v>
      </c>
      <c r="DT64" s="74">
        <v>1</v>
      </c>
      <c r="DU64" s="74">
        <v>1</v>
      </c>
      <c r="DV64" s="74">
        <v>1</v>
      </c>
      <c r="DW64" s="78">
        <v>1</v>
      </c>
      <c r="DX64" s="74">
        <v>1</v>
      </c>
      <c r="DY64" s="74">
        <v>1</v>
      </c>
      <c r="DZ64" s="74">
        <v>1</v>
      </c>
      <c r="EA64" s="74">
        <v>1</v>
      </c>
      <c r="EB64" s="74">
        <v>1</v>
      </c>
      <c r="EC64" s="74">
        <v>1</v>
      </c>
      <c r="ED64" s="74">
        <v>1</v>
      </c>
      <c r="EE64" s="74">
        <v>1</v>
      </c>
      <c r="EF64" s="74">
        <v>1</v>
      </c>
      <c r="EG64" s="74">
        <v>1</v>
      </c>
      <c r="EH64" s="74">
        <v>1</v>
      </c>
      <c r="EI64" s="74">
        <v>1</v>
      </c>
      <c r="EJ64" s="74">
        <v>1</v>
      </c>
      <c r="EK64" s="74">
        <v>1</v>
      </c>
      <c r="EL64" s="74">
        <v>1</v>
      </c>
      <c r="EM64" s="74">
        <v>1</v>
      </c>
      <c r="EN64" s="74">
        <v>1</v>
      </c>
      <c r="EO64" s="74">
        <v>1</v>
      </c>
      <c r="EP64" s="74">
        <v>1</v>
      </c>
      <c r="EQ64" s="74">
        <v>1</v>
      </c>
      <c r="ER64" s="74">
        <v>1</v>
      </c>
      <c r="ES64" s="74">
        <v>1</v>
      </c>
      <c r="ET64" s="74">
        <v>1</v>
      </c>
      <c r="EU64" s="78">
        <v>1</v>
      </c>
      <c r="EV64" s="74">
        <v>1</v>
      </c>
      <c r="EW64" s="74">
        <v>1</v>
      </c>
      <c r="EX64" s="74">
        <v>1</v>
      </c>
      <c r="EY64" s="74">
        <v>1</v>
      </c>
      <c r="EZ64" s="74">
        <v>1</v>
      </c>
      <c r="FA64" s="74">
        <v>1</v>
      </c>
      <c r="FB64" s="74">
        <v>1</v>
      </c>
      <c r="FC64" s="74">
        <v>1</v>
      </c>
      <c r="FD64" s="74">
        <v>1</v>
      </c>
      <c r="FE64" s="74">
        <v>1</v>
      </c>
      <c r="FF64" s="74">
        <v>1</v>
      </c>
      <c r="FG64" s="74">
        <v>1</v>
      </c>
      <c r="FH64" s="74">
        <v>1</v>
      </c>
      <c r="FI64" s="74">
        <v>1</v>
      </c>
      <c r="FJ64" s="74">
        <v>1</v>
      </c>
      <c r="FK64" s="74">
        <v>1</v>
      </c>
      <c r="FL64" s="74">
        <v>1</v>
      </c>
      <c r="FM64" s="74">
        <v>1</v>
      </c>
      <c r="FN64" s="74">
        <v>1</v>
      </c>
      <c r="FO64" s="74">
        <v>1</v>
      </c>
      <c r="FP64" s="74">
        <v>1</v>
      </c>
      <c r="FQ64" s="74">
        <v>1</v>
      </c>
      <c r="FR64" s="74">
        <v>1</v>
      </c>
      <c r="FS64" s="78">
        <v>1</v>
      </c>
      <c r="FT64" s="74">
        <v>1</v>
      </c>
      <c r="FU64" s="74">
        <v>1</v>
      </c>
      <c r="FV64" s="74">
        <v>1</v>
      </c>
      <c r="FW64" s="74">
        <v>1</v>
      </c>
      <c r="FX64" s="74">
        <v>1</v>
      </c>
      <c r="FY64" s="74">
        <v>1</v>
      </c>
      <c r="FZ64" s="74">
        <v>1</v>
      </c>
      <c r="GA64" s="74">
        <v>1</v>
      </c>
      <c r="GB64" s="74">
        <v>1</v>
      </c>
      <c r="GC64" s="74">
        <v>1</v>
      </c>
      <c r="GD64" s="74">
        <v>1</v>
      </c>
      <c r="GE64" s="74">
        <v>1</v>
      </c>
      <c r="GF64" s="74">
        <v>1</v>
      </c>
      <c r="GG64" s="74">
        <v>1</v>
      </c>
      <c r="GH64" s="74">
        <v>1</v>
      </c>
      <c r="GI64" s="74">
        <v>1</v>
      </c>
      <c r="GJ64" s="74">
        <v>1</v>
      </c>
      <c r="GK64" s="74">
        <v>1</v>
      </c>
      <c r="GL64" s="74">
        <v>1</v>
      </c>
      <c r="GM64" s="74">
        <v>1</v>
      </c>
      <c r="GN64" s="74">
        <v>1</v>
      </c>
      <c r="GO64" s="74">
        <v>1</v>
      </c>
      <c r="GP64" s="74">
        <v>1</v>
      </c>
      <c r="GQ64" s="78">
        <v>1</v>
      </c>
      <c r="GR64" s="74">
        <v>1</v>
      </c>
      <c r="GS64" s="74">
        <v>1</v>
      </c>
      <c r="GT64" s="74">
        <v>1</v>
      </c>
      <c r="GU64" s="74">
        <v>1</v>
      </c>
      <c r="GV64" s="74">
        <v>1</v>
      </c>
      <c r="GW64" s="74">
        <v>1</v>
      </c>
      <c r="GX64" s="74">
        <v>1</v>
      </c>
      <c r="GY64" s="74">
        <v>1</v>
      </c>
      <c r="GZ64" s="74">
        <v>1</v>
      </c>
      <c r="HA64" s="74">
        <v>1</v>
      </c>
      <c r="HB64" s="74">
        <v>1</v>
      </c>
      <c r="HC64" s="74">
        <v>1</v>
      </c>
      <c r="HD64" s="74">
        <v>1</v>
      </c>
      <c r="HE64" s="74">
        <v>1</v>
      </c>
      <c r="HF64" s="74">
        <v>1</v>
      </c>
      <c r="HG64" s="74">
        <v>1</v>
      </c>
      <c r="HH64" s="74">
        <v>1</v>
      </c>
      <c r="HI64" s="74">
        <v>1</v>
      </c>
      <c r="HJ64" s="74">
        <v>1</v>
      </c>
      <c r="HK64" s="74">
        <v>1</v>
      </c>
      <c r="HL64" s="74">
        <v>1</v>
      </c>
      <c r="HM64" s="74">
        <v>1</v>
      </c>
      <c r="HN64" s="74">
        <v>1</v>
      </c>
      <c r="HO64" s="74">
        <v>1</v>
      </c>
      <c r="HP64" s="74">
        <v>1</v>
      </c>
      <c r="HQ64" s="74">
        <v>1</v>
      </c>
      <c r="HR64" s="74">
        <v>1</v>
      </c>
      <c r="HS64" s="74">
        <v>1</v>
      </c>
      <c r="HT64" s="74">
        <v>1</v>
      </c>
      <c r="HU64" s="74">
        <v>1</v>
      </c>
      <c r="HV64" s="74">
        <v>1</v>
      </c>
      <c r="HW64" s="74">
        <v>1</v>
      </c>
      <c r="HX64" s="75">
        <v>1</v>
      </c>
    </row>
    <row r="65" spans="2:232" x14ac:dyDescent="0.2">
      <c r="B65" s="80" t="s">
        <v>111</v>
      </c>
      <c r="C65" s="80" t="s">
        <v>131</v>
      </c>
      <c r="D65" s="81">
        <v>5.2</v>
      </c>
      <c r="E65" s="80" t="s">
        <v>127</v>
      </c>
      <c r="F65" s="80" t="s">
        <v>123</v>
      </c>
      <c r="G65" s="78">
        <v>1</v>
      </c>
      <c r="H65" s="74">
        <v>1</v>
      </c>
      <c r="I65" s="74">
        <v>1</v>
      </c>
      <c r="J65" s="74">
        <v>1</v>
      </c>
      <c r="K65" s="74">
        <v>1</v>
      </c>
      <c r="L65" s="74">
        <v>1</v>
      </c>
      <c r="M65" s="74">
        <v>1</v>
      </c>
      <c r="N65" s="74">
        <v>1</v>
      </c>
      <c r="O65" s="74">
        <v>1</v>
      </c>
      <c r="P65" s="74">
        <v>1</v>
      </c>
      <c r="Q65" s="74">
        <v>1</v>
      </c>
      <c r="R65" s="74">
        <v>1</v>
      </c>
      <c r="S65" s="74">
        <v>1</v>
      </c>
      <c r="T65" s="74">
        <v>1</v>
      </c>
      <c r="U65" s="74">
        <v>1</v>
      </c>
      <c r="V65" s="74">
        <v>1</v>
      </c>
      <c r="W65" s="74">
        <v>1</v>
      </c>
      <c r="X65" s="74">
        <v>1</v>
      </c>
      <c r="Y65" s="74">
        <v>1</v>
      </c>
      <c r="Z65" s="74">
        <v>1</v>
      </c>
      <c r="AA65" s="74">
        <v>1</v>
      </c>
      <c r="AB65" s="74">
        <v>1</v>
      </c>
      <c r="AC65" s="74">
        <v>1</v>
      </c>
      <c r="AD65" s="74">
        <v>1</v>
      </c>
      <c r="AE65" s="78">
        <v>1</v>
      </c>
      <c r="AF65" s="74">
        <v>1</v>
      </c>
      <c r="AG65" s="74">
        <v>1</v>
      </c>
      <c r="AH65" s="74">
        <v>1</v>
      </c>
      <c r="AI65" s="74">
        <v>1</v>
      </c>
      <c r="AJ65" s="74">
        <v>1</v>
      </c>
      <c r="AK65" s="74">
        <v>1</v>
      </c>
      <c r="AL65" s="74">
        <v>1</v>
      </c>
      <c r="AM65" s="74">
        <v>1</v>
      </c>
      <c r="AN65" s="74">
        <v>1</v>
      </c>
      <c r="AO65" s="74">
        <v>1</v>
      </c>
      <c r="AP65" s="74">
        <v>1</v>
      </c>
      <c r="AQ65" s="74">
        <v>1</v>
      </c>
      <c r="AR65" s="74">
        <v>1</v>
      </c>
      <c r="AS65" s="74">
        <v>1</v>
      </c>
      <c r="AT65" s="74">
        <v>1</v>
      </c>
      <c r="AU65" s="74">
        <v>1</v>
      </c>
      <c r="AV65" s="74">
        <v>1</v>
      </c>
      <c r="AW65" s="74">
        <v>1</v>
      </c>
      <c r="AX65" s="74">
        <v>1</v>
      </c>
      <c r="AY65" s="74">
        <v>1</v>
      </c>
      <c r="AZ65" s="74">
        <v>1</v>
      </c>
      <c r="BA65" s="74">
        <v>1</v>
      </c>
      <c r="BB65" s="74">
        <v>1</v>
      </c>
      <c r="BC65" s="78">
        <v>1</v>
      </c>
      <c r="BD65" s="74">
        <v>1</v>
      </c>
      <c r="BE65" s="74">
        <v>1</v>
      </c>
      <c r="BF65" s="74">
        <v>1</v>
      </c>
      <c r="BG65" s="74">
        <v>1</v>
      </c>
      <c r="BH65" s="74">
        <v>1</v>
      </c>
      <c r="BI65" s="74">
        <v>1</v>
      </c>
      <c r="BJ65" s="74">
        <v>1</v>
      </c>
      <c r="BK65" s="74">
        <v>1</v>
      </c>
      <c r="BL65" s="74">
        <v>1</v>
      </c>
      <c r="BM65" s="74">
        <v>1</v>
      </c>
      <c r="BN65" s="74">
        <v>1</v>
      </c>
      <c r="BO65" s="74">
        <v>1</v>
      </c>
      <c r="BP65" s="74">
        <v>1</v>
      </c>
      <c r="BQ65" s="74">
        <v>1</v>
      </c>
      <c r="BR65" s="74">
        <v>1</v>
      </c>
      <c r="BS65" s="74">
        <v>1</v>
      </c>
      <c r="BT65" s="74">
        <v>1</v>
      </c>
      <c r="BU65" s="74">
        <v>1</v>
      </c>
      <c r="BV65" s="74">
        <v>1</v>
      </c>
      <c r="BW65" s="74">
        <v>1</v>
      </c>
      <c r="BX65" s="74">
        <v>1</v>
      </c>
      <c r="BY65" s="74">
        <v>1</v>
      </c>
      <c r="BZ65" s="74">
        <v>1</v>
      </c>
      <c r="CA65" s="78">
        <v>1</v>
      </c>
      <c r="CB65" s="74">
        <v>1</v>
      </c>
      <c r="CC65" s="74">
        <v>1</v>
      </c>
      <c r="CD65" s="74">
        <v>1</v>
      </c>
      <c r="CE65" s="74">
        <v>1</v>
      </c>
      <c r="CF65" s="74">
        <v>1</v>
      </c>
      <c r="CG65" s="74">
        <v>1</v>
      </c>
      <c r="CH65" s="74">
        <v>1</v>
      </c>
      <c r="CI65" s="74">
        <v>1</v>
      </c>
      <c r="CJ65" s="74">
        <v>1</v>
      </c>
      <c r="CK65" s="74">
        <v>1</v>
      </c>
      <c r="CL65" s="74">
        <v>1</v>
      </c>
      <c r="CM65" s="74">
        <v>1</v>
      </c>
      <c r="CN65" s="74">
        <v>1</v>
      </c>
      <c r="CO65" s="74">
        <v>1</v>
      </c>
      <c r="CP65" s="74">
        <v>1</v>
      </c>
      <c r="CQ65" s="74">
        <v>1</v>
      </c>
      <c r="CR65" s="74">
        <v>1</v>
      </c>
      <c r="CS65" s="74">
        <v>1</v>
      </c>
      <c r="CT65" s="74">
        <v>1</v>
      </c>
      <c r="CU65" s="74">
        <v>1</v>
      </c>
      <c r="CV65" s="74">
        <v>1</v>
      </c>
      <c r="CW65" s="74">
        <v>1</v>
      </c>
      <c r="CX65" s="74">
        <v>1</v>
      </c>
      <c r="CY65" s="78">
        <v>1</v>
      </c>
      <c r="CZ65" s="74">
        <v>1</v>
      </c>
      <c r="DA65" s="74">
        <v>1</v>
      </c>
      <c r="DB65" s="74">
        <v>1</v>
      </c>
      <c r="DC65" s="74">
        <v>1</v>
      </c>
      <c r="DD65" s="74">
        <v>1</v>
      </c>
      <c r="DE65" s="74">
        <v>1</v>
      </c>
      <c r="DF65" s="74">
        <v>1</v>
      </c>
      <c r="DG65" s="74">
        <v>1</v>
      </c>
      <c r="DH65" s="74">
        <v>1</v>
      </c>
      <c r="DI65" s="74">
        <v>1</v>
      </c>
      <c r="DJ65" s="74">
        <v>1</v>
      </c>
      <c r="DK65" s="74">
        <v>1</v>
      </c>
      <c r="DL65" s="74">
        <v>1</v>
      </c>
      <c r="DM65" s="74">
        <v>1</v>
      </c>
      <c r="DN65" s="74">
        <v>1</v>
      </c>
      <c r="DO65" s="74">
        <v>1</v>
      </c>
      <c r="DP65" s="74">
        <v>1</v>
      </c>
      <c r="DQ65" s="74">
        <v>1</v>
      </c>
      <c r="DR65" s="74">
        <v>1</v>
      </c>
      <c r="DS65" s="74">
        <v>1</v>
      </c>
      <c r="DT65" s="74">
        <v>1</v>
      </c>
      <c r="DU65" s="74">
        <v>1</v>
      </c>
      <c r="DV65" s="74">
        <v>1</v>
      </c>
      <c r="DW65" s="78">
        <v>1</v>
      </c>
      <c r="DX65" s="74">
        <v>1</v>
      </c>
      <c r="DY65" s="74">
        <v>1</v>
      </c>
      <c r="DZ65" s="74">
        <v>1</v>
      </c>
      <c r="EA65" s="74">
        <v>1</v>
      </c>
      <c r="EB65" s="74">
        <v>1</v>
      </c>
      <c r="EC65" s="74">
        <v>1</v>
      </c>
      <c r="ED65" s="74">
        <v>1</v>
      </c>
      <c r="EE65" s="74">
        <v>1</v>
      </c>
      <c r="EF65" s="74">
        <v>1</v>
      </c>
      <c r="EG65" s="74">
        <v>1</v>
      </c>
      <c r="EH65" s="74">
        <v>1</v>
      </c>
      <c r="EI65" s="74">
        <v>1</v>
      </c>
      <c r="EJ65" s="74">
        <v>1</v>
      </c>
      <c r="EK65" s="74">
        <v>1</v>
      </c>
      <c r="EL65" s="74">
        <v>1</v>
      </c>
      <c r="EM65" s="74">
        <v>1</v>
      </c>
      <c r="EN65" s="74">
        <v>1</v>
      </c>
      <c r="EO65" s="74">
        <v>1</v>
      </c>
      <c r="EP65" s="74">
        <v>1</v>
      </c>
      <c r="EQ65" s="74">
        <v>1</v>
      </c>
      <c r="ER65" s="74">
        <v>1</v>
      </c>
      <c r="ES65" s="74">
        <v>1</v>
      </c>
      <c r="ET65" s="74">
        <v>1</v>
      </c>
      <c r="EU65" s="78">
        <v>1</v>
      </c>
      <c r="EV65" s="74">
        <v>1</v>
      </c>
      <c r="EW65" s="74">
        <v>1</v>
      </c>
      <c r="EX65" s="74">
        <v>1</v>
      </c>
      <c r="EY65" s="74">
        <v>1</v>
      </c>
      <c r="EZ65" s="74">
        <v>1</v>
      </c>
      <c r="FA65" s="74">
        <v>1</v>
      </c>
      <c r="FB65" s="74">
        <v>1</v>
      </c>
      <c r="FC65" s="74">
        <v>1</v>
      </c>
      <c r="FD65" s="74">
        <v>1</v>
      </c>
      <c r="FE65" s="74">
        <v>1</v>
      </c>
      <c r="FF65" s="74">
        <v>1</v>
      </c>
      <c r="FG65" s="74">
        <v>1</v>
      </c>
      <c r="FH65" s="74">
        <v>1</v>
      </c>
      <c r="FI65" s="74">
        <v>1</v>
      </c>
      <c r="FJ65" s="74">
        <v>1</v>
      </c>
      <c r="FK65" s="74">
        <v>1</v>
      </c>
      <c r="FL65" s="74">
        <v>1</v>
      </c>
      <c r="FM65" s="74">
        <v>1</v>
      </c>
      <c r="FN65" s="74">
        <v>1</v>
      </c>
      <c r="FO65" s="74">
        <v>1</v>
      </c>
      <c r="FP65" s="74">
        <v>1</v>
      </c>
      <c r="FQ65" s="74">
        <v>1</v>
      </c>
      <c r="FR65" s="74">
        <v>1</v>
      </c>
      <c r="FS65" s="78">
        <v>1</v>
      </c>
      <c r="FT65" s="74">
        <v>1</v>
      </c>
      <c r="FU65" s="74">
        <v>1</v>
      </c>
      <c r="FV65" s="74">
        <v>1</v>
      </c>
      <c r="FW65" s="74">
        <v>1</v>
      </c>
      <c r="FX65" s="74">
        <v>1</v>
      </c>
      <c r="FY65" s="74">
        <v>1</v>
      </c>
      <c r="FZ65" s="74">
        <v>1</v>
      </c>
      <c r="GA65" s="74">
        <v>1</v>
      </c>
      <c r="GB65" s="74">
        <v>1</v>
      </c>
      <c r="GC65" s="74">
        <v>1</v>
      </c>
      <c r="GD65" s="74">
        <v>1</v>
      </c>
      <c r="GE65" s="74">
        <v>1</v>
      </c>
      <c r="GF65" s="74">
        <v>1</v>
      </c>
      <c r="GG65" s="74">
        <v>1</v>
      </c>
      <c r="GH65" s="74">
        <v>1</v>
      </c>
      <c r="GI65" s="74">
        <v>1</v>
      </c>
      <c r="GJ65" s="74">
        <v>1</v>
      </c>
      <c r="GK65" s="74">
        <v>1</v>
      </c>
      <c r="GL65" s="74">
        <v>1</v>
      </c>
      <c r="GM65" s="74">
        <v>1</v>
      </c>
      <c r="GN65" s="74">
        <v>1</v>
      </c>
      <c r="GO65" s="74">
        <v>1</v>
      </c>
      <c r="GP65" s="74">
        <v>1</v>
      </c>
      <c r="GQ65" s="78">
        <v>1</v>
      </c>
      <c r="GR65" s="74">
        <v>1</v>
      </c>
      <c r="GS65" s="74">
        <v>1</v>
      </c>
      <c r="GT65" s="74">
        <v>1</v>
      </c>
      <c r="GU65" s="74">
        <v>1</v>
      </c>
      <c r="GV65" s="74">
        <v>1</v>
      </c>
      <c r="GW65" s="74">
        <v>1</v>
      </c>
      <c r="GX65" s="74">
        <v>1</v>
      </c>
      <c r="GY65" s="74">
        <v>1</v>
      </c>
      <c r="GZ65" s="74">
        <v>1</v>
      </c>
      <c r="HA65" s="74">
        <v>1</v>
      </c>
      <c r="HB65" s="74">
        <v>1</v>
      </c>
      <c r="HC65" s="74">
        <v>1</v>
      </c>
      <c r="HD65" s="74">
        <v>1</v>
      </c>
      <c r="HE65" s="74">
        <v>1</v>
      </c>
      <c r="HF65" s="74">
        <v>1</v>
      </c>
      <c r="HG65" s="74">
        <v>1</v>
      </c>
      <c r="HH65" s="74">
        <v>1</v>
      </c>
      <c r="HI65" s="74">
        <v>1</v>
      </c>
      <c r="HJ65" s="74">
        <v>1</v>
      </c>
      <c r="HK65" s="74">
        <v>1</v>
      </c>
      <c r="HL65" s="74">
        <v>1</v>
      </c>
      <c r="HM65" s="74">
        <v>1</v>
      </c>
      <c r="HN65" s="74">
        <v>1</v>
      </c>
      <c r="HO65" s="74">
        <v>1</v>
      </c>
      <c r="HP65" s="74">
        <v>1</v>
      </c>
      <c r="HQ65" s="74">
        <v>1</v>
      </c>
      <c r="HR65" s="74">
        <v>1</v>
      </c>
      <c r="HS65" s="74">
        <v>1</v>
      </c>
      <c r="HT65" s="74">
        <v>1</v>
      </c>
      <c r="HU65" s="74">
        <v>1</v>
      </c>
      <c r="HV65" s="74">
        <v>1</v>
      </c>
      <c r="HW65" s="74">
        <v>1</v>
      </c>
      <c r="HX65" s="75">
        <v>1</v>
      </c>
    </row>
    <row r="66" spans="2:232" x14ac:dyDescent="0.2">
      <c r="B66" s="80" t="s">
        <v>112</v>
      </c>
      <c r="C66" s="80" t="s">
        <v>131</v>
      </c>
      <c r="D66" s="81">
        <v>5.2</v>
      </c>
      <c r="E66" s="80" t="s">
        <v>127</v>
      </c>
      <c r="F66" s="80" t="s">
        <v>123</v>
      </c>
      <c r="G66" s="78">
        <v>1</v>
      </c>
      <c r="H66" s="74">
        <v>1</v>
      </c>
      <c r="I66" s="74">
        <v>1</v>
      </c>
      <c r="J66" s="74">
        <v>1</v>
      </c>
      <c r="K66" s="74">
        <v>1</v>
      </c>
      <c r="L66" s="74">
        <v>1</v>
      </c>
      <c r="M66" s="74">
        <v>1</v>
      </c>
      <c r="N66" s="74">
        <v>1</v>
      </c>
      <c r="O66" s="74">
        <v>1</v>
      </c>
      <c r="P66" s="74">
        <v>1</v>
      </c>
      <c r="Q66" s="74">
        <v>1</v>
      </c>
      <c r="R66" s="74">
        <v>1</v>
      </c>
      <c r="S66" s="74">
        <v>1</v>
      </c>
      <c r="T66" s="74">
        <v>1</v>
      </c>
      <c r="U66" s="74">
        <v>1</v>
      </c>
      <c r="V66" s="74">
        <v>1</v>
      </c>
      <c r="W66" s="74">
        <v>1</v>
      </c>
      <c r="X66" s="74">
        <v>1</v>
      </c>
      <c r="Y66" s="74">
        <v>1</v>
      </c>
      <c r="Z66" s="74">
        <v>1</v>
      </c>
      <c r="AA66" s="74">
        <v>1</v>
      </c>
      <c r="AB66" s="74">
        <v>1</v>
      </c>
      <c r="AC66" s="74">
        <v>1</v>
      </c>
      <c r="AD66" s="74">
        <v>1</v>
      </c>
      <c r="AE66" s="78">
        <v>1</v>
      </c>
      <c r="AF66" s="74">
        <v>1</v>
      </c>
      <c r="AG66" s="74">
        <v>1</v>
      </c>
      <c r="AH66" s="74">
        <v>1</v>
      </c>
      <c r="AI66" s="74">
        <v>1</v>
      </c>
      <c r="AJ66" s="74">
        <v>1</v>
      </c>
      <c r="AK66" s="74">
        <v>1</v>
      </c>
      <c r="AL66" s="74">
        <v>1</v>
      </c>
      <c r="AM66" s="74">
        <v>1</v>
      </c>
      <c r="AN66" s="74">
        <v>1</v>
      </c>
      <c r="AO66" s="74">
        <v>1</v>
      </c>
      <c r="AP66" s="74">
        <v>1</v>
      </c>
      <c r="AQ66" s="74">
        <v>1</v>
      </c>
      <c r="AR66" s="74">
        <v>1</v>
      </c>
      <c r="AS66" s="74">
        <v>1</v>
      </c>
      <c r="AT66" s="74">
        <v>1</v>
      </c>
      <c r="AU66" s="74">
        <v>1</v>
      </c>
      <c r="AV66" s="74">
        <v>1</v>
      </c>
      <c r="AW66" s="74">
        <v>1</v>
      </c>
      <c r="AX66" s="74">
        <v>1</v>
      </c>
      <c r="AY66" s="74">
        <v>1</v>
      </c>
      <c r="AZ66" s="74">
        <v>1</v>
      </c>
      <c r="BA66" s="74">
        <v>1</v>
      </c>
      <c r="BB66" s="74">
        <v>1</v>
      </c>
      <c r="BC66" s="78">
        <v>1</v>
      </c>
      <c r="BD66" s="74">
        <v>1</v>
      </c>
      <c r="BE66" s="74">
        <v>1</v>
      </c>
      <c r="BF66" s="74">
        <v>1</v>
      </c>
      <c r="BG66" s="74">
        <v>1</v>
      </c>
      <c r="BH66" s="74">
        <v>1</v>
      </c>
      <c r="BI66" s="74">
        <v>1</v>
      </c>
      <c r="BJ66" s="74">
        <v>1</v>
      </c>
      <c r="BK66" s="74">
        <v>1</v>
      </c>
      <c r="BL66" s="74">
        <v>1</v>
      </c>
      <c r="BM66" s="74">
        <v>1</v>
      </c>
      <c r="BN66" s="74">
        <v>1</v>
      </c>
      <c r="BO66" s="74">
        <v>1</v>
      </c>
      <c r="BP66" s="74">
        <v>1</v>
      </c>
      <c r="BQ66" s="74">
        <v>1</v>
      </c>
      <c r="BR66" s="74">
        <v>1</v>
      </c>
      <c r="BS66" s="74">
        <v>1</v>
      </c>
      <c r="BT66" s="74">
        <v>1</v>
      </c>
      <c r="BU66" s="74">
        <v>1</v>
      </c>
      <c r="BV66" s="74">
        <v>1</v>
      </c>
      <c r="BW66" s="74">
        <v>1</v>
      </c>
      <c r="BX66" s="74">
        <v>1</v>
      </c>
      <c r="BY66" s="74">
        <v>1</v>
      </c>
      <c r="BZ66" s="74">
        <v>1</v>
      </c>
      <c r="CA66" s="78">
        <v>1</v>
      </c>
      <c r="CB66" s="74">
        <v>1</v>
      </c>
      <c r="CC66" s="74">
        <v>1</v>
      </c>
      <c r="CD66" s="74">
        <v>1</v>
      </c>
      <c r="CE66" s="74">
        <v>1</v>
      </c>
      <c r="CF66" s="74">
        <v>1</v>
      </c>
      <c r="CG66" s="74">
        <v>1</v>
      </c>
      <c r="CH66" s="74">
        <v>1</v>
      </c>
      <c r="CI66" s="74">
        <v>1</v>
      </c>
      <c r="CJ66" s="74">
        <v>1</v>
      </c>
      <c r="CK66" s="74">
        <v>1</v>
      </c>
      <c r="CL66" s="74">
        <v>1</v>
      </c>
      <c r="CM66" s="74">
        <v>1</v>
      </c>
      <c r="CN66" s="74">
        <v>1</v>
      </c>
      <c r="CO66" s="74">
        <v>1</v>
      </c>
      <c r="CP66" s="74">
        <v>1</v>
      </c>
      <c r="CQ66" s="74">
        <v>1</v>
      </c>
      <c r="CR66" s="74">
        <v>1</v>
      </c>
      <c r="CS66" s="74">
        <v>1</v>
      </c>
      <c r="CT66" s="74">
        <v>1</v>
      </c>
      <c r="CU66" s="74">
        <v>1</v>
      </c>
      <c r="CV66" s="74">
        <v>1</v>
      </c>
      <c r="CW66" s="74">
        <v>1</v>
      </c>
      <c r="CX66" s="74">
        <v>1</v>
      </c>
      <c r="CY66" s="78">
        <v>1</v>
      </c>
      <c r="CZ66" s="74">
        <v>1</v>
      </c>
      <c r="DA66" s="74">
        <v>1</v>
      </c>
      <c r="DB66" s="74">
        <v>1</v>
      </c>
      <c r="DC66" s="74">
        <v>1</v>
      </c>
      <c r="DD66" s="74">
        <v>1</v>
      </c>
      <c r="DE66" s="74">
        <v>1</v>
      </c>
      <c r="DF66" s="74">
        <v>1</v>
      </c>
      <c r="DG66" s="74">
        <v>1</v>
      </c>
      <c r="DH66" s="74">
        <v>1</v>
      </c>
      <c r="DI66" s="74">
        <v>1</v>
      </c>
      <c r="DJ66" s="74">
        <v>1</v>
      </c>
      <c r="DK66" s="74">
        <v>1</v>
      </c>
      <c r="DL66" s="74">
        <v>1</v>
      </c>
      <c r="DM66" s="74">
        <v>1</v>
      </c>
      <c r="DN66" s="74">
        <v>1</v>
      </c>
      <c r="DO66" s="74">
        <v>1</v>
      </c>
      <c r="DP66" s="74">
        <v>1</v>
      </c>
      <c r="DQ66" s="74">
        <v>1</v>
      </c>
      <c r="DR66" s="74">
        <v>1</v>
      </c>
      <c r="DS66" s="74">
        <v>1</v>
      </c>
      <c r="DT66" s="74">
        <v>1</v>
      </c>
      <c r="DU66" s="74">
        <v>1</v>
      </c>
      <c r="DV66" s="74">
        <v>1</v>
      </c>
      <c r="DW66" s="78">
        <v>1</v>
      </c>
      <c r="DX66" s="74">
        <v>1</v>
      </c>
      <c r="DY66" s="74">
        <v>1</v>
      </c>
      <c r="DZ66" s="74">
        <v>1</v>
      </c>
      <c r="EA66" s="74">
        <v>1</v>
      </c>
      <c r="EB66" s="74">
        <v>1</v>
      </c>
      <c r="EC66" s="74">
        <v>1</v>
      </c>
      <c r="ED66" s="74">
        <v>1</v>
      </c>
      <c r="EE66" s="74">
        <v>1</v>
      </c>
      <c r="EF66" s="74">
        <v>1</v>
      </c>
      <c r="EG66" s="74">
        <v>1</v>
      </c>
      <c r="EH66" s="74">
        <v>1</v>
      </c>
      <c r="EI66" s="74">
        <v>1</v>
      </c>
      <c r="EJ66" s="74">
        <v>1</v>
      </c>
      <c r="EK66" s="74">
        <v>1</v>
      </c>
      <c r="EL66" s="74">
        <v>1</v>
      </c>
      <c r="EM66" s="74">
        <v>1</v>
      </c>
      <c r="EN66" s="74">
        <v>1</v>
      </c>
      <c r="EO66" s="74">
        <v>1</v>
      </c>
      <c r="EP66" s="74">
        <v>1</v>
      </c>
      <c r="EQ66" s="74">
        <v>1</v>
      </c>
      <c r="ER66" s="74">
        <v>1</v>
      </c>
      <c r="ES66" s="74">
        <v>1</v>
      </c>
      <c r="ET66" s="74">
        <v>1</v>
      </c>
      <c r="EU66" s="78">
        <v>1</v>
      </c>
      <c r="EV66" s="74">
        <v>1</v>
      </c>
      <c r="EW66" s="74">
        <v>1</v>
      </c>
      <c r="EX66" s="74">
        <v>1</v>
      </c>
      <c r="EY66" s="74">
        <v>1</v>
      </c>
      <c r="EZ66" s="74">
        <v>1</v>
      </c>
      <c r="FA66" s="74">
        <v>1</v>
      </c>
      <c r="FB66" s="74">
        <v>1</v>
      </c>
      <c r="FC66" s="74">
        <v>1</v>
      </c>
      <c r="FD66" s="74">
        <v>1</v>
      </c>
      <c r="FE66" s="74">
        <v>1</v>
      </c>
      <c r="FF66" s="74">
        <v>1</v>
      </c>
      <c r="FG66" s="74">
        <v>1</v>
      </c>
      <c r="FH66" s="74">
        <v>1</v>
      </c>
      <c r="FI66" s="74">
        <v>1</v>
      </c>
      <c r="FJ66" s="74">
        <v>1</v>
      </c>
      <c r="FK66" s="74">
        <v>1</v>
      </c>
      <c r="FL66" s="74">
        <v>1</v>
      </c>
      <c r="FM66" s="74">
        <v>1</v>
      </c>
      <c r="FN66" s="74">
        <v>1</v>
      </c>
      <c r="FO66" s="74">
        <v>1</v>
      </c>
      <c r="FP66" s="74">
        <v>1</v>
      </c>
      <c r="FQ66" s="74">
        <v>1</v>
      </c>
      <c r="FR66" s="74">
        <v>1</v>
      </c>
      <c r="FS66" s="78">
        <v>1</v>
      </c>
      <c r="FT66" s="74">
        <v>1</v>
      </c>
      <c r="FU66" s="74">
        <v>1</v>
      </c>
      <c r="FV66" s="74">
        <v>1</v>
      </c>
      <c r="FW66" s="74">
        <v>1</v>
      </c>
      <c r="FX66" s="74">
        <v>1</v>
      </c>
      <c r="FY66" s="74">
        <v>1</v>
      </c>
      <c r="FZ66" s="74">
        <v>1</v>
      </c>
      <c r="GA66" s="74">
        <v>1</v>
      </c>
      <c r="GB66" s="74">
        <v>1</v>
      </c>
      <c r="GC66" s="74">
        <v>1</v>
      </c>
      <c r="GD66" s="74">
        <v>1</v>
      </c>
      <c r="GE66" s="74">
        <v>1</v>
      </c>
      <c r="GF66" s="74">
        <v>1</v>
      </c>
      <c r="GG66" s="74">
        <v>1</v>
      </c>
      <c r="GH66" s="74">
        <v>1</v>
      </c>
      <c r="GI66" s="74">
        <v>1</v>
      </c>
      <c r="GJ66" s="74">
        <v>1</v>
      </c>
      <c r="GK66" s="74">
        <v>1</v>
      </c>
      <c r="GL66" s="74">
        <v>1</v>
      </c>
      <c r="GM66" s="74">
        <v>1</v>
      </c>
      <c r="GN66" s="74">
        <v>1</v>
      </c>
      <c r="GO66" s="74">
        <v>1</v>
      </c>
      <c r="GP66" s="74">
        <v>1</v>
      </c>
      <c r="GQ66" s="78">
        <v>1</v>
      </c>
      <c r="GR66" s="74">
        <v>1</v>
      </c>
      <c r="GS66" s="74">
        <v>1</v>
      </c>
      <c r="GT66" s="74">
        <v>1</v>
      </c>
      <c r="GU66" s="74">
        <v>1</v>
      </c>
      <c r="GV66" s="74">
        <v>1</v>
      </c>
      <c r="GW66" s="74">
        <v>1</v>
      </c>
      <c r="GX66" s="74">
        <v>1</v>
      </c>
      <c r="GY66" s="74">
        <v>1</v>
      </c>
      <c r="GZ66" s="74">
        <v>1</v>
      </c>
      <c r="HA66" s="74">
        <v>1</v>
      </c>
      <c r="HB66" s="74">
        <v>1</v>
      </c>
      <c r="HC66" s="74">
        <v>1</v>
      </c>
      <c r="HD66" s="74">
        <v>1</v>
      </c>
      <c r="HE66" s="74">
        <v>1</v>
      </c>
      <c r="HF66" s="74">
        <v>1</v>
      </c>
      <c r="HG66" s="74">
        <v>1</v>
      </c>
      <c r="HH66" s="74">
        <v>1</v>
      </c>
      <c r="HI66" s="74">
        <v>1</v>
      </c>
      <c r="HJ66" s="74">
        <v>1</v>
      </c>
      <c r="HK66" s="74">
        <v>1</v>
      </c>
      <c r="HL66" s="74">
        <v>1</v>
      </c>
      <c r="HM66" s="74">
        <v>1</v>
      </c>
      <c r="HN66" s="74">
        <v>1</v>
      </c>
      <c r="HO66" s="74">
        <v>1</v>
      </c>
      <c r="HP66" s="74">
        <v>1</v>
      </c>
      <c r="HQ66" s="74">
        <v>1</v>
      </c>
      <c r="HR66" s="74">
        <v>1</v>
      </c>
      <c r="HS66" s="74">
        <v>1</v>
      </c>
      <c r="HT66" s="74">
        <v>1</v>
      </c>
      <c r="HU66" s="74">
        <v>1</v>
      </c>
      <c r="HV66" s="74">
        <v>1</v>
      </c>
      <c r="HW66" s="74">
        <v>1</v>
      </c>
      <c r="HX66" s="75">
        <v>1</v>
      </c>
    </row>
    <row r="67" spans="2:232" x14ac:dyDescent="0.2">
      <c r="B67" s="80" t="s">
        <v>113</v>
      </c>
      <c r="C67" s="80" t="s">
        <v>132</v>
      </c>
      <c r="D67" s="81">
        <v>5.2</v>
      </c>
      <c r="E67" s="80" t="s">
        <v>127</v>
      </c>
      <c r="F67" s="80" t="s">
        <v>123</v>
      </c>
      <c r="G67" s="78">
        <v>0</v>
      </c>
      <c r="H67" s="78">
        <v>0</v>
      </c>
      <c r="I67" s="78">
        <v>0</v>
      </c>
      <c r="J67" s="78">
        <v>0</v>
      </c>
      <c r="K67" s="78">
        <v>0</v>
      </c>
      <c r="L67" s="78">
        <v>0</v>
      </c>
      <c r="M67" s="78">
        <v>0</v>
      </c>
      <c r="N67" s="78">
        <v>0</v>
      </c>
      <c r="O67" s="78">
        <v>0</v>
      </c>
      <c r="P67" s="78">
        <v>0</v>
      </c>
      <c r="Q67" s="78">
        <v>0</v>
      </c>
      <c r="R67" s="78">
        <v>0</v>
      </c>
      <c r="S67" s="78">
        <v>0</v>
      </c>
      <c r="T67" s="74">
        <v>0</v>
      </c>
      <c r="U67" s="74">
        <v>0</v>
      </c>
      <c r="V67" s="74">
        <v>0</v>
      </c>
      <c r="W67" s="74">
        <v>0</v>
      </c>
      <c r="X67" s="74">
        <v>0</v>
      </c>
      <c r="Y67" s="74">
        <v>0</v>
      </c>
      <c r="Z67" s="74">
        <v>0</v>
      </c>
      <c r="AA67" s="74">
        <v>0</v>
      </c>
      <c r="AB67" s="74">
        <v>0</v>
      </c>
      <c r="AC67" s="74">
        <v>0</v>
      </c>
      <c r="AD67" s="74">
        <v>0</v>
      </c>
      <c r="AE67" s="74">
        <v>0</v>
      </c>
      <c r="AF67" s="74">
        <v>0</v>
      </c>
      <c r="AG67" s="74">
        <v>0</v>
      </c>
      <c r="AH67" s="74">
        <v>0</v>
      </c>
      <c r="AI67" s="74">
        <v>0</v>
      </c>
      <c r="AJ67" s="74">
        <v>0</v>
      </c>
      <c r="AK67" s="74">
        <v>0</v>
      </c>
      <c r="AL67" s="74">
        <v>0</v>
      </c>
      <c r="AM67" s="74">
        <v>0</v>
      </c>
      <c r="AN67" s="74">
        <v>0</v>
      </c>
      <c r="AO67" s="74">
        <v>0</v>
      </c>
      <c r="AP67" s="74">
        <v>0</v>
      </c>
      <c r="AQ67" s="78">
        <v>0</v>
      </c>
      <c r="AR67" s="74">
        <v>0</v>
      </c>
      <c r="AS67" s="74">
        <v>0</v>
      </c>
      <c r="AT67" s="74">
        <v>0</v>
      </c>
      <c r="AU67" s="74">
        <v>0</v>
      </c>
      <c r="AV67" s="74">
        <v>0</v>
      </c>
      <c r="AW67" s="74">
        <v>0</v>
      </c>
      <c r="AX67" s="74">
        <v>0</v>
      </c>
      <c r="AY67" s="74">
        <v>0</v>
      </c>
      <c r="AZ67" s="74">
        <v>0</v>
      </c>
      <c r="BA67" s="74">
        <v>0</v>
      </c>
      <c r="BB67" s="74">
        <v>0</v>
      </c>
      <c r="BC67" s="74">
        <v>0</v>
      </c>
      <c r="BD67" s="74">
        <v>0</v>
      </c>
      <c r="BE67" s="74">
        <v>0</v>
      </c>
      <c r="BF67" s="74">
        <v>0</v>
      </c>
      <c r="BG67" s="74">
        <v>0</v>
      </c>
      <c r="BH67" s="74">
        <v>0</v>
      </c>
      <c r="BI67" s="74">
        <v>0</v>
      </c>
      <c r="BJ67" s="74">
        <v>0</v>
      </c>
      <c r="BK67" s="74">
        <v>0</v>
      </c>
      <c r="BL67" s="74">
        <v>0</v>
      </c>
      <c r="BM67" s="74">
        <v>1</v>
      </c>
      <c r="BN67" s="74">
        <v>1</v>
      </c>
      <c r="BO67" s="74">
        <v>1</v>
      </c>
      <c r="BP67" s="74">
        <v>1</v>
      </c>
      <c r="BQ67" s="74">
        <v>1</v>
      </c>
      <c r="BR67" s="74">
        <v>1</v>
      </c>
      <c r="BS67" s="74">
        <v>1</v>
      </c>
      <c r="BT67" s="74">
        <v>1</v>
      </c>
      <c r="BU67" s="74">
        <v>1</v>
      </c>
      <c r="BV67" s="74">
        <v>1</v>
      </c>
      <c r="BW67" s="74">
        <v>1</v>
      </c>
      <c r="BX67" s="74">
        <v>1</v>
      </c>
      <c r="BY67" s="74">
        <v>1</v>
      </c>
      <c r="BZ67" s="74">
        <v>1</v>
      </c>
      <c r="CA67" s="78">
        <v>1</v>
      </c>
      <c r="CB67" s="74">
        <v>1</v>
      </c>
      <c r="CC67" s="74">
        <v>1</v>
      </c>
      <c r="CD67" s="74">
        <v>1</v>
      </c>
      <c r="CE67" s="74">
        <v>1</v>
      </c>
      <c r="CF67" s="74">
        <v>1</v>
      </c>
      <c r="CG67" s="74">
        <v>1</v>
      </c>
      <c r="CH67" s="74">
        <v>1</v>
      </c>
      <c r="CI67" s="74">
        <v>1</v>
      </c>
      <c r="CJ67" s="74">
        <v>1</v>
      </c>
      <c r="CK67" s="74">
        <v>1</v>
      </c>
      <c r="CL67" s="74">
        <v>1</v>
      </c>
      <c r="CM67" s="74">
        <v>1</v>
      </c>
      <c r="CN67" s="74">
        <v>1</v>
      </c>
      <c r="CO67" s="74">
        <v>1</v>
      </c>
      <c r="CP67" s="74">
        <v>1</v>
      </c>
      <c r="CQ67" s="74">
        <v>1</v>
      </c>
      <c r="CR67" s="74">
        <v>1</v>
      </c>
      <c r="CS67" s="74">
        <v>1</v>
      </c>
      <c r="CT67" s="74">
        <v>1</v>
      </c>
      <c r="CU67" s="74">
        <v>1</v>
      </c>
      <c r="CV67" s="74">
        <v>1</v>
      </c>
      <c r="CW67" s="74">
        <v>1</v>
      </c>
      <c r="CX67" s="74">
        <v>1</v>
      </c>
      <c r="CY67" s="78">
        <v>1</v>
      </c>
      <c r="CZ67" s="74">
        <v>1</v>
      </c>
      <c r="DA67" s="74">
        <v>1</v>
      </c>
      <c r="DB67" s="74">
        <v>1</v>
      </c>
      <c r="DC67" s="74">
        <v>1</v>
      </c>
      <c r="DD67" s="74">
        <v>1</v>
      </c>
      <c r="DE67" s="74">
        <v>1</v>
      </c>
      <c r="DF67" s="74">
        <v>1</v>
      </c>
      <c r="DG67" s="74">
        <v>1</v>
      </c>
      <c r="DH67" s="74">
        <v>1</v>
      </c>
      <c r="DI67" s="74">
        <v>1</v>
      </c>
      <c r="DJ67" s="74">
        <v>1</v>
      </c>
      <c r="DK67" s="74">
        <v>1</v>
      </c>
      <c r="DL67" s="74">
        <v>1</v>
      </c>
      <c r="DM67" s="74">
        <v>1</v>
      </c>
      <c r="DN67" s="74">
        <v>1</v>
      </c>
      <c r="DO67" s="74">
        <v>1</v>
      </c>
      <c r="DP67" s="74">
        <v>1</v>
      </c>
      <c r="DQ67" s="74">
        <v>1</v>
      </c>
      <c r="DR67" s="74">
        <v>1</v>
      </c>
      <c r="DS67" s="74">
        <v>1</v>
      </c>
      <c r="DT67" s="74">
        <v>1</v>
      </c>
      <c r="DU67" s="74">
        <v>1</v>
      </c>
      <c r="DV67" s="74">
        <v>1</v>
      </c>
      <c r="DW67" s="78">
        <v>1</v>
      </c>
      <c r="DX67" s="74">
        <v>1</v>
      </c>
      <c r="DY67" s="74">
        <v>1</v>
      </c>
      <c r="DZ67" s="74">
        <v>1</v>
      </c>
      <c r="EA67" s="74">
        <v>1</v>
      </c>
      <c r="EB67" s="74">
        <v>1</v>
      </c>
      <c r="EC67" s="74">
        <v>1</v>
      </c>
      <c r="ED67" s="74">
        <v>1</v>
      </c>
      <c r="EE67" s="74">
        <v>1</v>
      </c>
      <c r="EF67" s="74">
        <v>1</v>
      </c>
      <c r="EG67" s="74">
        <v>1</v>
      </c>
      <c r="EH67" s="74">
        <v>1</v>
      </c>
      <c r="EI67" s="74">
        <v>1</v>
      </c>
      <c r="EJ67" s="74">
        <v>1</v>
      </c>
      <c r="EK67" s="74">
        <v>1</v>
      </c>
      <c r="EL67" s="74">
        <v>1</v>
      </c>
      <c r="EM67" s="74">
        <v>1</v>
      </c>
      <c r="EN67" s="74">
        <v>1</v>
      </c>
      <c r="EO67" s="74">
        <v>1</v>
      </c>
      <c r="EP67" s="74">
        <v>1</v>
      </c>
      <c r="EQ67" s="74">
        <v>1</v>
      </c>
      <c r="ER67" s="74">
        <v>1</v>
      </c>
      <c r="ES67" s="74">
        <v>1</v>
      </c>
      <c r="ET67" s="74">
        <v>1</v>
      </c>
      <c r="EU67" s="78">
        <v>1</v>
      </c>
      <c r="EV67" s="74">
        <v>1</v>
      </c>
      <c r="EW67" s="74">
        <v>1</v>
      </c>
      <c r="EX67" s="74">
        <v>1</v>
      </c>
      <c r="EY67" s="74">
        <v>1</v>
      </c>
      <c r="EZ67" s="74">
        <v>1</v>
      </c>
      <c r="FA67" s="74">
        <v>1</v>
      </c>
      <c r="FB67" s="74">
        <v>1</v>
      </c>
      <c r="FC67" s="74">
        <v>1</v>
      </c>
      <c r="FD67" s="74">
        <v>1</v>
      </c>
      <c r="FE67" s="74">
        <v>1</v>
      </c>
      <c r="FF67" s="74">
        <v>1</v>
      </c>
      <c r="FG67" s="74">
        <v>1</v>
      </c>
      <c r="FH67" s="74">
        <v>1</v>
      </c>
      <c r="FI67" s="74">
        <v>1</v>
      </c>
      <c r="FJ67" s="74">
        <v>1</v>
      </c>
      <c r="FK67" s="74">
        <v>1</v>
      </c>
      <c r="FL67" s="74">
        <v>1</v>
      </c>
      <c r="FM67" s="74">
        <v>1</v>
      </c>
      <c r="FN67" s="74">
        <v>1</v>
      </c>
      <c r="FO67" s="74">
        <v>1</v>
      </c>
      <c r="FP67" s="74">
        <v>1</v>
      </c>
      <c r="FQ67" s="74">
        <v>1</v>
      </c>
      <c r="FR67" s="74">
        <v>1</v>
      </c>
      <c r="FS67" s="78">
        <v>1</v>
      </c>
      <c r="FT67" s="74">
        <v>1</v>
      </c>
      <c r="FU67" s="74">
        <v>1</v>
      </c>
      <c r="FV67" s="74">
        <v>1</v>
      </c>
      <c r="FW67" s="74">
        <v>1</v>
      </c>
      <c r="FX67" s="74">
        <v>1</v>
      </c>
      <c r="FY67" s="74">
        <v>1</v>
      </c>
      <c r="FZ67" s="74">
        <v>1</v>
      </c>
      <c r="GA67" s="74">
        <v>1</v>
      </c>
      <c r="GB67" s="74">
        <v>1</v>
      </c>
      <c r="GC67" s="74">
        <v>1</v>
      </c>
      <c r="GD67" s="74">
        <v>1</v>
      </c>
      <c r="GE67" s="74">
        <v>1</v>
      </c>
      <c r="GF67" s="74">
        <v>1</v>
      </c>
      <c r="GG67" s="74">
        <v>1</v>
      </c>
      <c r="GH67" s="74">
        <v>1</v>
      </c>
      <c r="GI67" s="74">
        <v>1</v>
      </c>
      <c r="GJ67" s="74">
        <v>1</v>
      </c>
      <c r="GK67" s="74">
        <v>1</v>
      </c>
      <c r="GL67" s="74">
        <v>1</v>
      </c>
      <c r="GM67" s="74">
        <v>1</v>
      </c>
      <c r="GN67" s="74">
        <v>1</v>
      </c>
      <c r="GO67" s="74">
        <v>1</v>
      </c>
      <c r="GP67" s="74">
        <v>1</v>
      </c>
      <c r="GQ67" s="78">
        <v>1</v>
      </c>
      <c r="GR67" s="74">
        <v>1</v>
      </c>
      <c r="GS67" s="74">
        <v>1</v>
      </c>
      <c r="GT67" s="74">
        <v>1</v>
      </c>
      <c r="GU67" s="74">
        <v>1</v>
      </c>
      <c r="GV67" s="74">
        <v>1</v>
      </c>
      <c r="GW67" s="74">
        <v>1</v>
      </c>
      <c r="GX67" s="74">
        <v>1</v>
      </c>
      <c r="GY67" s="74">
        <v>1</v>
      </c>
      <c r="GZ67" s="74">
        <v>1</v>
      </c>
      <c r="HA67" s="74">
        <v>1</v>
      </c>
      <c r="HB67" s="74">
        <v>1</v>
      </c>
      <c r="HC67" s="74">
        <v>1</v>
      </c>
      <c r="HD67" s="74">
        <v>1</v>
      </c>
      <c r="HE67" s="74">
        <v>1</v>
      </c>
      <c r="HF67" s="74">
        <v>1</v>
      </c>
      <c r="HG67" s="74">
        <v>1</v>
      </c>
      <c r="HH67" s="74">
        <v>1</v>
      </c>
      <c r="HI67" s="74">
        <v>1</v>
      </c>
      <c r="HJ67" s="74">
        <v>1</v>
      </c>
      <c r="HK67" s="74">
        <v>1</v>
      </c>
      <c r="HL67" s="74">
        <v>1</v>
      </c>
      <c r="HM67" s="74">
        <v>1</v>
      </c>
      <c r="HN67" s="74">
        <v>1</v>
      </c>
      <c r="HO67" s="74">
        <v>1</v>
      </c>
      <c r="HP67" s="74">
        <v>1</v>
      </c>
      <c r="HQ67" s="74">
        <v>1</v>
      </c>
      <c r="HR67" s="74">
        <v>1</v>
      </c>
      <c r="HS67" s="74">
        <v>1</v>
      </c>
      <c r="HT67" s="74">
        <v>1</v>
      </c>
      <c r="HU67" s="74">
        <v>1</v>
      </c>
      <c r="HV67" s="74">
        <v>1</v>
      </c>
      <c r="HW67" s="74">
        <v>1</v>
      </c>
      <c r="HX67" s="75">
        <v>1</v>
      </c>
    </row>
    <row r="68" spans="2:232" x14ac:dyDescent="0.2">
      <c r="B68" s="80" t="s">
        <v>114</v>
      </c>
      <c r="C68" s="80" t="s">
        <v>132</v>
      </c>
      <c r="D68" s="81">
        <v>5.2</v>
      </c>
      <c r="E68" s="80" t="s">
        <v>127</v>
      </c>
      <c r="F68" s="80" t="s">
        <v>123</v>
      </c>
      <c r="G68" s="78">
        <v>1</v>
      </c>
      <c r="H68" s="74">
        <v>1</v>
      </c>
      <c r="I68" s="74">
        <v>1</v>
      </c>
      <c r="J68" s="74">
        <v>1</v>
      </c>
      <c r="K68" s="74">
        <v>1</v>
      </c>
      <c r="L68" s="74">
        <v>1</v>
      </c>
      <c r="M68" s="74">
        <v>1</v>
      </c>
      <c r="N68" s="74">
        <v>1</v>
      </c>
      <c r="O68" s="74">
        <v>1</v>
      </c>
      <c r="P68" s="74">
        <v>1</v>
      </c>
      <c r="Q68" s="74">
        <v>1</v>
      </c>
      <c r="R68" s="74">
        <v>1</v>
      </c>
      <c r="S68" s="74">
        <v>1</v>
      </c>
      <c r="T68" s="74">
        <v>1</v>
      </c>
      <c r="U68" s="74">
        <v>1</v>
      </c>
      <c r="V68" s="74">
        <v>1</v>
      </c>
      <c r="W68" s="74">
        <v>1</v>
      </c>
      <c r="X68" s="74">
        <v>1</v>
      </c>
      <c r="Y68" s="74">
        <v>1</v>
      </c>
      <c r="Z68" s="74">
        <v>1</v>
      </c>
      <c r="AA68" s="74">
        <v>1</v>
      </c>
      <c r="AB68" s="74">
        <v>1</v>
      </c>
      <c r="AC68" s="74">
        <v>1</v>
      </c>
      <c r="AD68" s="74">
        <v>1</v>
      </c>
      <c r="AE68" s="78">
        <v>1</v>
      </c>
      <c r="AF68" s="74">
        <v>1</v>
      </c>
      <c r="AG68" s="74">
        <v>1</v>
      </c>
      <c r="AH68" s="74">
        <v>1</v>
      </c>
      <c r="AI68" s="74">
        <v>1</v>
      </c>
      <c r="AJ68" s="74">
        <v>1</v>
      </c>
      <c r="AK68" s="74">
        <v>1</v>
      </c>
      <c r="AL68" s="74">
        <v>1</v>
      </c>
      <c r="AM68" s="74">
        <v>1</v>
      </c>
      <c r="AN68" s="74">
        <v>1</v>
      </c>
      <c r="AO68" s="74">
        <v>1</v>
      </c>
      <c r="AP68" s="74">
        <v>1</v>
      </c>
      <c r="AQ68" s="74">
        <v>1</v>
      </c>
      <c r="AR68" s="74">
        <v>1</v>
      </c>
      <c r="AS68" s="74">
        <v>1</v>
      </c>
      <c r="AT68" s="74">
        <v>1</v>
      </c>
      <c r="AU68" s="74">
        <v>1</v>
      </c>
      <c r="AV68" s="74">
        <v>1</v>
      </c>
      <c r="AW68" s="74">
        <v>1</v>
      </c>
      <c r="AX68" s="74">
        <v>1</v>
      </c>
      <c r="AY68" s="74">
        <v>1</v>
      </c>
      <c r="AZ68" s="74">
        <v>1</v>
      </c>
      <c r="BA68" s="74">
        <v>1</v>
      </c>
      <c r="BB68" s="74">
        <v>1</v>
      </c>
      <c r="BC68" s="78">
        <v>1</v>
      </c>
      <c r="BD68" s="74">
        <v>1</v>
      </c>
      <c r="BE68" s="74">
        <v>1</v>
      </c>
      <c r="BF68" s="74">
        <v>1</v>
      </c>
      <c r="BG68" s="74">
        <v>1</v>
      </c>
      <c r="BH68" s="74">
        <v>1</v>
      </c>
      <c r="BI68" s="74">
        <v>1</v>
      </c>
      <c r="BJ68" s="74">
        <v>1</v>
      </c>
      <c r="BK68" s="74">
        <v>1</v>
      </c>
      <c r="BL68" s="74">
        <v>1</v>
      </c>
      <c r="BM68" s="74">
        <v>1</v>
      </c>
      <c r="BN68" s="74">
        <v>1</v>
      </c>
      <c r="BO68" s="74">
        <v>1</v>
      </c>
      <c r="BP68" s="74">
        <v>1</v>
      </c>
      <c r="BQ68" s="74">
        <v>1</v>
      </c>
      <c r="BR68" s="74">
        <v>1</v>
      </c>
      <c r="BS68" s="74">
        <v>1</v>
      </c>
      <c r="BT68" s="74">
        <v>1</v>
      </c>
      <c r="BU68" s="74">
        <v>1</v>
      </c>
      <c r="BV68" s="74">
        <v>1</v>
      </c>
      <c r="BW68" s="74">
        <v>1</v>
      </c>
      <c r="BX68" s="74">
        <v>1</v>
      </c>
      <c r="BY68" s="74">
        <v>1</v>
      </c>
      <c r="BZ68" s="74">
        <v>1</v>
      </c>
      <c r="CA68" s="78">
        <v>1</v>
      </c>
      <c r="CB68" s="74">
        <v>1</v>
      </c>
      <c r="CC68" s="74">
        <v>1</v>
      </c>
      <c r="CD68" s="74">
        <v>1</v>
      </c>
      <c r="CE68" s="74">
        <v>1</v>
      </c>
      <c r="CF68" s="74">
        <v>1</v>
      </c>
      <c r="CG68" s="74">
        <v>1</v>
      </c>
      <c r="CH68" s="74">
        <v>1</v>
      </c>
      <c r="CI68" s="74">
        <v>1</v>
      </c>
      <c r="CJ68" s="74">
        <v>1</v>
      </c>
      <c r="CK68" s="74">
        <v>1</v>
      </c>
      <c r="CL68" s="74">
        <v>1</v>
      </c>
      <c r="CM68" s="74">
        <v>1</v>
      </c>
      <c r="CN68" s="74">
        <v>1</v>
      </c>
      <c r="CO68" s="74">
        <v>1</v>
      </c>
      <c r="CP68" s="74">
        <v>1</v>
      </c>
      <c r="CQ68" s="74">
        <v>1</v>
      </c>
      <c r="CR68" s="74">
        <v>1</v>
      </c>
      <c r="CS68" s="74">
        <v>1</v>
      </c>
      <c r="CT68" s="74">
        <v>1</v>
      </c>
      <c r="CU68" s="74">
        <v>1</v>
      </c>
      <c r="CV68" s="74">
        <v>1</v>
      </c>
      <c r="CW68" s="74">
        <v>1</v>
      </c>
      <c r="CX68" s="74">
        <v>1</v>
      </c>
      <c r="CY68" s="78">
        <v>1</v>
      </c>
      <c r="CZ68" s="74">
        <v>1</v>
      </c>
      <c r="DA68" s="74">
        <v>1</v>
      </c>
      <c r="DB68" s="74">
        <v>1</v>
      </c>
      <c r="DC68" s="74">
        <v>1</v>
      </c>
      <c r="DD68" s="74">
        <v>1</v>
      </c>
      <c r="DE68" s="74">
        <v>1</v>
      </c>
      <c r="DF68" s="74">
        <v>1</v>
      </c>
      <c r="DG68" s="74">
        <v>1</v>
      </c>
      <c r="DH68" s="74">
        <v>1</v>
      </c>
      <c r="DI68" s="74">
        <v>1</v>
      </c>
      <c r="DJ68" s="74">
        <v>1</v>
      </c>
      <c r="DK68" s="74">
        <v>1</v>
      </c>
      <c r="DL68" s="74">
        <v>1</v>
      </c>
      <c r="DM68" s="74">
        <v>1</v>
      </c>
      <c r="DN68" s="74">
        <v>1</v>
      </c>
      <c r="DO68" s="74">
        <v>1</v>
      </c>
      <c r="DP68" s="74">
        <v>1</v>
      </c>
      <c r="DQ68" s="74">
        <v>1</v>
      </c>
      <c r="DR68" s="74">
        <v>1</v>
      </c>
      <c r="DS68" s="74">
        <v>1</v>
      </c>
      <c r="DT68" s="74">
        <v>1</v>
      </c>
      <c r="DU68" s="74">
        <v>1</v>
      </c>
      <c r="DV68" s="74">
        <v>1</v>
      </c>
      <c r="DW68" s="78">
        <v>1</v>
      </c>
      <c r="DX68" s="74">
        <v>1</v>
      </c>
      <c r="DY68" s="74">
        <v>1</v>
      </c>
      <c r="DZ68" s="74">
        <v>1</v>
      </c>
      <c r="EA68" s="74">
        <v>1</v>
      </c>
      <c r="EB68" s="74">
        <v>1</v>
      </c>
      <c r="EC68" s="74">
        <v>1</v>
      </c>
      <c r="ED68" s="74">
        <v>1</v>
      </c>
      <c r="EE68" s="74">
        <v>1</v>
      </c>
      <c r="EF68" s="74">
        <v>1</v>
      </c>
      <c r="EG68" s="74">
        <v>1</v>
      </c>
      <c r="EH68" s="74">
        <v>1</v>
      </c>
      <c r="EI68" s="74">
        <v>1</v>
      </c>
      <c r="EJ68" s="74">
        <v>1</v>
      </c>
      <c r="EK68" s="74">
        <v>1</v>
      </c>
      <c r="EL68" s="74">
        <v>1</v>
      </c>
      <c r="EM68" s="74">
        <v>1</v>
      </c>
      <c r="EN68" s="74">
        <v>1</v>
      </c>
      <c r="EO68" s="74">
        <v>1</v>
      </c>
      <c r="EP68" s="74">
        <v>1</v>
      </c>
      <c r="EQ68" s="74">
        <v>1</v>
      </c>
      <c r="ER68" s="74">
        <v>1</v>
      </c>
      <c r="ES68" s="74">
        <v>1</v>
      </c>
      <c r="ET68" s="74">
        <v>1</v>
      </c>
      <c r="EU68" s="78">
        <v>1</v>
      </c>
      <c r="EV68" s="74">
        <v>1</v>
      </c>
      <c r="EW68" s="74">
        <v>1</v>
      </c>
      <c r="EX68" s="74">
        <v>1</v>
      </c>
      <c r="EY68" s="74">
        <v>1</v>
      </c>
      <c r="EZ68" s="74">
        <v>1</v>
      </c>
      <c r="FA68" s="74">
        <v>1</v>
      </c>
      <c r="FB68" s="74">
        <v>1</v>
      </c>
      <c r="FC68" s="74">
        <v>1</v>
      </c>
      <c r="FD68" s="74">
        <v>1</v>
      </c>
      <c r="FE68" s="74">
        <v>1</v>
      </c>
      <c r="FF68" s="74">
        <v>1</v>
      </c>
      <c r="FG68" s="74">
        <v>1</v>
      </c>
      <c r="FH68" s="74">
        <v>1</v>
      </c>
      <c r="FI68" s="74">
        <v>1</v>
      </c>
      <c r="FJ68" s="74">
        <v>1</v>
      </c>
      <c r="FK68" s="74">
        <v>1</v>
      </c>
      <c r="FL68" s="74">
        <v>1</v>
      </c>
      <c r="FM68" s="74">
        <v>1</v>
      </c>
      <c r="FN68" s="74">
        <v>1</v>
      </c>
      <c r="FO68" s="74">
        <v>1</v>
      </c>
      <c r="FP68" s="74">
        <v>1</v>
      </c>
      <c r="FQ68" s="74">
        <v>1</v>
      </c>
      <c r="FR68" s="74">
        <v>1</v>
      </c>
      <c r="FS68" s="78">
        <v>1</v>
      </c>
      <c r="FT68" s="74">
        <v>1</v>
      </c>
      <c r="FU68" s="74">
        <v>1</v>
      </c>
      <c r="FV68" s="74">
        <v>1</v>
      </c>
      <c r="FW68" s="74">
        <v>1</v>
      </c>
      <c r="FX68" s="74">
        <v>1</v>
      </c>
      <c r="FY68" s="74">
        <v>1</v>
      </c>
      <c r="FZ68" s="74">
        <v>1</v>
      </c>
      <c r="GA68" s="74">
        <v>1</v>
      </c>
      <c r="GB68" s="74">
        <v>1</v>
      </c>
      <c r="GC68" s="74">
        <v>1</v>
      </c>
      <c r="GD68" s="74">
        <v>1</v>
      </c>
      <c r="GE68" s="74">
        <v>1</v>
      </c>
      <c r="GF68" s="74">
        <v>1</v>
      </c>
      <c r="GG68" s="74">
        <v>1</v>
      </c>
      <c r="GH68" s="74">
        <v>1</v>
      </c>
      <c r="GI68" s="74">
        <v>1</v>
      </c>
      <c r="GJ68" s="74">
        <v>1</v>
      </c>
      <c r="GK68" s="74">
        <v>1</v>
      </c>
      <c r="GL68" s="74">
        <v>1</v>
      </c>
      <c r="GM68" s="74">
        <v>1</v>
      </c>
      <c r="GN68" s="74">
        <v>1</v>
      </c>
      <c r="GO68" s="74">
        <v>1</v>
      </c>
      <c r="GP68" s="74">
        <v>1</v>
      </c>
      <c r="GQ68" s="78">
        <v>1</v>
      </c>
      <c r="GR68" s="74">
        <v>1</v>
      </c>
      <c r="GS68" s="74">
        <v>1</v>
      </c>
      <c r="GT68" s="74">
        <v>1</v>
      </c>
      <c r="GU68" s="74">
        <v>1</v>
      </c>
      <c r="GV68" s="74">
        <v>1</v>
      </c>
      <c r="GW68" s="74">
        <v>1</v>
      </c>
      <c r="GX68" s="74">
        <v>1</v>
      </c>
      <c r="GY68" s="74">
        <v>1</v>
      </c>
      <c r="GZ68" s="74">
        <v>1</v>
      </c>
      <c r="HA68" s="74">
        <v>1</v>
      </c>
      <c r="HB68" s="74">
        <v>1</v>
      </c>
      <c r="HC68" s="74">
        <v>1</v>
      </c>
      <c r="HD68" s="74">
        <v>1</v>
      </c>
      <c r="HE68" s="74">
        <v>1</v>
      </c>
      <c r="HF68" s="74">
        <v>1</v>
      </c>
      <c r="HG68" s="74">
        <v>1</v>
      </c>
      <c r="HH68" s="74">
        <v>1</v>
      </c>
      <c r="HI68" s="74">
        <v>1</v>
      </c>
      <c r="HJ68" s="74">
        <v>1</v>
      </c>
      <c r="HK68" s="74">
        <v>1</v>
      </c>
      <c r="HL68" s="74">
        <v>1</v>
      </c>
      <c r="HM68" s="74">
        <v>1</v>
      </c>
      <c r="HN68" s="74">
        <v>1</v>
      </c>
      <c r="HO68" s="74">
        <v>1</v>
      </c>
      <c r="HP68" s="74">
        <v>1</v>
      </c>
      <c r="HQ68" s="74">
        <v>1</v>
      </c>
      <c r="HR68" s="74">
        <v>1</v>
      </c>
      <c r="HS68" s="74">
        <v>1</v>
      </c>
      <c r="HT68" s="74">
        <v>1</v>
      </c>
      <c r="HU68" s="74">
        <v>1</v>
      </c>
      <c r="HV68" s="74">
        <v>1</v>
      </c>
      <c r="HW68" s="74">
        <v>1</v>
      </c>
      <c r="HX68" s="75">
        <v>1</v>
      </c>
    </row>
    <row r="69" spans="2:232" x14ac:dyDescent="0.2">
      <c r="B69" s="80" t="s">
        <v>115</v>
      </c>
      <c r="C69" s="80" t="s">
        <v>132</v>
      </c>
      <c r="D69" s="81">
        <v>5</v>
      </c>
      <c r="E69" s="80" t="s">
        <v>127</v>
      </c>
      <c r="F69" s="80" t="s">
        <v>123</v>
      </c>
      <c r="G69" s="78">
        <v>0</v>
      </c>
      <c r="H69" s="78">
        <v>0</v>
      </c>
      <c r="I69" s="78">
        <v>0</v>
      </c>
      <c r="J69" s="78">
        <v>0</v>
      </c>
      <c r="K69" s="78">
        <v>0</v>
      </c>
      <c r="L69" s="78">
        <v>0</v>
      </c>
      <c r="M69" s="78">
        <v>0</v>
      </c>
      <c r="N69" s="78">
        <v>0</v>
      </c>
      <c r="O69" s="78">
        <v>0</v>
      </c>
      <c r="P69" s="78">
        <v>0</v>
      </c>
      <c r="Q69" s="78">
        <v>0</v>
      </c>
      <c r="R69" s="78">
        <v>0</v>
      </c>
      <c r="S69" s="78">
        <v>0</v>
      </c>
      <c r="T69" s="74">
        <v>0</v>
      </c>
      <c r="U69" s="74">
        <v>0</v>
      </c>
      <c r="V69" s="74">
        <v>0</v>
      </c>
      <c r="W69" s="74">
        <v>0</v>
      </c>
      <c r="X69" s="74">
        <v>0</v>
      </c>
      <c r="Y69" s="74">
        <v>0</v>
      </c>
      <c r="Z69" s="74">
        <v>0</v>
      </c>
      <c r="AA69" s="74">
        <v>0</v>
      </c>
      <c r="AB69" s="74">
        <v>0</v>
      </c>
      <c r="AC69" s="74">
        <v>0</v>
      </c>
      <c r="AD69" s="74">
        <v>0</v>
      </c>
      <c r="AE69" s="74">
        <v>0</v>
      </c>
      <c r="AF69" s="74">
        <v>0</v>
      </c>
      <c r="AG69" s="74">
        <v>0</v>
      </c>
      <c r="AH69" s="74">
        <v>0</v>
      </c>
      <c r="AI69" s="74">
        <v>0</v>
      </c>
      <c r="AJ69" s="74">
        <v>0</v>
      </c>
      <c r="AK69" s="74">
        <v>0</v>
      </c>
      <c r="AL69" s="74">
        <v>0</v>
      </c>
      <c r="AM69" s="74">
        <v>0</v>
      </c>
      <c r="AN69" s="74">
        <v>0</v>
      </c>
      <c r="AO69" s="74">
        <v>0</v>
      </c>
      <c r="AP69" s="74">
        <v>0</v>
      </c>
      <c r="AQ69" s="78">
        <v>0</v>
      </c>
      <c r="AR69" s="74">
        <v>0</v>
      </c>
      <c r="AS69" s="74">
        <v>0</v>
      </c>
      <c r="AT69" s="74">
        <v>0</v>
      </c>
      <c r="AU69" s="74">
        <v>0</v>
      </c>
      <c r="AV69" s="74">
        <v>0</v>
      </c>
      <c r="AW69" s="74">
        <v>0</v>
      </c>
      <c r="AX69" s="74">
        <v>0</v>
      </c>
      <c r="AY69" s="74">
        <v>0</v>
      </c>
      <c r="AZ69" s="74">
        <v>0</v>
      </c>
      <c r="BA69" s="74">
        <v>0</v>
      </c>
      <c r="BB69" s="74">
        <v>0</v>
      </c>
      <c r="BC69" s="74">
        <v>0</v>
      </c>
      <c r="BD69" s="74">
        <v>0</v>
      </c>
      <c r="BE69" s="74">
        <v>0</v>
      </c>
      <c r="BF69" s="74">
        <v>0</v>
      </c>
      <c r="BG69" s="74">
        <v>0</v>
      </c>
      <c r="BH69" s="74">
        <v>0</v>
      </c>
      <c r="BI69" s="74">
        <v>0</v>
      </c>
      <c r="BJ69" s="74">
        <v>0</v>
      </c>
      <c r="BK69" s="74">
        <v>0</v>
      </c>
      <c r="BL69" s="74">
        <v>0</v>
      </c>
      <c r="BM69" s="74">
        <v>1</v>
      </c>
      <c r="BN69" s="74">
        <v>1</v>
      </c>
      <c r="BO69" s="74">
        <v>1</v>
      </c>
      <c r="BP69" s="74">
        <v>1</v>
      </c>
      <c r="BQ69" s="74">
        <v>1</v>
      </c>
      <c r="BR69" s="74">
        <v>1</v>
      </c>
      <c r="BS69" s="74">
        <v>1</v>
      </c>
      <c r="BT69" s="74">
        <v>1</v>
      </c>
      <c r="BU69" s="74">
        <v>1</v>
      </c>
      <c r="BV69" s="74">
        <v>1</v>
      </c>
      <c r="BW69" s="74">
        <v>1</v>
      </c>
      <c r="BX69" s="74">
        <v>1</v>
      </c>
      <c r="BY69" s="74">
        <v>1</v>
      </c>
      <c r="BZ69" s="74">
        <v>1</v>
      </c>
      <c r="CA69" s="78">
        <v>1</v>
      </c>
      <c r="CB69" s="74">
        <v>1</v>
      </c>
      <c r="CC69" s="74">
        <v>1</v>
      </c>
      <c r="CD69" s="74">
        <v>1</v>
      </c>
      <c r="CE69" s="74">
        <v>1</v>
      </c>
      <c r="CF69" s="74">
        <v>1</v>
      </c>
      <c r="CG69" s="74">
        <v>1</v>
      </c>
      <c r="CH69" s="74">
        <v>1</v>
      </c>
      <c r="CI69" s="74">
        <v>1</v>
      </c>
      <c r="CJ69" s="74">
        <v>1</v>
      </c>
      <c r="CK69" s="74">
        <v>1</v>
      </c>
      <c r="CL69" s="74">
        <v>1</v>
      </c>
      <c r="CM69" s="74">
        <v>1</v>
      </c>
      <c r="CN69" s="74">
        <v>1</v>
      </c>
      <c r="CO69" s="74">
        <v>1</v>
      </c>
      <c r="CP69" s="74">
        <v>1</v>
      </c>
      <c r="CQ69" s="74">
        <v>1</v>
      </c>
      <c r="CR69" s="74">
        <v>1</v>
      </c>
      <c r="CS69" s="74">
        <v>1</v>
      </c>
      <c r="CT69" s="74">
        <v>1</v>
      </c>
      <c r="CU69" s="74">
        <v>1</v>
      </c>
      <c r="CV69" s="74">
        <v>1</v>
      </c>
      <c r="CW69" s="74">
        <v>1</v>
      </c>
      <c r="CX69" s="74">
        <v>1</v>
      </c>
      <c r="CY69" s="78">
        <v>1</v>
      </c>
      <c r="CZ69" s="74">
        <v>1</v>
      </c>
      <c r="DA69" s="74">
        <v>1</v>
      </c>
      <c r="DB69" s="74">
        <v>1</v>
      </c>
      <c r="DC69" s="74">
        <v>1</v>
      </c>
      <c r="DD69" s="74">
        <v>1</v>
      </c>
      <c r="DE69" s="74">
        <v>1</v>
      </c>
      <c r="DF69" s="74">
        <v>1</v>
      </c>
      <c r="DG69" s="74">
        <v>1</v>
      </c>
      <c r="DH69" s="74">
        <v>1</v>
      </c>
      <c r="DI69" s="74">
        <v>1</v>
      </c>
      <c r="DJ69" s="74">
        <v>1</v>
      </c>
      <c r="DK69" s="74">
        <v>1</v>
      </c>
      <c r="DL69" s="74">
        <v>1</v>
      </c>
      <c r="DM69" s="74">
        <v>1</v>
      </c>
      <c r="DN69" s="74">
        <v>1</v>
      </c>
      <c r="DO69" s="74">
        <v>1</v>
      </c>
      <c r="DP69" s="74">
        <v>1</v>
      </c>
      <c r="DQ69" s="74">
        <v>1</v>
      </c>
      <c r="DR69" s="74">
        <v>1</v>
      </c>
      <c r="DS69" s="74">
        <v>1</v>
      </c>
      <c r="DT69" s="74">
        <v>1</v>
      </c>
      <c r="DU69" s="74">
        <v>1</v>
      </c>
      <c r="DV69" s="74">
        <v>1</v>
      </c>
      <c r="DW69" s="78">
        <v>1</v>
      </c>
      <c r="DX69" s="74">
        <v>1</v>
      </c>
      <c r="DY69" s="74">
        <v>1</v>
      </c>
      <c r="DZ69" s="74">
        <v>1</v>
      </c>
      <c r="EA69" s="74">
        <v>1</v>
      </c>
      <c r="EB69" s="74">
        <v>1</v>
      </c>
      <c r="EC69" s="74">
        <v>1</v>
      </c>
      <c r="ED69" s="74">
        <v>1</v>
      </c>
      <c r="EE69" s="74">
        <v>1</v>
      </c>
      <c r="EF69" s="74">
        <v>1</v>
      </c>
      <c r="EG69" s="74">
        <v>1</v>
      </c>
      <c r="EH69" s="74">
        <v>1</v>
      </c>
      <c r="EI69" s="74">
        <v>1</v>
      </c>
      <c r="EJ69" s="74">
        <v>1</v>
      </c>
      <c r="EK69" s="74">
        <v>1</v>
      </c>
      <c r="EL69" s="74">
        <v>1</v>
      </c>
      <c r="EM69" s="74">
        <v>1</v>
      </c>
      <c r="EN69" s="74">
        <v>1</v>
      </c>
      <c r="EO69" s="74">
        <v>1</v>
      </c>
      <c r="EP69" s="74">
        <v>1</v>
      </c>
      <c r="EQ69" s="74">
        <v>1</v>
      </c>
      <c r="ER69" s="74">
        <v>1</v>
      </c>
      <c r="ES69" s="74">
        <v>1</v>
      </c>
      <c r="ET69" s="74">
        <v>1</v>
      </c>
      <c r="EU69" s="78">
        <v>1</v>
      </c>
      <c r="EV69" s="74">
        <v>1</v>
      </c>
      <c r="EW69" s="74">
        <v>1</v>
      </c>
      <c r="EX69" s="74">
        <v>1</v>
      </c>
      <c r="EY69" s="74">
        <v>1</v>
      </c>
      <c r="EZ69" s="74">
        <v>1</v>
      </c>
      <c r="FA69" s="74">
        <v>1</v>
      </c>
      <c r="FB69" s="74">
        <v>1</v>
      </c>
      <c r="FC69" s="74">
        <v>1</v>
      </c>
      <c r="FD69" s="74">
        <v>1</v>
      </c>
      <c r="FE69" s="74">
        <v>1</v>
      </c>
      <c r="FF69" s="74">
        <v>1</v>
      </c>
      <c r="FG69" s="74">
        <v>1</v>
      </c>
      <c r="FH69" s="74">
        <v>1</v>
      </c>
      <c r="FI69" s="74">
        <v>1</v>
      </c>
      <c r="FJ69" s="74">
        <v>1</v>
      </c>
      <c r="FK69" s="74">
        <v>1</v>
      </c>
      <c r="FL69" s="74">
        <v>1</v>
      </c>
      <c r="FM69" s="74">
        <v>1</v>
      </c>
      <c r="FN69" s="74">
        <v>1</v>
      </c>
      <c r="FO69" s="74">
        <v>1</v>
      </c>
      <c r="FP69" s="74">
        <v>1</v>
      </c>
      <c r="FQ69" s="74">
        <v>1</v>
      </c>
      <c r="FR69" s="74">
        <v>1</v>
      </c>
      <c r="FS69" s="78">
        <v>1</v>
      </c>
      <c r="FT69" s="74">
        <v>1</v>
      </c>
      <c r="FU69" s="74">
        <v>1</v>
      </c>
      <c r="FV69" s="74">
        <v>1</v>
      </c>
      <c r="FW69" s="74">
        <v>1</v>
      </c>
      <c r="FX69" s="74">
        <v>1</v>
      </c>
      <c r="FY69" s="74">
        <v>1</v>
      </c>
      <c r="FZ69" s="74">
        <v>1</v>
      </c>
      <c r="GA69" s="74">
        <v>1</v>
      </c>
      <c r="GB69" s="74">
        <v>1</v>
      </c>
      <c r="GC69" s="74">
        <v>1</v>
      </c>
      <c r="GD69" s="74">
        <v>1</v>
      </c>
      <c r="GE69" s="74">
        <v>1</v>
      </c>
      <c r="GF69" s="74">
        <v>1</v>
      </c>
      <c r="GG69" s="74">
        <v>1</v>
      </c>
      <c r="GH69" s="74">
        <v>1</v>
      </c>
      <c r="GI69" s="74">
        <v>1</v>
      </c>
      <c r="GJ69" s="74">
        <v>1</v>
      </c>
      <c r="GK69" s="74">
        <v>1</v>
      </c>
      <c r="GL69" s="74">
        <v>1</v>
      </c>
      <c r="GM69" s="74">
        <v>1</v>
      </c>
      <c r="GN69" s="74">
        <v>1</v>
      </c>
      <c r="GO69" s="74">
        <v>1</v>
      </c>
      <c r="GP69" s="74">
        <v>1</v>
      </c>
      <c r="GQ69" s="78">
        <v>1</v>
      </c>
      <c r="GR69" s="74">
        <v>1</v>
      </c>
      <c r="GS69" s="74">
        <v>1</v>
      </c>
      <c r="GT69" s="74">
        <v>1</v>
      </c>
      <c r="GU69" s="74">
        <v>1</v>
      </c>
      <c r="GV69" s="74">
        <v>1</v>
      </c>
      <c r="GW69" s="74">
        <v>1</v>
      </c>
      <c r="GX69" s="74">
        <v>1</v>
      </c>
      <c r="GY69" s="74">
        <v>1</v>
      </c>
      <c r="GZ69" s="74">
        <v>1</v>
      </c>
      <c r="HA69" s="74">
        <v>1</v>
      </c>
      <c r="HB69" s="74">
        <v>1</v>
      </c>
      <c r="HC69" s="74">
        <v>1</v>
      </c>
      <c r="HD69" s="74">
        <v>1</v>
      </c>
      <c r="HE69" s="74">
        <v>1</v>
      </c>
      <c r="HF69" s="74">
        <v>1</v>
      </c>
      <c r="HG69" s="74">
        <v>1</v>
      </c>
      <c r="HH69" s="74">
        <v>1</v>
      </c>
      <c r="HI69" s="74">
        <v>1</v>
      </c>
      <c r="HJ69" s="74">
        <v>1</v>
      </c>
      <c r="HK69" s="74">
        <v>1</v>
      </c>
      <c r="HL69" s="74">
        <v>1</v>
      </c>
      <c r="HM69" s="74">
        <v>1</v>
      </c>
      <c r="HN69" s="74">
        <v>1</v>
      </c>
      <c r="HO69" s="74">
        <v>1</v>
      </c>
      <c r="HP69" s="74">
        <v>1</v>
      </c>
      <c r="HQ69" s="74">
        <v>1</v>
      </c>
      <c r="HR69" s="74">
        <v>1</v>
      </c>
      <c r="HS69" s="74">
        <v>1</v>
      </c>
      <c r="HT69" s="74">
        <v>1</v>
      </c>
      <c r="HU69" s="74">
        <v>1</v>
      </c>
      <c r="HV69" s="74">
        <v>1</v>
      </c>
      <c r="HW69" s="74">
        <v>1</v>
      </c>
      <c r="HX69" s="75">
        <v>1</v>
      </c>
    </row>
    <row r="70" spans="2:232" x14ac:dyDescent="0.2">
      <c r="B70" s="80" t="s">
        <v>116</v>
      </c>
      <c r="C70" s="80" t="s">
        <v>132</v>
      </c>
      <c r="D70" s="81">
        <v>5</v>
      </c>
      <c r="E70" s="80" t="s">
        <v>127</v>
      </c>
      <c r="F70" s="80" t="s">
        <v>123</v>
      </c>
      <c r="G70" s="78">
        <v>0</v>
      </c>
      <c r="H70" s="78">
        <v>0</v>
      </c>
      <c r="I70" s="78">
        <v>0</v>
      </c>
      <c r="J70" s="78">
        <v>0</v>
      </c>
      <c r="K70" s="78">
        <v>0</v>
      </c>
      <c r="L70" s="78">
        <v>0</v>
      </c>
      <c r="M70" s="78">
        <v>0</v>
      </c>
      <c r="N70" s="78">
        <v>0</v>
      </c>
      <c r="O70" s="78">
        <v>0</v>
      </c>
      <c r="P70" s="78">
        <v>0</v>
      </c>
      <c r="Q70" s="78">
        <v>0</v>
      </c>
      <c r="R70" s="78">
        <v>0</v>
      </c>
      <c r="S70" s="78">
        <v>0</v>
      </c>
      <c r="T70" s="74">
        <v>0</v>
      </c>
      <c r="U70" s="74">
        <v>0</v>
      </c>
      <c r="V70" s="74">
        <v>0</v>
      </c>
      <c r="W70" s="74">
        <v>0</v>
      </c>
      <c r="X70" s="74">
        <v>0</v>
      </c>
      <c r="Y70" s="74">
        <v>0</v>
      </c>
      <c r="Z70" s="74">
        <v>0</v>
      </c>
      <c r="AA70" s="74">
        <v>0</v>
      </c>
      <c r="AB70" s="74">
        <v>0</v>
      </c>
      <c r="AC70" s="74">
        <v>0</v>
      </c>
      <c r="AD70" s="74">
        <v>0</v>
      </c>
      <c r="AE70" s="74">
        <v>0</v>
      </c>
      <c r="AF70" s="74">
        <v>0</v>
      </c>
      <c r="AG70" s="74">
        <v>0</v>
      </c>
      <c r="AH70" s="74">
        <v>0</v>
      </c>
      <c r="AI70" s="74">
        <v>0</v>
      </c>
      <c r="AJ70" s="74">
        <v>0</v>
      </c>
      <c r="AK70" s="74">
        <v>0</v>
      </c>
      <c r="AL70" s="74">
        <v>0</v>
      </c>
      <c r="AM70" s="74">
        <v>0</v>
      </c>
      <c r="AN70" s="74">
        <v>0</v>
      </c>
      <c r="AO70" s="74">
        <v>0</v>
      </c>
      <c r="AP70" s="74">
        <v>0</v>
      </c>
      <c r="AQ70" s="78">
        <v>0</v>
      </c>
      <c r="AR70" s="74">
        <v>0</v>
      </c>
      <c r="AS70" s="74">
        <v>0</v>
      </c>
      <c r="AT70" s="74">
        <v>0</v>
      </c>
      <c r="AU70" s="74">
        <v>0</v>
      </c>
      <c r="AV70" s="74">
        <v>0</v>
      </c>
      <c r="AW70" s="74">
        <v>0</v>
      </c>
      <c r="AX70" s="74">
        <v>0</v>
      </c>
      <c r="AY70" s="74">
        <v>0</v>
      </c>
      <c r="AZ70" s="74">
        <v>0</v>
      </c>
      <c r="BA70" s="74">
        <v>0</v>
      </c>
      <c r="BB70" s="74">
        <v>0</v>
      </c>
      <c r="BC70" s="74">
        <v>0</v>
      </c>
      <c r="BD70" s="74">
        <v>0</v>
      </c>
      <c r="BE70" s="74">
        <v>0</v>
      </c>
      <c r="BF70" s="74">
        <v>0</v>
      </c>
      <c r="BG70" s="74">
        <v>0</v>
      </c>
      <c r="BH70" s="74">
        <v>0</v>
      </c>
      <c r="BI70" s="74">
        <v>0</v>
      </c>
      <c r="BJ70" s="74">
        <v>0</v>
      </c>
      <c r="BK70" s="74">
        <v>0</v>
      </c>
      <c r="BL70" s="74">
        <v>0</v>
      </c>
      <c r="BM70" s="74">
        <v>1</v>
      </c>
      <c r="BN70" s="74">
        <v>1</v>
      </c>
      <c r="BO70" s="74">
        <v>1</v>
      </c>
      <c r="BP70" s="74">
        <v>1</v>
      </c>
      <c r="BQ70" s="74">
        <v>1</v>
      </c>
      <c r="BR70" s="74">
        <v>1</v>
      </c>
      <c r="BS70" s="74">
        <v>1</v>
      </c>
      <c r="BT70" s="74">
        <v>1</v>
      </c>
      <c r="BU70" s="74">
        <v>1</v>
      </c>
      <c r="BV70" s="74">
        <v>1</v>
      </c>
      <c r="BW70" s="74">
        <v>1</v>
      </c>
      <c r="BX70" s="74">
        <v>1</v>
      </c>
      <c r="BY70" s="74">
        <v>1</v>
      </c>
      <c r="BZ70" s="74">
        <v>1</v>
      </c>
      <c r="CA70" s="78">
        <v>1</v>
      </c>
      <c r="CB70" s="74">
        <v>1</v>
      </c>
      <c r="CC70" s="74">
        <v>1</v>
      </c>
      <c r="CD70" s="74">
        <v>1</v>
      </c>
      <c r="CE70" s="74">
        <v>1</v>
      </c>
      <c r="CF70" s="74">
        <v>1</v>
      </c>
      <c r="CG70" s="74">
        <v>1</v>
      </c>
      <c r="CH70" s="74">
        <v>1</v>
      </c>
      <c r="CI70" s="74">
        <v>1</v>
      </c>
      <c r="CJ70" s="74">
        <v>1</v>
      </c>
      <c r="CK70" s="74">
        <v>1</v>
      </c>
      <c r="CL70" s="74">
        <v>1</v>
      </c>
      <c r="CM70" s="74">
        <v>1</v>
      </c>
      <c r="CN70" s="74">
        <v>1</v>
      </c>
      <c r="CO70" s="74">
        <v>1</v>
      </c>
      <c r="CP70" s="74">
        <v>1</v>
      </c>
      <c r="CQ70" s="74">
        <v>1</v>
      </c>
      <c r="CR70" s="74">
        <v>1</v>
      </c>
      <c r="CS70" s="74">
        <v>1</v>
      </c>
      <c r="CT70" s="74">
        <v>1</v>
      </c>
      <c r="CU70" s="74">
        <v>1</v>
      </c>
      <c r="CV70" s="74">
        <v>1</v>
      </c>
      <c r="CW70" s="74">
        <v>1</v>
      </c>
      <c r="CX70" s="74">
        <v>1</v>
      </c>
      <c r="CY70" s="78">
        <v>1</v>
      </c>
      <c r="CZ70" s="74">
        <v>1</v>
      </c>
      <c r="DA70" s="74">
        <v>1</v>
      </c>
      <c r="DB70" s="74">
        <v>1</v>
      </c>
      <c r="DC70" s="74">
        <v>1</v>
      </c>
      <c r="DD70" s="74">
        <v>1</v>
      </c>
      <c r="DE70" s="74">
        <v>1</v>
      </c>
      <c r="DF70" s="74">
        <v>1</v>
      </c>
      <c r="DG70" s="74">
        <v>1</v>
      </c>
      <c r="DH70" s="74">
        <v>1</v>
      </c>
      <c r="DI70" s="74">
        <v>1</v>
      </c>
      <c r="DJ70" s="74">
        <v>1</v>
      </c>
      <c r="DK70" s="74">
        <v>1</v>
      </c>
      <c r="DL70" s="74">
        <v>1</v>
      </c>
      <c r="DM70" s="74">
        <v>1</v>
      </c>
      <c r="DN70" s="74">
        <v>1</v>
      </c>
      <c r="DO70" s="74">
        <v>1</v>
      </c>
      <c r="DP70" s="74">
        <v>1</v>
      </c>
      <c r="DQ70" s="74">
        <v>1</v>
      </c>
      <c r="DR70" s="74">
        <v>1</v>
      </c>
      <c r="DS70" s="74">
        <v>1</v>
      </c>
      <c r="DT70" s="74">
        <v>1</v>
      </c>
      <c r="DU70" s="74">
        <v>1</v>
      </c>
      <c r="DV70" s="74">
        <v>1</v>
      </c>
      <c r="DW70" s="78">
        <v>1</v>
      </c>
      <c r="DX70" s="74">
        <v>1</v>
      </c>
      <c r="DY70" s="74">
        <v>1</v>
      </c>
      <c r="DZ70" s="74">
        <v>1</v>
      </c>
      <c r="EA70" s="74">
        <v>1</v>
      </c>
      <c r="EB70" s="74">
        <v>1</v>
      </c>
      <c r="EC70" s="74">
        <v>1</v>
      </c>
      <c r="ED70" s="74">
        <v>1</v>
      </c>
      <c r="EE70" s="74">
        <v>1</v>
      </c>
      <c r="EF70" s="74">
        <v>1</v>
      </c>
      <c r="EG70" s="74">
        <v>1</v>
      </c>
      <c r="EH70" s="74">
        <v>1</v>
      </c>
      <c r="EI70" s="74">
        <v>1</v>
      </c>
      <c r="EJ70" s="74">
        <v>1</v>
      </c>
      <c r="EK70" s="74">
        <v>1</v>
      </c>
      <c r="EL70" s="74">
        <v>1</v>
      </c>
      <c r="EM70" s="74">
        <v>1</v>
      </c>
      <c r="EN70" s="74">
        <v>1</v>
      </c>
      <c r="EO70" s="74">
        <v>1</v>
      </c>
      <c r="EP70" s="74">
        <v>1</v>
      </c>
      <c r="EQ70" s="74">
        <v>1</v>
      </c>
      <c r="ER70" s="74">
        <v>1</v>
      </c>
      <c r="ES70" s="74">
        <v>1</v>
      </c>
      <c r="ET70" s="74">
        <v>1</v>
      </c>
      <c r="EU70" s="78">
        <v>1</v>
      </c>
      <c r="EV70" s="74">
        <v>1</v>
      </c>
      <c r="EW70" s="74">
        <v>1</v>
      </c>
      <c r="EX70" s="74">
        <v>1</v>
      </c>
      <c r="EY70" s="74">
        <v>1</v>
      </c>
      <c r="EZ70" s="74">
        <v>1</v>
      </c>
      <c r="FA70" s="74">
        <v>1</v>
      </c>
      <c r="FB70" s="74">
        <v>1</v>
      </c>
      <c r="FC70" s="74">
        <v>1</v>
      </c>
      <c r="FD70" s="74">
        <v>1</v>
      </c>
      <c r="FE70" s="74">
        <v>1</v>
      </c>
      <c r="FF70" s="74">
        <v>1</v>
      </c>
      <c r="FG70" s="74">
        <v>1</v>
      </c>
      <c r="FH70" s="74">
        <v>1</v>
      </c>
      <c r="FI70" s="74">
        <v>1</v>
      </c>
      <c r="FJ70" s="74">
        <v>1</v>
      </c>
      <c r="FK70" s="74">
        <v>1</v>
      </c>
      <c r="FL70" s="74">
        <v>1</v>
      </c>
      <c r="FM70" s="74">
        <v>1</v>
      </c>
      <c r="FN70" s="74">
        <v>1</v>
      </c>
      <c r="FO70" s="74">
        <v>1</v>
      </c>
      <c r="FP70" s="74">
        <v>1</v>
      </c>
      <c r="FQ70" s="74">
        <v>1</v>
      </c>
      <c r="FR70" s="74">
        <v>1</v>
      </c>
      <c r="FS70" s="78">
        <v>1</v>
      </c>
      <c r="FT70" s="74">
        <v>1</v>
      </c>
      <c r="FU70" s="74">
        <v>1</v>
      </c>
      <c r="FV70" s="74">
        <v>1</v>
      </c>
      <c r="FW70" s="74">
        <v>1</v>
      </c>
      <c r="FX70" s="74">
        <v>1</v>
      </c>
      <c r="FY70" s="74">
        <v>1</v>
      </c>
      <c r="FZ70" s="74">
        <v>1</v>
      </c>
      <c r="GA70" s="74">
        <v>1</v>
      </c>
      <c r="GB70" s="74">
        <v>1</v>
      </c>
      <c r="GC70" s="74">
        <v>1</v>
      </c>
      <c r="GD70" s="74">
        <v>1</v>
      </c>
      <c r="GE70" s="74">
        <v>1</v>
      </c>
      <c r="GF70" s="74">
        <v>1</v>
      </c>
      <c r="GG70" s="74">
        <v>1</v>
      </c>
      <c r="GH70" s="74">
        <v>1</v>
      </c>
      <c r="GI70" s="74">
        <v>1</v>
      </c>
      <c r="GJ70" s="74">
        <v>1</v>
      </c>
      <c r="GK70" s="74">
        <v>1</v>
      </c>
      <c r="GL70" s="74">
        <v>1</v>
      </c>
      <c r="GM70" s="74">
        <v>1</v>
      </c>
      <c r="GN70" s="74">
        <v>1</v>
      </c>
      <c r="GO70" s="74">
        <v>1</v>
      </c>
      <c r="GP70" s="74">
        <v>1</v>
      </c>
      <c r="GQ70" s="78">
        <v>1</v>
      </c>
      <c r="GR70" s="74">
        <v>1</v>
      </c>
      <c r="GS70" s="74">
        <v>1</v>
      </c>
      <c r="GT70" s="74">
        <v>1</v>
      </c>
      <c r="GU70" s="74">
        <v>1</v>
      </c>
      <c r="GV70" s="74">
        <v>1</v>
      </c>
      <c r="GW70" s="74">
        <v>1</v>
      </c>
      <c r="GX70" s="74">
        <v>1</v>
      </c>
      <c r="GY70" s="74">
        <v>1</v>
      </c>
      <c r="GZ70" s="74">
        <v>1</v>
      </c>
      <c r="HA70" s="74">
        <v>1</v>
      </c>
      <c r="HB70" s="74">
        <v>1</v>
      </c>
      <c r="HC70" s="74">
        <v>1</v>
      </c>
      <c r="HD70" s="74">
        <v>1</v>
      </c>
      <c r="HE70" s="74">
        <v>1</v>
      </c>
      <c r="HF70" s="74">
        <v>1</v>
      </c>
      <c r="HG70" s="74">
        <v>1</v>
      </c>
      <c r="HH70" s="74">
        <v>1</v>
      </c>
      <c r="HI70" s="74">
        <v>1</v>
      </c>
      <c r="HJ70" s="74">
        <v>1</v>
      </c>
      <c r="HK70" s="74">
        <v>1</v>
      </c>
      <c r="HL70" s="74">
        <v>1</v>
      </c>
      <c r="HM70" s="74">
        <v>1</v>
      </c>
      <c r="HN70" s="74">
        <v>1</v>
      </c>
      <c r="HO70" s="74">
        <v>1</v>
      </c>
      <c r="HP70" s="74">
        <v>1</v>
      </c>
      <c r="HQ70" s="74">
        <v>1</v>
      </c>
      <c r="HR70" s="74">
        <v>1</v>
      </c>
      <c r="HS70" s="74">
        <v>1</v>
      </c>
      <c r="HT70" s="74">
        <v>1</v>
      </c>
      <c r="HU70" s="74">
        <v>1</v>
      </c>
      <c r="HV70" s="74">
        <v>1</v>
      </c>
      <c r="HW70" s="74">
        <v>1</v>
      </c>
      <c r="HX70" s="75">
        <v>1</v>
      </c>
    </row>
    <row r="71" spans="2:232" x14ac:dyDescent="0.2">
      <c r="B71" s="80" t="s">
        <v>117</v>
      </c>
      <c r="C71" s="80" t="s">
        <v>132</v>
      </c>
      <c r="D71" s="81">
        <v>5</v>
      </c>
      <c r="E71" s="80" t="s">
        <v>127</v>
      </c>
      <c r="F71" s="80" t="s">
        <v>123</v>
      </c>
      <c r="G71" s="78">
        <v>1</v>
      </c>
      <c r="H71" s="74">
        <v>1</v>
      </c>
      <c r="I71" s="74">
        <v>1</v>
      </c>
      <c r="J71" s="74">
        <v>1</v>
      </c>
      <c r="K71" s="74">
        <v>1</v>
      </c>
      <c r="L71" s="74">
        <v>1</v>
      </c>
      <c r="M71" s="74">
        <v>1</v>
      </c>
      <c r="N71" s="74">
        <v>1</v>
      </c>
      <c r="O71" s="74">
        <v>1</v>
      </c>
      <c r="P71" s="74">
        <v>1</v>
      </c>
      <c r="Q71" s="74">
        <v>1</v>
      </c>
      <c r="R71" s="74">
        <v>1</v>
      </c>
      <c r="S71" s="74">
        <v>1</v>
      </c>
      <c r="T71" s="74">
        <v>1</v>
      </c>
      <c r="U71" s="74">
        <v>1</v>
      </c>
      <c r="V71" s="74">
        <v>1</v>
      </c>
      <c r="W71" s="74">
        <v>1</v>
      </c>
      <c r="X71" s="74">
        <v>1</v>
      </c>
      <c r="Y71" s="74">
        <v>1</v>
      </c>
      <c r="Z71" s="74">
        <v>1</v>
      </c>
      <c r="AA71" s="74">
        <v>1</v>
      </c>
      <c r="AB71" s="74">
        <v>1</v>
      </c>
      <c r="AC71" s="74">
        <v>1</v>
      </c>
      <c r="AD71" s="74">
        <v>1</v>
      </c>
      <c r="AE71" s="78">
        <v>1</v>
      </c>
      <c r="AF71" s="74">
        <v>1</v>
      </c>
      <c r="AG71" s="74">
        <v>1</v>
      </c>
      <c r="AH71" s="74">
        <v>1</v>
      </c>
      <c r="AI71" s="74">
        <v>1</v>
      </c>
      <c r="AJ71" s="74">
        <v>1</v>
      </c>
      <c r="AK71" s="74">
        <v>1</v>
      </c>
      <c r="AL71" s="74">
        <v>1</v>
      </c>
      <c r="AM71" s="74">
        <v>1</v>
      </c>
      <c r="AN71" s="74">
        <v>1</v>
      </c>
      <c r="AO71" s="74">
        <v>1</v>
      </c>
      <c r="AP71" s="74">
        <v>1</v>
      </c>
      <c r="AQ71" s="74">
        <v>1</v>
      </c>
      <c r="AR71" s="74">
        <v>1</v>
      </c>
      <c r="AS71" s="74">
        <v>1</v>
      </c>
      <c r="AT71" s="74">
        <v>1</v>
      </c>
      <c r="AU71" s="74">
        <v>1</v>
      </c>
      <c r="AV71" s="74">
        <v>1</v>
      </c>
      <c r="AW71" s="74">
        <v>1</v>
      </c>
      <c r="AX71" s="74">
        <v>1</v>
      </c>
      <c r="AY71" s="74">
        <v>1</v>
      </c>
      <c r="AZ71" s="74">
        <v>1</v>
      </c>
      <c r="BA71" s="74">
        <v>1</v>
      </c>
      <c r="BB71" s="74">
        <v>1</v>
      </c>
      <c r="BC71" s="78">
        <v>1</v>
      </c>
      <c r="BD71" s="74">
        <v>1</v>
      </c>
      <c r="BE71" s="74">
        <v>1</v>
      </c>
      <c r="BF71" s="74">
        <v>1</v>
      </c>
      <c r="BG71" s="74">
        <v>1</v>
      </c>
      <c r="BH71" s="74">
        <v>1</v>
      </c>
      <c r="BI71" s="74">
        <v>1</v>
      </c>
      <c r="BJ71" s="74">
        <v>1</v>
      </c>
      <c r="BK71" s="74">
        <v>1</v>
      </c>
      <c r="BL71" s="74">
        <v>1</v>
      </c>
      <c r="BM71" s="74">
        <v>1</v>
      </c>
      <c r="BN71" s="74">
        <v>1</v>
      </c>
      <c r="BO71" s="74">
        <v>1</v>
      </c>
      <c r="BP71" s="74">
        <v>1</v>
      </c>
      <c r="BQ71" s="74">
        <v>1</v>
      </c>
      <c r="BR71" s="74">
        <v>1</v>
      </c>
      <c r="BS71" s="74">
        <v>1</v>
      </c>
      <c r="BT71" s="74">
        <v>1</v>
      </c>
      <c r="BU71" s="74">
        <v>1</v>
      </c>
      <c r="BV71" s="74">
        <v>1</v>
      </c>
      <c r="BW71" s="74">
        <v>1</v>
      </c>
      <c r="BX71" s="74">
        <v>1</v>
      </c>
      <c r="BY71" s="74">
        <v>1</v>
      </c>
      <c r="BZ71" s="74">
        <v>1</v>
      </c>
      <c r="CA71" s="78">
        <v>1</v>
      </c>
      <c r="CB71" s="74">
        <v>1</v>
      </c>
      <c r="CC71" s="74">
        <v>1</v>
      </c>
      <c r="CD71" s="74">
        <v>1</v>
      </c>
      <c r="CE71" s="74">
        <v>1</v>
      </c>
      <c r="CF71" s="74">
        <v>1</v>
      </c>
      <c r="CG71" s="74">
        <v>1</v>
      </c>
      <c r="CH71" s="74">
        <v>1</v>
      </c>
      <c r="CI71" s="74">
        <v>1</v>
      </c>
      <c r="CJ71" s="74">
        <v>1</v>
      </c>
      <c r="CK71" s="74">
        <v>1</v>
      </c>
      <c r="CL71" s="74">
        <v>1</v>
      </c>
      <c r="CM71" s="74">
        <v>1</v>
      </c>
      <c r="CN71" s="74">
        <v>1</v>
      </c>
      <c r="CO71" s="74">
        <v>1</v>
      </c>
      <c r="CP71" s="74">
        <v>1</v>
      </c>
      <c r="CQ71" s="74">
        <v>1</v>
      </c>
      <c r="CR71" s="74">
        <v>1</v>
      </c>
      <c r="CS71" s="74">
        <v>1</v>
      </c>
      <c r="CT71" s="74">
        <v>1</v>
      </c>
      <c r="CU71" s="74">
        <v>1</v>
      </c>
      <c r="CV71" s="74">
        <v>1</v>
      </c>
      <c r="CW71" s="74">
        <v>1</v>
      </c>
      <c r="CX71" s="74">
        <v>1</v>
      </c>
      <c r="CY71" s="78">
        <v>1</v>
      </c>
      <c r="CZ71" s="74">
        <v>1</v>
      </c>
      <c r="DA71" s="74">
        <v>1</v>
      </c>
      <c r="DB71" s="74">
        <v>1</v>
      </c>
      <c r="DC71" s="74">
        <v>1</v>
      </c>
      <c r="DD71" s="74">
        <v>1</v>
      </c>
      <c r="DE71" s="74">
        <v>1</v>
      </c>
      <c r="DF71" s="74">
        <v>1</v>
      </c>
      <c r="DG71" s="74">
        <v>1</v>
      </c>
      <c r="DH71" s="74">
        <v>1</v>
      </c>
      <c r="DI71" s="74">
        <v>1</v>
      </c>
      <c r="DJ71" s="74">
        <v>1</v>
      </c>
      <c r="DK71" s="74">
        <v>1</v>
      </c>
      <c r="DL71" s="74">
        <v>1</v>
      </c>
      <c r="DM71" s="74">
        <v>1</v>
      </c>
      <c r="DN71" s="74">
        <v>1</v>
      </c>
      <c r="DO71" s="74">
        <v>1</v>
      </c>
      <c r="DP71" s="74">
        <v>1</v>
      </c>
      <c r="DQ71" s="74">
        <v>1</v>
      </c>
      <c r="DR71" s="74">
        <v>1</v>
      </c>
      <c r="DS71" s="74">
        <v>1</v>
      </c>
      <c r="DT71" s="74">
        <v>1</v>
      </c>
      <c r="DU71" s="74">
        <v>1</v>
      </c>
      <c r="DV71" s="74">
        <v>1</v>
      </c>
      <c r="DW71" s="78">
        <v>1</v>
      </c>
      <c r="DX71" s="74">
        <v>1</v>
      </c>
      <c r="DY71" s="74">
        <v>1</v>
      </c>
      <c r="DZ71" s="74">
        <v>1</v>
      </c>
      <c r="EA71" s="74">
        <v>1</v>
      </c>
      <c r="EB71" s="74">
        <v>1</v>
      </c>
      <c r="EC71" s="74">
        <v>1</v>
      </c>
      <c r="ED71" s="74">
        <v>1</v>
      </c>
      <c r="EE71" s="74">
        <v>1</v>
      </c>
      <c r="EF71" s="74">
        <v>1</v>
      </c>
      <c r="EG71" s="74">
        <v>1</v>
      </c>
      <c r="EH71" s="74">
        <v>1</v>
      </c>
      <c r="EI71" s="74">
        <v>1</v>
      </c>
      <c r="EJ71" s="74">
        <v>1</v>
      </c>
      <c r="EK71" s="74">
        <v>1</v>
      </c>
      <c r="EL71" s="74">
        <v>1</v>
      </c>
      <c r="EM71" s="74">
        <v>1</v>
      </c>
      <c r="EN71" s="74">
        <v>1</v>
      </c>
      <c r="EO71" s="74">
        <v>1</v>
      </c>
      <c r="EP71" s="74">
        <v>1</v>
      </c>
      <c r="EQ71" s="74">
        <v>1</v>
      </c>
      <c r="ER71" s="74">
        <v>1</v>
      </c>
      <c r="ES71" s="74">
        <v>1</v>
      </c>
      <c r="ET71" s="74">
        <v>1</v>
      </c>
      <c r="EU71" s="78">
        <v>1</v>
      </c>
      <c r="EV71" s="74">
        <v>1</v>
      </c>
      <c r="EW71" s="74">
        <v>1</v>
      </c>
      <c r="EX71" s="74">
        <v>1</v>
      </c>
      <c r="EY71" s="74">
        <v>1</v>
      </c>
      <c r="EZ71" s="74">
        <v>1</v>
      </c>
      <c r="FA71" s="74">
        <v>1</v>
      </c>
      <c r="FB71" s="74">
        <v>1</v>
      </c>
      <c r="FC71" s="74">
        <v>1</v>
      </c>
      <c r="FD71" s="74">
        <v>1</v>
      </c>
      <c r="FE71" s="74">
        <v>1</v>
      </c>
      <c r="FF71" s="74">
        <v>1</v>
      </c>
      <c r="FG71" s="74">
        <v>1</v>
      </c>
      <c r="FH71" s="74">
        <v>1</v>
      </c>
      <c r="FI71" s="74">
        <v>1</v>
      </c>
      <c r="FJ71" s="74">
        <v>1</v>
      </c>
      <c r="FK71" s="74">
        <v>1</v>
      </c>
      <c r="FL71" s="74">
        <v>1</v>
      </c>
      <c r="FM71" s="74">
        <v>1</v>
      </c>
      <c r="FN71" s="74">
        <v>1</v>
      </c>
      <c r="FO71" s="74">
        <v>1</v>
      </c>
      <c r="FP71" s="74">
        <v>1</v>
      </c>
      <c r="FQ71" s="74">
        <v>1</v>
      </c>
      <c r="FR71" s="74">
        <v>1</v>
      </c>
      <c r="FS71" s="78">
        <v>1</v>
      </c>
      <c r="FT71" s="74">
        <v>1</v>
      </c>
      <c r="FU71" s="74">
        <v>1</v>
      </c>
      <c r="FV71" s="74">
        <v>1</v>
      </c>
      <c r="FW71" s="74">
        <v>1</v>
      </c>
      <c r="FX71" s="74">
        <v>1</v>
      </c>
      <c r="FY71" s="74">
        <v>1</v>
      </c>
      <c r="FZ71" s="74">
        <v>1</v>
      </c>
      <c r="GA71" s="74">
        <v>1</v>
      </c>
      <c r="GB71" s="74">
        <v>1</v>
      </c>
      <c r="GC71" s="74">
        <v>1</v>
      </c>
      <c r="GD71" s="74">
        <v>1</v>
      </c>
      <c r="GE71" s="74">
        <v>1</v>
      </c>
      <c r="GF71" s="74">
        <v>1</v>
      </c>
      <c r="GG71" s="74">
        <v>1</v>
      </c>
      <c r="GH71" s="74">
        <v>1</v>
      </c>
      <c r="GI71" s="74">
        <v>1</v>
      </c>
      <c r="GJ71" s="74">
        <v>1</v>
      </c>
      <c r="GK71" s="74">
        <v>1</v>
      </c>
      <c r="GL71" s="74">
        <v>1</v>
      </c>
      <c r="GM71" s="74">
        <v>1</v>
      </c>
      <c r="GN71" s="74">
        <v>1</v>
      </c>
      <c r="GO71" s="74">
        <v>1</v>
      </c>
      <c r="GP71" s="74">
        <v>1</v>
      </c>
      <c r="GQ71" s="78">
        <v>1</v>
      </c>
      <c r="GR71" s="74">
        <v>1</v>
      </c>
      <c r="GS71" s="74">
        <v>1</v>
      </c>
      <c r="GT71" s="74">
        <v>1</v>
      </c>
      <c r="GU71" s="74">
        <v>1</v>
      </c>
      <c r="GV71" s="74">
        <v>1</v>
      </c>
      <c r="GW71" s="74">
        <v>1</v>
      </c>
      <c r="GX71" s="74">
        <v>1</v>
      </c>
      <c r="GY71" s="74">
        <v>1</v>
      </c>
      <c r="GZ71" s="74">
        <v>1</v>
      </c>
      <c r="HA71" s="74">
        <v>1</v>
      </c>
      <c r="HB71" s="74">
        <v>1</v>
      </c>
      <c r="HC71" s="74">
        <v>1</v>
      </c>
      <c r="HD71" s="74">
        <v>1</v>
      </c>
      <c r="HE71" s="74">
        <v>1</v>
      </c>
      <c r="HF71" s="74">
        <v>1</v>
      </c>
      <c r="HG71" s="74">
        <v>1</v>
      </c>
      <c r="HH71" s="74">
        <v>1</v>
      </c>
      <c r="HI71" s="74">
        <v>1</v>
      </c>
      <c r="HJ71" s="74">
        <v>1</v>
      </c>
      <c r="HK71" s="74">
        <v>1</v>
      </c>
      <c r="HL71" s="74">
        <v>1</v>
      </c>
      <c r="HM71" s="74">
        <v>1</v>
      </c>
      <c r="HN71" s="74">
        <v>1</v>
      </c>
      <c r="HO71" s="74">
        <v>1</v>
      </c>
      <c r="HP71" s="74">
        <v>1</v>
      </c>
      <c r="HQ71" s="74">
        <v>1</v>
      </c>
      <c r="HR71" s="74">
        <v>1</v>
      </c>
      <c r="HS71" s="74">
        <v>1</v>
      </c>
      <c r="HT71" s="74">
        <v>1</v>
      </c>
      <c r="HU71" s="74">
        <v>1</v>
      </c>
      <c r="HV71" s="74">
        <v>1</v>
      </c>
      <c r="HW71" s="74">
        <v>1</v>
      </c>
      <c r="HX71" s="75">
        <v>1</v>
      </c>
    </row>
    <row r="72" spans="2:232" x14ac:dyDescent="0.2">
      <c r="B72" s="80" t="s">
        <v>118</v>
      </c>
      <c r="C72" s="80" t="s">
        <v>132</v>
      </c>
      <c r="D72" s="81">
        <v>5</v>
      </c>
      <c r="E72" s="80" t="s">
        <v>127</v>
      </c>
      <c r="F72" s="80" t="s">
        <v>123</v>
      </c>
      <c r="G72" s="78">
        <v>1</v>
      </c>
      <c r="H72" s="74">
        <v>1</v>
      </c>
      <c r="I72" s="74">
        <v>1</v>
      </c>
      <c r="J72" s="74">
        <v>1</v>
      </c>
      <c r="K72" s="74">
        <v>1</v>
      </c>
      <c r="L72" s="74">
        <v>1</v>
      </c>
      <c r="M72" s="74">
        <v>1</v>
      </c>
      <c r="N72" s="74">
        <v>1</v>
      </c>
      <c r="O72" s="74">
        <v>1</v>
      </c>
      <c r="P72" s="74">
        <v>1</v>
      </c>
      <c r="Q72" s="74">
        <v>1</v>
      </c>
      <c r="R72" s="74">
        <v>1</v>
      </c>
      <c r="S72" s="74">
        <v>1</v>
      </c>
      <c r="T72" s="74">
        <v>1</v>
      </c>
      <c r="U72" s="74">
        <v>1</v>
      </c>
      <c r="V72" s="74">
        <v>1</v>
      </c>
      <c r="W72" s="74">
        <v>1</v>
      </c>
      <c r="X72" s="74">
        <v>1</v>
      </c>
      <c r="Y72" s="74">
        <v>1</v>
      </c>
      <c r="Z72" s="74">
        <v>1</v>
      </c>
      <c r="AA72" s="74">
        <v>1</v>
      </c>
      <c r="AB72" s="74">
        <v>1</v>
      </c>
      <c r="AC72" s="74">
        <v>1</v>
      </c>
      <c r="AD72" s="74">
        <v>1</v>
      </c>
      <c r="AE72" s="78">
        <v>1</v>
      </c>
      <c r="AF72" s="74">
        <v>1</v>
      </c>
      <c r="AG72" s="74">
        <v>1</v>
      </c>
      <c r="AH72" s="74">
        <v>1</v>
      </c>
      <c r="AI72" s="74">
        <v>1</v>
      </c>
      <c r="AJ72" s="74">
        <v>1</v>
      </c>
      <c r="AK72" s="74">
        <v>1</v>
      </c>
      <c r="AL72" s="74">
        <v>1</v>
      </c>
      <c r="AM72" s="74">
        <v>1</v>
      </c>
      <c r="AN72" s="74">
        <v>1</v>
      </c>
      <c r="AO72" s="74">
        <v>1</v>
      </c>
      <c r="AP72" s="74">
        <v>1</v>
      </c>
      <c r="AQ72" s="74">
        <v>1</v>
      </c>
      <c r="AR72" s="74">
        <v>1</v>
      </c>
      <c r="AS72" s="74">
        <v>1</v>
      </c>
      <c r="AT72" s="74">
        <v>1</v>
      </c>
      <c r="AU72" s="74">
        <v>1</v>
      </c>
      <c r="AV72" s="74">
        <v>1</v>
      </c>
      <c r="AW72" s="74">
        <v>1</v>
      </c>
      <c r="AX72" s="74">
        <v>1</v>
      </c>
      <c r="AY72" s="74">
        <v>1</v>
      </c>
      <c r="AZ72" s="74">
        <v>1</v>
      </c>
      <c r="BA72" s="74">
        <v>1</v>
      </c>
      <c r="BB72" s="74">
        <v>1</v>
      </c>
      <c r="BC72" s="78">
        <v>1</v>
      </c>
      <c r="BD72" s="74">
        <v>1</v>
      </c>
      <c r="BE72" s="74">
        <v>1</v>
      </c>
      <c r="BF72" s="74">
        <v>1</v>
      </c>
      <c r="BG72" s="74">
        <v>1</v>
      </c>
      <c r="BH72" s="74">
        <v>1</v>
      </c>
      <c r="BI72" s="74">
        <v>1</v>
      </c>
      <c r="BJ72" s="74">
        <v>1</v>
      </c>
      <c r="BK72" s="74">
        <v>1</v>
      </c>
      <c r="BL72" s="74">
        <v>1</v>
      </c>
      <c r="BM72" s="74">
        <v>1</v>
      </c>
      <c r="BN72" s="74">
        <v>1</v>
      </c>
      <c r="BO72" s="74">
        <v>1</v>
      </c>
      <c r="BP72" s="74">
        <v>1</v>
      </c>
      <c r="BQ72" s="74">
        <v>1</v>
      </c>
      <c r="BR72" s="74">
        <v>1</v>
      </c>
      <c r="BS72" s="74">
        <v>1</v>
      </c>
      <c r="BT72" s="74">
        <v>1</v>
      </c>
      <c r="BU72" s="74">
        <v>1</v>
      </c>
      <c r="BV72" s="74">
        <v>1</v>
      </c>
      <c r="BW72" s="74">
        <v>1</v>
      </c>
      <c r="BX72" s="74">
        <v>1</v>
      </c>
      <c r="BY72" s="74">
        <v>1</v>
      </c>
      <c r="BZ72" s="74">
        <v>1</v>
      </c>
      <c r="CA72" s="78">
        <v>1</v>
      </c>
      <c r="CB72" s="74">
        <v>1</v>
      </c>
      <c r="CC72" s="74">
        <v>1</v>
      </c>
      <c r="CD72" s="74">
        <v>1</v>
      </c>
      <c r="CE72" s="74">
        <v>1</v>
      </c>
      <c r="CF72" s="74">
        <v>1</v>
      </c>
      <c r="CG72" s="74">
        <v>1</v>
      </c>
      <c r="CH72" s="74">
        <v>1</v>
      </c>
      <c r="CI72" s="74">
        <v>1</v>
      </c>
      <c r="CJ72" s="74">
        <v>1</v>
      </c>
      <c r="CK72" s="74">
        <v>1</v>
      </c>
      <c r="CL72" s="74">
        <v>1</v>
      </c>
      <c r="CM72" s="74">
        <v>1</v>
      </c>
      <c r="CN72" s="74">
        <v>1</v>
      </c>
      <c r="CO72" s="74">
        <v>1</v>
      </c>
      <c r="CP72" s="74">
        <v>1</v>
      </c>
      <c r="CQ72" s="74">
        <v>1</v>
      </c>
      <c r="CR72" s="74">
        <v>1</v>
      </c>
      <c r="CS72" s="74">
        <v>1</v>
      </c>
      <c r="CT72" s="74">
        <v>1</v>
      </c>
      <c r="CU72" s="74">
        <v>1</v>
      </c>
      <c r="CV72" s="74">
        <v>1</v>
      </c>
      <c r="CW72" s="74">
        <v>1</v>
      </c>
      <c r="CX72" s="74">
        <v>1</v>
      </c>
      <c r="CY72" s="78">
        <v>1</v>
      </c>
      <c r="CZ72" s="74">
        <v>1</v>
      </c>
      <c r="DA72" s="74">
        <v>1</v>
      </c>
      <c r="DB72" s="74">
        <v>1</v>
      </c>
      <c r="DC72" s="74">
        <v>1</v>
      </c>
      <c r="DD72" s="74">
        <v>1</v>
      </c>
      <c r="DE72" s="74">
        <v>1</v>
      </c>
      <c r="DF72" s="74">
        <v>1</v>
      </c>
      <c r="DG72" s="74">
        <v>1</v>
      </c>
      <c r="DH72" s="74">
        <v>1</v>
      </c>
      <c r="DI72" s="74">
        <v>1</v>
      </c>
      <c r="DJ72" s="74">
        <v>1</v>
      </c>
      <c r="DK72" s="74">
        <v>1</v>
      </c>
      <c r="DL72" s="74">
        <v>1</v>
      </c>
      <c r="DM72" s="74">
        <v>1</v>
      </c>
      <c r="DN72" s="74">
        <v>1</v>
      </c>
      <c r="DO72" s="74">
        <v>1</v>
      </c>
      <c r="DP72" s="74">
        <v>1</v>
      </c>
      <c r="DQ72" s="74">
        <v>1</v>
      </c>
      <c r="DR72" s="74">
        <v>1</v>
      </c>
      <c r="DS72" s="74">
        <v>1</v>
      </c>
      <c r="DT72" s="74">
        <v>1</v>
      </c>
      <c r="DU72" s="74">
        <v>1</v>
      </c>
      <c r="DV72" s="74">
        <v>1</v>
      </c>
      <c r="DW72" s="78">
        <v>1</v>
      </c>
      <c r="DX72" s="74">
        <v>1</v>
      </c>
      <c r="DY72" s="74">
        <v>1</v>
      </c>
      <c r="DZ72" s="74">
        <v>1</v>
      </c>
      <c r="EA72" s="74">
        <v>1</v>
      </c>
      <c r="EB72" s="74">
        <v>1</v>
      </c>
      <c r="EC72" s="74">
        <v>1</v>
      </c>
      <c r="ED72" s="74">
        <v>1</v>
      </c>
      <c r="EE72" s="74">
        <v>1</v>
      </c>
      <c r="EF72" s="74">
        <v>1</v>
      </c>
      <c r="EG72" s="74">
        <v>1</v>
      </c>
      <c r="EH72" s="74">
        <v>1</v>
      </c>
      <c r="EI72" s="74">
        <v>1</v>
      </c>
      <c r="EJ72" s="74">
        <v>1</v>
      </c>
      <c r="EK72" s="74">
        <v>1</v>
      </c>
      <c r="EL72" s="74">
        <v>1</v>
      </c>
      <c r="EM72" s="74">
        <v>1</v>
      </c>
      <c r="EN72" s="74">
        <v>1</v>
      </c>
      <c r="EO72" s="74">
        <v>1</v>
      </c>
      <c r="EP72" s="74">
        <v>1</v>
      </c>
      <c r="EQ72" s="74">
        <v>1</v>
      </c>
      <c r="ER72" s="74">
        <v>1</v>
      </c>
      <c r="ES72" s="74">
        <v>1</v>
      </c>
      <c r="ET72" s="74">
        <v>1</v>
      </c>
      <c r="EU72" s="78">
        <v>1</v>
      </c>
      <c r="EV72" s="74">
        <v>1</v>
      </c>
      <c r="EW72" s="74">
        <v>1</v>
      </c>
      <c r="EX72" s="74">
        <v>1</v>
      </c>
      <c r="EY72" s="74">
        <v>1</v>
      </c>
      <c r="EZ72" s="74">
        <v>1</v>
      </c>
      <c r="FA72" s="74">
        <v>1</v>
      </c>
      <c r="FB72" s="74">
        <v>1</v>
      </c>
      <c r="FC72" s="74">
        <v>1</v>
      </c>
      <c r="FD72" s="74">
        <v>1</v>
      </c>
      <c r="FE72" s="74">
        <v>1</v>
      </c>
      <c r="FF72" s="74">
        <v>1</v>
      </c>
      <c r="FG72" s="74">
        <v>1</v>
      </c>
      <c r="FH72" s="74">
        <v>1</v>
      </c>
      <c r="FI72" s="74">
        <v>1</v>
      </c>
      <c r="FJ72" s="74">
        <v>1</v>
      </c>
      <c r="FK72" s="74">
        <v>1</v>
      </c>
      <c r="FL72" s="74">
        <v>1</v>
      </c>
      <c r="FM72" s="74">
        <v>1</v>
      </c>
      <c r="FN72" s="74">
        <v>1</v>
      </c>
      <c r="FO72" s="74">
        <v>1</v>
      </c>
      <c r="FP72" s="74">
        <v>1</v>
      </c>
      <c r="FQ72" s="74">
        <v>1</v>
      </c>
      <c r="FR72" s="74">
        <v>1</v>
      </c>
      <c r="FS72" s="78">
        <v>1</v>
      </c>
      <c r="FT72" s="74">
        <v>1</v>
      </c>
      <c r="FU72" s="74">
        <v>1</v>
      </c>
      <c r="FV72" s="74">
        <v>1</v>
      </c>
      <c r="FW72" s="74">
        <v>1</v>
      </c>
      <c r="FX72" s="74">
        <v>1</v>
      </c>
      <c r="FY72" s="74">
        <v>1</v>
      </c>
      <c r="FZ72" s="74">
        <v>1</v>
      </c>
      <c r="GA72" s="74">
        <v>1</v>
      </c>
      <c r="GB72" s="74">
        <v>1</v>
      </c>
      <c r="GC72" s="74">
        <v>1</v>
      </c>
      <c r="GD72" s="74">
        <v>1</v>
      </c>
      <c r="GE72" s="74">
        <v>1</v>
      </c>
      <c r="GF72" s="74">
        <v>1</v>
      </c>
      <c r="GG72" s="74">
        <v>1</v>
      </c>
      <c r="GH72" s="74">
        <v>1</v>
      </c>
      <c r="GI72" s="74">
        <v>1</v>
      </c>
      <c r="GJ72" s="74">
        <v>1</v>
      </c>
      <c r="GK72" s="74">
        <v>1</v>
      </c>
      <c r="GL72" s="74">
        <v>1</v>
      </c>
      <c r="GM72" s="74">
        <v>1</v>
      </c>
      <c r="GN72" s="74">
        <v>1</v>
      </c>
      <c r="GO72" s="74">
        <v>1</v>
      </c>
      <c r="GP72" s="74">
        <v>1</v>
      </c>
      <c r="GQ72" s="78">
        <v>1</v>
      </c>
      <c r="GR72" s="74">
        <v>1</v>
      </c>
      <c r="GS72" s="74">
        <v>1</v>
      </c>
      <c r="GT72" s="74">
        <v>1</v>
      </c>
      <c r="GU72" s="74">
        <v>1</v>
      </c>
      <c r="GV72" s="74">
        <v>1</v>
      </c>
      <c r="GW72" s="74">
        <v>1</v>
      </c>
      <c r="GX72" s="74">
        <v>1</v>
      </c>
      <c r="GY72" s="74">
        <v>1</v>
      </c>
      <c r="GZ72" s="74">
        <v>1</v>
      </c>
      <c r="HA72" s="74">
        <v>1</v>
      </c>
      <c r="HB72" s="74">
        <v>1</v>
      </c>
      <c r="HC72" s="74">
        <v>1</v>
      </c>
      <c r="HD72" s="74">
        <v>1</v>
      </c>
      <c r="HE72" s="74">
        <v>1</v>
      </c>
      <c r="HF72" s="74">
        <v>1</v>
      </c>
      <c r="HG72" s="74">
        <v>1</v>
      </c>
      <c r="HH72" s="74">
        <v>1</v>
      </c>
      <c r="HI72" s="74">
        <v>1</v>
      </c>
      <c r="HJ72" s="74">
        <v>1</v>
      </c>
      <c r="HK72" s="74">
        <v>1</v>
      </c>
      <c r="HL72" s="74">
        <v>1</v>
      </c>
      <c r="HM72" s="74">
        <v>1</v>
      </c>
      <c r="HN72" s="74">
        <v>1</v>
      </c>
      <c r="HO72" s="74">
        <v>1</v>
      </c>
      <c r="HP72" s="74">
        <v>1</v>
      </c>
      <c r="HQ72" s="74">
        <v>1</v>
      </c>
      <c r="HR72" s="74">
        <v>1</v>
      </c>
      <c r="HS72" s="74">
        <v>1</v>
      </c>
      <c r="HT72" s="74">
        <v>1</v>
      </c>
      <c r="HU72" s="74">
        <v>1</v>
      </c>
      <c r="HV72" s="74">
        <v>1</v>
      </c>
      <c r="HW72" s="74">
        <v>1</v>
      </c>
      <c r="HX72" s="75">
        <v>1</v>
      </c>
    </row>
    <row r="73" spans="2:232" x14ac:dyDescent="0.2">
      <c r="B73" s="80" t="s">
        <v>119</v>
      </c>
      <c r="C73" s="80" t="s">
        <v>132</v>
      </c>
      <c r="D73" s="81">
        <v>5</v>
      </c>
      <c r="E73" s="80" t="s">
        <v>127</v>
      </c>
      <c r="F73" s="80" t="s">
        <v>123</v>
      </c>
      <c r="G73" s="78">
        <v>1</v>
      </c>
      <c r="H73" s="74">
        <v>1</v>
      </c>
      <c r="I73" s="74">
        <v>1</v>
      </c>
      <c r="J73" s="74">
        <v>1</v>
      </c>
      <c r="K73" s="74">
        <v>1</v>
      </c>
      <c r="L73" s="74">
        <v>1</v>
      </c>
      <c r="M73" s="74">
        <v>1</v>
      </c>
      <c r="N73" s="74">
        <v>1</v>
      </c>
      <c r="O73" s="74">
        <v>1</v>
      </c>
      <c r="P73" s="74">
        <v>1</v>
      </c>
      <c r="Q73" s="74">
        <v>1</v>
      </c>
      <c r="R73" s="74">
        <v>1</v>
      </c>
      <c r="S73" s="74">
        <v>1</v>
      </c>
      <c r="T73" s="74">
        <v>1</v>
      </c>
      <c r="U73" s="74">
        <v>1</v>
      </c>
      <c r="V73" s="74">
        <v>1</v>
      </c>
      <c r="W73" s="74">
        <v>1</v>
      </c>
      <c r="X73" s="74">
        <v>1</v>
      </c>
      <c r="Y73" s="74">
        <v>1</v>
      </c>
      <c r="Z73" s="74">
        <v>1</v>
      </c>
      <c r="AA73" s="74">
        <v>1</v>
      </c>
      <c r="AB73" s="74">
        <v>1</v>
      </c>
      <c r="AC73" s="74">
        <v>1</v>
      </c>
      <c r="AD73" s="74">
        <v>1</v>
      </c>
      <c r="AE73" s="78">
        <v>1</v>
      </c>
      <c r="AF73" s="74">
        <v>1</v>
      </c>
      <c r="AG73" s="74">
        <v>1</v>
      </c>
      <c r="AH73" s="74">
        <v>1</v>
      </c>
      <c r="AI73" s="74">
        <v>1</v>
      </c>
      <c r="AJ73" s="74">
        <v>1</v>
      </c>
      <c r="AK73" s="74">
        <v>1</v>
      </c>
      <c r="AL73" s="74">
        <v>1</v>
      </c>
      <c r="AM73" s="74">
        <v>1</v>
      </c>
      <c r="AN73" s="74">
        <v>1</v>
      </c>
      <c r="AO73" s="74">
        <v>1</v>
      </c>
      <c r="AP73" s="74">
        <v>1</v>
      </c>
      <c r="AQ73" s="74">
        <v>1</v>
      </c>
      <c r="AR73" s="74">
        <v>1</v>
      </c>
      <c r="AS73" s="74">
        <v>1</v>
      </c>
      <c r="AT73" s="74">
        <v>1</v>
      </c>
      <c r="AU73" s="74">
        <v>1</v>
      </c>
      <c r="AV73" s="74">
        <v>1</v>
      </c>
      <c r="AW73" s="74">
        <v>1</v>
      </c>
      <c r="AX73" s="74">
        <v>1</v>
      </c>
      <c r="AY73" s="74">
        <v>1</v>
      </c>
      <c r="AZ73" s="74">
        <v>1</v>
      </c>
      <c r="BA73" s="74">
        <v>1</v>
      </c>
      <c r="BB73" s="74">
        <v>1</v>
      </c>
      <c r="BC73" s="78">
        <v>1</v>
      </c>
      <c r="BD73" s="74">
        <v>1</v>
      </c>
      <c r="BE73" s="74">
        <v>1</v>
      </c>
      <c r="BF73" s="74">
        <v>1</v>
      </c>
      <c r="BG73" s="74">
        <v>1</v>
      </c>
      <c r="BH73" s="74">
        <v>1</v>
      </c>
      <c r="BI73" s="74">
        <v>1</v>
      </c>
      <c r="BJ73" s="74">
        <v>1</v>
      </c>
      <c r="BK73" s="74">
        <v>1</v>
      </c>
      <c r="BL73" s="74">
        <v>1</v>
      </c>
      <c r="BM73" s="74">
        <v>1</v>
      </c>
      <c r="BN73" s="74">
        <v>1</v>
      </c>
      <c r="BO73" s="74">
        <v>1</v>
      </c>
      <c r="BP73" s="74">
        <v>1</v>
      </c>
      <c r="BQ73" s="74">
        <v>1</v>
      </c>
      <c r="BR73" s="74">
        <v>1</v>
      </c>
      <c r="BS73" s="74">
        <v>1</v>
      </c>
      <c r="BT73" s="74">
        <v>1</v>
      </c>
      <c r="BU73" s="74">
        <v>1</v>
      </c>
      <c r="BV73" s="74">
        <v>1</v>
      </c>
      <c r="BW73" s="74">
        <v>1</v>
      </c>
      <c r="BX73" s="74">
        <v>1</v>
      </c>
      <c r="BY73" s="74">
        <v>1</v>
      </c>
      <c r="BZ73" s="74">
        <v>1</v>
      </c>
      <c r="CA73" s="78">
        <v>1</v>
      </c>
      <c r="CB73" s="74">
        <v>1</v>
      </c>
      <c r="CC73" s="74">
        <v>1</v>
      </c>
      <c r="CD73" s="74">
        <v>1</v>
      </c>
      <c r="CE73" s="74">
        <v>1</v>
      </c>
      <c r="CF73" s="74">
        <v>1</v>
      </c>
      <c r="CG73" s="74">
        <v>1</v>
      </c>
      <c r="CH73" s="74">
        <v>1</v>
      </c>
      <c r="CI73" s="74">
        <v>1</v>
      </c>
      <c r="CJ73" s="74">
        <v>1</v>
      </c>
      <c r="CK73" s="74">
        <v>1</v>
      </c>
      <c r="CL73" s="74">
        <v>1</v>
      </c>
      <c r="CM73" s="74">
        <v>1</v>
      </c>
      <c r="CN73" s="74">
        <v>1</v>
      </c>
      <c r="CO73" s="74">
        <v>1</v>
      </c>
      <c r="CP73" s="74">
        <v>1</v>
      </c>
      <c r="CQ73" s="74">
        <v>1</v>
      </c>
      <c r="CR73" s="74">
        <v>1</v>
      </c>
      <c r="CS73" s="74">
        <v>1</v>
      </c>
      <c r="CT73" s="74">
        <v>1</v>
      </c>
      <c r="CU73" s="74">
        <v>1</v>
      </c>
      <c r="CV73" s="74">
        <v>1</v>
      </c>
      <c r="CW73" s="74">
        <v>1</v>
      </c>
      <c r="CX73" s="74">
        <v>1</v>
      </c>
      <c r="CY73" s="78">
        <v>1</v>
      </c>
      <c r="CZ73" s="74">
        <v>1</v>
      </c>
      <c r="DA73" s="74">
        <v>1</v>
      </c>
      <c r="DB73" s="74">
        <v>1</v>
      </c>
      <c r="DC73" s="74">
        <v>1</v>
      </c>
      <c r="DD73" s="74">
        <v>1</v>
      </c>
      <c r="DE73" s="74">
        <v>1</v>
      </c>
      <c r="DF73" s="74">
        <v>1</v>
      </c>
      <c r="DG73" s="74">
        <v>1</v>
      </c>
      <c r="DH73" s="74">
        <v>1</v>
      </c>
      <c r="DI73" s="74">
        <v>1</v>
      </c>
      <c r="DJ73" s="74">
        <v>1</v>
      </c>
      <c r="DK73" s="74">
        <v>1</v>
      </c>
      <c r="DL73" s="74">
        <v>1</v>
      </c>
      <c r="DM73" s="74">
        <v>1</v>
      </c>
      <c r="DN73" s="74">
        <v>1</v>
      </c>
      <c r="DO73" s="74">
        <v>1</v>
      </c>
      <c r="DP73" s="74">
        <v>1</v>
      </c>
      <c r="DQ73" s="74">
        <v>1</v>
      </c>
      <c r="DR73" s="74">
        <v>1</v>
      </c>
      <c r="DS73" s="74">
        <v>1</v>
      </c>
      <c r="DT73" s="74">
        <v>1</v>
      </c>
      <c r="DU73" s="74">
        <v>1</v>
      </c>
      <c r="DV73" s="74">
        <v>1</v>
      </c>
      <c r="DW73" s="78">
        <v>1</v>
      </c>
      <c r="DX73" s="74">
        <v>1</v>
      </c>
      <c r="DY73" s="74">
        <v>1</v>
      </c>
      <c r="DZ73" s="74">
        <v>1</v>
      </c>
      <c r="EA73" s="74">
        <v>1</v>
      </c>
      <c r="EB73" s="74">
        <v>1</v>
      </c>
      <c r="EC73" s="74">
        <v>1</v>
      </c>
      <c r="ED73" s="74">
        <v>1</v>
      </c>
      <c r="EE73" s="74">
        <v>1</v>
      </c>
      <c r="EF73" s="74">
        <v>1</v>
      </c>
      <c r="EG73" s="74">
        <v>1</v>
      </c>
      <c r="EH73" s="74">
        <v>1</v>
      </c>
      <c r="EI73" s="74">
        <v>1</v>
      </c>
      <c r="EJ73" s="74">
        <v>1</v>
      </c>
      <c r="EK73" s="74">
        <v>1</v>
      </c>
      <c r="EL73" s="74">
        <v>1</v>
      </c>
      <c r="EM73" s="74">
        <v>1</v>
      </c>
      <c r="EN73" s="74">
        <v>1</v>
      </c>
      <c r="EO73" s="74">
        <v>1</v>
      </c>
      <c r="EP73" s="74">
        <v>1</v>
      </c>
      <c r="EQ73" s="74">
        <v>1</v>
      </c>
      <c r="ER73" s="74">
        <v>1</v>
      </c>
      <c r="ES73" s="74">
        <v>1</v>
      </c>
      <c r="ET73" s="74">
        <v>1</v>
      </c>
      <c r="EU73" s="78">
        <v>1</v>
      </c>
      <c r="EV73" s="74">
        <v>1</v>
      </c>
      <c r="EW73" s="74">
        <v>1</v>
      </c>
      <c r="EX73" s="74">
        <v>1</v>
      </c>
      <c r="EY73" s="74">
        <v>1</v>
      </c>
      <c r="EZ73" s="74">
        <v>1</v>
      </c>
      <c r="FA73" s="74">
        <v>1</v>
      </c>
      <c r="FB73" s="74">
        <v>1</v>
      </c>
      <c r="FC73" s="74">
        <v>1</v>
      </c>
      <c r="FD73" s="74">
        <v>1</v>
      </c>
      <c r="FE73" s="74">
        <v>1</v>
      </c>
      <c r="FF73" s="74">
        <v>1</v>
      </c>
      <c r="FG73" s="74">
        <v>1</v>
      </c>
      <c r="FH73" s="74">
        <v>1</v>
      </c>
      <c r="FI73" s="74">
        <v>1</v>
      </c>
      <c r="FJ73" s="74">
        <v>1</v>
      </c>
      <c r="FK73" s="74">
        <v>1</v>
      </c>
      <c r="FL73" s="74">
        <v>1</v>
      </c>
      <c r="FM73" s="74">
        <v>1</v>
      </c>
      <c r="FN73" s="74">
        <v>1</v>
      </c>
      <c r="FO73" s="74">
        <v>1</v>
      </c>
      <c r="FP73" s="74">
        <v>1</v>
      </c>
      <c r="FQ73" s="74">
        <v>1</v>
      </c>
      <c r="FR73" s="74">
        <v>1</v>
      </c>
      <c r="FS73" s="78">
        <v>1</v>
      </c>
      <c r="FT73" s="74">
        <v>1</v>
      </c>
      <c r="FU73" s="74">
        <v>1</v>
      </c>
      <c r="FV73" s="74">
        <v>1</v>
      </c>
      <c r="FW73" s="74">
        <v>1</v>
      </c>
      <c r="FX73" s="74">
        <v>1</v>
      </c>
      <c r="FY73" s="74">
        <v>1</v>
      </c>
      <c r="FZ73" s="74">
        <v>1</v>
      </c>
      <c r="GA73" s="74">
        <v>1</v>
      </c>
      <c r="GB73" s="74">
        <v>1</v>
      </c>
      <c r="GC73" s="74">
        <v>1</v>
      </c>
      <c r="GD73" s="74">
        <v>1</v>
      </c>
      <c r="GE73" s="74">
        <v>1</v>
      </c>
      <c r="GF73" s="74">
        <v>1</v>
      </c>
      <c r="GG73" s="74">
        <v>1</v>
      </c>
      <c r="GH73" s="74">
        <v>1</v>
      </c>
      <c r="GI73" s="74">
        <v>1</v>
      </c>
      <c r="GJ73" s="74">
        <v>1</v>
      </c>
      <c r="GK73" s="74">
        <v>1</v>
      </c>
      <c r="GL73" s="74">
        <v>1</v>
      </c>
      <c r="GM73" s="74">
        <v>1</v>
      </c>
      <c r="GN73" s="74">
        <v>1</v>
      </c>
      <c r="GO73" s="74">
        <v>1</v>
      </c>
      <c r="GP73" s="74">
        <v>1</v>
      </c>
      <c r="GQ73" s="78">
        <v>1</v>
      </c>
      <c r="GR73" s="74">
        <v>1</v>
      </c>
      <c r="GS73" s="74">
        <v>1</v>
      </c>
      <c r="GT73" s="74">
        <v>1</v>
      </c>
      <c r="GU73" s="74">
        <v>1</v>
      </c>
      <c r="GV73" s="74">
        <v>1</v>
      </c>
      <c r="GW73" s="74">
        <v>1</v>
      </c>
      <c r="GX73" s="74">
        <v>1</v>
      </c>
      <c r="GY73" s="74">
        <v>1</v>
      </c>
      <c r="GZ73" s="74">
        <v>1</v>
      </c>
      <c r="HA73" s="74">
        <v>1</v>
      </c>
      <c r="HB73" s="74">
        <v>1</v>
      </c>
      <c r="HC73" s="74">
        <v>1</v>
      </c>
      <c r="HD73" s="74">
        <v>1</v>
      </c>
      <c r="HE73" s="74">
        <v>1</v>
      </c>
      <c r="HF73" s="74">
        <v>1</v>
      </c>
      <c r="HG73" s="74">
        <v>1</v>
      </c>
      <c r="HH73" s="74">
        <v>1</v>
      </c>
      <c r="HI73" s="74">
        <v>1</v>
      </c>
      <c r="HJ73" s="74">
        <v>1</v>
      </c>
      <c r="HK73" s="74">
        <v>1</v>
      </c>
      <c r="HL73" s="74">
        <v>1</v>
      </c>
      <c r="HM73" s="74">
        <v>1</v>
      </c>
      <c r="HN73" s="74">
        <v>1</v>
      </c>
      <c r="HO73" s="74">
        <v>1</v>
      </c>
      <c r="HP73" s="74">
        <v>1</v>
      </c>
      <c r="HQ73" s="74">
        <v>1</v>
      </c>
      <c r="HR73" s="74">
        <v>1</v>
      </c>
      <c r="HS73" s="74">
        <v>1</v>
      </c>
      <c r="HT73" s="74">
        <v>1</v>
      </c>
      <c r="HU73" s="74">
        <v>1</v>
      </c>
      <c r="HV73" s="74">
        <v>1</v>
      </c>
      <c r="HW73" s="74">
        <v>1</v>
      </c>
      <c r="HX73" s="75">
        <v>1</v>
      </c>
    </row>
    <row r="74" spans="2:232" x14ac:dyDescent="0.2">
      <c r="B74" s="80" t="s">
        <v>120</v>
      </c>
      <c r="C74" s="80" t="s">
        <v>132</v>
      </c>
      <c r="D74" s="81">
        <v>5</v>
      </c>
      <c r="E74" s="80" t="s">
        <v>127</v>
      </c>
      <c r="F74" s="80" t="s">
        <v>123</v>
      </c>
      <c r="G74" s="78">
        <v>1</v>
      </c>
      <c r="H74" s="74">
        <v>1</v>
      </c>
      <c r="I74" s="74">
        <v>1</v>
      </c>
      <c r="J74" s="74">
        <v>1</v>
      </c>
      <c r="K74" s="74">
        <v>1</v>
      </c>
      <c r="L74" s="74">
        <v>1</v>
      </c>
      <c r="M74" s="74">
        <v>1</v>
      </c>
      <c r="N74" s="74">
        <v>1</v>
      </c>
      <c r="O74" s="74">
        <v>1</v>
      </c>
      <c r="P74" s="74">
        <v>1</v>
      </c>
      <c r="Q74" s="74">
        <v>1</v>
      </c>
      <c r="R74" s="74">
        <v>1</v>
      </c>
      <c r="S74" s="74">
        <v>1</v>
      </c>
      <c r="T74" s="74">
        <v>1</v>
      </c>
      <c r="U74" s="74">
        <v>1</v>
      </c>
      <c r="V74" s="74">
        <v>1</v>
      </c>
      <c r="W74" s="74">
        <v>1</v>
      </c>
      <c r="X74" s="74">
        <v>1</v>
      </c>
      <c r="Y74" s="74">
        <v>1</v>
      </c>
      <c r="Z74" s="74">
        <v>1</v>
      </c>
      <c r="AA74" s="74">
        <v>1</v>
      </c>
      <c r="AB74" s="74">
        <v>1</v>
      </c>
      <c r="AC74" s="74">
        <v>1</v>
      </c>
      <c r="AD74" s="74">
        <v>1</v>
      </c>
      <c r="AE74" s="78">
        <v>1</v>
      </c>
      <c r="AF74" s="74">
        <v>1</v>
      </c>
      <c r="AG74" s="74">
        <v>1</v>
      </c>
      <c r="AH74" s="74">
        <v>1</v>
      </c>
      <c r="AI74" s="74">
        <v>1</v>
      </c>
      <c r="AJ74" s="74">
        <v>1</v>
      </c>
      <c r="AK74" s="74">
        <v>1</v>
      </c>
      <c r="AL74" s="74">
        <v>1</v>
      </c>
      <c r="AM74" s="74">
        <v>1</v>
      </c>
      <c r="AN74" s="74">
        <v>1</v>
      </c>
      <c r="AO74" s="74">
        <v>1</v>
      </c>
      <c r="AP74" s="74">
        <v>1</v>
      </c>
      <c r="AQ74" s="74">
        <v>1</v>
      </c>
      <c r="AR74" s="74">
        <v>1</v>
      </c>
      <c r="AS74" s="74">
        <v>1</v>
      </c>
      <c r="AT74" s="74">
        <v>1</v>
      </c>
      <c r="AU74" s="74">
        <v>1</v>
      </c>
      <c r="AV74" s="74">
        <v>1</v>
      </c>
      <c r="AW74" s="74">
        <v>1</v>
      </c>
      <c r="AX74" s="74">
        <v>1</v>
      </c>
      <c r="AY74" s="74">
        <v>1</v>
      </c>
      <c r="AZ74" s="74">
        <v>1</v>
      </c>
      <c r="BA74" s="74">
        <v>1</v>
      </c>
      <c r="BB74" s="74">
        <v>1</v>
      </c>
      <c r="BC74" s="78">
        <v>1</v>
      </c>
      <c r="BD74" s="74">
        <v>1</v>
      </c>
      <c r="BE74" s="74">
        <v>1</v>
      </c>
      <c r="BF74" s="74">
        <v>1</v>
      </c>
      <c r="BG74" s="74">
        <v>1</v>
      </c>
      <c r="BH74" s="74">
        <v>1</v>
      </c>
      <c r="BI74" s="74">
        <v>1</v>
      </c>
      <c r="BJ74" s="74">
        <v>1</v>
      </c>
      <c r="BK74" s="74">
        <v>1</v>
      </c>
      <c r="BL74" s="74">
        <v>1</v>
      </c>
      <c r="BM74" s="74">
        <v>1</v>
      </c>
      <c r="BN74" s="74">
        <v>1</v>
      </c>
      <c r="BO74" s="74">
        <v>1</v>
      </c>
      <c r="BP74" s="74">
        <v>1</v>
      </c>
      <c r="BQ74" s="74">
        <v>1</v>
      </c>
      <c r="BR74" s="74">
        <v>1</v>
      </c>
      <c r="BS74" s="74">
        <v>1</v>
      </c>
      <c r="BT74" s="74">
        <v>1</v>
      </c>
      <c r="BU74" s="74">
        <v>1</v>
      </c>
      <c r="BV74" s="74">
        <v>1</v>
      </c>
      <c r="BW74" s="74">
        <v>1</v>
      </c>
      <c r="BX74" s="74">
        <v>1</v>
      </c>
      <c r="BY74" s="74">
        <v>1</v>
      </c>
      <c r="BZ74" s="74">
        <v>1</v>
      </c>
      <c r="CA74" s="78">
        <v>1</v>
      </c>
      <c r="CB74" s="74">
        <v>1</v>
      </c>
      <c r="CC74" s="74">
        <v>1</v>
      </c>
      <c r="CD74" s="74">
        <v>1</v>
      </c>
      <c r="CE74" s="74">
        <v>1</v>
      </c>
      <c r="CF74" s="74">
        <v>1</v>
      </c>
      <c r="CG74" s="74">
        <v>1</v>
      </c>
      <c r="CH74" s="74">
        <v>1</v>
      </c>
      <c r="CI74" s="74">
        <v>1</v>
      </c>
      <c r="CJ74" s="74">
        <v>1</v>
      </c>
      <c r="CK74" s="74">
        <v>1</v>
      </c>
      <c r="CL74" s="74">
        <v>1</v>
      </c>
      <c r="CM74" s="74">
        <v>1</v>
      </c>
      <c r="CN74" s="74">
        <v>1</v>
      </c>
      <c r="CO74" s="74">
        <v>1</v>
      </c>
      <c r="CP74" s="74">
        <v>1</v>
      </c>
      <c r="CQ74" s="74">
        <v>1</v>
      </c>
      <c r="CR74" s="74">
        <v>1</v>
      </c>
      <c r="CS74" s="74">
        <v>1</v>
      </c>
      <c r="CT74" s="74">
        <v>1</v>
      </c>
      <c r="CU74" s="74">
        <v>1</v>
      </c>
      <c r="CV74" s="74">
        <v>1</v>
      </c>
      <c r="CW74" s="74">
        <v>1</v>
      </c>
      <c r="CX74" s="74">
        <v>1</v>
      </c>
      <c r="CY74" s="78">
        <v>1</v>
      </c>
      <c r="CZ74" s="74">
        <v>1</v>
      </c>
      <c r="DA74" s="74">
        <v>1</v>
      </c>
      <c r="DB74" s="74">
        <v>1</v>
      </c>
      <c r="DC74" s="74">
        <v>1</v>
      </c>
      <c r="DD74" s="74">
        <v>1</v>
      </c>
      <c r="DE74" s="74">
        <v>1</v>
      </c>
      <c r="DF74" s="74">
        <v>1</v>
      </c>
      <c r="DG74" s="74">
        <v>1</v>
      </c>
      <c r="DH74" s="74">
        <v>1</v>
      </c>
      <c r="DI74" s="74">
        <v>1</v>
      </c>
      <c r="DJ74" s="74">
        <v>1</v>
      </c>
      <c r="DK74" s="74">
        <v>1</v>
      </c>
      <c r="DL74" s="74">
        <v>1</v>
      </c>
      <c r="DM74" s="74">
        <v>1</v>
      </c>
      <c r="DN74" s="74">
        <v>1</v>
      </c>
      <c r="DO74" s="74">
        <v>1</v>
      </c>
      <c r="DP74" s="74">
        <v>1</v>
      </c>
      <c r="DQ74" s="74">
        <v>1</v>
      </c>
      <c r="DR74" s="74">
        <v>1</v>
      </c>
      <c r="DS74" s="74">
        <v>1</v>
      </c>
      <c r="DT74" s="74">
        <v>1</v>
      </c>
      <c r="DU74" s="74">
        <v>1</v>
      </c>
      <c r="DV74" s="74">
        <v>1</v>
      </c>
      <c r="DW74" s="78">
        <v>1</v>
      </c>
      <c r="DX74" s="74">
        <v>1</v>
      </c>
      <c r="DY74" s="74">
        <v>1</v>
      </c>
      <c r="DZ74" s="74">
        <v>1</v>
      </c>
      <c r="EA74" s="74">
        <v>1</v>
      </c>
      <c r="EB74" s="74">
        <v>1</v>
      </c>
      <c r="EC74" s="74">
        <v>1</v>
      </c>
      <c r="ED74" s="74">
        <v>1</v>
      </c>
      <c r="EE74" s="74">
        <v>1</v>
      </c>
      <c r="EF74" s="74">
        <v>1</v>
      </c>
      <c r="EG74" s="74">
        <v>1</v>
      </c>
      <c r="EH74" s="74">
        <v>1</v>
      </c>
      <c r="EI74" s="74">
        <v>1</v>
      </c>
      <c r="EJ74" s="74">
        <v>1</v>
      </c>
      <c r="EK74" s="74">
        <v>1</v>
      </c>
      <c r="EL74" s="74">
        <v>1</v>
      </c>
      <c r="EM74" s="74">
        <v>1</v>
      </c>
      <c r="EN74" s="74">
        <v>1</v>
      </c>
      <c r="EO74" s="74">
        <v>1</v>
      </c>
      <c r="EP74" s="74">
        <v>1</v>
      </c>
      <c r="EQ74" s="74">
        <v>1</v>
      </c>
      <c r="ER74" s="74">
        <v>1</v>
      </c>
      <c r="ES74" s="74">
        <v>1</v>
      </c>
      <c r="ET74" s="74">
        <v>1</v>
      </c>
      <c r="EU74" s="78">
        <v>1</v>
      </c>
      <c r="EV74" s="74">
        <v>1</v>
      </c>
      <c r="EW74" s="74">
        <v>1</v>
      </c>
      <c r="EX74" s="74">
        <v>1</v>
      </c>
      <c r="EY74" s="74">
        <v>1</v>
      </c>
      <c r="EZ74" s="74">
        <v>1</v>
      </c>
      <c r="FA74" s="74">
        <v>1</v>
      </c>
      <c r="FB74" s="74">
        <v>1</v>
      </c>
      <c r="FC74" s="74">
        <v>1</v>
      </c>
      <c r="FD74" s="74">
        <v>1</v>
      </c>
      <c r="FE74" s="74">
        <v>1</v>
      </c>
      <c r="FF74" s="74">
        <v>1</v>
      </c>
      <c r="FG74" s="74">
        <v>1</v>
      </c>
      <c r="FH74" s="74">
        <v>1</v>
      </c>
      <c r="FI74" s="74">
        <v>1</v>
      </c>
      <c r="FJ74" s="74">
        <v>1</v>
      </c>
      <c r="FK74" s="74">
        <v>1</v>
      </c>
      <c r="FL74" s="74">
        <v>1</v>
      </c>
      <c r="FM74" s="74">
        <v>1</v>
      </c>
      <c r="FN74" s="74">
        <v>1</v>
      </c>
      <c r="FO74" s="74">
        <v>1</v>
      </c>
      <c r="FP74" s="74">
        <v>1</v>
      </c>
      <c r="FQ74" s="74">
        <v>1</v>
      </c>
      <c r="FR74" s="74">
        <v>1</v>
      </c>
      <c r="FS74" s="78">
        <v>1</v>
      </c>
      <c r="FT74" s="74">
        <v>1</v>
      </c>
      <c r="FU74" s="74">
        <v>1</v>
      </c>
      <c r="FV74" s="74">
        <v>1</v>
      </c>
      <c r="FW74" s="74">
        <v>1</v>
      </c>
      <c r="FX74" s="74">
        <v>1</v>
      </c>
      <c r="FY74" s="74">
        <v>1</v>
      </c>
      <c r="FZ74" s="74">
        <v>1</v>
      </c>
      <c r="GA74" s="74">
        <v>1</v>
      </c>
      <c r="GB74" s="74">
        <v>1</v>
      </c>
      <c r="GC74" s="74">
        <v>1</v>
      </c>
      <c r="GD74" s="74">
        <v>1</v>
      </c>
      <c r="GE74" s="74">
        <v>1</v>
      </c>
      <c r="GF74" s="74">
        <v>1</v>
      </c>
      <c r="GG74" s="74">
        <v>1</v>
      </c>
      <c r="GH74" s="74">
        <v>1</v>
      </c>
      <c r="GI74" s="74">
        <v>1</v>
      </c>
      <c r="GJ74" s="74">
        <v>1</v>
      </c>
      <c r="GK74" s="74">
        <v>1</v>
      </c>
      <c r="GL74" s="74">
        <v>1</v>
      </c>
      <c r="GM74" s="74">
        <v>1</v>
      </c>
      <c r="GN74" s="74">
        <v>1</v>
      </c>
      <c r="GO74" s="74">
        <v>1</v>
      </c>
      <c r="GP74" s="74">
        <v>1</v>
      </c>
      <c r="GQ74" s="78">
        <v>1</v>
      </c>
      <c r="GR74" s="74">
        <v>1</v>
      </c>
      <c r="GS74" s="74">
        <v>1</v>
      </c>
      <c r="GT74" s="74">
        <v>1</v>
      </c>
      <c r="GU74" s="74">
        <v>1</v>
      </c>
      <c r="GV74" s="74">
        <v>1</v>
      </c>
      <c r="GW74" s="74">
        <v>1</v>
      </c>
      <c r="GX74" s="74">
        <v>1</v>
      </c>
      <c r="GY74" s="74">
        <v>1</v>
      </c>
      <c r="GZ74" s="74">
        <v>1</v>
      </c>
      <c r="HA74" s="74">
        <v>1</v>
      </c>
      <c r="HB74" s="74">
        <v>1</v>
      </c>
      <c r="HC74" s="74">
        <v>1</v>
      </c>
      <c r="HD74" s="74">
        <v>1</v>
      </c>
      <c r="HE74" s="74">
        <v>1</v>
      </c>
      <c r="HF74" s="74">
        <v>1</v>
      </c>
      <c r="HG74" s="74">
        <v>1</v>
      </c>
      <c r="HH74" s="74">
        <v>1</v>
      </c>
      <c r="HI74" s="74">
        <v>1</v>
      </c>
      <c r="HJ74" s="74">
        <v>1</v>
      </c>
      <c r="HK74" s="74">
        <v>1</v>
      </c>
      <c r="HL74" s="74">
        <v>1</v>
      </c>
      <c r="HM74" s="74">
        <v>1</v>
      </c>
      <c r="HN74" s="74">
        <v>1</v>
      </c>
      <c r="HO74" s="74">
        <v>1</v>
      </c>
      <c r="HP74" s="74">
        <v>1</v>
      </c>
      <c r="HQ74" s="74">
        <v>1</v>
      </c>
      <c r="HR74" s="74">
        <v>1</v>
      </c>
      <c r="HS74" s="74">
        <v>1</v>
      </c>
      <c r="HT74" s="74">
        <v>1</v>
      </c>
      <c r="HU74" s="74">
        <v>1</v>
      </c>
      <c r="HV74" s="74">
        <v>1</v>
      </c>
      <c r="HW74" s="74">
        <v>1</v>
      </c>
      <c r="HX74" s="75">
        <v>1</v>
      </c>
    </row>
    <row r="75" spans="2:232" x14ac:dyDescent="0.2">
      <c r="B75" s="80" t="s">
        <v>121</v>
      </c>
      <c r="C75" s="80" t="s">
        <v>132</v>
      </c>
      <c r="D75" s="81">
        <v>5</v>
      </c>
      <c r="E75" s="80" t="s">
        <v>127</v>
      </c>
      <c r="F75" s="80" t="s">
        <v>123</v>
      </c>
      <c r="G75" s="78">
        <v>0</v>
      </c>
      <c r="H75" s="78">
        <v>0</v>
      </c>
      <c r="I75" s="78">
        <v>0</v>
      </c>
      <c r="J75" s="78">
        <v>0</v>
      </c>
      <c r="K75" s="78">
        <v>0</v>
      </c>
      <c r="L75" s="78">
        <v>0</v>
      </c>
      <c r="M75" s="78">
        <v>0</v>
      </c>
      <c r="N75" s="78">
        <v>0</v>
      </c>
      <c r="O75" s="78">
        <v>0</v>
      </c>
      <c r="P75" s="78">
        <v>0</v>
      </c>
      <c r="Q75" s="78">
        <v>0</v>
      </c>
      <c r="R75" s="78">
        <v>0</v>
      </c>
      <c r="S75" s="78">
        <v>0</v>
      </c>
      <c r="T75" s="74">
        <v>0</v>
      </c>
      <c r="U75" s="74">
        <v>0</v>
      </c>
      <c r="V75" s="74">
        <v>0</v>
      </c>
      <c r="W75" s="74">
        <v>0</v>
      </c>
      <c r="X75" s="74">
        <v>0</v>
      </c>
      <c r="Y75" s="74">
        <v>0</v>
      </c>
      <c r="Z75" s="74">
        <v>0</v>
      </c>
      <c r="AA75" s="74">
        <v>0</v>
      </c>
      <c r="AB75" s="74">
        <v>0</v>
      </c>
      <c r="AC75" s="74">
        <v>0</v>
      </c>
      <c r="AD75" s="74">
        <v>0</v>
      </c>
      <c r="AE75" s="74">
        <v>0</v>
      </c>
      <c r="AF75" s="74">
        <v>0</v>
      </c>
      <c r="AG75" s="74">
        <v>0</v>
      </c>
      <c r="AH75" s="74">
        <v>0</v>
      </c>
      <c r="AI75" s="74">
        <v>0</v>
      </c>
      <c r="AJ75" s="74">
        <v>0</v>
      </c>
      <c r="AK75" s="74">
        <v>0</v>
      </c>
      <c r="AL75" s="74">
        <v>0</v>
      </c>
      <c r="AM75" s="74">
        <v>0</v>
      </c>
      <c r="AN75" s="74">
        <v>0</v>
      </c>
      <c r="AO75" s="74">
        <v>0</v>
      </c>
      <c r="AP75" s="74">
        <v>0</v>
      </c>
      <c r="AQ75" s="78">
        <v>0</v>
      </c>
      <c r="AR75" s="74">
        <v>0</v>
      </c>
      <c r="AS75" s="74">
        <v>0</v>
      </c>
      <c r="AT75" s="74">
        <v>0</v>
      </c>
      <c r="AU75" s="74">
        <v>0</v>
      </c>
      <c r="AV75" s="74">
        <v>0</v>
      </c>
      <c r="AW75" s="74">
        <v>0</v>
      </c>
      <c r="AX75" s="74">
        <v>0</v>
      </c>
      <c r="AY75" s="74">
        <v>0</v>
      </c>
      <c r="AZ75" s="74">
        <v>0</v>
      </c>
      <c r="BA75" s="74">
        <v>0</v>
      </c>
      <c r="BB75" s="74">
        <v>0</v>
      </c>
      <c r="BC75" s="74">
        <v>0</v>
      </c>
      <c r="BD75" s="74">
        <v>0</v>
      </c>
      <c r="BE75" s="74">
        <v>0</v>
      </c>
      <c r="BF75" s="74">
        <v>0</v>
      </c>
      <c r="BG75" s="74">
        <v>0</v>
      </c>
      <c r="BH75" s="74">
        <v>0</v>
      </c>
      <c r="BI75" s="74">
        <v>0</v>
      </c>
      <c r="BJ75" s="74">
        <v>0</v>
      </c>
      <c r="BK75" s="74">
        <v>0</v>
      </c>
      <c r="BL75" s="74">
        <v>0</v>
      </c>
      <c r="BM75" s="76">
        <v>1</v>
      </c>
      <c r="BN75" s="76">
        <v>1</v>
      </c>
      <c r="BO75" s="76">
        <v>1</v>
      </c>
      <c r="BP75" s="76">
        <v>1</v>
      </c>
      <c r="BQ75" s="76">
        <v>1</v>
      </c>
      <c r="BR75" s="76">
        <v>1</v>
      </c>
      <c r="BS75" s="76">
        <v>1</v>
      </c>
      <c r="BT75" s="76">
        <v>1</v>
      </c>
      <c r="BU75" s="76">
        <v>1</v>
      </c>
      <c r="BV75" s="76">
        <v>1</v>
      </c>
      <c r="BW75" s="76">
        <v>1</v>
      </c>
      <c r="BX75" s="76">
        <v>1</v>
      </c>
      <c r="BY75" s="76">
        <v>1</v>
      </c>
      <c r="BZ75" s="76">
        <v>1</v>
      </c>
      <c r="CA75" s="79">
        <v>1</v>
      </c>
      <c r="CB75" s="76">
        <v>1</v>
      </c>
      <c r="CC75" s="76">
        <v>1</v>
      </c>
      <c r="CD75" s="76">
        <v>1</v>
      </c>
      <c r="CE75" s="76">
        <v>1</v>
      </c>
      <c r="CF75" s="76">
        <v>1</v>
      </c>
      <c r="CG75" s="76">
        <v>1</v>
      </c>
      <c r="CH75" s="76">
        <v>1</v>
      </c>
      <c r="CI75" s="76">
        <v>1</v>
      </c>
      <c r="CJ75" s="76">
        <v>1</v>
      </c>
      <c r="CK75" s="76">
        <v>1</v>
      </c>
      <c r="CL75" s="76">
        <v>1</v>
      </c>
      <c r="CM75" s="76">
        <v>1</v>
      </c>
      <c r="CN75" s="76">
        <v>1</v>
      </c>
      <c r="CO75" s="76">
        <v>1</v>
      </c>
      <c r="CP75" s="76">
        <v>1</v>
      </c>
      <c r="CQ75" s="76">
        <v>1</v>
      </c>
      <c r="CR75" s="76">
        <v>1</v>
      </c>
      <c r="CS75" s="76">
        <v>1</v>
      </c>
      <c r="CT75" s="76">
        <v>1</v>
      </c>
      <c r="CU75" s="76">
        <v>1</v>
      </c>
      <c r="CV75" s="76">
        <v>1</v>
      </c>
      <c r="CW75" s="76">
        <v>1</v>
      </c>
      <c r="CX75" s="76">
        <v>1</v>
      </c>
      <c r="CY75" s="79">
        <v>1</v>
      </c>
      <c r="CZ75" s="76">
        <v>1</v>
      </c>
      <c r="DA75" s="76">
        <v>1</v>
      </c>
      <c r="DB75" s="76">
        <v>1</v>
      </c>
      <c r="DC75" s="76">
        <v>1</v>
      </c>
      <c r="DD75" s="76">
        <v>1</v>
      </c>
      <c r="DE75" s="76">
        <v>1</v>
      </c>
      <c r="DF75" s="76">
        <v>1</v>
      </c>
      <c r="DG75" s="76">
        <v>1</v>
      </c>
      <c r="DH75" s="76">
        <v>1</v>
      </c>
      <c r="DI75" s="76">
        <v>1</v>
      </c>
      <c r="DJ75" s="76">
        <v>1</v>
      </c>
      <c r="DK75" s="76">
        <v>1</v>
      </c>
      <c r="DL75" s="76">
        <v>1</v>
      </c>
      <c r="DM75" s="76">
        <v>1</v>
      </c>
      <c r="DN75" s="76">
        <v>1</v>
      </c>
      <c r="DO75" s="76">
        <v>1</v>
      </c>
      <c r="DP75" s="76">
        <v>1</v>
      </c>
      <c r="DQ75" s="76">
        <v>1</v>
      </c>
      <c r="DR75" s="76">
        <v>1</v>
      </c>
      <c r="DS75" s="76">
        <v>1</v>
      </c>
      <c r="DT75" s="76">
        <v>1</v>
      </c>
      <c r="DU75" s="76">
        <v>1</v>
      </c>
      <c r="DV75" s="76">
        <v>1</v>
      </c>
      <c r="DW75" s="79">
        <v>1</v>
      </c>
      <c r="DX75" s="76">
        <v>1</v>
      </c>
      <c r="DY75" s="76">
        <v>1</v>
      </c>
      <c r="DZ75" s="76">
        <v>1</v>
      </c>
      <c r="EA75" s="76">
        <v>1</v>
      </c>
      <c r="EB75" s="76">
        <v>1</v>
      </c>
      <c r="EC75" s="76">
        <v>1</v>
      </c>
      <c r="ED75" s="76">
        <v>1</v>
      </c>
      <c r="EE75" s="76">
        <v>1</v>
      </c>
      <c r="EF75" s="76">
        <v>1</v>
      </c>
      <c r="EG75" s="76">
        <v>1</v>
      </c>
      <c r="EH75" s="76">
        <v>1</v>
      </c>
      <c r="EI75" s="76">
        <v>1</v>
      </c>
      <c r="EJ75" s="76">
        <v>1</v>
      </c>
      <c r="EK75" s="76">
        <v>1</v>
      </c>
      <c r="EL75" s="76">
        <v>1</v>
      </c>
      <c r="EM75" s="76">
        <v>1</v>
      </c>
      <c r="EN75" s="76">
        <v>1</v>
      </c>
      <c r="EO75" s="76">
        <v>1</v>
      </c>
      <c r="EP75" s="76">
        <v>1</v>
      </c>
      <c r="EQ75" s="76">
        <v>1</v>
      </c>
      <c r="ER75" s="76">
        <v>1</v>
      </c>
      <c r="ES75" s="76">
        <v>1</v>
      </c>
      <c r="ET75" s="76">
        <v>1</v>
      </c>
      <c r="EU75" s="79">
        <v>1</v>
      </c>
      <c r="EV75" s="76">
        <v>1</v>
      </c>
      <c r="EW75" s="76">
        <v>1</v>
      </c>
      <c r="EX75" s="76">
        <v>1</v>
      </c>
      <c r="EY75" s="76">
        <v>1</v>
      </c>
      <c r="EZ75" s="76">
        <v>1</v>
      </c>
      <c r="FA75" s="76">
        <v>1</v>
      </c>
      <c r="FB75" s="76">
        <v>1</v>
      </c>
      <c r="FC75" s="76">
        <v>1</v>
      </c>
      <c r="FD75" s="76">
        <v>1</v>
      </c>
      <c r="FE75" s="76">
        <v>1</v>
      </c>
      <c r="FF75" s="76">
        <v>1</v>
      </c>
      <c r="FG75" s="76">
        <v>1</v>
      </c>
      <c r="FH75" s="76">
        <v>1</v>
      </c>
      <c r="FI75" s="76">
        <v>1</v>
      </c>
      <c r="FJ75" s="76">
        <v>1</v>
      </c>
      <c r="FK75" s="76">
        <v>1</v>
      </c>
      <c r="FL75" s="76">
        <v>1</v>
      </c>
      <c r="FM75" s="76">
        <v>1</v>
      </c>
      <c r="FN75" s="76">
        <v>1</v>
      </c>
      <c r="FO75" s="76">
        <v>1</v>
      </c>
      <c r="FP75" s="76">
        <v>1</v>
      </c>
      <c r="FQ75" s="76">
        <v>1</v>
      </c>
      <c r="FR75" s="76">
        <v>1</v>
      </c>
      <c r="FS75" s="79">
        <v>1</v>
      </c>
      <c r="FT75" s="76">
        <v>1</v>
      </c>
      <c r="FU75" s="76">
        <v>1</v>
      </c>
      <c r="FV75" s="76">
        <v>1</v>
      </c>
      <c r="FW75" s="76">
        <v>1</v>
      </c>
      <c r="FX75" s="76">
        <v>1</v>
      </c>
      <c r="FY75" s="76">
        <v>1</v>
      </c>
      <c r="FZ75" s="76">
        <v>1</v>
      </c>
      <c r="GA75" s="76">
        <v>1</v>
      </c>
      <c r="GB75" s="76">
        <v>1</v>
      </c>
      <c r="GC75" s="76">
        <v>1</v>
      </c>
      <c r="GD75" s="76">
        <v>1</v>
      </c>
      <c r="GE75" s="76">
        <v>1</v>
      </c>
      <c r="GF75" s="76">
        <v>1</v>
      </c>
      <c r="GG75" s="76">
        <v>1</v>
      </c>
      <c r="GH75" s="76">
        <v>1</v>
      </c>
      <c r="GI75" s="76">
        <v>1</v>
      </c>
      <c r="GJ75" s="76">
        <v>1</v>
      </c>
      <c r="GK75" s="76">
        <v>1</v>
      </c>
      <c r="GL75" s="76">
        <v>1</v>
      </c>
      <c r="GM75" s="76">
        <v>1</v>
      </c>
      <c r="GN75" s="76">
        <v>1</v>
      </c>
      <c r="GO75" s="76">
        <v>1</v>
      </c>
      <c r="GP75" s="76">
        <v>1</v>
      </c>
      <c r="GQ75" s="79">
        <v>1</v>
      </c>
      <c r="GR75" s="76">
        <v>1</v>
      </c>
      <c r="GS75" s="76">
        <v>1</v>
      </c>
      <c r="GT75" s="76">
        <v>1</v>
      </c>
      <c r="GU75" s="76">
        <v>1</v>
      </c>
      <c r="GV75" s="76">
        <v>1</v>
      </c>
      <c r="GW75" s="76">
        <v>1</v>
      </c>
      <c r="GX75" s="76">
        <v>1</v>
      </c>
      <c r="GY75" s="76">
        <v>1</v>
      </c>
      <c r="GZ75" s="76">
        <v>1</v>
      </c>
      <c r="HA75" s="76">
        <v>1</v>
      </c>
      <c r="HB75" s="76">
        <v>1</v>
      </c>
      <c r="HC75" s="76">
        <v>1</v>
      </c>
      <c r="HD75" s="76">
        <v>1</v>
      </c>
      <c r="HE75" s="76">
        <v>1</v>
      </c>
      <c r="HF75" s="76">
        <v>1</v>
      </c>
      <c r="HG75" s="76">
        <v>1</v>
      </c>
      <c r="HH75" s="76">
        <v>1</v>
      </c>
      <c r="HI75" s="76">
        <v>1</v>
      </c>
      <c r="HJ75" s="76">
        <v>1</v>
      </c>
      <c r="HK75" s="76">
        <v>1</v>
      </c>
      <c r="HL75" s="76">
        <v>1</v>
      </c>
      <c r="HM75" s="76">
        <v>1</v>
      </c>
      <c r="HN75" s="76">
        <v>1</v>
      </c>
      <c r="HO75" s="76">
        <v>1</v>
      </c>
      <c r="HP75" s="76">
        <v>1</v>
      </c>
      <c r="HQ75" s="76">
        <v>1</v>
      </c>
      <c r="HR75" s="76">
        <v>1</v>
      </c>
      <c r="HS75" s="76">
        <v>1</v>
      </c>
      <c r="HT75" s="76">
        <v>1</v>
      </c>
      <c r="HU75" s="76">
        <v>1</v>
      </c>
      <c r="HV75" s="76">
        <v>1</v>
      </c>
      <c r="HW75" s="76">
        <v>1</v>
      </c>
      <c r="HX75" s="77">
        <v>1</v>
      </c>
    </row>
    <row r="76" spans="2:232" x14ac:dyDescent="0.2">
      <c r="B76" s="27"/>
      <c r="C76" s="27"/>
      <c r="D76" s="34"/>
      <c r="E76" s="27"/>
      <c r="F76" s="27" t="s">
        <v>197</v>
      </c>
      <c r="G76" s="102">
        <f>COUNTIF(G19:G75,"=1")</f>
        <v>49</v>
      </c>
      <c r="H76" s="102">
        <f t="shared" ref="H76:BS76" si="249">COUNTIF(H19:H75,"=1")</f>
        <v>49</v>
      </c>
      <c r="I76" s="102">
        <f t="shared" si="249"/>
        <v>49</v>
      </c>
      <c r="J76" s="102">
        <f t="shared" si="249"/>
        <v>49</v>
      </c>
      <c r="K76" s="102">
        <f t="shared" si="249"/>
        <v>49</v>
      </c>
      <c r="L76" s="102">
        <f t="shared" si="249"/>
        <v>49</v>
      </c>
      <c r="M76" s="102">
        <f t="shared" si="249"/>
        <v>49</v>
      </c>
      <c r="N76" s="102">
        <f t="shared" si="249"/>
        <v>49</v>
      </c>
      <c r="O76" s="102">
        <f t="shared" si="249"/>
        <v>49</v>
      </c>
      <c r="P76" s="102">
        <f t="shared" si="249"/>
        <v>49</v>
      </c>
      <c r="Q76" s="102">
        <f t="shared" si="249"/>
        <v>49</v>
      </c>
      <c r="R76" s="102">
        <f t="shared" si="249"/>
        <v>49</v>
      </c>
      <c r="S76" s="102">
        <f t="shared" si="249"/>
        <v>49</v>
      </c>
      <c r="T76" s="102">
        <f t="shared" si="249"/>
        <v>49</v>
      </c>
      <c r="U76" s="102">
        <f t="shared" si="249"/>
        <v>49</v>
      </c>
      <c r="V76" s="102">
        <f t="shared" si="249"/>
        <v>49</v>
      </c>
      <c r="W76" s="102">
        <f t="shared" si="249"/>
        <v>49</v>
      </c>
      <c r="X76" s="102">
        <f t="shared" si="249"/>
        <v>49</v>
      </c>
      <c r="Y76" s="102">
        <f t="shared" si="249"/>
        <v>49</v>
      </c>
      <c r="Z76" s="102">
        <f t="shared" si="249"/>
        <v>49</v>
      </c>
      <c r="AA76" s="102">
        <f t="shared" si="249"/>
        <v>49</v>
      </c>
      <c r="AB76" s="102">
        <f t="shared" si="249"/>
        <v>49</v>
      </c>
      <c r="AC76" s="102">
        <f t="shared" si="249"/>
        <v>49</v>
      </c>
      <c r="AD76" s="102">
        <f t="shared" si="249"/>
        <v>49</v>
      </c>
      <c r="AE76" s="102">
        <f t="shared" si="249"/>
        <v>49</v>
      </c>
      <c r="AF76" s="102">
        <f t="shared" si="249"/>
        <v>49</v>
      </c>
      <c r="AG76" s="102">
        <f t="shared" si="249"/>
        <v>49</v>
      </c>
      <c r="AH76" s="102">
        <f t="shared" si="249"/>
        <v>49</v>
      </c>
      <c r="AI76" s="102">
        <f t="shared" si="249"/>
        <v>49</v>
      </c>
      <c r="AJ76" s="102">
        <f t="shared" si="249"/>
        <v>49</v>
      </c>
      <c r="AK76" s="102">
        <f t="shared" si="249"/>
        <v>49</v>
      </c>
      <c r="AL76" s="102">
        <f t="shared" si="249"/>
        <v>49</v>
      </c>
      <c r="AM76" s="102">
        <f t="shared" si="249"/>
        <v>49</v>
      </c>
      <c r="AN76" s="102">
        <f t="shared" si="249"/>
        <v>49</v>
      </c>
      <c r="AO76" s="102">
        <f t="shared" si="249"/>
        <v>49</v>
      </c>
      <c r="AP76" s="102">
        <f t="shared" si="249"/>
        <v>49</v>
      </c>
      <c r="AQ76" s="102">
        <f t="shared" si="249"/>
        <v>49</v>
      </c>
      <c r="AR76" s="102">
        <f t="shared" si="249"/>
        <v>49</v>
      </c>
      <c r="AS76" s="102">
        <f t="shared" si="249"/>
        <v>49</v>
      </c>
      <c r="AT76" s="102">
        <f t="shared" si="249"/>
        <v>49</v>
      </c>
      <c r="AU76" s="102">
        <f t="shared" si="249"/>
        <v>49</v>
      </c>
      <c r="AV76" s="102">
        <f t="shared" si="249"/>
        <v>49</v>
      </c>
      <c r="AW76" s="102">
        <f t="shared" si="249"/>
        <v>49</v>
      </c>
      <c r="AX76" s="102">
        <f t="shared" si="249"/>
        <v>49</v>
      </c>
      <c r="AY76" s="102">
        <f t="shared" si="249"/>
        <v>49</v>
      </c>
      <c r="AZ76" s="102">
        <f t="shared" si="249"/>
        <v>49</v>
      </c>
      <c r="BA76" s="102">
        <f t="shared" si="249"/>
        <v>42</v>
      </c>
      <c r="BB76" s="102">
        <f t="shared" si="249"/>
        <v>42</v>
      </c>
      <c r="BC76" s="102">
        <f t="shared" si="249"/>
        <v>42</v>
      </c>
      <c r="BD76" s="102">
        <f t="shared" si="249"/>
        <v>42</v>
      </c>
      <c r="BE76" s="102">
        <f t="shared" si="249"/>
        <v>42</v>
      </c>
      <c r="BF76" s="102">
        <f t="shared" si="249"/>
        <v>42</v>
      </c>
      <c r="BG76" s="102">
        <f t="shared" si="249"/>
        <v>42</v>
      </c>
      <c r="BH76" s="102">
        <f t="shared" si="249"/>
        <v>42</v>
      </c>
      <c r="BI76" s="102">
        <f t="shared" si="249"/>
        <v>42</v>
      </c>
      <c r="BJ76" s="102">
        <f t="shared" si="249"/>
        <v>42</v>
      </c>
      <c r="BK76" s="102">
        <f t="shared" si="249"/>
        <v>42</v>
      </c>
      <c r="BL76" s="102">
        <f t="shared" si="249"/>
        <v>44</v>
      </c>
      <c r="BM76" s="102">
        <f t="shared" si="249"/>
        <v>51</v>
      </c>
      <c r="BN76" s="102">
        <f t="shared" si="249"/>
        <v>51</v>
      </c>
      <c r="BO76" s="102">
        <f t="shared" si="249"/>
        <v>51</v>
      </c>
      <c r="BP76" s="102">
        <f t="shared" si="249"/>
        <v>51</v>
      </c>
      <c r="BQ76" s="102">
        <f t="shared" si="249"/>
        <v>51</v>
      </c>
      <c r="BR76" s="102">
        <f t="shared" si="249"/>
        <v>51</v>
      </c>
      <c r="BS76" s="102">
        <f t="shared" si="249"/>
        <v>51</v>
      </c>
      <c r="BT76" s="102">
        <f t="shared" ref="BT76:EE76" si="250">COUNTIF(BT19:BT75,"=1")</f>
        <v>51</v>
      </c>
      <c r="BU76" s="102">
        <f t="shared" si="250"/>
        <v>51</v>
      </c>
      <c r="BV76" s="102">
        <f t="shared" si="250"/>
        <v>51</v>
      </c>
      <c r="BW76" s="102">
        <f t="shared" si="250"/>
        <v>51</v>
      </c>
      <c r="BX76" s="102">
        <f t="shared" si="250"/>
        <v>51</v>
      </c>
      <c r="BY76" s="102">
        <f t="shared" si="250"/>
        <v>49</v>
      </c>
      <c r="BZ76" s="102">
        <f t="shared" si="250"/>
        <v>49</v>
      </c>
      <c r="CA76" s="102">
        <f t="shared" si="250"/>
        <v>49</v>
      </c>
      <c r="CB76" s="102">
        <f t="shared" si="250"/>
        <v>49</v>
      </c>
      <c r="CC76" s="102">
        <f t="shared" si="250"/>
        <v>49</v>
      </c>
      <c r="CD76" s="102">
        <f t="shared" si="250"/>
        <v>49</v>
      </c>
      <c r="CE76" s="102">
        <f t="shared" si="250"/>
        <v>49</v>
      </c>
      <c r="CF76" s="102">
        <f t="shared" si="250"/>
        <v>49</v>
      </c>
      <c r="CG76" s="102">
        <f t="shared" si="250"/>
        <v>49</v>
      </c>
      <c r="CH76" s="102">
        <f t="shared" si="250"/>
        <v>49</v>
      </c>
      <c r="CI76" s="102">
        <f t="shared" si="250"/>
        <v>49</v>
      </c>
      <c r="CJ76" s="102">
        <f t="shared" si="250"/>
        <v>51</v>
      </c>
      <c r="CK76" s="102">
        <f t="shared" si="250"/>
        <v>51</v>
      </c>
      <c r="CL76" s="102">
        <f t="shared" si="250"/>
        <v>51</v>
      </c>
      <c r="CM76" s="102">
        <f t="shared" si="250"/>
        <v>51</v>
      </c>
      <c r="CN76" s="102">
        <f t="shared" si="250"/>
        <v>51</v>
      </c>
      <c r="CO76" s="102">
        <f t="shared" si="250"/>
        <v>51</v>
      </c>
      <c r="CP76" s="102">
        <f t="shared" si="250"/>
        <v>51</v>
      </c>
      <c r="CQ76" s="102">
        <f t="shared" si="250"/>
        <v>51</v>
      </c>
      <c r="CR76" s="102">
        <f t="shared" si="250"/>
        <v>51</v>
      </c>
      <c r="CS76" s="102">
        <f t="shared" si="250"/>
        <v>51</v>
      </c>
      <c r="CT76" s="102">
        <f t="shared" si="250"/>
        <v>51</v>
      </c>
      <c r="CU76" s="102">
        <f t="shared" si="250"/>
        <v>51</v>
      </c>
      <c r="CV76" s="102">
        <f t="shared" si="250"/>
        <v>51</v>
      </c>
      <c r="CW76" s="102">
        <f t="shared" si="250"/>
        <v>49</v>
      </c>
      <c r="CX76" s="102">
        <f t="shared" si="250"/>
        <v>49</v>
      </c>
      <c r="CY76" s="102">
        <f t="shared" si="250"/>
        <v>49</v>
      </c>
      <c r="CZ76" s="102">
        <f t="shared" si="250"/>
        <v>49</v>
      </c>
      <c r="DA76" s="102">
        <f t="shared" si="250"/>
        <v>49</v>
      </c>
      <c r="DB76" s="102">
        <f t="shared" si="250"/>
        <v>49</v>
      </c>
      <c r="DC76" s="102">
        <f t="shared" si="250"/>
        <v>49</v>
      </c>
      <c r="DD76" s="102">
        <f t="shared" si="250"/>
        <v>49</v>
      </c>
      <c r="DE76" s="102">
        <f t="shared" si="250"/>
        <v>49</v>
      </c>
      <c r="DF76" s="102">
        <f t="shared" si="250"/>
        <v>49</v>
      </c>
      <c r="DG76" s="102">
        <f t="shared" si="250"/>
        <v>49</v>
      </c>
      <c r="DH76" s="102">
        <f t="shared" si="250"/>
        <v>51</v>
      </c>
      <c r="DI76" s="102">
        <f t="shared" si="250"/>
        <v>51</v>
      </c>
      <c r="DJ76" s="102">
        <f t="shared" si="250"/>
        <v>51</v>
      </c>
      <c r="DK76" s="102">
        <f t="shared" si="250"/>
        <v>51</v>
      </c>
      <c r="DL76" s="102">
        <f t="shared" si="250"/>
        <v>51</v>
      </c>
      <c r="DM76" s="102">
        <f t="shared" si="250"/>
        <v>51</v>
      </c>
      <c r="DN76" s="102">
        <f t="shared" si="250"/>
        <v>51</v>
      </c>
      <c r="DO76" s="102">
        <f t="shared" si="250"/>
        <v>51</v>
      </c>
      <c r="DP76" s="102">
        <f t="shared" si="250"/>
        <v>51</v>
      </c>
      <c r="DQ76" s="102">
        <f t="shared" si="250"/>
        <v>51</v>
      </c>
      <c r="DR76" s="102">
        <f t="shared" si="250"/>
        <v>51</v>
      </c>
      <c r="DS76" s="102">
        <f t="shared" si="250"/>
        <v>51</v>
      </c>
      <c r="DT76" s="102">
        <f t="shared" si="250"/>
        <v>51</v>
      </c>
      <c r="DU76" s="102">
        <f t="shared" si="250"/>
        <v>49</v>
      </c>
      <c r="DV76" s="102">
        <f t="shared" si="250"/>
        <v>49</v>
      </c>
      <c r="DW76" s="102">
        <f t="shared" si="250"/>
        <v>49</v>
      </c>
      <c r="DX76" s="102">
        <f t="shared" si="250"/>
        <v>49</v>
      </c>
      <c r="DY76" s="102">
        <f t="shared" si="250"/>
        <v>49</v>
      </c>
      <c r="DZ76" s="102">
        <f t="shared" si="250"/>
        <v>49</v>
      </c>
      <c r="EA76" s="102">
        <f t="shared" si="250"/>
        <v>49</v>
      </c>
      <c r="EB76" s="102">
        <f t="shared" si="250"/>
        <v>49</v>
      </c>
      <c r="EC76" s="102">
        <f t="shared" si="250"/>
        <v>49</v>
      </c>
      <c r="ED76" s="102">
        <f t="shared" si="250"/>
        <v>49</v>
      </c>
      <c r="EE76" s="102">
        <f t="shared" si="250"/>
        <v>49</v>
      </c>
      <c r="EF76" s="102">
        <f t="shared" ref="EF76:GQ76" si="251">COUNTIF(EF19:EF75,"=1")</f>
        <v>51</v>
      </c>
      <c r="EG76" s="102">
        <f t="shared" si="251"/>
        <v>51</v>
      </c>
      <c r="EH76" s="102">
        <f t="shared" si="251"/>
        <v>51</v>
      </c>
      <c r="EI76" s="102">
        <f t="shared" si="251"/>
        <v>51</v>
      </c>
      <c r="EJ76" s="102">
        <f t="shared" si="251"/>
        <v>51</v>
      </c>
      <c r="EK76" s="102">
        <f t="shared" si="251"/>
        <v>51</v>
      </c>
      <c r="EL76" s="102">
        <f t="shared" si="251"/>
        <v>51</v>
      </c>
      <c r="EM76" s="102">
        <f t="shared" si="251"/>
        <v>51</v>
      </c>
      <c r="EN76" s="102">
        <f t="shared" si="251"/>
        <v>51</v>
      </c>
      <c r="EO76" s="102">
        <f t="shared" si="251"/>
        <v>51</v>
      </c>
      <c r="EP76" s="102">
        <f t="shared" si="251"/>
        <v>51</v>
      </c>
      <c r="EQ76" s="102">
        <f t="shared" si="251"/>
        <v>51</v>
      </c>
      <c r="ER76" s="102">
        <f t="shared" si="251"/>
        <v>51</v>
      </c>
      <c r="ES76" s="102">
        <f t="shared" si="251"/>
        <v>49</v>
      </c>
      <c r="ET76" s="102">
        <f t="shared" si="251"/>
        <v>49</v>
      </c>
      <c r="EU76" s="102">
        <f t="shared" si="251"/>
        <v>49</v>
      </c>
      <c r="EV76" s="102">
        <f t="shared" si="251"/>
        <v>49</v>
      </c>
      <c r="EW76" s="102">
        <f t="shared" si="251"/>
        <v>49</v>
      </c>
      <c r="EX76" s="102">
        <f t="shared" si="251"/>
        <v>49</v>
      </c>
      <c r="EY76" s="102">
        <f t="shared" si="251"/>
        <v>49</v>
      </c>
      <c r="EZ76" s="102">
        <f t="shared" si="251"/>
        <v>49</v>
      </c>
      <c r="FA76" s="102">
        <f t="shared" si="251"/>
        <v>49</v>
      </c>
      <c r="FB76" s="102">
        <f t="shared" si="251"/>
        <v>49</v>
      </c>
      <c r="FC76" s="102">
        <f t="shared" si="251"/>
        <v>49</v>
      </c>
      <c r="FD76" s="102">
        <f t="shared" si="251"/>
        <v>51</v>
      </c>
      <c r="FE76" s="102">
        <f t="shared" si="251"/>
        <v>51</v>
      </c>
      <c r="FF76" s="102">
        <f t="shared" si="251"/>
        <v>51</v>
      </c>
      <c r="FG76" s="102">
        <f t="shared" si="251"/>
        <v>51</v>
      </c>
      <c r="FH76" s="102">
        <f t="shared" si="251"/>
        <v>51</v>
      </c>
      <c r="FI76" s="102">
        <f t="shared" si="251"/>
        <v>51</v>
      </c>
      <c r="FJ76" s="102">
        <f t="shared" si="251"/>
        <v>51</v>
      </c>
      <c r="FK76" s="102">
        <f t="shared" si="251"/>
        <v>51</v>
      </c>
      <c r="FL76" s="102">
        <f t="shared" si="251"/>
        <v>51</v>
      </c>
      <c r="FM76" s="102">
        <f t="shared" si="251"/>
        <v>51</v>
      </c>
      <c r="FN76" s="102">
        <f t="shared" si="251"/>
        <v>51</v>
      </c>
      <c r="FO76" s="102">
        <f t="shared" si="251"/>
        <v>51</v>
      </c>
      <c r="FP76" s="102">
        <f t="shared" si="251"/>
        <v>51</v>
      </c>
      <c r="FQ76" s="102">
        <f t="shared" si="251"/>
        <v>49</v>
      </c>
      <c r="FR76" s="102">
        <f t="shared" si="251"/>
        <v>49</v>
      </c>
      <c r="FS76" s="102">
        <f t="shared" si="251"/>
        <v>49</v>
      </c>
      <c r="FT76" s="102">
        <f t="shared" si="251"/>
        <v>49</v>
      </c>
      <c r="FU76" s="102">
        <f t="shared" si="251"/>
        <v>49</v>
      </c>
      <c r="FV76" s="102">
        <f t="shared" si="251"/>
        <v>49</v>
      </c>
      <c r="FW76" s="102">
        <f t="shared" si="251"/>
        <v>49</v>
      </c>
      <c r="FX76" s="102">
        <f t="shared" si="251"/>
        <v>49</v>
      </c>
      <c r="FY76" s="102">
        <f t="shared" si="251"/>
        <v>49</v>
      </c>
      <c r="FZ76" s="102">
        <f t="shared" si="251"/>
        <v>49</v>
      </c>
      <c r="GA76" s="102">
        <f t="shared" si="251"/>
        <v>49</v>
      </c>
      <c r="GB76" s="102">
        <f t="shared" si="251"/>
        <v>51</v>
      </c>
      <c r="GC76" s="102">
        <f t="shared" si="251"/>
        <v>51</v>
      </c>
      <c r="GD76" s="102">
        <f t="shared" si="251"/>
        <v>51</v>
      </c>
      <c r="GE76" s="102">
        <f t="shared" si="251"/>
        <v>51</v>
      </c>
      <c r="GF76" s="102">
        <f t="shared" si="251"/>
        <v>51</v>
      </c>
      <c r="GG76" s="102">
        <f t="shared" si="251"/>
        <v>51</v>
      </c>
      <c r="GH76" s="102">
        <f t="shared" si="251"/>
        <v>51</v>
      </c>
      <c r="GI76" s="102">
        <f t="shared" si="251"/>
        <v>51</v>
      </c>
      <c r="GJ76" s="102">
        <f t="shared" si="251"/>
        <v>51</v>
      </c>
      <c r="GK76" s="102">
        <f t="shared" si="251"/>
        <v>51</v>
      </c>
      <c r="GL76" s="102">
        <f t="shared" si="251"/>
        <v>51</v>
      </c>
      <c r="GM76" s="102">
        <f t="shared" si="251"/>
        <v>51</v>
      </c>
      <c r="GN76" s="102">
        <f t="shared" si="251"/>
        <v>51</v>
      </c>
      <c r="GO76" s="102">
        <f t="shared" si="251"/>
        <v>49</v>
      </c>
      <c r="GP76" s="102">
        <f t="shared" si="251"/>
        <v>49</v>
      </c>
      <c r="GQ76" s="102">
        <f t="shared" si="251"/>
        <v>49</v>
      </c>
      <c r="GR76" s="102">
        <f t="shared" ref="GR76:HX76" si="252">COUNTIF(GR19:GR75,"=1")</f>
        <v>49</v>
      </c>
      <c r="GS76" s="102">
        <f t="shared" si="252"/>
        <v>49</v>
      </c>
      <c r="GT76" s="102">
        <f t="shared" si="252"/>
        <v>49</v>
      </c>
      <c r="GU76" s="102">
        <f t="shared" si="252"/>
        <v>49</v>
      </c>
      <c r="GV76" s="102">
        <f t="shared" si="252"/>
        <v>49</v>
      </c>
      <c r="GW76" s="102">
        <f t="shared" si="252"/>
        <v>49</v>
      </c>
      <c r="GX76" s="102">
        <f t="shared" si="252"/>
        <v>49</v>
      </c>
      <c r="GY76" s="102">
        <f t="shared" si="252"/>
        <v>49</v>
      </c>
      <c r="GZ76" s="102">
        <f t="shared" si="252"/>
        <v>51</v>
      </c>
      <c r="HA76" s="102">
        <f t="shared" si="252"/>
        <v>51</v>
      </c>
      <c r="HB76" s="102">
        <f t="shared" si="252"/>
        <v>51</v>
      </c>
      <c r="HC76" s="102">
        <f t="shared" si="252"/>
        <v>51</v>
      </c>
      <c r="HD76" s="102">
        <f t="shared" si="252"/>
        <v>51</v>
      </c>
      <c r="HE76" s="102">
        <f t="shared" si="252"/>
        <v>51</v>
      </c>
      <c r="HF76" s="102">
        <f t="shared" si="252"/>
        <v>51</v>
      </c>
      <c r="HG76" s="102">
        <f t="shared" si="252"/>
        <v>51</v>
      </c>
      <c r="HH76" s="102">
        <f t="shared" si="252"/>
        <v>51</v>
      </c>
      <c r="HI76" s="102">
        <f t="shared" si="252"/>
        <v>51</v>
      </c>
      <c r="HJ76" s="102">
        <f t="shared" si="252"/>
        <v>51</v>
      </c>
      <c r="HK76" s="102">
        <f t="shared" si="252"/>
        <v>51</v>
      </c>
      <c r="HL76" s="102">
        <f t="shared" si="252"/>
        <v>51</v>
      </c>
      <c r="HM76" s="102">
        <f t="shared" si="252"/>
        <v>49</v>
      </c>
      <c r="HN76" s="102">
        <f t="shared" si="252"/>
        <v>49</v>
      </c>
      <c r="HO76" s="102">
        <f t="shared" si="252"/>
        <v>49</v>
      </c>
      <c r="HP76" s="102">
        <f t="shared" si="252"/>
        <v>49</v>
      </c>
      <c r="HQ76" s="102">
        <f t="shared" si="252"/>
        <v>49</v>
      </c>
      <c r="HR76" s="102">
        <f t="shared" si="252"/>
        <v>49</v>
      </c>
      <c r="HS76" s="102">
        <f t="shared" si="252"/>
        <v>49</v>
      </c>
      <c r="HT76" s="102">
        <f t="shared" si="252"/>
        <v>49</v>
      </c>
      <c r="HU76" s="102">
        <f t="shared" si="252"/>
        <v>49</v>
      </c>
      <c r="HV76" s="102">
        <f t="shared" si="252"/>
        <v>49</v>
      </c>
      <c r="HW76" s="102">
        <f t="shared" si="252"/>
        <v>49</v>
      </c>
      <c r="HX76" s="102">
        <f t="shared" si="252"/>
        <v>51</v>
      </c>
    </row>
  </sheetData>
  <autoFilter ref="B18:F75" xr:uid="{42902007-4054-4DE8-918C-46F10C984450}"/>
  <mergeCells count="1">
    <mergeCell ref="B17:F17"/>
  </mergeCells>
  <phoneticPr fontId="1" type="noConversion"/>
  <conditionalFormatting sqref="G19:HX76">
    <cfRule type="cellIs" dxfId="0" priority="2" operator="equal">
      <formula>0</formula>
    </cfRule>
  </conditionalFormatting>
  <pageMargins left="0.7" right="0.7" top="0.75" bottom="0.75" header="0.3" footer="0.3"/>
  <pageSetup scale="85" orientation="portrait" r:id="rId1"/>
  <colBreaks count="2" manualBreakCount="2">
    <brk id="20" max="1048575" man="1"/>
    <brk id="44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9BF73-B3E9-454B-B7F4-EBA94DC184DD}">
  <sheetPr codeName="Sheet2"/>
  <dimension ref="A1:DT22"/>
  <sheetViews>
    <sheetView topLeftCell="CD1" workbookViewId="0">
      <selection activeCell="B13" sqref="B13:DS20"/>
    </sheetView>
  </sheetViews>
  <sheetFormatPr defaultColWidth="9.140625" defaultRowHeight="15" x14ac:dyDescent="0.25"/>
  <cols>
    <col min="1" max="1" width="15.7109375" customWidth="1"/>
    <col min="2" max="131" width="3.7109375" customWidth="1"/>
  </cols>
  <sheetData>
    <row r="1" spans="1:124" ht="15.75" thickBot="1" x14ac:dyDescent="0.3"/>
    <row r="2" spans="1:124" x14ac:dyDescent="0.25">
      <c r="B2" s="2" t="s">
        <v>50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4"/>
      <c r="X2" s="2" t="s">
        <v>51</v>
      </c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4"/>
      <c r="AV2" s="2" t="s">
        <v>52</v>
      </c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4"/>
      <c r="BT2" s="10" t="s">
        <v>53</v>
      </c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4"/>
      <c r="CO2" s="2" t="s">
        <v>54</v>
      </c>
      <c r="CP2" s="3"/>
      <c r="CQ2" s="3"/>
      <c r="CR2" s="3"/>
      <c r="CS2" s="3"/>
      <c r="CT2" s="3"/>
      <c r="CU2" s="3"/>
      <c r="CV2" s="4"/>
      <c r="CW2" s="2" t="s">
        <v>55</v>
      </c>
      <c r="CX2" s="3"/>
      <c r="CY2" s="3"/>
      <c r="CZ2" s="3"/>
      <c r="DA2" s="3"/>
      <c r="DB2" s="3"/>
      <c r="DC2" s="4"/>
      <c r="DD2" s="2" t="s">
        <v>56</v>
      </c>
      <c r="DE2" s="3"/>
      <c r="DF2" s="3"/>
      <c r="DG2" s="4"/>
      <c r="DH2" s="2" t="s">
        <v>57</v>
      </c>
      <c r="DI2" s="3"/>
      <c r="DJ2" s="3"/>
      <c r="DK2" s="11"/>
      <c r="DL2" s="2" t="s">
        <v>61</v>
      </c>
      <c r="DM2" s="3"/>
      <c r="DN2" s="3"/>
      <c r="DO2" s="12"/>
      <c r="DP2" s="2" t="s">
        <v>62</v>
      </c>
      <c r="DQ2" s="3"/>
      <c r="DR2" s="3"/>
      <c r="DS2" s="4"/>
      <c r="DT2" s="1"/>
    </row>
    <row r="3" spans="1:124" x14ac:dyDescent="0.25">
      <c r="A3" t="s">
        <v>5</v>
      </c>
      <c r="B3" s="5">
        <v>2</v>
      </c>
      <c r="C3" s="1">
        <v>3</v>
      </c>
      <c r="D3" s="1">
        <v>4</v>
      </c>
      <c r="E3" s="1">
        <v>5</v>
      </c>
      <c r="F3" s="1">
        <v>6</v>
      </c>
      <c r="G3" s="1">
        <v>7</v>
      </c>
      <c r="H3" s="1">
        <v>8</v>
      </c>
      <c r="I3" s="1">
        <v>9</v>
      </c>
      <c r="J3" s="1">
        <v>10</v>
      </c>
      <c r="K3" s="1">
        <v>11</v>
      </c>
      <c r="L3" s="1">
        <v>12</v>
      </c>
      <c r="M3" s="1">
        <v>13</v>
      </c>
      <c r="N3" s="1">
        <v>14</v>
      </c>
      <c r="O3" s="1">
        <v>15</v>
      </c>
      <c r="P3" s="1">
        <v>16</v>
      </c>
      <c r="Q3" s="1">
        <v>17</v>
      </c>
      <c r="R3" s="1">
        <v>18</v>
      </c>
      <c r="S3" s="1">
        <v>19</v>
      </c>
      <c r="T3" s="1">
        <v>20</v>
      </c>
      <c r="U3" s="1">
        <v>21</v>
      </c>
      <c r="V3" s="1">
        <v>22</v>
      </c>
      <c r="W3" s="6">
        <v>23</v>
      </c>
      <c r="X3" s="5">
        <v>0</v>
      </c>
      <c r="Y3" s="1">
        <v>1</v>
      </c>
      <c r="Z3" s="1">
        <v>2</v>
      </c>
      <c r="AA3" s="1">
        <v>3</v>
      </c>
      <c r="AB3" s="1">
        <v>4</v>
      </c>
      <c r="AC3" s="1">
        <v>5</v>
      </c>
      <c r="AD3" s="1">
        <v>6</v>
      </c>
      <c r="AE3" s="1">
        <v>7</v>
      </c>
      <c r="AF3" s="1">
        <v>8</v>
      </c>
      <c r="AG3" s="1">
        <v>9</v>
      </c>
      <c r="AH3" s="1">
        <v>10</v>
      </c>
      <c r="AI3" s="1">
        <v>11</v>
      </c>
      <c r="AJ3" s="1">
        <v>12</v>
      </c>
      <c r="AK3" s="1">
        <v>13</v>
      </c>
      <c r="AL3" s="1">
        <v>14</v>
      </c>
      <c r="AM3" s="1">
        <v>15</v>
      </c>
      <c r="AN3" s="1">
        <v>16</v>
      </c>
      <c r="AO3" s="1">
        <v>17</v>
      </c>
      <c r="AP3" s="1">
        <v>18</v>
      </c>
      <c r="AQ3" s="1">
        <v>19</v>
      </c>
      <c r="AR3" s="1">
        <v>20</v>
      </c>
      <c r="AS3" s="1">
        <v>21</v>
      </c>
      <c r="AT3" s="1">
        <v>22</v>
      </c>
      <c r="AU3" s="6">
        <v>23</v>
      </c>
      <c r="AV3" s="5">
        <v>0</v>
      </c>
      <c r="AW3" s="1">
        <v>1</v>
      </c>
      <c r="AX3" s="1">
        <v>2</v>
      </c>
      <c r="AY3" s="1">
        <v>3</v>
      </c>
      <c r="AZ3" s="1">
        <v>4</v>
      </c>
      <c r="BA3" s="1">
        <v>5</v>
      </c>
      <c r="BB3" s="1">
        <v>6</v>
      </c>
      <c r="BC3" s="1">
        <v>7</v>
      </c>
      <c r="BD3" s="1">
        <v>8</v>
      </c>
      <c r="BE3" s="1">
        <v>9</v>
      </c>
      <c r="BF3" s="1">
        <v>10</v>
      </c>
      <c r="BG3" s="1">
        <v>11</v>
      </c>
      <c r="BH3" s="1">
        <v>12</v>
      </c>
      <c r="BI3" s="1">
        <v>13</v>
      </c>
      <c r="BJ3" s="1">
        <v>14</v>
      </c>
      <c r="BK3" s="1">
        <v>15</v>
      </c>
      <c r="BL3" s="1">
        <v>16</v>
      </c>
      <c r="BM3" s="1">
        <v>17</v>
      </c>
      <c r="BN3" s="1">
        <v>18</v>
      </c>
      <c r="BO3" s="1">
        <v>19</v>
      </c>
      <c r="BP3" s="1">
        <v>20</v>
      </c>
      <c r="BQ3" s="1">
        <v>21</v>
      </c>
      <c r="BR3" s="1">
        <v>22</v>
      </c>
      <c r="BS3" s="6">
        <v>23</v>
      </c>
      <c r="BT3" s="5">
        <v>0</v>
      </c>
      <c r="BU3" s="1">
        <v>1</v>
      </c>
      <c r="BV3" s="1">
        <v>2</v>
      </c>
      <c r="BW3" s="1">
        <v>3</v>
      </c>
      <c r="BX3" s="1">
        <v>4</v>
      </c>
      <c r="BY3" s="1">
        <v>5</v>
      </c>
      <c r="BZ3" s="1">
        <v>6</v>
      </c>
      <c r="CA3" s="1">
        <v>7</v>
      </c>
      <c r="CB3" s="1">
        <v>8</v>
      </c>
      <c r="CC3" s="1">
        <v>9</v>
      </c>
      <c r="CD3" s="1">
        <v>10</v>
      </c>
      <c r="CE3" s="1">
        <v>11</v>
      </c>
      <c r="CF3" s="1">
        <v>12</v>
      </c>
      <c r="CG3" s="1">
        <v>13</v>
      </c>
      <c r="CH3" s="1">
        <v>14</v>
      </c>
      <c r="CI3" s="1">
        <v>15</v>
      </c>
      <c r="CJ3" s="1">
        <v>16</v>
      </c>
      <c r="CK3" s="1">
        <v>17</v>
      </c>
      <c r="CL3" s="1">
        <v>18</v>
      </c>
      <c r="CM3" s="1">
        <v>19</v>
      </c>
      <c r="CN3" s="6">
        <v>22</v>
      </c>
      <c r="CO3" s="5">
        <v>1</v>
      </c>
      <c r="CP3" s="1">
        <v>4</v>
      </c>
      <c r="CQ3" s="1">
        <v>7</v>
      </c>
      <c r="CR3" s="1">
        <v>10</v>
      </c>
      <c r="CS3" s="1">
        <v>13</v>
      </c>
      <c r="CT3" s="1">
        <v>16</v>
      </c>
      <c r="CU3" s="1">
        <v>19</v>
      </c>
      <c r="CV3" s="6">
        <v>22</v>
      </c>
      <c r="CW3" s="5">
        <v>1</v>
      </c>
      <c r="CX3" s="1">
        <v>4</v>
      </c>
      <c r="CY3" s="1">
        <v>7</v>
      </c>
      <c r="CZ3" s="1">
        <v>10</v>
      </c>
      <c r="DA3" s="1">
        <v>13</v>
      </c>
      <c r="DB3" s="1">
        <v>16</v>
      </c>
      <c r="DC3" s="6">
        <v>19</v>
      </c>
      <c r="DD3" s="5">
        <v>1</v>
      </c>
      <c r="DE3" s="1">
        <v>7</v>
      </c>
      <c r="DF3" s="1">
        <v>13</v>
      </c>
      <c r="DG3" s="6">
        <v>19</v>
      </c>
      <c r="DH3" s="5">
        <v>1</v>
      </c>
      <c r="DI3" s="1">
        <v>7</v>
      </c>
      <c r="DJ3" s="1">
        <v>13</v>
      </c>
      <c r="DK3" s="6">
        <v>19</v>
      </c>
      <c r="DL3" s="5">
        <v>1</v>
      </c>
      <c r="DM3" s="1">
        <v>7</v>
      </c>
      <c r="DN3" s="1">
        <v>13</v>
      </c>
      <c r="DO3" s="6">
        <v>19</v>
      </c>
      <c r="DP3" s="5">
        <v>1</v>
      </c>
      <c r="DQ3" s="1">
        <v>7</v>
      </c>
      <c r="DR3" s="1">
        <v>13</v>
      </c>
      <c r="DS3" s="6">
        <v>19</v>
      </c>
      <c r="DT3" s="1"/>
    </row>
    <row r="4" spans="1:124" x14ac:dyDescent="0.25">
      <c r="B4" s="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6"/>
      <c r="X4" s="5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6"/>
      <c r="AV4" s="5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6"/>
      <c r="BT4" s="5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6"/>
      <c r="CO4" s="5"/>
      <c r="CP4" s="1"/>
      <c r="CQ4" s="1"/>
      <c r="CR4" s="1"/>
      <c r="CS4" s="1"/>
      <c r="CT4" s="1"/>
      <c r="CU4" s="1"/>
      <c r="CV4" s="6"/>
      <c r="CW4" s="5"/>
      <c r="CX4" s="1"/>
      <c r="CY4" s="1"/>
      <c r="CZ4" s="1"/>
      <c r="DA4" s="1"/>
      <c r="DB4" s="1"/>
      <c r="DC4" s="6"/>
      <c r="DD4" s="5"/>
      <c r="DE4" s="1"/>
      <c r="DF4" s="1"/>
      <c r="DG4" s="6"/>
      <c r="DH4" s="5"/>
      <c r="DI4" s="1"/>
      <c r="DJ4" s="1"/>
      <c r="DK4" s="6"/>
      <c r="DL4" s="5"/>
      <c r="DM4" s="1"/>
      <c r="DN4" s="1"/>
      <c r="DO4" s="6"/>
      <c r="DP4" s="5"/>
      <c r="DQ4" s="1"/>
      <c r="DR4" s="1"/>
      <c r="DS4" s="6"/>
      <c r="DT4" s="1"/>
    </row>
    <row r="5" spans="1:124" x14ac:dyDescent="0.25">
      <c r="A5" t="s">
        <v>9</v>
      </c>
      <c r="B5" s="5" t="s">
        <v>58</v>
      </c>
      <c r="C5" s="1" t="s">
        <v>58</v>
      </c>
      <c r="D5" s="1" t="s">
        <v>58</v>
      </c>
      <c r="E5" s="1" t="s">
        <v>58</v>
      </c>
      <c r="F5" s="1" t="s">
        <v>58</v>
      </c>
      <c r="G5" s="1" t="s">
        <v>58</v>
      </c>
      <c r="H5" s="1" t="s">
        <v>2</v>
      </c>
      <c r="I5" s="1" t="s">
        <v>3</v>
      </c>
      <c r="J5" s="1" t="s">
        <v>4</v>
      </c>
      <c r="K5" s="1" t="s">
        <v>59</v>
      </c>
      <c r="L5" s="1" t="s">
        <v>59</v>
      </c>
      <c r="M5" s="1" t="s">
        <v>59</v>
      </c>
      <c r="N5" s="1" t="s">
        <v>59</v>
      </c>
      <c r="O5" s="1" t="s">
        <v>59</v>
      </c>
      <c r="P5" s="1" t="s">
        <v>4</v>
      </c>
      <c r="Q5" s="1" t="s">
        <v>3</v>
      </c>
      <c r="R5" s="1" t="s">
        <v>3</v>
      </c>
      <c r="S5" s="1" t="s">
        <v>2</v>
      </c>
      <c r="T5" s="1" t="s">
        <v>2</v>
      </c>
      <c r="U5" s="1" t="s">
        <v>2</v>
      </c>
      <c r="V5" s="1" t="s">
        <v>58</v>
      </c>
      <c r="W5" s="6" t="s">
        <v>58</v>
      </c>
      <c r="X5" s="5" t="s">
        <v>58</v>
      </c>
      <c r="Y5" s="1" t="s">
        <v>58</v>
      </c>
      <c r="Z5" s="1" t="s">
        <v>58</v>
      </c>
      <c r="AA5" s="1" t="s">
        <v>58</v>
      </c>
      <c r="AB5" s="1" t="s">
        <v>58</v>
      </c>
      <c r="AC5" s="1" t="s">
        <v>58</v>
      </c>
      <c r="AD5" s="1" t="s">
        <v>58</v>
      </c>
      <c r="AE5" s="1" t="s">
        <v>58</v>
      </c>
      <c r="AF5" s="1" t="s">
        <v>2</v>
      </c>
      <c r="AG5" s="1" t="s">
        <v>3</v>
      </c>
      <c r="AH5" s="1" t="s">
        <v>4</v>
      </c>
      <c r="AI5" s="1" t="s">
        <v>59</v>
      </c>
      <c r="AJ5" s="1" t="s">
        <v>59</v>
      </c>
      <c r="AK5" s="1" t="s">
        <v>59</v>
      </c>
      <c r="AL5" s="1" t="s">
        <v>59</v>
      </c>
      <c r="AM5" s="1" t="s">
        <v>4</v>
      </c>
      <c r="AN5" s="1" t="s">
        <v>4</v>
      </c>
      <c r="AO5" s="1" t="s">
        <v>3</v>
      </c>
      <c r="AP5" s="1" t="s">
        <v>2</v>
      </c>
      <c r="AQ5" s="1" t="s">
        <v>2</v>
      </c>
      <c r="AR5" s="1" t="s">
        <v>2</v>
      </c>
      <c r="AS5" s="1" t="s">
        <v>58</v>
      </c>
      <c r="AT5" s="1" t="s">
        <v>58</v>
      </c>
      <c r="AU5" s="6" t="s">
        <v>58</v>
      </c>
      <c r="AV5" s="5" t="s">
        <v>58</v>
      </c>
      <c r="AW5" s="1" t="s">
        <v>58</v>
      </c>
      <c r="AX5" s="1" t="s">
        <v>58</v>
      </c>
      <c r="AY5" s="1" t="s">
        <v>58</v>
      </c>
      <c r="AZ5" s="1" t="s">
        <v>58</v>
      </c>
      <c r="BA5" s="1" t="s">
        <v>58</v>
      </c>
      <c r="BB5" s="1" t="s">
        <v>60</v>
      </c>
      <c r="BC5" s="1" t="s">
        <v>58</v>
      </c>
      <c r="BD5" s="1" t="s">
        <v>2</v>
      </c>
      <c r="BE5" s="1" t="s">
        <v>3</v>
      </c>
      <c r="BF5" s="1" t="s">
        <v>4</v>
      </c>
      <c r="BG5" s="1" t="s">
        <v>59</v>
      </c>
      <c r="BH5" s="1" t="s">
        <v>59</v>
      </c>
      <c r="BI5" s="1" t="s">
        <v>59</v>
      </c>
      <c r="BJ5" s="1" t="s">
        <v>59</v>
      </c>
      <c r="BK5" s="1" t="s">
        <v>59</v>
      </c>
      <c r="BL5" s="1" t="s">
        <v>4</v>
      </c>
      <c r="BM5" s="1" t="s">
        <v>3</v>
      </c>
      <c r="BN5" s="1" t="s">
        <v>3</v>
      </c>
      <c r="BO5" s="1" t="s">
        <v>2</v>
      </c>
      <c r="BP5" s="1" t="s">
        <v>2</v>
      </c>
      <c r="BQ5" s="1" t="s">
        <v>58</v>
      </c>
      <c r="BR5" s="1" t="s">
        <v>58</v>
      </c>
      <c r="BS5" s="6" t="s">
        <v>58</v>
      </c>
      <c r="BT5" s="5" t="s">
        <v>58</v>
      </c>
      <c r="BU5" s="1" t="s">
        <v>58</v>
      </c>
      <c r="BV5" s="1" t="s">
        <v>58</v>
      </c>
      <c r="BW5" s="1" t="s">
        <v>58</v>
      </c>
      <c r="BX5" s="1" t="s">
        <v>58</v>
      </c>
      <c r="BY5" s="1" t="s">
        <v>60</v>
      </c>
      <c r="BZ5" s="1" t="s">
        <v>60</v>
      </c>
      <c r="CA5" s="1" t="s">
        <v>60</v>
      </c>
      <c r="CB5" s="1" t="s">
        <v>2</v>
      </c>
      <c r="CC5" s="1" t="s">
        <v>3</v>
      </c>
      <c r="CD5" s="1" t="s">
        <v>4</v>
      </c>
      <c r="CE5" s="1" t="s">
        <v>59</v>
      </c>
      <c r="CF5" s="1" t="s">
        <v>59</v>
      </c>
      <c r="CG5" s="1" t="s">
        <v>59</v>
      </c>
      <c r="CH5" s="1" t="s">
        <v>59</v>
      </c>
      <c r="CI5" s="1" t="s">
        <v>59</v>
      </c>
      <c r="CJ5" s="1" t="s">
        <v>4</v>
      </c>
      <c r="CK5" s="1" t="s">
        <v>3</v>
      </c>
      <c r="CL5" s="1" t="s">
        <v>2</v>
      </c>
      <c r="CM5" s="1" t="s">
        <v>2</v>
      </c>
      <c r="CN5" s="6" t="s">
        <v>58</v>
      </c>
      <c r="CO5" s="5" t="s">
        <v>58</v>
      </c>
      <c r="CP5" s="1" t="s">
        <v>60</v>
      </c>
      <c r="CQ5" s="1" t="s">
        <v>60</v>
      </c>
      <c r="CR5" s="1" t="s">
        <v>4</v>
      </c>
      <c r="CS5" s="1" t="s">
        <v>59</v>
      </c>
      <c r="CT5" s="1" t="s">
        <v>3</v>
      </c>
      <c r="CU5" s="1" t="s">
        <v>2</v>
      </c>
      <c r="CV5" s="6" t="s">
        <v>58</v>
      </c>
      <c r="CW5" s="5" t="s">
        <v>60</v>
      </c>
      <c r="CX5" s="1" t="s">
        <v>60</v>
      </c>
      <c r="CY5" s="1" t="s">
        <v>60</v>
      </c>
      <c r="CZ5" s="1" t="s">
        <v>3</v>
      </c>
      <c r="DA5" s="1" t="s">
        <v>4</v>
      </c>
      <c r="DB5" s="1" t="s">
        <v>3</v>
      </c>
      <c r="DC5" s="6" t="s">
        <v>58</v>
      </c>
      <c r="DD5" s="5" t="s">
        <v>60</v>
      </c>
      <c r="DE5" s="1" t="s">
        <v>60</v>
      </c>
      <c r="DF5" s="1" t="s">
        <v>4</v>
      </c>
      <c r="DG5" s="6" t="s">
        <v>2</v>
      </c>
      <c r="DH5" s="5" t="s">
        <v>58</v>
      </c>
      <c r="DI5" s="1" t="s">
        <v>60</v>
      </c>
      <c r="DJ5" s="1" t="s">
        <v>59</v>
      </c>
      <c r="DK5" s="6" t="s">
        <v>2</v>
      </c>
      <c r="DL5" s="5" t="s">
        <v>58</v>
      </c>
      <c r="DM5" s="1" t="s">
        <v>60</v>
      </c>
      <c r="DN5" s="1" t="s">
        <v>59</v>
      </c>
      <c r="DO5" s="6" t="s">
        <v>58</v>
      </c>
      <c r="DP5" s="5" t="s">
        <v>60</v>
      </c>
      <c r="DQ5" s="1" t="s">
        <v>60</v>
      </c>
      <c r="DR5" s="1" t="s">
        <v>59</v>
      </c>
      <c r="DS5" s="6" t="s">
        <v>2</v>
      </c>
      <c r="DT5" s="1"/>
    </row>
    <row r="6" spans="1:124" x14ac:dyDescent="0.25">
      <c r="B6" s="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6"/>
      <c r="X6" s="5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6"/>
      <c r="AV6" s="5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6"/>
      <c r="BT6" s="5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6"/>
      <c r="CO6" s="5"/>
      <c r="CP6" s="1"/>
      <c r="CQ6" s="1"/>
      <c r="CR6" s="1"/>
      <c r="CS6" s="1"/>
      <c r="CT6" s="1"/>
      <c r="CU6" s="1"/>
      <c r="CV6" s="6"/>
      <c r="CW6" s="5"/>
      <c r="CX6" s="1"/>
      <c r="CY6" s="1"/>
      <c r="CZ6" s="1"/>
      <c r="DA6" s="1"/>
      <c r="DB6" s="1"/>
      <c r="DC6" s="6"/>
      <c r="DD6" s="5"/>
      <c r="DE6" s="1"/>
      <c r="DF6" s="1"/>
      <c r="DG6" s="6"/>
      <c r="DH6" s="5"/>
      <c r="DI6" s="1"/>
      <c r="DJ6" s="1"/>
      <c r="DK6" s="6"/>
      <c r="DL6" s="5"/>
      <c r="DM6" s="1"/>
      <c r="DN6" s="1"/>
      <c r="DO6" s="6"/>
      <c r="DP6" s="5"/>
      <c r="DQ6" s="1"/>
      <c r="DR6" s="1"/>
      <c r="DS6" s="6"/>
      <c r="DT6" s="1"/>
    </row>
    <row r="7" spans="1:124" x14ac:dyDescent="0.25">
      <c r="A7" t="s">
        <v>6</v>
      </c>
      <c r="B7" s="5">
        <v>4</v>
      </c>
      <c r="C7" s="1">
        <v>4</v>
      </c>
      <c r="D7" s="1">
        <v>4</v>
      </c>
      <c r="E7" s="1">
        <v>3</v>
      </c>
      <c r="F7" s="1">
        <v>3</v>
      </c>
      <c r="G7" s="1">
        <v>3</v>
      </c>
      <c r="H7" s="1">
        <v>3</v>
      </c>
      <c r="I7" s="1">
        <v>3</v>
      </c>
      <c r="J7" s="1">
        <v>4</v>
      </c>
      <c r="K7" s="1">
        <v>5</v>
      </c>
      <c r="L7" s="1">
        <v>6</v>
      </c>
      <c r="M7" s="1">
        <v>6</v>
      </c>
      <c r="N7" s="1">
        <v>7</v>
      </c>
      <c r="O7" s="1">
        <v>7</v>
      </c>
      <c r="P7" s="1">
        <v>6</v>
      </c>
      <c r="Q7" s="1">
        <v>6</v>
      </c>
      <c r="R7" s="1">
        <v>6</v>
      </c>
      <c r="S7" s="1">
        <v>6</v>
      </c>
      <c r="T7" s="1">
        <v>6</v>
      </c>
      <c r="U7" s="1">
        <v>6</v>
      </c>
      <c r="V7" s="1">
        <v>6</v>
      </c>
      <c r="W7" s="6">
        <v>6</v>
      </c>
      <c r="X7" s="5">
        <v>5</v>
      </c>
      <c r="Y7" s="1">
        <v>5</v>
      </c>
      <c r="Z7" s="1">
        <v>4</v>
      </c>
      <c r="AA7" s="1">
        <v>4</v>
      </c>
      <c r="AB7" s="1">
        <v>3</v>
      </c>
      <c r="AC7" s="1">
        <v>3</v>
      </c>
      <c r="AD7" s="1">
        <v>3</v>
      </c>
      <c r="AE7" s="1">
        <v>3</v>
      </c>
      <c r="AF7" s="1">
        <v>4</v>
      </c>
      <c r="AG7" s="1">
        <v>4</v>
      </c>
      <c r="AH7" s="1">
        <v>5</v>
      </c>
      <c r="AI7" s="1">
        <v>6</v>
      </c>
      <c r="AJ7" s="1">
        <v>7</v>
      </c>
      <c r="AK7" s="1">
        <v>7</v>
      </c>
      <c r="AL7" s="1">
        <v>8</v>
      </c>
      <c r="AM7" s="1">
        <v>7</v>
      </c>
      <c r="AN7" s="1">
        <v>7</v>
      </c>
      <c r="AO7" s="1">
        <v>7</v>
      </c>
      <c r="AP7" s="1">
        <v>7</v>
      </c>
      <c r="AQ7" s="1">
        <v>7</v>
      </c>
      <c r="AR7" s="1">
        <v>6</v>
      </c>
      <c r="AS7" s="1">
        <v>6</v>
      </c>
      <c r="AT7" s="1">
        <v>6</v>
      </c>
      <c r="AU7" s="6">
        <v>5</v>
      </c>
      <c r="AV7" s="5">
        <v>4</v>
      </c>
      <c r="AW7" s="1">
        <v>4</v>
      </c>
      <c r="AX7" s="1">
        <v>4</v>
      </c>
      <c r="AY7" s="1">
        <v>4</v>
      </c>
      <c r="AZ7" s="1">
        <v>4</v>
      </c>
      <c r="BA7" s="1">
        <v>5</v>
      </c>
      <c r="BB7" s="1">
        <v>5</v>
      </c>
      <c r="BC7" s="1">
        <v>5</v>
      </c>
      <c r="BD7" s="1">
        <v>5</v>
      </c>
      <c r="BE7" s="1">
        <v>5</v>
      </c>
      <c r="BF7" s="1">
        <v>4</v>
      </c>
      <c r="BG7" s="1">
        <v>5</v>
      </c>
      <c r="BH7" s="1">
        <v>7</v>
      </c>
      <c r="BI7" s="1">
        <v>8</v>
      </c>
      <c r="BJ7" s="1">
        <v>8</v>
      </c>
      <c r="BK7" s="1">
        <v>7</v>
      </c>
      <c r="BL7" s="1">
        <v>7</v>
      </c>
      <c r="BM7" s="1">
        <v>6</v>
      </c>
      <c r="BN7" s="1">
        <v>6</v>
      </c>
      <c r="BO7" s="1">
        <v>6</v>
      </c>
      <c r="BP7" s="1">
        <v>6</v>
      </c>
      <c r="BQ7" s="1">
        <v>6</v>
      </c>
      <c r="BR7" s="1">
        <v>6</v>
      </c>
      <c r="BS7" s="6">
        <v>6</v>
      </c>
      <c r="BT7" s="5">
        <v>5</v>
      </c>
      <c r="BU7" s="1">
        <v>5</v>
      </c>
      <c r="BV7" s="1">
        <v>5</v>
      </c>
      <c r="BW7" s="1">
        <v>5</v>
      </c>
      <c r="BX7" s="1">
        <v>4</v>
      </c>
      <c r="BY7" s="1">
        <v>4</v>
      </c>
      <c r="BZ7" s="1">
        <v>3</v>
      </c>
      <c r="CA7" s="1">
        <v>3</v>
      </c>
      <c r="CB7" s="1">
        <v>3</v>
      </c>
      <c r="CC7" s="1">
        <v>3</v>
      </c>
      <c r="CD7" s="1">
        <v>4</v>
      </c>
      <c r="CE7" s="1">
        <v>5</v>
      </c>
      <c r="CF7" s="1">
        <v>6</v>
      </c>
      <c r="CG7" s="1">
        <v>6</v>
      </c>
      <c r="CH7" s="1">
        <v>7</v>
      </c>
      <c r="CI7" s="1">
        <v>6</v>
      </c>
      <c r="CJ7" s="1">
        <v>7</v>
      </c>
      <c r="CK7" s="1">
        <v>7</v>
      </c>
      <c r="CL7" s="1">
        <v>7</v>
      </c>
      <c r="CM7" s="1">
        <v>7</v>
      </c>
      <c r="CN7" s="6">
        <v>6</v>
      </c>
      <c r="CO7" s="5">
        <v>2</v>
      </c>
      <c r="CP7" s="1">
        <v>4</v>
      </c>
      <c r="CQ7" s="1">
        <v>4</v>
      </c>
      <c r="CR7" s="1">
        <v>4</v>
      </c>
      <c r="CS7" s="1">
        <v>6</v>
      </c>
      <c r="CT7" s="1">
        <v>7</v>
      </c>
      <c r="CU7" s="1">
        <v>7</v>
      </c>
      <c r="CV7" s="6">
        <v>5</v>
      </c>
      <c r="CW7" s="5">
        <v>3</v>
      </c>
      <c r="CX7" s="1">
        <v>4</v>
      </c>
      <c r="CY7" s="1">
        <v>4</v>
      </c>
      <c r="CZ7" s="1">
        <v>5</v>
      </c>
      <c r="DA7" s="1">
        <v>6</v>
      </c>
      <c r="DB7" s="1">
        <v>6</v>
      </c>
      <c r="DC7" s="6">
        <v>6</v>
      </c>
      <c r="DD7" s="5">
        <v>5</v>
      </c>
      <c r="DE7" s="1">
        <v>5</v>
      </c>
      <c r="DF7" s="1">
        <v>5</v>
      </c>
      <c r="DG7" s="6">
        <v>5</v>
      </c>
      <c r="DH7" s="5">
        <v>4</v>
      </c>
      <c r="DI7" s="1">
        <v>3</v>
      </c>
      <c r="DJ7" s="1">
        <v>5</v>
      </c>
      <c r="DK7" s="6">
        <v>5</v>
      </c>
      <c r="DL7" s="5">
        <v>5</v>
      </c>
      <c r="DM7" s="1">
        <v>4</v>
      </c>
      <c r="DN7" s="1">
        <v>7</v>
      </c>
      <c r="DO7" s="6">
        <v>7</v>
      </c>
      <c r="DP7" s="5">
        <v>3</v>
      </c>
      <c r="DQ7" s="1">
        <v>4</v>
      </c>
      <c r="DR7" s="1">
        <v>6</v>
      </c>
      <c r="DS7" s="6">
        <v>6</v>
      </c>
      <c r="DT7" s="1"/>
    </row>
    <row r="8" spans="1:124" x14ac:dyDescent="0.25">
      <c r="A8" t="s">
        <v>8</v>
      </c>
      <c r="B8" s="5">
        <v>7</v>
      </c>
      <c r="C8" s="1">
        <v>7</v>
      </c>
      <c r="D8" s="1">
        <v>7</v>
      </c>
      <c r="E8" s="1">
        <v>7</v>
      </c>
      <c r="F8" s="1">
        <v>6</v>
      </c>
      <c r="G8" s="1">
        <v>6</v>
      </c>
      <c r="H8" s="1">
        <v>6</v>
      </c>
      <c r="I8" s="1">
        <v>7</v>
      </c>
      <c r="J8" s="1">
        <v>7</v>
      </c>
      <c r="K8" s="1">
        <v>8</v>
      </c>
      <c r="L8" s="1">
        <v>10</v>
      </c>
      <c r="M8" s="1">
        <v>11</v>
      </c>
      <c r="N8" s="1">
        <v>11</v>
      </c>
      <c r="O8" s="1">
        <v>11</v>
      </c>
      <c r="P8" s="1">
        <v>11</v>
      </c>
      <c r="Q8" s="1">
        <v>11</v>
      </c>
      <c r="R8" s="1">
        <v>11</v>
      </c>
      <c r="S8" s="1">
        <v>11</v>
      </c>
      <c r="T8" s="1">
        <v>11</v>
      </c>
      <c r="U8" s="1">
        <v>11</v>
      </c>
      <c r="V8" s="1">
        <v>11</v>
      </c>
      <c r="W8" s="6">
        <v>10</v>
      </c>
      <c r="X8" s="5">
        <v>10</v>
      </c>
      <c r="Y8" s="1">
        <v>10</v>
      </c>
      <c r="Z8" s="1">
        <v>10</v>
      </c>
      <c r="AA8" s="1">
        <v>9</v>
      </c>
      <c r="AB8" s="1">
        <v>8</v>
      </c>
      <c r="AC8" s="1">
        <v>7</v>
      </c>
      <c r="AD8" s="1">
        <v>7</v>
      </c>
      <c r="AE8" s="1">
        <v>6</v>
      </c>
      <c r="AF8" s="1">
        <v>6</v>
      </c>
      <c r="AG8" s="1">
        <v>7</v>
      </c>
      <c r="AH8" s="1">
        <v>8</v>
      </c>
      <c r="AI8" s="1">
        <v>10</v>
      </c>
      <c r="AJ8" s="1">
        <v>11</v>
      </c>
      <c r="AK8" s="1">
        <v>12</v>
      </c>
      <c r="AL8" s="1">
        <v>13</v>
      </c>
      <c r="AM8" s="1">
        <v>13</v>
      </c>
      <c r="AN8" s="1">
        <v>13</v>
      </c>
      <c r="AO8" s="1">
        <v>13</v>
      </c>
      <c r="AP8" s="1">
        <v>13</v>
      </c>
      <c r="AQ8" s="1">
        <v>13</v>
      </c>
      <c r="AR8" s="1">
        <v>12</v>
      </c>
      <c r="AS8" s="1">
        <v>12</v>
      </c>
      <c r="AT8" s="1">
        <v>11</v>
      </c>
      <c r="AU8" s="6">
        <v>11</v>
      </c>
      <c r="AV8" s="5">
        <v>10</v>
      </c>
      <c r="AW8" s="1">
        <v>10</v>
      </c>
      <c r="AX8" s="1">
        <v>9</v>
      </c>
      <c r="AY8" s="1">
        <v>8</v>
      </c>
      <c r="AZ8" s="1">
        <v>7</v>
      </c>
      <c r="BA8" s="1">
        <v>7</v>
      </c>
      <c r="BB8" s="1">
        <v>8</v>
      </c>
      <c r="BC8" s="1">
        <v>9</v>
      </c>
      <c r="BD8" s="1">
        <v>9</v>
      </c>
      <c r="BE8" s="1">
        <v>9</v>
      </c>
      <c r="BF8" s="1">
        <v>9</v>
      </c>
      <c r="BG8" s="1">
        <v>10</v>
      </c>
      <c r="BH8" s="1">
        <v>12</v>
      </c>
      <c r="BI8" s="1">
        <v>13</v>
      </c>
      <c r="BJ8" s="1">
        <v>13</v>
      </c>
      <c r="BK8" s="1">
        <v>13</v>
      </c>
      <c r="BL8" s="1">
        <v>13</v>
      </c>
      <c r="BM8" s="1">
        <v>13</v>
      </c>
      <c r="BN8" s="1">
        <v>12</v>
      </c>
      <c r="BO8" s="1">
        <v>11</v>
      </c>
      <c r="BP8" s="1">
        <v>11</v>
      </c>
      <c r="BQ8" s="1">
        <v>10</v>
      </c>
      <c r="BR8" s="1">
        <v>10</v>
      </c>
      <c r="BS8" s="6">
        <v>10</v>
      </c>
      <c r="BT8" s="5">
        <v>10</v>
      </c>
      <c r="BU8" s="1">
        <v>9</v>
      </c>
      <c r="BV8" s="1">
        <v>9</v>
      </c>
      <c r="BW8" s="1">
        <v>9</v>
      </c>
      <c r="BX8" s="1">
        <v>8</v>
      </c>
      <c r="BY8" s="1">
        <v>8</v>
      </c>
      <c r="BZ8" s="1">
        <v>7</v>
      </c>
      <c r="CA8" s="1">
        <v>7</v>
      </c>
      <c r="CB8" s="1">
        <v>7</v>
      </c>
      <c r="CC8" s="1">
        <v>7</v>
      </c>
      <c r="CD8" s="1">
        <v>7</v>
      </c>
      <c r="CE8" s="1">
        <v>9</v>
      </c>
      <c r="CF8" s="1">
        <v>10</v>
      </c>
      <c r="CG8" s="1">
        <v>11</v>
      </c>
      <c r="CH8" s="1">
        <v>11</v>
      </c>
      <c r="CI8" s="1">
        <v>11</v>
      </c>
      <c r="CJ8" s="1">
        <v>11</v>
      </c>
      <c r="CK8" s="1">
        <v>11</v>
      </c>
      <c r="CL8" s="1">
        <v>11</v>
      </c>
      <c r="CM8" s="1">
        <v>12</v>
      </c>
      <c r="CN8" s="6">
        <v>11</v>
      </c>
      <c r="CO8" s="5">
        <v>10</v>
      </c>
      <c r="CP8" s="1">
        <v>6</v>
      </c>
      <c r="CQ8" s="1">
        <v>7</v>
      </c>
      <c r="CR8" s="1">
        <v>7</v>
      </c>
      <c r="CS8" s="1">
        <v>11</v>
      </c>
      <c r="CT8" s="1">
        <v>12</v>
      </c>
      <c r="CU8" s="1">
        <v>12</v>
      </c>
      <c r="CV8" s="6">
        <v>11</v>
      </c>
      <c r="CW8" s="5">
        <v>8</v>
      </c>
      <c r="CX8" s="1">
        <v>6</v>
      </c>
      <c r="CY8" s="1">
        <v>6</v>
      </c>
      <c r="CZ8" s="1">
        <v>8</v>
      </c>
      <c r="DA8" s="1">
        <v>10</v>
      </c>
      <c r="DB8" s="1">
        <v>11</v>
      </c>
      <c r="DC8" s="6">
        <v>11</v>
      </c>
      <c r="DD8" s="5">
        <v>10</v>
      </c>
      <c r="DE8" s="1">
        <v>9</v>
      </c>
      <c r="DF8" s="1">
        <v>9</v>
      </c>
      <c r="DG8" s="6">
        <v>10</v>
      </c>
      <c r="DH8" s="5">
        <v>8</v>
      </c>
      <c r="DI8" s="1">
        <v>6</v>
      </c>
      <c r="DJ8" s="1">
        <v>9</v>
      </c>
      <c r="DK8" s="6">
        <v>10</v>
      </c>
      <c r="DL8" s="5">
        <v>9</v>
      </c>
      <c r="DM8" s="1">
        <v>8</v>
      </c>
      <c r="DN8" s="1">
        <v>11</v>
      </c>
      <c r="DO8" s="6">
        <v>12</v>
      </c>
      <c r="DP8" s="5">
        <v>11</v>
      </c>
      <c r="DQ8" s="1">
        <v>7</v>
      </c>
      <c r="DR8" s="1">
        <v>10</v>
      </c>
      <c r="DS8" s="6">
        <v>11</v>
      </c>
      <c r="DT8" s="1"/>
    </row>
    <row r="9" spans="1:124" ht="15.75" thickBot="1" x14ac:dyDescent="0.3">
      <c r="A9" t="s">
        <v>7</v>
      </c>
      <c r="B9" s="7">
        <v>4</v>
      </c>
      <c r="C9" s="8">
        <v>4</v>
      </c>
      <c r="D9" s="8">
        <v>4</v>
      </c>
      <c r="E9" s="8">
        <v>4</v>
      </c>
      <c r="F9" s="8">
        <v>4</v>
      </c>
      <c r="G9" s="8">
        <v>4</v>
      </c>
      <c r="H9" s="8">
        <v>4</v>
      </c>
      <c r="I9" s="8">
        <v>4</v>
      </c>
      <c r="J9" s="8">
        <v>4</v>
      </c>
      <c r="K9" s="8">
        <v>4</v>
      </c>
      <c r="L9" s="8">
        <v>4</v>
      </c>
      <c r="M9" s="8">
        <v>4</v>
      </c>
      <c r="N9" s="8">
        <v>4</v>
      </c>
      <c r="O9" s="8">
        <v>4</v>
      </c>
      <c r="P9" s="8">
        <v>4</v>
      </c>
      <c r="Q9" s="8">
        <v>4</v>
      </c>
      <c r="R9" s="8">
        <v>4</v>
      </c>
      <c r="S9" s="8">
        <v>4</v>
      </c>
      <c r="T9" s="8">
        <v>4</v>
      </c>
      <c r="U9" s="8">
        <v>4</v>
      </c>
      <c r="V9" s="8">
        <v>4</v>
      </c>
      <c r="W9" s="9">
        <v>4</v>
      </c>
      <c r="X9" s="7">
        <v>4</v>
      </c>
      <c r="Y9" s="8">
        <v>4</v>
      </c>
      <c r="Z9" s="8">
        <v>4</v>
      </c>
      <c r="AA9" s="8">
        <v>4</v>
      </c>
      <c r="AB9" s="8">
        <v>4</v>
      </c>
      <c r="AC9" s="8">
        <v>4</v>
      </c>
      <c r="AD9" s="8">
        <v>4</v>
      </c>
      <c r="AE9" s="8">
        <v>4</v>
      </c>
      <c r="AF9" s="8">
        <v>4</v>
      </c>
      <c r="AG9" s="8">
        <v>4</v>
      </c>
      <c r="AH9" s="8">
        <v>4</v>
      </c>
      <c r="AI9" s="8">
        <v>4</v>
      </c>
      <c r="AJ9" s="8">
        <v>4</v>
      </c>
      <c r="AK9" s="8">
        <v>4</v>
      </c>
      <c r="AL9" s="8">
        <v>4</v>
      </c>
      <c r="AM9" s="8">
        <v>4</v>
      </c>
      <c r="AN9" s="8">
        <v>4</v>
      </c>
      <c r="AO9" s="8">
        <v>4</v>
      </c>
      <c r="AP9" s="8">
        <v>4</v>
      </c>
      <c r="AQ9" s="8">
        <v>4</v>
      </c>
      <c r="AR9" s="8">
        <v>4</v>
      </c>
      <c r="AS9" s="8">
        <v>4</v>
      </c>
      <c r="AT9" s="8">
        <v>4</v>
      </c>
      <c r="AU9" s="9">
        <v>4</v>
      </c>
      <c r="AV9" s="7">
        <v>4</v>
      </c>
      <c r="AW9" s="8">
        <v>4</v>
      </c>
      <c r="AX9" s="8">
        <v>4</v>
      </c>
      <c r="AY9" s="8">
        <v>4</v>
      </c>
      <c r="AZ9" s="8">
        <v>4</v>
      </c>
      <c r="BA9" s="8">
        <v>4</v>
      </c>
      <c r="BB9" s="8">
        <v>4</v>
      </c>
      <c r="BC9" s="8">
        <v>4</v>
      </c>
      <c r="BD9" s="8">
        <v>4</v>
      </c>
      <c r="BE9" s="8">
        <v>4</v>
      </c>
      <c r="BF9" s="8">
        <v>4</v>
      </c>
      <c r="BG9" s="8">
        <v>4</v>
      </c>
      <c r="BH9" s="8">
        <v>4</v>
      </c>
      <c r="BI9" s="8">
        <v>4</v>
      </c>
      <c r="BJ9" s="8">
        <v>4</v>
      </c>
      <c r="BK9" s="8">
        <v>4</v>
      </c>
      <c r="BL9" s="8">
        <v>4</v>
      </c>
      <c r="BM9" s="8">
        <v>4</v>
      </c>
      <c r="BN9" s="8">
        <v>4</v>
      </c>
      <c r="BO9" s="8">
        <v>4</v>
      </c>
      <c r="BP9" s="8">
        <v>4</v>
      </c>
      <c r="BQ9" s="8">
        <v>4</v>
      </c>
      <c r="BR9" s="8">
        <v>4</v>
      </c>
      <c r="BS9" s="9">
        <v>4</v>
      </c>
      <c r="BT9" s="7">
        <v>4</v>
      </c>
      <c r="BU9" s="8">
        <v>4</v>
      </c>
      <c r="BV9" s="8">
        <v>4</v>
      </c>
      <c r="BW9" s="8">
        <v>4</v>
      </c>
      <c r="BX9" s="8">
        <v>4</v>
      </c>
      <c r="BY9" s="8">
        <v>4</v>
      </c>
      <c r="BZ9" s="8">
        <v>4</v>
      </c>
      <c r="CA9" s="8">
        <v>4</v>
      </c>
      <c r="CB9" s="8">
        <v>4</v>
      </c>
      <c r="CC9" s="8">
        <v>4</v>
      </c>
      <c r="CD9" s="8">
        <v>4</v>
      </c>
      <c r="CE9" s="8">
        <v>4</v>
      </c>
      <c r="CF9" s="8">
        <v>4</v>
      </c>
      <c r="CG9" s="8">
        <v>4</v>
      </c>
      <c r="CH9" s="8">
        <v>4</v>
      </c>
      <c r="CI9" s="8">
        <v>4</v>
      </c>
      <c r="CJ9" s="8">
        <v>4</v>
      </c>
      <c r="CK9" s="8">
        <v>4</v>
      </c>
      <c r="CL9" s="8">
        <v>4</v>
      </c>
      <c r="CM9" s="8">
        <v>4</v>
      </c>
      <c r="CN9" s="9">
        <v>4</v>
      </c>
      <c r="CO9" s="7">
        <v>4</v>
      </c>
      <c r="CP9" s="8">
        <v>4</v>
      </c>
      <c r="CQ9" s="8">
        <v>4</v>
      </c>
      <c r="CR9" s="8">
        <v>4</v>
      </c>
      <c r="CS9" s="8">
        <v>4</v>
      </c>
      <c r="CT9" s="8">
        <v>4</v>
      </c>
      <c r="CU9" s="8">
        <v>4</v>
      </c>
      <c r="CV9" s="9">
        <v>4</v>
      </c>
      <c r="CW9" s="7">
        <v>4</v>
      </c>
      <c r="CX9" s="8">
        <v>4</v>
      </c>
      <c r="CY9" s="8">
        <v>4</v>
      </c>
      <c r="CZ9" s="8">
        <v>4</v>
      </c>
      <c r="DA9" s="8">
        <v>4</v>
      </c>
      <c r="DB9" s="8">
        <v>4</v>
      </c>
      <c r="DC9" s="9">
        <v>4</v>
      </c>
      <c r="DD9" s="7">
        <v>4</v>
      </c>
      <c r="DE9" s="8">
        <v>4</v>
      </c>
      <c r="DF9" s="8">
        <v>4</v>
      </c>
      <c r="DG9" s="9">
        <v>4</v>
      </c>
      <c r="DH9" s="7">
        <v>4</v>
      </c>
      <c r="DI9" s="8">
        <v>4</v>
      </c>
      <c r="DJ9" s="8">
        <v>4</v>
      </c>
      <c r="DK9" s="9">
        <v>4</v>
      </c>
      <c r="DL9" s="7">
        <v>4</v>
      </c>
      <c r="DM9" s="8">
        <v>4</v>
      </c>
      <c r="DN9" s="8">
        <v>4</v>
      </c>
      <c r="DO9" s="9">
        <v>4</v>
      </c>
      <c r="DP9" s="7">
        <v>4</v>
      </c>
      <c r="DQ9" s="8">
        <v>4</v>
      </c>
      <c r="DR9" s="8">
        <v>4</v>
      </c>
      <c r="DS9" s="9">
        <v>4</v>
      </c>
      <c r="DT9" s="1"/>
    </row>
    <row r="13" spans="1:124" x14ac:dyDescent="0.25">
      <c r="B13" t="s">
        <v>172</v>
      </c>
      <c r="X13" t="s">
        <v>173</v>
      </c>
      <c r="AV13" t="s">
        <v>192</v>
      </c>
      <c r="BT13" t="s">
        <v>193</v>
      </c>
      <c r="CO13" t="s">
        <v>194</v>
      </c>
      <c r="CW13" t="s">
        <v>195</v>
      </c>
      <c r="DD13" t="s">
        <v>198</v>
      </c>
      <c r="DH13" t="s">
        <v>200</v>
      </c>
      <c r="DL13" t="s">
        <v>201</v>
      </c>
      <c r="DP13" t="s">
        <v>202</v>
      </c>
    </row>
    <row r="14" spans="1:124" x14ac:dyDescent="0.25">
      <c r="B14">
        <v>2</v>
      </c>
      <c r="C14">
        <v>3</v>
      </c>
      <c r="D14">
        <v>4</v>
      </c>
      <c r="E14">
        <v>5</v>
      </c>
      <c r="F14">
        <v>6</v>
      </c>
      <c r="G14">
        <v>7</v>
      </c>
      <c r="H14">
        <v>8</v>
      </c>
      <c r="I14">
        <v>9</v>
      </c>
      <c r="J14">
        <v>10</v>
      </c>
      <c r="K14">
        <v>11</v>
      </c>
      <c r="L14">
        <v>12</v>
      </c>
      <c r="M14">
        <v>13</v>
      </c>
      <c r="N14">
        <v>14</v>
      </c>
      <c r="O14">
        <v>15</v>
      </c>
      <c r="P14">
        <v>16</v>
      </c>
      <c r="Q14">
        <v>17</v>
      </c>
      <c r="R14">
        <v>18</v>
      </c>
      <c r="S14">
        <v>19</v>
      </c>
      <c r="T14">
        <v>20</v>
      </c>
      <c r="U14">
        <v>21</v>
      </c>
      <c r="V14">
        <v>22</v>
      </c>
      <c r="W14">
        <v>23</v>
      </c>
      <c r="X14">
        <v>0</v>
      </c>
      <c r="Y14">
        <v>1</v>
      </c>
      <c r="Z14">
        <v>2</v>
      </c>
      <c r="AA14">
        <v>3</v>
      </c>
      <c r="AB14">
        <v>4</v>
      </c>
      <c r="AC14">
        <v>5</v>
      </c>
      <c r="AD14">
        <v>6</v>
      </c>
      <c r="AE14">
        <v>7</v>
      </c>
      <c r="AF14">
        <v>8</v>
      </c>
      <c r="AG14">
        <v>9</v>
      </c>
      <c r="AH14">
        <v>10</v>
      </c>
      <c r="AI14">
        <v>11</v>
      </c>
      <c r="AJ14">
        <v>12</v>
      </c>
      <c r="AK14">
        <v>13</v>
      </c>
      <c r="AL14">
        <v>14</v>
      </c>
      <c r="AM14">
        <v>15</v>
      </c>
      <c r="AN14">
        <v>16</v>
      </c>
      <c r="AO14">
        <v>17</v>
      </c>
      <c r="AP14">
        <v>18</v>
      </c>
      <c r="AQ14">
        <v>19</v>
      </c>
      <c r="AR14">
        <v>20</v>
      </c>
      <c r="AS14">
        <v>21</v>
      </c>
      <c r="AT14">
        <v>22</v>
      </c>
      <c r="AU14">
        <v>23</v>
      </c>
      <c r="AV14">
        <v>0</v>
      </c>
      <c r="AW14">
        <v>1</v>
      </c>
      <c r="AX14">
        <v>2</v>
      </c>
      <c r="AY14">
        <v>3</v>
      </c>
      <c r="AZ14">
        <v>4</v>
      </c>
      <c r="BA14">
        <v>5</v>
      </c>
      <c r="BB14">
        <v>6</v>
      </c>
      <c r="BC14">
        <v>7</v>
      </c>
      <c r="BD14">
        <v>8</v>
      </c>
      <c r="BE14">
        <v>9</v>
      </c>
      <c r="BF14">
        <v>10</v>
      </c>
      <c r="BG14">
        <v>11</v>
      </c>
      <c r="BH14">
        <v>12</v>
      </c>
      <c r="BI14">
        <v>13</v>
      </c>
      <c r="BJ14">
        <v>14</v>
      </c>
      <c r="BK14">
        <v>15</v>
      </c>
      <c r="BL14">
        <v>16</v>
      </c>
      <c r="BM14">
        <v>17</v>
      </c>
      <c r="BN14">
        <v>18</v>
      </c>
      <c r="BO14">
        <v>19</v>
      </c>
      <c r="BP14">
        <v>20</v>
      </c>
      <c r="BQ14">
        <v>21</v>
      </c>
      <c r="BR14">
        <v>22</v>
      </c>
      <c r="BS14">
        <v>23</v>
      </c>
      <c r="BT14">
        <v>0</v>
      </c>
      <c r="BU14">
        <v>1</v>
      </c>
      <c r="BV14">
        <v>2</v>
      </c>
      <c r="BW14">
        <v>3</v>
      </c>
      <c r="BX14">
        <v>4</v>
      </c>
      <c r="BY14">
        <v>5</v>
      </c>
      <c r="BZ14">
        <v>6</v>
      </c>
      <c r="CA14">
        <v>7</v>
      </c>
      <c r="CB14">
        <v>8</v>
      </c>
      <c r="CC14">
        <v>9</v>
      </c>
      <c r="CD14">
        <v>10</v>
      </c>
      <c r="CE14">
        <v>11</v>
      </c>
      <c r="CF14">
        <v>12</v>
      </c>
      <c r="CG14">
        <v>13</v>
      </c>
      <c r="CH14">
        <v>14</v>
      </c>
      <c r="CI14">
        <v>15</v>
      </c>
      <c r="CJ14">
        <v>16</v>
      </c>
      <c r="CK14">
        <v>17</v>
      </c>
      <c r="CL14">
        <v>18</v>
      </c>
      <c r="CM14">
        <v>19</v>
      </c>
      <c r="CN14">
        <v>22</v>
      </c>
      <c r="CO14">
        <v>1</v>
      </c>
      <c r="CP14">
        <v>4</v>
      </c>
      <c r="CQ14">
        <v>7</v>
      </c>
      <c r="CR14">
        <v>10</v>
      </c>
      <c r="CS14">
        <v>13</v>
      </c>
      <c r="CT14">
        <v>16</v>
      </c>
      <c r="CU14">
        <v>19</v>
      </c>
      <c r="CV14">
        <v>22</v>
      </c>
      <c r="CW14">
        <v>1</v>
      </c>
      <c r="CX14">
        <v>4</v>
      </c>
      <c r="CY14">
        <v>7</v>
      </c>
      <c r="CZ14">
        <v>10</v>
      </c>
      <c r="DA14">
        <v>13</v>
      </c>
      <c r="DB14">
        <v>16</v>
      </c>
      <c r="DC14">
        <v>19</v>
      </c>
      <c r="DD14">
        <v>1</v>
      </c>
      <c r="DE14">
        <v>7</v>
      </c>
      <c r="DF14">
        <v>13</v>
      </c>
      <c r="DG14">
        <v>19</v>
      </c>
      <c r="DH14">
        <v>1</v>
      </c>
      <c r="DI14">
        <v>7</v>
      </c>
      <c r="DJ14">
        <v>13</v>
      </c>
      <c r="DK14">
        <v>19</v>
      </c>
      <c r="DL14">
        <v>1</v>
      </c>
      <c r="DM14">
        <v>7</v>
      </c>
      <c r="DN14">
        <v>13</v>
      </c>
      <c r="DO14">
        <v>19</v>
      </c>
      <c r="DP14">
        <v>1</v>
      </c>
      <c r="DQ14">
        <v>7</v>
      </c>
      <c r="DR14">
        <v>13</v>
      </c>
      <c r="DS14">
        <v>19</v>
      </c>
    </row>
    <row r="16" spans="1:124" x14ac:dyDescent="0.25">
      <c r="B16" t="s">
        <v>60</v>
      </c>
      <c r="C16" t="s">
        <v>60</v>
      </c>
      <c r="D16" t="s">
        <v>60</v>
      </c>
      <c r="E16" t="s">
        <v>60</v>
      </c>
      <c r="F16" t="s">
        <v>60</v>
      </c>
      <c r="G16" t="s">
        <v>60</v>
      </c>
      <c r="H16" t="s">
        <v>58</v>
      </c>
      <c r="I16" t="s">
        <v>2</v>
      </c>
      <c r="J16" t="s">
        <v>2</v>
      </c>
      <c r="K16" t="s">
        <v>3</v>
      </c>
      <c r="L16" t="s">
        <v>3</v>
      </c>
      <c r="M16" t="s">
        <v>4</v>
      </c>
      <c r="N16" t="s">
        <v>3</v>
      </c>
      <c r="O16" t="s">
        <v>3</v>
      </c>
      <c r="P16" t="s">
        <v>3</v>
      </c>
      <c r="Q16" t="s">
        <v>2</v>
      </c>
      <c r="R16" t="s">
        <v>2</v>
      </c>
      <c r="S16" t="s">
        <v>58</v>
      </c>
      <c r="T16" t="s">
        <v>58</v>
      </c>
      <c r="U16" t="s">
        <v>58</v>
      </c>
      <c r="V16" t="s">
        <v>58</v>
      </c>
      <c r="W16" t="s">
        <v>58</v>
      </c>
      <c r="X16" t="s">
        <v>58</v>
      </c>
      <c r="Y16" t="s">
        <v>58</v>
      </c>
      <c r="Z16" t="s">
        <v>60</v>
      </c>
      <c r="AA16" t="s">
        <v>60</v>
      </c>
      <c r="AB16" t="s">
        <v>199</v>
      </c>
      <c r="AC16" t="s">
        <v>199</v>
      </c>
      <c r="AD16" t="s">
        <v>199</v>
      </c>
      <c r="AE16" t="s">
        <v>199</v>
      </c>
      <c r="AF16" t="s">
        <v>60</v>
      </c>
      <c r="AG16" t="s">
        <v>60</v>
      </c>
      <c r="AH16" t="s">
        <v>58</v>
      </c>
      <c r="AI16" t="s">
        <v>58</v>
      </c>
      <c r="AJ16" t="s">
        <v>58</v>
      </c>
      <c r="AK16" t="s">
        <v>58</v>
      </c>
      <c r="AL16" t="s">
        <v>58</v>
      </c>
      <c r="AM16" t="s">
        <v>2</v>
      </c>
      <c r="AN16" t="s">
        <v>2</v>
      </c>
      <c r="AO16" t="s">
        <v>2</v>
      </c>
      <c r="AP16" t="s">
        <v>2</v>
      </c>
      <c r="AQ16" t="s">
        <v>2</v>
      </c>
      <c r="AR16" t="s">
        <v>58</v>
      </c>
      <c r="AS16" t="s">
        <v>58</v>
      </c>
      <c r="AT16" t="s">
        <v>58</v>
      </c>
      <c r="AU16" t="s">
        <v>58</v>
      </c>
      <c r="AV16" t="s">
        <v>58</v>
      </c>
      <c r="AW16" t="s">
        <v>58</v>
      </c>
      <c r="AX16" t="s">
        <v>58</v>
      </c>
      <c r="AY16" t="s">
        <v>58</v>
      </c>
      <c r="AZ16" t="s">
        <v>58</v>
      </c>
      <c r="BA16" t="s">
        <v>58</v>
      </c>
      <c r="BB16" t="s">
        <v>60</v>
      </c>
      <c r="BC16" t="s">
        <v>58</v>
      </c>
      <c r="BD16" t="s">
        <v>58</v>
      </c>
      <c r="BE16" t="s">
        <v>2</v>
      </c>
      <c r="BF16" t="s">
        <v>2</v>
      </c>
      <c r="BG16" t="s">
        <v>2</v>
      </c>
      <c r="BH16" t="s">
        <v>2</v>
      </c>
      <c r="BI16" t="s">
        <v>2</v>
      </c>
      <c r="BJ16" t="s">
        <v>3</v>
      </c>
      <c r="BK16" t="s">
        <v>2</v>
      </c>
      <c r="BL16" t="s">
        <v>2</v>
      </c>
      <c r="BM16" t="s">
        <v>58</v>
      </c>
      <c r="BN16" t="s">
        <v>58</v>
      </c>
      <c r="BO16" t="s">
        <v>58</v>
      </c>
      <c r="BP16" t="s">
        <v>58</v>
      </c>
      <c r="BQ16" t="s">
        <v>58</v>
      </c>
      <c r="BR16" t="s">
        <v>58</v>
      </c>
      <c r="BS16" t="s">
        <v>58</v>
      </c>
      <c r="BT16" t="s">
        <v>58</v>
      </c>
      <c r="BU16" t="s">
        <v>58</v>
      </c>
      <c r="BV16" t="s">
        <v>58</v>
      </c>
      <c r="BW16" t="s">
        <v>60</v>
      </c>
      <c r="BX16" t="s">
        <v>60</v>
      </c>
      <c r="BY16" t="s">
        <v>60</v>
      </c>
      <c r="BZ16" t="s">
        <v>60</v>
      </c>
      <c r="CA16" t="s">
        <v>60</v>
      </c>
      <c r="CB16" t="s">
        <v>58</v>
      </c>
      <c r="CC16" t="s">
        <v>2</v>
      </c>
      <c r="CD16" t="s">
        <v>2</v>
      </c>
      <c r="CE16" t="s">
        <v>3</v>
      </c>
      <c r="CF16" t="s">
        <v>3</v>
      </c>
      <c r="CG16" t="s">
        <v>3</v>
      </c>
      <c r="CH16" t="s">
        <v>4</v>
      </c>
      <c r="CI16" t="s">
        <v>3</v>
      </c>
      <c r="CJ16" t="s">
        <v>3</v>
      </c>
      <c r="CK16" t="s">
        <v>2</v>
      </c>
      <c r="CL16" t="s">
        <v>2</v>
      </c>
      <c r="CM16" t="s">
        <v>58</v>
      </c>
      <c r="CN16" t="s">
        <v>58</v>
      </c>
      <c r="CO16" t="s">
        <v>58</v>
      </c>
      <c r="CP16" t="s">
        <v>60</v>
      </c>
      <c r="CQ16" t="s">
        <v>60</v>
      </c>
      <c r="CR16" t="s">
        <v>2</v>
      </c>
      <c r="CS16" t="s">
        <v>4</v>
      </c>
      <c r="CT16" t="s">
        <v>3</v>
      </c>
      <c r="CU16" t="s">
        <v>2</v>
      </c>
      <c r="CV16" t="s">
        <v>58</v>
      </c>
      <c r="CW16" t="s">
        <v>58</v>
      </c>
      <c r="CX16" t="s">
        <v>58</v>
      </c>
      <c r="CY16" t="s">
        <v>58</v>
      </c>
      <c r="CZ16" t="s">
        <v>2</v>
      </c>
      <c r="DA16" t="s">
        <v>3</v>
      </c>
      <c r="DB16" t="s">
        <v>3</v>
      </c>
      <c r="DC16" t="s">
        <v>2</v>
      </c>
      <c r="DD16" t="s">
        <v>58</v>
      </c>
      <c r="DE16" t="s">
        <v>60</v>
      </c>
      <c r="DF16" t="s">
        <v>3</v>
      </c>
      <c r="DG16" t="s">
        <v>58</v>
      </c>
      <c r="DH16" t="s">
        <v>60</v>
      </c>
      <c r="DI16" t="s">
        <v>58</v>
      </c>
      <c r="DJ16" t="s">
        <v>3</v>
      </c>
      <c r="DK16" t="s">
        <v>58</v>
      </c>
      <c r="DL16" t="s">
        <v>60</v>
      </c>
      <c r="DM16" t="s">
        <v>60</v>
      </c>
      <c r="DN16" t="s">
        <v>4</v>
      </c>
      <c r="DO16" t="s">
        <v>58</v>
      </c>
      <c r="DP16" t="s">
        <v>60</v>
      </c>
      <c r="DQ16" t="s">
        <v>60</v>
      </c>
      <c r="DR16" t="s">
        <v>3</v>
      </c>
      <c r="DS16" t="s">
        <v>58</v>
      </c>
    </row>
    <row r="18" spans="2:123" x14ac:dyDescent="0.25">
      <c r="B18">
        <v>6</v>
      </c>
      <c r="C18">
        <v>6</v>
      </c>
      <c r="D18">
        <v>6</v>
      </c>
      <c r="E18">
        <v>6</v>
      </c>
      <c r="F18">
        <v>6</v>
      </c>
      <c r="G18">
        <v>6</v>
      </c>
      <c r="H18">
        <v>5</v>
      </c>
      <c r="I18">
        <v>6</v>
      </c>
      <c r="J18">
        <v>6</v>
      </c>
      <c r="K18">
        <v>6</v>
      </c>
      <c r="L18">
        <v>6</v>
      </c>
      <c r="M18">
        <v>7</v>
      </c>
      <c r="N18">
        <v>7</v>
      </c>
      <c r="O18">
        <v>7</v>
      </c>
      <c r="P18">
        <v>7</v>
      </c>
      <c r="Q18">
        <v>7</v>
      </c>
      <c r="R18">
        <v>7</v>
      </c>
      <c r="S18">
        <v>7</v>
      </c>
      <c r="T18">
        <v>6</v>
      </c>
      <c r="U18">
        <v>6</v>
      </c>
      <c r="V18">
        <v>5</v>
      </c>
      <c r="W18">
        <v>4</v>
      </c>
      <c r="X18">
        <v>4</v>
      </c>
      <c r="Y18">
        <v>4</v>
      </c>
      <c r="Z18">
        <v>3</v>
      </c>
      <c r="AA18">
        <v>3</v>
      </c>
      <c r="AB18">
        <v>2</v>
      </c>
      <c r="AC18">
        <v>1</v>
      </c>
      <c r="AD18">
        <v>1</v>
      </c>
      <c r="AE18">
        <v>0</v>
      </c>
      <c r="AF18">
        <v>1</v>
      </c>
      <c r="AG18">
        <v>1</v>
      </c>
      <c r="AH18">
        <v>2</v>
      </c>
      <c r="AI18">
        <v>2</v>
      </c>
      <c r="AJ18">
        <v>2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2</v>
      </c>
      <c r="BK18">
        <v>3</v>
      </c>
      <c r="BL18">
        <v>2</v>
      </c>
      <c r="BM18">
        <v>2</v>
      </c>
      <c r="BN18">
        <v>1</v>
      </c>
      <c r="BO18">
        <v>1</v>
      </c>
      <c r="BP18">
        <v>2</v>
      </c>
      <c r="BQ18">
        <v>2</v>
      </c>
      <c r="BR18">
        <v>2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4</v>
      </c>
      <c r="BY18">
        <v>4</v>
      </c>
      <c r="BZ18">
        <v>4</v>
      </c>
      <c r="CA18">
        <v>4</v>
      </c>
      <c r="CB18">
        <v>3</v>
      </c>
      <c r="CC18">
        <v>3</v>
      </c>
      <c r="CD18">
        <v>4</v>
      </c>
      <c r="CE18">
        <v>5</v>
      </c>
      <c r="CF18">
        <v>5</v>
      </c>
      <c r="CG18">
        <v>5</v>
      </c>
      <c r="CH18">
        <v>5</v>
      </c>
      <c r="CI18">
        <v>6</v>
      </c>
      <c r="CJ18">
        <v>6</v>
      </c>
      <c r="CK18">
        <v>6</v>
      </c>
      <c r="CL18">
        <v>6</v>
      </c>
      <c r="CM18">
        <v>6</v>
      </c>
      <c r="CN18">
        <v>7</v>
      </c>
      <c r="CO18">
        <v>6</v>
      </c>
      <c r="CP18">
        <v>6</v>
      </c>
      <c r="CQ18">
        <v>7</v>
      </c>
      <c r="CR18">
        <v>7</v>
      </c>
      <c r="CS18">
        <v>7</v>
      </c>
      <c r="CT18">
        <v>7</v>
      </c>
      <c r="CU18">
        <v>6</v>
      </c>
      <c r="CV18">
        <v>6</v>
      </c>
      <c r="CW18">
        <v>6</v>
      </c>
      <c r="CX18">
        <v>5</v>
      </c>
      <c r="CY18">
        <v>3</v>
      </c>
      <c r="CZ18">
        <v>5</v>
      </c>
      <c r="DA18">
        <v>6</v>
      </c>
      <c r="DB18">
        <v>7</v>
      </c>
      <c r="DC18">
        <v>6</v>
      </c>
      <c r="DD18">
        <v>6</v>
      </c>
      <c r="DE18">
        <v>6</v>
      </c>
      <c r="DF18">
        <v>7</v>
      </c>
      <c r="DG18">
        <v>8</v>
      </c>
      <c r="DH18">
        <v>7</v>
      </c>
      <c r="DI18">
        <v>7</v>
      </c>
      <c r="DJ18">
        <v>8</v>
      </c>
      <c r="DK18">
        <v>9</v>
      </c>
      <c r="DL18">
        <v>7</v>
      </c>
      <c r="DM18">
        <v>6</v>
      </c>
      <c r="DN18">
        <v>6</v>
      </c>
      <c r="DO18">
        <v>7</v>
      </c>
      <c r="DP18">
        <v>7</v>
      </c>
      <c r="DQ18">
        <v>7</v>
      </c>
      <c r="DR18">
        <v>7</v>
      </c>
      <c r="DS18">
        <v>7</v>
      </c>
    </row>
    <row r="19" spans="2:123" x14ac:dyDescent="0.25">
      <c r="B19">
        <v>9</v>
      </c>
      <c r="C19">
        <v>9</v>
      </c>
      <c r="D19">
        <v>9</v>
      </c>
      <c r="E19">
        <v>9</v>
      </c>
      <c r="F19">
        <v>9</v>
      </c>
      <c r="G19">
        <v>9</v>
      </c>
      <c r="H19">
        <v>9</v>
      </c>
      <c r="I19">
        <v>9</v>
      </c>
      <c r="J19">
        <v>9</v>
      </c>
      <c r="K19">
        <v>10</v>
      </c>
      <c r="L19">
        <v>10</v>
      </c>
      <c r="M19">
        <v>11</v>
      </c>
      <c r="N19">
        <v>11</v>
      </c>
      <c r="O19">
        <v>11</v>
      </c>
      <c r="P19">
        <v>11</v>
      </c>
      <c r="Q19">
        <v>11</v>
      </c>
      <c r="R19">
        <v>11</v>
      </c>
      <c r="S19">
        <v>11</v>
      </c>
      <c r="T19">
        <v>11</v>
      </c>
      <c r="U19">
        <v>10</v>
      </c>
      <c r="V19">
        <v>10</v>
      </c>
      <c r="W19">
        <v>9</v>
      </c>
      <c r="X19">
        <v>8</v>
      </c>
      <c r="Y19">
        <v>7</v>
      </c>
      <c r="Z19">
        <v>7</v>
      </c>
      <c r="AA19">
        <v>6</v>
      </c>
      <c r="AB19">
        <v>6</v>
      </c>
      <c r="AC19">
        <v>5</v>
      </c>
      <c r="AD19">
        <v>5</v>
      </c>
      <c r="AE19">
        <v>4</v>
      </c>
      <c r="AF19">
        <v>4</v>
      </c>
      <c r="AG19">
        <v>4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6</v>
      </c>
      <c r="AN19">
        <v>6</v>
      </c>
      <c r="AO19">
        <v>6</v>
      </c>
      <c r="AP19">
        <v>6</v>
      </c>
      <c r="AQ19">
        <v>6</v>
      </c>
      <c r="AR19">
        <v>5</v>
      </c>
      <c r="AS19">
        <v>5</v>
      </c>
      <c r="AT19">
        <v>4</v>
      </c>
      <c r="AU19">
        <v>4</v>
      </c>
      <c r="AV19">
        <v>4</v>
      </c>
      <c r="AW19">
        <v>4</v>
      </c>
      <c r="AX19">
        <v>5</v>
      </c>
      <c r="AY19">
        <v>5</v>
      </c>
      <c r="AZ19">
        <v>5</v>
      </c>
      <c r="BA19">
        <v>5</v>
      </c>
      <c r="BB19">
        <v>5</v>
      </c>
      <c r="BC19">
        <v>5</v>
      </c>
      <c r="BD19">
        <v>5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5</v>
      </c>
      <c r="BN19">
        <v>5</v>
      </c>
      <c r="BO19">
        <v>4</v>
      </c>
      <c r="BP19">
        <v>4</v>
      </c>
      <c r="BQ19">
        <v>4</v>
      </c>
      <c r="BR19">
        <v>4</v>
      </c>
      <c r="BS19">
        <v>4</v>
      </c>
      <c r="BT19">
        <v>4</v>
      </c>
      <c r="BU19">
        <v>4</v>
      </c>
      <c r="BV19">
        <v>5</v>
      </c>
      <c r="BW19">
        <v>5</v>
      </c>
      <c r="BX19">
        <v>5</v>
      </c>
      <c r="BY19">
        <v>6</v>
      </c>
      <c r="BZ19">
        <v>6</v>
      </c>
      <c r="CA19">
        <v>6</v>
      </c>
      <c r="CB19">
        <v>6</v>
      </c>
      <c r="CC19">
        <v>6</v>
      </c>
      <c r="CD19">
        <v>7</v>
      </c>
      <c r="CE19">
        <v>7</v>
      </c>
      <c r="CF19">
        <v>8</v>
      </c>
      <c r="CG19">
        <v>9</v>
      </c>
      <c r="CH19">
        <v>9</v>
      </c>
      <c r="CI19">
        <v>9</v>
      </c>
      <c r="CJ19">
        <v>9</v>
      </c>
      <c r="CK19">
        <v>9</v>
      </c>
      <c r="CL19">
        <v>9</v>
      </c>
      <c r="CM19">
        <v>9</v>
      </c>
      <c r="CN19">
        <v>10</v>
      </c>
      <c r="CO19">
        <v>10</v>
      </c>
      <c r="CP19">
        <v>10</v>
      </c>
      <c r="CQ19">
        <v>11</v>
      </c>
      <c r="CR19">
        <v>11</v>
      </c>
      <c r="CS19">
        <v>12</v>
      </c>
      <c r="CT19">
        <v>12</v>
      </c>
      <c r="CU19">
        <v>11</v>
      </c>
      <c r="CV19">
        <v>9</v>
      </c>
      <c r="CW19">
        <v>9</v>
      </c>
      <c r="CX19">
        <v>9</v>
      </c>
      <c r="CY19">
        <v>8</v>
      </c>
      <c r="CZ19">
        <v>8</v>
      </c>
      <c r="DA19">
        <v>10</v>
      </c>
      <c r="DB19">
        <v>11</v>
      </c>
      <c r="DC19">
        <v>10</v>
      </c>
      <c r="DD19">
        <v>10</v>
      </c>
      <c r="DE19">
        <v>8</v>
      </c>
      <c r="DF19">
        <v>11</v>
      </c>
      <c r="DG19">
        <v>12</v>
      </c>
      <c r="DH19">
        <v>12</v>
      </c>
      <c r="DI19">
        <v>11</v>
      </c>
      <c r="DJ19">
        <v>12</v>
      </c>
      <c r="DK19">
        <v>13</v>
      </c>
      <c r="DL19">
        <v>13</v>
      </c>
      <c r="DM19">
        <v>11</v>
      </c>
      <c r="DN19">
        <v>10</v>
      </c>
      <c r="DO19">
        <v>11</v>
      </c>
      <c r="DP19">
        <v>11</v>
      </c>
      <c r="DQ19">
        <v>10</v>
      </c>
      <c r="DR19">
        <v>11</v>
      </c>
      <c r="DS19">
        <v>11</v>
      </c>
    </row>
    <row r="20" spans="2:123" x14ac:dyDescent="0.25"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</row>
    <row r="21" spans="2:123" x14ac:dyDescent="0.25">
      <c r="B21" t="s">
        <v>196</v>
      </c>
    </row>
    <row r="22" spans="2:123" x14ac:dyDescent="0.25">
      <c r="B22" t="s">
        <v>63</v>
      </c>
    </row>
  </sheetData>
  <pageMargins left="0.7" right="0.7" top="0.75" bottom="0.75" header="0.3" footer="0.3"/>
  <pageSetup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B4351-BBE0-47FE-9BA7-1D966E8AD708}">
  <sheetPr codeName="Sheet3"/>
  <dimension ref="B1:BG249"/>
  <sheetViews>
    <sheetView zoomScaleNormal="100" workbookViewId="0">
      <pane ySplit="3" topLeftCell="A4" activePane="bottomLeft" state="frozen"/>
      <selection pane="bottomLeft" activeCell="B3" sqref="B3"/>
    </sheetView>
  </sheetViews>
  <sheetFormatPr defaultColWidth="8.85546875" defaultRowHeight="15" x14ac:dyDescent="0.25"/>
  <cols>
    <col min="1" max="1" width="9.42578125" style="18" customWidth="1"/>
    <col min="2" max="2" width="12" style="18" customWidth="1"/>
    <col min="3" max="3" width="13.42578125" style="18" customWidth="1"/>
    <col min="4" max="4" width="14.28515625" style="18" bestFit="1" customWidth="1"/>
    <col min="5" max="6" width="8.85546875" style="18"/>
    <col min="7" max="7" width="0" style="18" hidden="1" customWidth="1"/>
    <col min="8" max="8" width="8.85546875" style="18"/>
    <col min="9" max="9" width="12.85546875" style="18" bestFit="1" customWidth="1"/>
    <col min="10" max="10" width="12.7109375" style="18" bestFit="1" customWidth="1"/>
    <col min="11" max="17" width="12.7109375" style="18" customWidth="1"/>
    <col min="18" max="19" width="15.85546875" style="18" bestFit="1" customWidth="1"/>
    <col min="20" max="20" width="9.140625"/>
    <col min="21" max="21" width="16.7109375" style="18" customWidth="1"/>
    <col min="22" max="22" width="9.140625"/>
    <col min="23" max="25" width="16.7109375" style="18" customWidth="1"/>
    <col min="26" max="27" width="8.85546875" style="18"/>
    <col min="28" max="28" width="16.7109375" style="18" customWidth="1"/>
    <col min="29" max="29" width="8.85546875" style="18"/>
    <col min="30" max="31" width="16.7109375" style="18" customWidth="1"/>
    <col min="32" max="32" width="12.7109375" style="18" bestFit="1" customWidth="1"/>
    <col min="33" max="34" width="8.85546875" style="18"/>
    <col min="35" max="36" width="12.28515625" style="18" customWidth="1"/>
    <col min="37" max="37" width="14.42578125" style="18" customWidth="1"/>
    <col min="38" max="38" width="16.7109375" style="18" customWidth="1"/>
    <col min="39" max="45" width="5.7109375" style="18" customWidth="1"/>
    <col min="46" max="46" width="8.140625" style="18" bestFit="1" customWidth="1"/>
    <col min="47" max="47" width="6" style="18" bestFit="1" customWidth="1"/>
    <col min="48" max="58" width="4" style="18" customWidth="1"/>
    <col min="59" max="59" width="6" style="18" bestFit="1" customWidth="1"/>
    <col min="60" max="65" width="4" style="18" customWidth="1"/>
    <col min="66" max="66" width="7" style="18" bestFit="1" customWidth="1"/>
    <col min="67" max="68" width="4" style="18" customWidth="1"/>
    <col min="69" max="69" width="8" style="18" bestFit="1" customWidth="1"/>
    <col min="70" max="70" width="6" style="18" bestFit="1" customWidth="1"/>
    <col min="71" max="92" width="4" style="18" customWidth="1"/>
    <col min="93" max="145" width="3.42578125" style="18" customWidth="1"/>
    <col min="146" max="16384" width="8.85546875" style="18"/>
  </cols>
  <sheetData>
    <row r="1" spans="2:34" ht="12" x14ac:dyDescent="0.2">
      <c r="T1" s="18"/>
      <c r="V1" s="18"/>
    </row>
    <row r="2" spans="2:34" ht="12" x14ac:dyDescent="0.2">
      <c r="B2" s="16">
        <v>45080</v>
      </c>
      <c r="C2" s="17">
        <v>0</v>
      </c>
      <c r="T2" s="18"/>
      <c r="V2" s="18"/>
    </row>
    <row r="3" spans="2:34" ht="48" x14ac:dyDescent="0.2">
      <c r="B3" s="19" t="s">
        <v>0</v>
      </c>
      <c r="C3" s="19" t="s">
        <v>1</v>
      </c>
      <c r="D3" s="20" t="s">
        <v>21</v>
      </c>
      <c r="E3" s="20" t="s">
        <v>12</v>
      </c>
      <c r="F3" s="20" t="s">
        <v>13</v>
      </c>
      <c r="G3" s="20" t="s">
        <v>14</v>
      </c>
      <c r="H3" s="20" t="s">
        <v>15</v>
      </c>
      <c r="I3" s="20" t="s">
        <v>26</v>
      </c>
      <c r="J3" s="20" t="s">
        <v>27</v>
      </c>
      <c r="K3" s="20" t="s">
        <v>33</v>
      </c>
      <c r="L3" s="20" t="s">
        <v>34</v>
      </c>
      <c r="M3" s="20" t="s">
        <v>39</v>
      </c>
      <c r="N3" s="20" t="s">
        <v>35</v>
      </c>
      <c r="O3" s="20" t="s">
        <v>36</v>
      </c>
      <c r="P3" s="20" t="s">
        <v>37</v>
      </c>
      <c r="Q3" s="20" t="s">
        <v>38</v>
      </c>
      <c r="R3" s="21" t="s">
        <v>30</v>
      </c>
      <c r="S3" s="21" t="s">
        <v>31</v>
      </c>
      <c r="T3" s="20" t="s">
        <v>16</v>
      </c>
      <c r="U3" s="22" t="s">
        <v>17</v>
      </c>
      <c r="V3" s="22" t="s">
        <v>18</v>
      </c>
      <c r="W3" s="22" t="s">
        <v>20</v>
      </c>
      <c r="X3" s="20" t="s">
        <v>19</v>
      </c>
      <c r="Y3" s="20" t="s">
        <v>28</v>
      </c>
      <c r="Z3" s="20" t="s">
        <v>29</v>
      </c>
      <c r="AA3" s="20" t="s">
        <v>22</v>
      </c>
      <c r="AB3" s="23"/>
      <c r="AC3" s="23"/>
      <c r="AD3" s="23"/>
      <c r="AE3" s="23"/>
      <c r="AF3" s="23"/>
      <c r="AG3" s="23"/>
      <c r="AH3" s="23"/>
    </row>
    <row r="4" spans="2:34" ht="12" x14ac:dyDescent="0.2">
      <c r="B4" s="16">
        <f>B2</f>
        <v>45080</v>
      </c>
      <c r="C4" s="24">
        <f>C2</f>
        <v>0</v>
      </c>
      <c r="D4" s="29">
        <f>Table12[[#This Row],[MW TOTAL BARRA A]]+Table12[[#This Row],[MW TOTAL BARRA B]]</f>
        <v>71.824999999999989</v>
      </c>
      <c r="E4" s="25">
        <f>Windy_web!$B7</f>
        <v>4</v>
      </c>
      <c r="F4" s="25">
        <f>Windy_web!$B8</f>
        <v>7</v>
      </c>
      <c r="G4" s="26" t="str">
        <f>Windy_web!$B5</f>
        <v>16°</v>
      </c>
      <c r="H4" s="26">
        <f>MID(G5,1,2)*1</f>
        <v>16</v>
      </c>
      <c r="I4" s="18">
        <v>25</v>
      </c>
      <c r="J4" s="18">
        <v>20</v>
      </c>
      <c r="K4" s="18">
        <f>Table12[[#This Row],[AEG E/S BARRA A]]*Table12[[#This Row],[AEG 5.2 MW]]</f>
        <v>39.924999999999997</v>
      </c>
      <c r="L4" s="18">
        <f>Table12[[#This Row],[AEG E/S BARRA B]]*Table12[[#This Row],[AEG 5.0 MW]]</f>
        <v>31.9</v>
      </c>
      <c r="M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" s="29">
        <f>INDEX(Curva_Temp[Temp],MATCH(Table12[[#This Row],[Windy Temp.
°C]],Curva_Temp[Temp]))</f>
        <v>15</v>
      </c>
      <c r="O4" s="29">
        <f>INDEX(Curva_Temp[Warranted Power Curve for 
1.194Kg/m3 air density '[kW']
SG 5.0-145 (AM+1, 5.2MW) AT 
90M],MATCH(Table12[[#This Row],[Windy Temp.
°C]],Curva_Temp[Temp]))</f>
        <v>5200</v>
      </c>
      <c r="P4" s="29" cm="1">
        <f t="array" ref="P4">INDEX(Curva_Temp[Temp],MATCH(Table12[[#This Row],[Windy Temp.
°C]],Curva_Temp[Temp])+1)</f>
        <v>20</v>
      </c>
      <c r="Q4" s="29" cm="1">
        <f t="array" ref="Q4">INDEX(Curva_Temp[Warranted Power Curve for 
1.194Kg/m3 air density '[kW']
SG 5.0-145 (AM+1, 5.2MW) AT 
90M],MATCH(Table12[[#This Row],[Windy Temp.
°C]],Curva_Temp[Temp])+1)</f>
        <v>5000</v>
      </c>
      <c r="R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4" s="18" t="s">
        <v>11</v>
      </c>
      <c r="V4" s="18"/>
      <c r="W4" s="18">
        <f>CEILING(Table12[[#This Row],[Darwin Gusts
m/s]],0.5)</f>
        <v>0</v>
      </c>
    </row>
    <row r="5" spans="2:34" ht="12" x14ac:dyDescent="0.2">
      <c r="B5" s="16">
        <f>B4+TIME(1,0,0)</f>
        <v>45080.041666666664</v>
      </c>
      <c r="C5" s="24">
        <f>C4+TIME(1,0,0)</f>
        <v>4.1666666666666664E-2</v>
      </c>
      <c r="D5" s="30">
        <f>Table12[[#This Row],[MW TOTAL BARRA A]]+Table12[[#This Row],[MW TOTAL BARRA B]]</f>
        <v>71.824999999999989</v>
      </c>
      <c r="E5" s="25">
        <f>Windy_web!$B7</f>
        <v>4</v>
      </c>
      <c r="F5" s="25">
        <f>Windy_web!$B8</f>
        <v>7</v>
      </c>
      <c r="G5" s="26" t="str">
        <f>Windy_web!$B5</f>
        <v>16°</v>
      </c>
      <c r="H5" s="26">
        <f>MID(G5,1,2)*1</f>
        <v>16</v>
      </c>
      <c r="I5" s="18">
        <v>25</v>
      </c>
      <c r="J5" s="18">
        <v>20</v>
      </c>
      <c r="K5" s="18">
        <f>Table12[[#This Row],[AEG E/S BARRA A]]*Table12[[#This Row],[AEG 5.2 MW]]</f>
        <v>39.924999999999997</v>
      </c>
      <c r="L5" s="18">
        <f>Table12[[#This Row],[AEG E/S BARRA B]]*Table12[[#This Row],[AEG 5.0 MW]]</f>
        <v>31.9</v>
      </c>
      <c r="M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" s="29">
        <f>INDEX(Curva_Temp[Temp],MATCH(Table12[[#This Row],[Windy Temp.
°C]],Curva_Temp[Temp]))</f>
        <v>15</v>
      </c>
      <c r="O5" s="29">
        <f>INDEX(Curva_Temp[Warranted Power Curve for 
1.194Kg/m3 air density '[kW']
SG 5.0-145 (AM+1, 5.2MW) AT 
90M],MATCH(Table12[[#This Row],[Windy Temp.
°C]],Curva_Temp[Temp]))</f>
        <v>5200</v>
      </c>
      <c r="P5" s="29" cm="1">
        <f t="array" ref="P5">INDEX(Curva_Temp[Temp],MATCH(Table12[[#This Row],[Windy Temp.
°C]],Curva_Temp[Temp])+1)</f>
        <v>20</v>
      </c>
      <c r="Q5" s="29" cm="1">
        <f t="array" ref="Q5">INDEX(Curva_Temp[Warranted Power Curve for 
1.194Kg/m3 air density '[kW']
SG 5.0-145 (AM+1, 5.2MW) AT 
90M],MATCH(Table12[[#This Row],[Windy Temp.
°C]],Curva_Temp[Temp])+1)</f>
        <v>5000</v>
      </c>
      <c r="R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" s="18" t="s">
        <v>11</v>
      </c>
      <c r="V5" s="18"/>
      <c r="W5" s="18">
        <f>CEILING(Table12[[#This Row],[Darwin Gusts
m/s]],0.5)</f>
        <v>0</v>
      </c>
    </row>
    <row r="6" spans="2:34" ht="12" x14ac:dyDescent="0.2">
      <c r="B6" s="16">
        <f t="shared" ref="B6:B69" si="0">B5+TIME(1,0,0)</f>
        <v>45080.083333333328</v>
      </c>
      <c r="C6" s="17">
        <f t="shared" ref="C6:C51" si="1">C5+TIME(1,0,0)</f>
        <v>8.3333333333333329E-2</v>
      </c>
      <c r="D6" s="29">
        <f>Table12[[#This Row],[MW TOTAL BARRA A]]+Table12[[#This Row],[MW TOTAL BARRA B]]</f>
        <v>71.824999999999989</v>
      </c>
      <c r="E6" s="18">
        <f>Windy_web!$B7</f>
        <v>4</v>
      </c>
      <c r="F6" s="18">
        <f>Windy_web!$B8</f>
        <v>7</v>
      </c>
      <c r="G6" s="27" t="str">
        <f>Windy_web!$B5</f>
        <v>16°</v>
      </c>
      <c r="H6" s="26">
        <f t="shared" ref="H6:H68" si="2">MID(G6,1,2)*1</f>
        <v>16</v>
      </c>
      <c r="I6" s="18">
        <v>25</v>
      </c>
      <c r="J6" s="18">
        <v>20</v>
      </c>
      <c r="K6" s="18">
        <f>Table12[[#This Row],[AEG E/S BARRA A]]*Table12[[#This Row],[AEG 5.2 MW]]</f>
        <v>39.924999999999997</v>
      </c>
      <c r="L6" s="18">
        <f>Table12[[#This Row],[AEG E/S BARRA B]]*Table12[[#This Row],[AEG 5.0 MW]]</f>
        <v>31.9</v>
      </c>
      <c r="M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6" s="29">
        <f>INDEX(Curva_Temp[Temp],MATCH(Table12[[#This Row],[Windy Temp.
°C]],Curva_Temp[Temp]))</f>
        <v>15</v>
      </c>
      <c r="O6" s="29">
        <f>INDEX(Curva_Temp[Warranted Power Curve for 
1.194Kg/m3 air density '[kW']
SG 5.0-145 (AM+1, 5.2MW) AT 
90M],MATCH(Table12[[#This Row],[Windy Temp.
°C]],Curva_Temp[Temp]))</f>
        <v>5200</v>
      </c>
      <c r="P6" s="29" cm="1">
        <f t="array" ref="P6">INDEX(Curva_Temp[Temp],MATCH(Table12[[#This Row],[Windy Temp.
°C]],Curva_Temp[Temp])+1)</f>
        <v>20</v>
      </c>
      <c r="Q6" s="29" cm="1">
        <f t="array" ref="Q6">INDEX(Curva_Temp[Warranted Power Curve for 
1.194Kg/m3 air density '[kW']
SG 5.0-145 (AM+1, 5.2MW) AT 
90M],MATCH(Table12[[#This Row],[Windy Temp.
°C]],Curva_Temp[Temp])+1)</f>
        <v>5000</v>
      </c>
      <c r="R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6" s="18"/>
      <c r="V6" s="18"/>
      <c r="W6" s="18">
        <f>CEILING(Table12[[#This Row],[Darwin Gusts
m/s]],0.5)</f>
        <v>0</v>
      </c>
    </row>
    <row r="7" spans="2:34" ht="12" x14ac:dyDescent="0.2">
      <c r="B7" s="16">
        <f t="shared" si="0"/>
        <v>45080.124999999993</v>
      </c>
      <c r="C7" s="17">
        <f t="shared" si="1"/>
        <v>0.125</v>
      </c>
      <c r="D7" s="29">
        <f>Table12[[#This Row],[MW TOTAL BARRA A]]+Table12[[#This Row],[MW TOTAL BARRA B]]</f>
        <v>71.824999999999989</v>
      </c>
      <c r="E7" s="18">
        <f>Windy_web!$C7</f>
        <v>4</v>
      </c>
      <c r="F7" s="18">
        <f>Windy_web!$C8</f>
        <v>7</v>
      </c>
      <c r="G7" s="27" t="str">
        <f>Windy_web!$C5</f>
        <v>16°</v>
      </c>
      <c r="H7" s="26">
        <f t="shared" si="2"/>
        <v>16</v>
      </c>
      <c r="I7" s="18">
        <v>25</v>
      </c>
      <c r="J7" s="18">
        <v>20</v>
      </c>
      <c r="K7" s="18">
        <f>Table12[[#This Row],[AEG E/S BARRA A]]*Table12[[#This Row],[AEG 5.2 MW]]</f>
        <v>39.924999999999997</v>
      </c>
      <c r="L7" s="18">
        <f>Table12[[#This Row],[AEG E/S BARRA B]]*Table12[[#This Row],[AEG 5.0 MW]]</f>
        <v>31.9</v>
      </c>
      <c r="M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" s="29">
        <f>INDEX(Curva_Temp[Temp],MATCH(Table12[[#This Row],[Windy Temp.
°C]],Curva_Temp[Temp]))</f>
        <v>15</v>
      </c>
      <c r="O7" s="29">
        <f>INDEX(Curva_Temp[Warranted Power Curve for 
1.194Kg/m3 air density '[kW']
SG 5.0-145 (AM+1, 5.2MW) AT 
90M],MATCH(Table12[[#This Row],[Windy Temp.
°C]],Curva_Temp[Temp]))</f>
        <v>5200</v>
      </c>
      <c r="P7" s="29" cm="1">
        <f t="array" ref="P7">INDEX(Curva_Temp[Temp],MATCH(Table12[[#This Row],[Windy Temp.
°C]],Curva_Temp[Temp])+1)</f>
        <v>20</v>
      </c>
      <c r="Q7" s="29" cm="1">
        <f t="array" ref="Q7">INDEX(Curva_Temp[Warranted Power Curve for 
1.194Kg/m3 air density '[kW']
SG 5.0-145 (AM+1, 5.2MW) AT 
90M],MATCH(Table12[[#This Row],[Windy Temp.
°C]],Curva_Temp[Temp])+1)</f>
        <v>5000</v>
      </c>
      <c r="R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7" s="18"/>
      <c r="V7" s="18"/>
      <c r="W7" s="18">
        <f>CEILING(Table12[[#This Row],[Darwin Gusts
m/s]],0.5)</f>
        <v>0</v>
      </c>
    </row>
    <row r="8" spans="2:34" ht="12" x14ac:dyDescent="0.2">
      <c r="B8" s="16">
        <f t="shared" si="0"/>
        <v>45080.166666666657</v>
      </c>
      <c r="C8" s="17">
        <f t="shared" si="1"/>
        <v>0.16666666666666666</v>
      </c>
      <c r="D8" s="29">
        <f>Table12[[#This Row],[MW TOTAL BARRA A]]+Table12[[#This Row],[MW TOTAL BARRA B]]</f>
        <v>71.824999999999989</v>
      </c>
      <c r="E8" s="18">
        <f>Windy_web!$D7</f>
        <v>4</v>
      </c>
      <c r="F8" s="18">
        <f>Windy_web!$D8</f>
        <v>7</v>
      </c>
      <c r="G8" s="27" t="str">
        <f>Windy_web!$D5</f>
        <v>16°</v>
      </c>
      <c r="H8" s="26">
        <f t="shared" si="2"/>
        <v>16</v>
      </c>
      <c r="I8" s="18">
        <v>25</v>
      </c>
      <c r="J8" s="18">
        <v>20</v>
      </c>
      <c r="K8" s="18">
        <f>Table12[[#This Row],[AEG E/S BARRA A]]*Table12[[#This Row],[AEG 5.2 MW]]</f>
        <v>39.924999999999997</v>
      </c>
      <c r="L8" s="18">
        <f>Table12[[#This Row],[AEG E/S BARRA B]]*Table12[[#This Row],[AEG 5.0 MW]]</f>
        <v>31.9</v>
      </c>
      <c r="M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" s="29">
        <f>INDEX(Curva_Temp[Temp],MATCH(Table12[[#This Row],[Windy Temp.
°C]],Curva_Temp[Temp]))</f>
        <v>15</v>
      </c>
      <c r="O8" s="29">
        <f>INDEX(Curva_Temp[Warranted Power Curve for 
1.194Kg/m3 air density '[kW']
SG 5.0-145 (AM+1, 5.2MW) AT 
90M],MATCH(Table12[[#This Row],[Windy Temp.
°C]],Curva_Temp[Temp]))</f>
        <v>5200</v>
      </c>
      <c r="P8" s="29" cm="1">
        <f t="array" ref="P8">INDEX(Curva_Temp[Temp],MATCH(Table12[[#This Row],[Windy Temp.
°C]],Curva_Temp[Temp])+1)</f>
        <v>20</v>
      </c>
      <c r="Q8" s="29" cm="1">
        <f t="array" ref="Q8">INDEX(Curva_Temp[Warranted Power Curve for 
1.194Kg/m3 air density '[kW']
SG 5.0-145 (AM+1, 5.2MW) AT 
90M],MATCH(Table12[[#This Row],[Windy Temp.
°C]],Curva_Temp[Temp])+1)</f>
        <v>5000</v>
      </c>
      <c r="R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" s="18"/>
      <c r="V8" s="18"/>
      <c r="W8" s="18">
        <f>CEILING(Table12[[#This Row],[Darwin Gusts
m/s]],0.5)</f>
        <v>0</v>
      </c>
    </row>
    <row r="9" spans="2:34" ht="12" x14ac:dyDescent="0.2">
      <c r="B9" s="16">
        <f t="shared" si="0"/>
        <v>45080.208333333321</v>
      </c>
      <c r="C9" s="17">
        <f t="shared" si="1"/>
        <v>0.20833333333333331</v>
      </c>
      <c r="D9" s="29">
        <f>Table12[[#This Row],[MW TOTAL BARRA A]]+Table12[[#This Row],[MW TOTAL BARRA B]]</f>
        <v>71.824999999999989</v>
      </c>
      <c r="E9" s="18">
        <f>Windy_web!$E7</f>
        <v>3</v>
      </c>
      <c r="F9" s="18">
        <f>Windy_web!$E8</f>
        <v>7</v>
      </c>
      <c r="G9" s="27" t="str">
        <f>Windy_web!$E5</f>
        <v>16°</v>
      </c>
      <c r="H9" s="26">
        <f t="shared" si="2"/>
        <v>16</v>
      </c>
      <c r="I9" s="18">
        <v>25</v>
      </c>
      <c r="J9" s="18">
        <v>20</v>
      </c>
      <c r="K9" s="18">
        <f>Table12[[#This Row],[AEG E/S BARRA A]]*Table12[[#This Row],[AEG 5.2 MW]]</f>
        <v>39.924999999999997</v>
      </c>
      <c r="L9" s="18">
        <f>Table12[[#This Row],[AEG E/S BARRA B]]*Table12[[#This Row],[AEG 5.0 MW]]</f>
        <v>31.9</v>
      </c>
      <c r="M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" s="29">
        <f>INDEX(Curva_Temp[Temp],MATCH(Table12[[#This Row],[Windy Temp.
°C]],Curva_Temp[Temp]))</f>
        <v>15</v>
      </c>
      <c r="O9" s="29">
        <f>INDEX(Curva_Temp[Warranted Power Curve for 
1.194Kg/m3 air density '[kW']
SG 5.0-145 (AM+1, 5.2MW) AT 
90M],MATCH(Table12[[#This Row],[Windy Temp.
°C]],Curva_Temp[Temp]))</f>
        <v>5200</v>
      </c>
      <c r="P9" s="29" cm="1">
        <f t="array" ref="P9">INDEX(Curva_Temp[Temp],MATCH(Table12[[#This Row],[Windy Temp.
°C]],Curva_Temp[Temp])+1)</f>
        <v>20</v>
      </c>
      <c r="Q9" s="29" cm="1">
        <f t="array" ref="Q9">INDEX(Curva_Temp[Warranted Power Curve for 
1.194Kg/m3 air density '[kW']
SG 5.0-145 (AM+1, 5.2MW) AT 
90M],MATCH(Table12[[#This Row],[Windy Temp.
°C]],Curva_Temp[Temp])+1)</f>
        <v>5000</v>
      </c>
      <c r="R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9" s="18"/>
      <c r="V9" s="18"/>
      <c r="W9" s="18">
        <f>CEILING(Table12[[#This Row],[Darwin Gusts
m/s]],0.5)</f>
        <v>0</v>
      </c>
    </row>
    <row r="10" spans="2:34" ht="12" x14ac:dyDescent="0.2">
      <c r="B10" s="16">
        <f t="shared" si="0"/>
        <v>45080.249999999985</v>
      </c>
      <c r="C10" s="17">
        <f t="shared" si="1"/>
        <v>0.24999999999999997</v>
      </c>
      <c r="D10" s="29">
        <f>Table12[[#This Row],[MW TOTAL BARRA A]]+Table12[[#This Row],[MW TOTAL BARRA B]]</f>
        <v>44.215000000000003</v>
      </c>
      <c r="E10" s="18">
        <f>Windy_web!$F7</f>
        <v>3</v>
      </c>
      <c r="F10" s="18">
        <f>Windy_web!$F8</f>
        <v>6</v>
      </c>
      <c r="G10" s="27" t="str">
        <f>Windy_web!$F5</f>
        <v>16°</v>
      </c>
      <c r="H10" s="26">
        <f t="shared" si="2"/>
        <v>16</v>
      </c>
      <c r="I10" s="18">
        <v>25</v>
      </c>
      <c r="J10" s="18">
        <v>20</v>
      </c>
      <c r="K10" s="18">
        <f>Table12[[#This Row],[AEG E/S BARRA A]]*Table12[[#This Row],[AEG 5.2 MW]]</f>
        <v>24.574999999999999</v>
      </c>
      <c r="L10" s="18">
        <f>Table12[[#This Row],[AEG E/S BARRA B]]*Table12[[#This Row],[AEG 5.0 MW]]</f>
        <v>19.64</v>
      </c>
      <c r="M1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" s="29">
        <f>INDEX(Curva_Temp[Temp],MATCH(Table12[[#This Row],[Windy Temp.
°C]],Curva_Temp[Temp]))</f>
        <v>15</v>
      </c>
      <c r="O10" s="29">
        <f>INDEX(Curva_Temp[Warranted Power Curve for 
1.194Kg/m3 air density '[kW']
SG 5.0-145 (AM+1, 5.2MW) AT 
90M],MATCH(Table12[[#This Row],[Windy Temp.
°C]],Curva_Temp[Temp]))</f>
        <v>5200</v>
      </c>
      <c r="P10" s="29" cm="1">
        <f t="array" ref="P10">INDEX(Curva_Temp[Temp],MATCH(Table12[[#This Row],[Windy Temp.
°C]],Curva_Temp[Temp])+1)</f>
        <v>20</v>
      </c>
      <c r="Q10" s="29" cm="1">
        <f t="array" ref="Q10">INDEX(Curva_Temp[Warranted Power Curve for 
1.194Kg/m3 air density '[kW']
SG 5.0-145 (AM+1, 5.2MW) AT 
90M],MATCH(Table12[[#This Row],[Windy Temp.
°C]],Curva_Temp[Temp])+1)</f>
        <v>5000</v>
      </c>
      <c r="R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" s="18"/>
      <c r="V10" s="18"/>
      <c r="W10" s="18">
        <f>CEILING(Table12[[#This Row],[Darwin Gusts
m/s]],0.5)</f>
        <v>0</v>
      </c>
    </row>
    <row r="11" spans="2:34" ht="12" x14ac:dyDescent="0.2">
      <c r="B11" s="16">
        <f t="shared" si="0"/>
        <v>45080.29166666665</v>
      </c>
      <c r="C11" s="17">
        <f t="shared" si="1"/>
        <v>0.29166666666666663</v>
      </c>
      <c r="D11" s="29">
        <f>Table12[[#This Row],[MW TOTAL BARRA A]]+Table12[[#This Row],[MW TOTAL BARRA B]]</f>
        <v>44.215000000000003</v>
      </c>
      <c r="E11" s="18">
        <f>Windy_web!$G7</f>
        <v>3</v>
      </c>
      <c r="F11" s="18">
        <f>Windy_web!$G8</f>
        <v>6</v>
      </c>
      <c r="G11" s="27" t="str">
        <f>Windy_web!$G5</f>
        <v>16°</v>
      </c>
      <c r="H11" s="26">
        <f t="shared" si="2"/>
        <v>16</v>
      </c>
      <c r="I11" s="18">
        <v>25</v>
      </c>
      <c r="J11" s="18">
        <v>20</v>
      </c>
      <c r="K11" s="18">
        <f>Table12[[#This Row],[AEG E/S BARRA A]]*Table12[[#This Row],[AEG 5.2 MW]]</f>
        <v>24.574999999999999</v>
      </c>
      <c r="L11" s="18">
        <f>Table12[[#This Row],[AEG E/S BARRA B]]*Table12[[#This Row],[AEG 5.0 MW]]</f>
        <v>19.64</v>
      </c>
      <c r="M1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1" s="29">
        <f>INDEX(Curva_Temp[Temp],MATCH(Table12[[#This Row],[Windy Temp.
°C]],Curva_Temp[Temp]))</f>
        <v>15</v>
      </c>
      <c r="O11" s="29">
        <f>INDEX(Curva_Temp[Warranted Power Curve for 
1.194Kg/m3 air density '[kW']
SG 5.0-145 (AM+1, 5.2MW) AT 
90M],MATCH(Table12[[#This Row],[Windy Temp.
°C]],Curva_Temp[Temp]))</f>
        <v>5200</v>
      </c>
      <c r="P11" s="29" cm="1">
        <f t="array" ref="P11">INDEX(Curva_Temp[Temp],MATCH(Table12[[#This Row],[Windy Temp.
°C]],Curva_Temp[Temp])+1)</f>
        <v>20</v>
      </c>
      <c r="Q11" s="29" cm="1">
        <f t="array" ref="Q11">INDEX(Curva_Temp[Warranted Power Curve for 
1.194Kg/m3 air density '[kW']
SG 5.0-145 (AM+1, 5.2MW) AT 
90M],MATCH(Table12[[#This Row],[Windy Temp.
°C]],Curva_Temp[Temp])+1)</f>
        <v>5000</v>
      </c>
      <c r="R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1" s="18"/>
      <c r="V11" s="18"/>
      <c r="W11" s="18">
        <f>CEILING(Table12[[#This Row],[Darwin Gusts
m/s]],0.5)</f>
        <v>0</v>
      </c>
    </row>
    <row r="12" spans="2:34" ht="12" x14ac:dyDescent="0.2">
      <c r="B12" s="16">
        <f t="shared" si="0"/>
        <v>45080.333333333314</v>
      </c>
      <c r="C12" s="17">
        <f t="shared" si="1"/>
        <v>0.33333333333333331</v>
      </c>
      <c r="D12" s="29">
        <f>Table12[[#This Row],[MW TOTAL BARRA A]]+Table12[[#This Row],[MW TOTAL BARRA B]]</f>
        <v>44.215000000000003</v>
      </c>
      <c r="E12" s="18">
        <f>Windy_web!$H7</f>
        <v>3</v>
      </c>
      <c r="F12" s="18">
        <f>Windy_web!$H8</f>
        <v>6</v>
      </c>
      <c r="G12" s="27" t="str">
        <f>Windy_web!$H5</f>
        <v>17°</v>
      </c>
      <c r="H12" s="26">
        <f t="shared" si="2"/>
        <v>17</v>
      </c>
      <c r="I12" s="18">
        <v>25</v>
      </c>
      <c r="J12" s="18">
        <v>20</v>
      </c>
      <c r="K12" s="18">
        <f>Table12[[#This Row],[AEG E/S BARRA A]]*Table12[[#This Row],[AEG 5.2 MW]]</f>
        <v>24.574999999999999</v>
      </c>
      <c r="L12" s="18">
        <f>Table12[[#This Row],[AEG E/S BARRA B]]*Table12[[#This Row],[AEG 5.0 MW]]</f>
        <v>19.64</v>
      </c>
      <c r="M1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" s="29">
        <f>INDEX(Curva_Temp[Temp],MATCH(Table12[[#This Row],[Windy Temp.
°C]],Curva_Temp[Temp]))</f>
        <v>15</v>
      </c>
      <c r="O12" s="29">
        <f>INDEX(Curva_Temp[Warranted Power Curve for 
1.194Kg/m3 air density '[kW']
SG 5.0-145 (AM+1, 5.2MW) AT 
90M],MATCH(Table12[[#This Row],[Windy Temp.
°C]],Curva_Temp[Temp]))</f>
        <v>5200</v>
      </c>
      <c r="P12" s="29" cm="1">
        <f t="array" ref="P12">INDEX(Curva_Temp[Temp],MATCH(Table12[[#This Row],[Windy Temp.
°C]],Curva_Temp[Temp])+1)</f>
        <v>20</v>
      </c>
      <c r="Q12" s="29" cm="1">
        <f t="array" ref="Q12">INDEX(Curva_Temp[Warranted Power Curve for 
1.194Kg/m3 air density '[kW']
SG 5.0-145 (AM+1, 5.2MW) AT 
90M],MATCH(Table12[[#This Row],[Windy Temp.
°C]],Curva_Temp[Temp])+1)</f>
        <v>5000</v>
      </c>
      <c r="R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" s="18"/>
      <c r="V12" s="18"/>
      <c r="W12" s="18">
        <f>CEILING(Table12[[#This Row],[Darwin Gusts
m/s]],0.5)</f>
        <v>0</v>
      </c>
    </row>
    <row r="13" spans="2:34" ht="12" x14ac:dyDescent="0.2">
      <c r="B13" s="16">
        <f t="shared" si="0"/>
        <v>45080.374999999978</v>
      </c>
      <c r="C13" s="17">
        <f t="shared" si="1"/>
        <v>0.375</v>
      </c>
      <c r="D13" s="29">
        <f>Table12[[#This Row],[MW TOTAL BARRA A]]+Table12[[#This Row],[MW TOTAL BARRA B]]</f>
        <v>71.824999999999989</v>
      </c>
      <c r="E13" s="18">
        <f>Windy_web!$I7</f>
        <v>3</v>
      </c>
      <c r="F13" s="18">
        <f>Windy_web!$I8</f>
        <v>7</v>
      </c>
      <c r="G13" s="27" t="str">
        <f>Windy_web!$I5</f>
        <v>18°</v>
      </c>
      <c r="H13" s="26">
        <f t="shared" si="2"/>
        <v>18</v>
      </c>
      <c r="I13" s="18">
        <v>25</v>
      </c>
      <c r="J13" s="18">
        <v>20</v>
      </c>
      <c r="K13" s="18">
        <f>Table12[[#This Row],[AEG E/S BARRA A]]*Table12[[#This Row],[AEG 5.2 MW]]</f>
        <v>39.924999999999997</v>
      </c>
      <c r="L13" s="18">
        <f>Table12[[#This Row],[AEG E/S BARRA B]]*Table12[[#This Row],[AEG 5.0 MW]]</f>
        <v>31.9</v>
      </c>
      <c r="M1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" s="29">
        <f>INDEX(Curva_Temp[Temp],MATCH(Table12[[#This Row],[Windy Temp.
°C]],Curva_Temp[Temp]))</f>
        <v>15</v>
      </c>
      <c r="O13" s="29">
        <f>INDEX(Curva_Temp[Warranted Power Curve for 
1.194Kg/m3 air density '[kW']
SG 5.0-145 (AM+1, 5.2MW) AT 
90M],MATCH(Table12[[#This Row],[Windy Temp.
°C]],Curva_Temp[Temp]))</f>
        <v>5200</v>
      </c>
      <c r="P13" s="29" cm="1">
        <f t="array" ref="P13">INDEX(Curva_Temp[Temp],MATCH(Table12[[#This Row],[Windy Temp.
°C]],Curva_Temp[Temp])+1)</f>
        <v>20</v>
      </c>
      <c r="Q13" s="29" cm="1">
        <f t="array" ref="Q13">INDEX(Curva_Temp[Warranted Power Curve for 
1.194Kg/m3 air density '[kW']
SG 5.0-145 (AM+1, 5.2MW) AT 
90M],MATCH(Table12[[#This Row],[Windy Temp.
°C]],Curva_Temp[Temp])+1)</f>
        <v>5000</v>
      </c>
      <c r="R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3" s="18"/>
      <c r="V13" s="18"/>
      <c r="W13" s="18">
        <f>CEILING(Table12[[#This Row],[Darwin Gusts
m/s]],0.5)</f>
        <v>0</v>
      </c>
    </row>
    <row r="14" spans="2:34" ht="12" x14ac:dyDescent="0.2">
      <c r="B14" s="16">
        <f t="shared" si="0"/>
        <v>45080.416666666642</v>
      </c>
      <c r="C14" s="17">
        <f t="shared" si="1"/>
        <v>0.41666666666666669</v>
      </c>
      <c r="D14" s="29">
        <f>Table12[[#This Row],[MW TOTAL BARRA A]]+Table12[[#This Row],[MW TOTAL BARRA B]]</f>
        <v>71.824999999999989</v>
      </c>
      <c r="E14" s="18">
        <f>Windy_web!$J7</f>
        <v>4</v>
      </c>
      <c r="F14" s="18">
        <f>Windy_web!$J8</f>
        <v>7</v>
      </c>
      <c r="G14" s="27" t="str">
        <f>Windy_web!$J5</f>
        <v>19°</v>
      </c>
      <c r="H14" s="26">
        <f t="shared" si="2"/>
        <v>19</v>
      </c>
      <c r="I14" s="18">
        <v>25</v>
      </c>
      <c r="J14" s="18">
        <v>20</v>
      </c>
      <c r="K14" s="18">
        <f>Table12[[#This Row],[AEG E/S BARRA A]]*Table12[[#This Row],[AEG 5.2 MW]]</f>
        <v>39.924999999999997</v>
      </c>
      <c r="L14" s="18">
        <f>Table12[[#This Row],[AEG E/S BARRA B]]*Table12[[#This Row],[AEG 5.0 MW]]</f>
        <v>31.9</v>
      </c>
      <c r="M1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4" s="29">
        <f>INDEX(Curva_Temp[Temp],MATCH(Table12[[#This Row],[Windy Temp.
°C]],Curva_Temp[Temp]))</f>
        <v>15</v>
      </c>
      <c r="O14" s="29">
        <f>INDEX(Curva_Temp[Warranted Power Curve for 
1.194Kg/m3 air density '[kW']
SG 5.0-145 (AM+1, 5.2MW) AT 
90M],MATCH(Table12[[#This Row],[Windy Temp.
°C]],Curva_Temp[Temp]))</f>
        <v>5200</v>
      </c>
      <c r="P14" s="29" cm="1">
        <f t="array" ref="P14">INDEX(Curva_Temp[Temp],MATCH(Table12[[#This Row],[Windy Temp.
°C]],Curva_Temp[Temp])+1)</f>
        <v>20</v>
      </c>
      <c r="Q14" s="29" cm="1">
        <f t="array" ref="Q14">INDEX(Curva_Temp[Warranted Power Curve for 
1.194Kg/m3 air density '[kW']
SG 5.0-145 (AM+1, 5.2MW) AT 
90M],MATCH(Table12[[#This Row],[Windy Temp.
°C]],Curva_Temp[Temp])+1)</f>
        <v>5000</v>
      </c>
      <c r="R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4" s="18"/>
      <c r="V14" s="18"/>
      <c r="W14" s="18">
        <f>CEILING(Table12[[#This Row],[Darwin Gusts
m/s]],0.5)</f>
        <v>0</v>
      </c>
    </row>
    <row r="15" spans="2:34" ht="12" x14ac:dyDescent="0.2">
      <c r="B15" s="16">
        <f t="shared" si="0"/>
        <v>45080.458333333307</v>
      </c>
      <c r="C15" s="17">
        <f t="shared" si="1"/>
        <v>0.45833333333333337</v>
      </c>
      <c r="D15" s="29">
        <f>Table12[[#This Row],[MW TOTAL BARRA A]]+Table12[[#This Row],[MW TOTAL BARRA B]]</f>
        <v>108.185</v>
      </c>
      <c r="E15" s="18">
        <f>Windy_web!$K7</f>
        <v>5</v>
      </c>
      <c r="F15" s="18">
        <f>Windy_web!$K8</f>
        <v>8</v>
      </c>
      <c r="G15" s="27" t="str">
        <f>Windy_web!$K5</f>
        <v>20°</v>
      </c>
      <c r="H15" s="26">
        <f t="shared" si="2"/>
        <v>20</v>
      </c>
      <c r="I15" s="18">
        <v>25</v>
      </c>
      <c r="J15" s="18">
        <v>20</v>
      </c>
      <c r="K15" s="18">
        <f>Table12[[#This Row],[AEG E/S BARRA A]]*Table12[[#This Row],[AEG 5.2 MW]]</f>
        <v>60.224999999999994</v>
      </c>
      <c r="L15" s="18">
        <f>Table12[[#This Row],[AEG E/S BARRA B]]*Table12[[#This Row],[AEG 5.0 MW]]</f>
        <v>47.96</v>
      </c>
      <c r="M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5" s="29">
        <f>INDEX(Curva_Temp[Temp],MATCH(Table12[[#This Row],[Windy Temp.
°C]],Curva_Temp[Temp]))</f>
        <v>20</v>
      </c>
      <c r="O15" s="29">
        <f>INDEX(Curva_Temp[Warranted Power Curve for 
1.194Kg/m3 air density '[kW']
SG 5.0-145 (AM+1, 5.2MW) AT 
90M],MATCH(Table12[[#This Row],[Windy Temp.
°C]],Curva_Temp[Temp]))</f>
        <v>5000</v>
      </c>
      <c r="P15" s="29" cm="1">
        <f t="array" ref="P15">INDEX(Curva_Temp[Temp],MATCH(Table12[[#This Row],[Windy Temp.
°C]],Curva_Temp[Temp])+1)</f>
        <v>25</v>
      </c>
      <c r="Q15" s="29" cm="1">
        <f t="array" ref="Q15">INDEX(Curva_Temp[Warranted Power Curve for 
1.194Kg/m3 air density '[kW']
SG 5.0-145 (AM+1, 5.2MW) AT 
90M],MATCH(Table12[[#This Row],[Windy Temp.
°C]],Curva_Temp[Temp])+1)</f>
        <v>4900</v>
      </c>
      <c r="R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5" s="18"/>
      <c r="V15" s="18"/>
      <c r="W15" s="18">
        <f>CEILING(Table12[[#This Row],[Darwin Gusts
m/s]],0.5)</f>
        <v>0</v>
      </c>
    </row>
    <row r="16" spans="2:34" ht="12" x14ac:dyDescent="0.2">
      <c r="B16" s="16">
        <f t="shared" si="0"/>
        <v>45080.499999999971</v>
      </c>
      <c r="C16" s="17">
        <f t="shared" si="1"/>
        <v>0.5</v>
      </c>
      <c r="D16" s="29">
        <f>Table12[[#This Row],[MW TOTAL BARRA A]]+Table12[[#This Row],[MW TOTAL BARRA B]]</f>
        <v>191.33999999999997</v>
      </c>
      <c r="E16" s="18">
        <f>Windy_web!$L7</f>
        <v>6</v>
      </c>
      <c r="F16" s="18">
        <f>Windy_web!$L8</f>
        <v>10</v>
      </c>
      <c r="G16" s="27" t="str">
        <f>Windy_web!$L5</f>
        <v>20°</v>
      </c>
      <c r="H16" s="26">
        <f t="shared" si="2"/>
        <v>20</v>
      </c>
      <c r="I16" s="18">
        <v>25</v>
      </c>
      <c r="J16" s="18">
        <v>20</v>
      </c>
      <c r="K16" s="18">
        <f>Table12[[#This Row],[AEG E/S BARRA A]]*Table12[[#This Row],[AEG 5.2 MW]]</f>
        <v>107.1</v>
      </c>
      <c r="L16" s="18">
        <f>Table12[[#This Row],[AEG E/S BARRA B]]*Table12[[#This Row],[AEG 5.0 MW]]</f>
        <v>84.24</v>
      </c>
      <c r="M1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6" s="29">
        <f>INDEX(Curva_Temp[Temp],MATCH(Table12[[#This Row],[Windy Temp.
°C]],Curva_Temp[Temp]))</f>
        <v>20</v>
      </c>
      <c r="O16" s="29">
        <f>INDEX(Curva_Temp[Warranted Power Curve for 
1.194Kg/m3 air density '[kW']
SG 5.0-145 (AM+1, 5.2MW) AT 
90M],MATCH(Table12[[#This Row],[Windy Temp.
°C]],Curva_Temp[Temp]))</f>
        <v>5000</v>
      </c>
      <c r="P16" s="29" cm="1">
        <f t="array" ref="P16">INDEX(Curva_Temp[Temp],MATCH(Table12[[#This Row],[Windy Temp.
°C]],Curva_Temp[Temp])+1)</f>
        <v>25</v>
      </c>
      <c r="Q16" s="29" cm="1">
        <f t="array" ref="Q16">INDEX(Curva_Temp[Warranted Power Curve for 
1.194Kg/m3 air density '[kW']
SG 5.0-145 (AM+1, 5.2MW) AT 
90M],MATCH(Table12[[#This Row],[Windy Temp.
°C]],Curva_Temp[Temp])+1)</f>
        <v>4900</v>
      </c>
      <c r="R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" s="18"/>
      <c r="V16" s="18"/>
      <c r="W16" s="18">
        <f>CEILING(Table12[[#This Row],[Darwin Gusts
m/s]],0.5)</f>
        <v>0</v>
      </c>
    </row>
    <row r="17" spans="2:24" ht="12" x14ac:dyDescent="0.2">
      <c r="B17" s="16">
        <f t="shared" si="0"/>
        <v>45080.541666666635</v>
      </c>
      <c r="C17" s="17">
        <f t="shared" si="1"/>
        <v>0.54166666666666663</v>
      </c>
      <c r="D17" s="29">
        <f>Table12[[#This Row],[MW TOTAL BARRA A]]+Table12[[#This Row],[MW TOTAL BARRA B]]</f>
        <v>219.56</v>
      </c>
      <c r="E17" s="18">
        <f>Windy_web!$M7</f>
        <v>6</v>
      </c>
      <c r="F17" s="18">
        <f>Windy_web!$M8</f>
        <v>11</v>
      </c>
      <c r="G17" s="27" t="str">
        <f>Windy_web!$M5</f>
        <v>20°</v>
      </c>
      <c r="H17" s="26">
        <f t="shared" si="2"/>
        <v>20</v>
      </c>
      <c r="I17" s="18">
        <v>25</v>
      </c>
      <c r="J17" s="18">
        <v>20</v>
      </c>
      <c r="K17" s="18">
        <f>Table12[[#This Row],[AEG E/S BARRA A]]*Table12[[#This Row],[AEG 5.2 MW]]</f>
        <v>123.9</v>
      </c>
      <c r="L17" s="18">
        <f>Table12[[#This Row],[AEG E/S BARRA B]]*Table12[[#This Row],[AEG 5.0 MW]]</f>
        <v>95.660000000000011</v>
      </c>
      <c r="M1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7" s="29">
        <f>INDEX(Curva_Temp[Temp],MATCH(Table12[[#This Row],[Windy Temp.
°C]],Curva_Temp[Temp]))</f>
        <v>20</v>
      </c>
      <c r="O17" s="29">
        <f>INDEX(Curva_Temp[Warranted Power Curve for 
1.194Kg/m3 air density '[kW']
SG 5.0-145 (AM+1, 5.2MW) AT 
90M],MATCH(Table12[[#This Row],[Windy Temp.
°C]],Curva_Temp[Temp]))</f>
        <v>5000</v>
      </c>
      <c r="P17" s="29" cm="1">
        <f t="array" ref="P17">INDEX(Curva_Temp[Temp],MATCH(Table12[[#This Row],[Windy Temp.
°C]],Curva_Temp[Temp])+1)</f>
        <v>25</v>
      </c>
      <c r="Q17" s="29" cm="1">
        <f t="array" ref="Q17">INDEX(Curva_Temp[Warranted Power Curve for 
1.194Kg/m3 air density '[kW']
SG 5.0-145 (AM+1, 5.2MW) AT 
90M],MATCH(Table12[[#This Row],[Windy Temp.
°C]],Curva_Temp[Temp])+1)</f>
        <v>4900</v>
      </c>
      <c r="R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7" s="18"/>
      <c r="V17" s="18"/>
      <c r="W17" s="18">
        <f>CEILING(Table12[[#This Row],[Darwin Gusts
m/s]],0.5)</f>
        <v>0</v>
      </c>
    </row>
    <row r="18" spans="2:24" ht="12" x14ac:dyDescent="0.2">
      <c r="B18" s="16">
        <f t="shared" si="0"/>
        <v>45080.583333333299</v>
      </c>
      <c r="C18" s="17">
        <f t="shared" si="1"/>
        <v>0.58333333333333326</v>
      </c>
      <c r="D18" s="29">
        <f>Table12[[#This Row],[MW TOTAL BARRA A]]+Table12[[#This Row],[MW TOTAL BARRA B]]</f>
        <v>219.56</v>
      </c>
      <c r="E18" s="18">
        <f>Windy_web!$N7</f>
        <v>7</v>
      </c>
      <c r="F18" s="18">
        <f>Windy_web!$N8</f>
        <v>11</v>
      </c>
      <c r="G18" s="27" t="str">
        <f>Windy_web!$N5</f>
        <v>20°</v>
      </c>
      <c r="H18" s="26">
        <f t="shared" si="2"/>
        <v>20</v>
      </c>
      <c r="I18" s="18">
        <v>25</v>
      </c>
      <c r="J18" s="18">
        <v>20</v>
      </c>
      <c r="K18" s="18">
        <f>Table12[[#This Row],[AEG E/S BARRA A]]*Table12[[#This Row],[AEG 5.2 MW]]</f>
        <v>123.9</v>
      </c>
      <c r="L18" s="18">
        <f>Table12[[#This Row],[AEG E/S BARRA B]]*Table12[[#This Row],[AEG 5.0 MW]]</f>
        <v>95.660000000000011</v>
      </c>
      <c r="M1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" s="29">
        <f>INDEX(Curva_Temp[Temp],MATCH(Table12[[#This Row],[Windy Temp.
°C]],Curva_Temp[Temp]))</f>
        <v>20</v>
      </c>
      <c r="O18" s="29">
        <f>INDEX(Curva_Temp[Warranted Power Curve for 
1.194Kg/m3 air density '[kW']
SG 5.0-145 (AM+1, 5.2MW) AT 
90M],MATCH(Table12[[#This Row],[Windy Temp.
°C]],Curva_Temp[Temp]))</f>
        <v>5000</v>
      </c>
      <c r="P18" s="29" cm="1">
        <f t="array" ref="P18">INDEX(Curva_Temp[Temp],MATCH(Table12[[#This Row],[Windy Temp.
°C]],Curva_Temp[Temp])+1)</f>
        <v>25</v>
      </c>
      <c r="Q18" s="29" cm="1">
        <f t="array" ref="Q18">INDEX(Curva_Temp[Warranted Power Curve for 
1.194Kg/m3 air density '[kW']
SG 5.0-145 (AM+1, 5.2MW) AT 
90M],MATCH(Table12[[#This Row],[Windy Temp.
°C]],Curva_Temp[Temp])+1)</f>
        <v>4900</v>
      </c>
      <c r="R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8" s="18"/>
      <c r="V18" s="18"/>
      <c r="W18" s="18">
        <f>CEILING(Table12[[#This Row],[Darwin Gusts
m/s]],0.5)</f>
        <v>0</v>
      </c>
    </row>
    <row r="19" spans="2:24" ht="12" x14ac:dyDescent="0.2">
      <c r="B19" s="16">
        <f t="shared" si="0"/>
        <v>45080.624999999964</v>
      </c>
      <c r="C19" s="17">
        <f t="shared" si="1"/>
        <v>0.62499999999999989</v>
      </c>
      <c r="D19" s="29">
        <f>Table12[[#This Row],[MW TOTAL BARRA A]]+Table12[[#This Row],[MW TOTAL BARRA B]]</f>
        <v>219.56</v>
      </c>
      <c r="E19" s="18">
        <f>Windy_web!$O7</f>
        <v>7</v>
      </c>
      <c r="F19" s="18">
        <f>Windy_web!$O8</f>
        <v>11</v>
      </c>
      <c r="G19" s="27" t="str">
        <f>Windy_web!$O5</f>
        <v>20°</v>
      </c>
      <c r="H19" s="26">
        <f t="shared" si="2"/>
        <v>20</v>
      </c>
      <c r="I19" s="18">
        <v>25</v>
      </c>
      <c r="J19" s="18">
        <v>20</v>
      </c>
      <c r="K19" s="18">
        <f>Table12[[#This Row],[AEG E/S BARRA A]]*Table12[[#This Row],[AEG 5.2 MW]]</f>
        <v>123.9</v>
      </c>
      <c r="L19" s="18">
        <f>Table12[[#This Row],[AEG E/S BARRA B]]*Table12[[#This Row],[AEG 5.0 MW]]</f>
        <v>95.660000000000011</v>
      </c>
      <c r="M1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" s="29">
        <f>INDEX(Curva_Temp[Temp],MATCH(Table12[[#This Row],[Windy Temp.
°C]],Curva_Temp[Temp]))</f>
        <v>20</v>
      </c>
      <c r="O19" s="29">
        <f>INDEX(Curva_Temp[Warranted Power Curve for 
1.194Kg/m3 air density '[kW']
SG 5.0-145 (AM+1, 5.2MW) AT 
90M],MATCH(Table12[[#This Row],[Windy Temp.
°C]],Curva_Temp[Temp]))</f>
        <v>5000</v>
      </c>
      <c r="P19" s="29" cm="1">
        <f t="array" ref="P19">INDEX(Curva_Temp[Temp],MATCH(Table12[[#This Row],[Windy Temp.
°C]],Curva_Temp[Temp])+1)</f>
        <v>25</v>
      </c>
      <c r="Q19" s="29" cm="1">
        <f t="array" ref="Q19">INDEX(Curva_Temp[Warranted Power Curve for 
1.194Kg/m3 air density '[kW']
SG 5.0-145 (AM+1, 5.2MW) AT 
90M],MATCH(Table12[[#This Row],[Windy Temp.
°C]],Curva_Temp[Temp])+1)</f>
        <v>4900</v>
      </c>
      <c r="R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9" s="18"/>
      <c r="V19" s="18"/>
      <c r="W19" s="18">
        <f>CEILING(Table12[[#This Row],[Darwin Gusts
m/s]],0.5)</f>
        <v>0</v>
      </c>
    </row>
    <row r="20" spans="2:24" ht="12" x14ac:dyDescent="0.2">
      <c r="B20" s="16">
        <f t="shared" si="0"/>
        <v>45080.666666666628</v>
      </c>
      <c r="C20" s="17">
        <f t="shared" si="1"/>
        <v>0.66666666666666652</v>
      </c>
      <c r="D20" s="29">
        <f>Table12[[#This Row],[MW TOTAL BARRA A]]+Table12[[#This Row],[MW TOTAL BARRA B]]</f>
        <v>219.56</v>
      </c>
      <c r="E20" s="18">
        <f>Windy_web!$P7</f>
        <v>6</v>
      </c>
      <c r="F20" s="18">
        <f>Windy_web!$P8</f>
        <v>11</v>
      </c>
      <c r="G20" s="27" t="str">
        <f>Windy_web!$P5</f>
        <v>19°</v>
      </c>
      <c r="H20" s="26">
        <f t="shared" si="2"/>
        <v>19</v>
      </c>
      <c r="I20" s="18">
        <v>25</v>
      </c>
      <c r="J20" s="18">
        <v>20</v>
      </c>
      <c r="K20" s="18">
        <f>Table12[[#This Row],[AEG E/S BARRA A]]*Table12[[#This Row],[AEG 5.2 MW]]</f>
        <v>123.9</v>
      </c>
      <c r="L20" s="18">
        <f>Table12[[#This Row],[AEG E/S BARRA B]]*Table12[[#This Row],[AEG 5.0 MW]]</f>
        <v>95.660000000000011</v>
      </c>
      <c r="M2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20" s="29">
        <f>INDEX(Curva_Temp[Temp],MATCH(Table12[[#This Row],[Windy Temp.
°C]],Curva_Temp[Temp]))</f>
        <v>15</v>
      </c>
      <c r="O20" s="29">
        <f>INDEX(Curva_Temp[Warranted Power Curve for 
1.194Kg/m3 air density '[kW']
SG 5.0-145 (AM+1, 5.2MW) AT 
90M],MATCH(Table12[[#This Row],[Windy Temp.
°C]],Curva_Temp[Temp]))</f>
        <v>5200</v>
      </c>
      <c r="P20" s="29" cm="1">
        <f t="array" ref="P20">INDEX(Curva_Temp[Temp],MATCH(Table12[[#This Row],[Windy Temp.
°C]],Curva_Temp[Temp])+1)</f>
        <v>20</v>
      </c>
      <c r="Q20" s="29" cm="1">
        <f t="array" ref="Q20">INDEX(Curva_Temp[Warranted Power Curve for 
1.194Kg/m3 air density '[kW']
SG 5.0-145 (AM+1, 5.2MW) AT 
90M],MATCH(Table12[[#This Row],[Windy Temp.
°C]],Curva_Temp[Temp])+1)</f>
        <v>5000</v>
      </c>
      <c r="R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" s="18"/>
      <c r="V20" s="18"/>
      <c r="W20" s="18">
        <f>CEILING(Table12[[#This Row],[Darwin Gusts
m/s]],0.5)</f>
        <v>0</v>
      </c>
    </row>
    <row r="21" spans="2:24" ht="12" x14ac:dyDescent="0.2">
      <c r="B21" s="16">
        <f t="shared" si="0"/>
        <v>45080.708333333292</v>
      </c>
      <c r="C21" s="17">
        <f t="shared" si="1"/>
        <v>0.70833333333333315</v>
      </c>
      <c r="D21" s="29">
        <f>Table12[[#This Row],[MW TOTAL BARRA A]]+Table12[[#This Row],[MW TOTAL BARRA B]]</f>
        <v>219.56</v>
      </c>
      <c r="E21" s="18">
        <f>Windy_web!$Q7</f>
        <v>6</v>
      </c>
      <c r="F21" s="18">
        <f>Windy_web!$Q8</f>
        <v>11</v>
      </c>
      <c r="G21" s="27" t="str">
        <f>Windy_web!$Q5</f>
        <v>18°</v>
      </c>
      <c r="H21" s="26">
        <f t="shared" si="2"/>
        <v>18</v>
      </c>
      <c r="I21" s="18">
        <v>25</v>
      </c>
      <c r="J21" s="18">
        <v>20</v>
      </c>
      <c r="K21" s="18">
        <f>Table12[[#This Row],[AEG E/S BARRA A]]*Table12[[#This Row],[AEG 5.2 MW]]</f>
        <v>123.9</v>
      </c>
      <c r="L21" s="18">
        <f>Table12[[#This Row],[AEG E/S BARRA B]]*Table12[[#This Row],[AEG 5.0 MW]]</f>
        <v>95.660000000000011</v>
      </c>
      <c r="M2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1" s="29">
        <f>INDEX(Curva_Temp[Temp],MATCH(Table12[[#This Row],[Windy Temp.
°C]],Curva_Temp[Temp]))</f>
        <v>15</v>
      </c>
      <c r="O21" s="29">
        <f>INDEX(Curva_Temp[Warranted Power Curve for 
1.194Kg/m3 air density '[kW']
SG 5.0-145 (AM+1, 5.2MW) AT 
90M],MATCH(Table12[[#This Row],[Windy Temp.
°C]],Curva_Temp[Temp]))</f>
        <v>5200</v>
      </c>
      <c r="P21" s="29" cm="1">
        <f t="array" ref="P21">INDEX(Curva_Temp[Temp],MATCH(Table12[[#This Row],[Windy Temp.
°C]],Curva_Temp[Temp])+1)</f>
        <v>20</v>
      </c>
      <c r="Q21" s="29" cm="1">
        <f t="array" ref="Q21">INDEX(Curva_Temp[Warranted Power Curve for 
1.194Kg/m3 air density '[kW']
SG 5.0-145 (AM+1, 5.2MW) AT 
90M],MATCH(Table12[[#This Row],[Windy Temp.
°C]],Curva_Temp[Temp])+1)</f>
        <v>5000</v>
      </c>
      <c r="R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" s="18"/>
      <c r="V21" s="18"/>
      <c r="W21" s="18">
        <f>CEILING(Table12[[#This Row],[Darwin Gusts
m/s]],0.5)</f>
        <v>0</v>
      </c>
    </row>
    <row r="22" spans="2:24" ht="12" x14ac:dyDescent="0.2">
      <c r="B22" s="16">
        <f t="shared" si="0"/>
        <v>45080.749999999956</v>
      </c>
      <c r="C22" s="17">
        <f t="shared" si="1"/>
        <v>0.74999999999999978</v>
      </c>
      <c r="D22" s="29">
        <f>Table12[[#This Row],[MW TOTAL BARRA A]]+Table12[[#This Row],[MW TOTAL BARRA B]]</f>
        <v>219.56</v>
      </c>
      <c r="E22" s="18">
        <f>Windy_web!$R7</f>
        <v>6</v>
      </c>
      <c r="F22" s="18">
        <f>Windy_web!$R8</f>
        <v>11</v>
      </c>
      <c r="G22" s="27" t="str">
        <f>Windy_web!$R5</f>
        <v>18°</v>
      </c>
      <c r="H22" s="26">
        <f t="shared" si="2"/>
        <v>18</v>
      </c>
      <c r="I22" s="18">
        <v>25</v>
      </c>
      <c r="J22" s="18">
        <v>20</v>
      </c>
      <c r="K22" s="18">
        <f>Table12[[#This Row],[AEG E/S BARRA A]]*Table12[[#This Row],[AEG 5.2 MW]]</f>
        <v>123.9</v>
      </c>
      <c r="L22" s="18">
        <f>Table12[[#This Row],[AEG E/S BARRA B]]*Table12[[#This Row],[AEG 5.0 MW]]</f>
        <v>95.660000000000011</v>
      </c>
      <c r="M2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2" s="29">
        <f>INDEX(Curva_Temp[Temp],MATCH(Table12[[#This Row],[Windy Temp.
°C]],Curva_Temp[Temp]))</f>
        <v>15</v>
      </c>
      <c r="O22" s="29">
        <f>INDEX(Curva_Temp[Warranted Power Curve for 
1.194Kg/m3 air density '[kW']
SG 5.0-145 (AM+1, 5.2MW) AT 
90M],MATCH(Table12[[#This Row],[Windy Temp.
°C]],Curva_Temp[Temp]))</f>
        <v>5200</v>
      </c>
      <c r="P22" s="29" cm="1">
        <f t="array" ref="P22">INDEX(Curva_Temp[Temp],MATCH(Table12[[#This Row],[Windy Temp.
°C]],Curva_Temp[Temp])+1)</f>
        <v>20</v>
      </c>
      <c r="Q22" s="29" cm="1">
        <f t="array" ref="Q22">INDEX(Curva_Temp[Warranted Power Curve for 
1.194Kg/m3 air density '[kW']
SG 5.0-145 (AM+1, 5.2MW) AT 
90M],MATCH(Table12[[#This Row],[Windy Temp.
°C]],Curva_Temp[Temp])+1)</f>
        <v>5000</v>
      </c>
      <c r="R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" s="18"/>
      <c r="V22" s="18"/>
      <c r="W22" s="18">
        <f>CEILING(Table12[[#This Row],[Darwin Gusts
m/s]],0.5)</f>
        <v>0</v>
      </c>
    </row>
    <row r="23" spans="2:24" ht="12" x14ac:dyDescent="0.2">
      <c r="B23" s="16">
        <f t="shared" si="0"/>
        <v>45080.791666666621</v>
      </c>
      <c r="C23" s="17">
        <f>C22+TIME(1,0,0)</f>
        <v>0.79166666666666641</v>
      </c>
      <c r="D23" s="29">
        <f>Table12[[#This Row],[MW TOTAL BARRA A]]+Table12[[#This Row],[MW TOTAL BARRA B]]</f>
        <v>219.56</v>
      </c>
      <c r="E23" s="18">
        <f>Windy_web!$S7</f>
        <v>6</v>
      </c>
      <c r="F23" s="18">
        <f>Windy_web!$S8</f>
        <v>11</v>
      </c>
      <c r="G23" s="27" t="str">
        <f>Windy_web!$S5</f>
        <v>17°</v>
      </c>
      <c r="H23" s="26">
        <f t="shared" si="2"/>
        <v>17</v>
      </c>
      <c r="I23" s="18">
        <v>25</v>
      </c>
      <c r="J23" s="18">
        <v>20</v>
      </c>
      <c r="K23" s="18">
        <f>Table12[[#This Row],[AEG E/S BARRA A]]*Table12[[#This Row],[AEG 5.2 MW]]</f>
        <v>123.9</v>
      </c>
      <c r="L23" s="18">
        <f>Table12[[#This Row],[AEG E/S BARRA B]]*Table12[[#This Row],[AEG 5.0 MW]]</f>
        <v>95.660000000000011</v>
      </c>
      <c r="M2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" s="29">
        <f>INDEX(Curva_Temp[Temp],MATCH(Table12[[#This Row],[Windy Temp.
°C]],Curva_Temp[Temp]))</f>
        <v>15</v>
      </c>
      <c r="O23" s="29">
        <f>INDEX(Curva_Temp[Warranted Power Curve for 
1.194Kg/m3 air density '[kW']
SG 5.0-145 (AM+1, 5.2MW) AT 
90M],MATCH(Table12[[#This Row],[Windy Temp.
°C]],Curva_Temp[Temp]))</f>
        <v>5200</v>
      </c>
      <c r="P23" s="29" cm="1">
        <f t="array" ref="P23">INDEX(Curva_Temp[Temp],MATCH(Table12[[#This Row],[Windy Temp.
°C]],Curva_Temp[Temp])+1)</f>
        <v>20</v>
      </c>
      <c r="Q23" s="29" cm="1">
        <f t="array" ref="Q23">INDEX(Curva_Temp[Warranted Power Curve for 
1.194Kg/m3 air density '[kW']
SG 5.0-145 (AM+1, 5.2MW) AT 
90M],MATCH(Table12[[#This Row],[Windy Temp.
°C]],Curva_Temp[Temp])+1)</f>
        <v>5000</v>
      </c>
      <c r="R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" s="18"/>
      <c r="V23" s="18"/>
      <c r="W23" s="18">
        <f>CEILING(Table12[[#This Row],[Darwin Gusts
m/s]],0.5)</f>
        <v>0</v>
      </c>
    </row>
    <row r="24" spans="2:24" ht="12" x14ac:dyDescent="0.2">
      <c r="B24" s="16">
        <f t="shared" si="0"/>
        <v>45080.833333333285</v>
      </c>
      <c r="C24" s="17">
        <f t="shared" si="1"/>
        <v>0.83333333333333304</v>
      </c>
      <c r="D24" s="29">
        <f>Table12[[#This Row],[MW TOTAL BARRA A]]+Table12[[#This Row],[MW TOTAL BARRA B]]</f>
        <v>219.56</v>
      </c>
      <c r="E24" s="18">
        <f>Windy_web!$T7</f>
        <v>6</v>
      </c>
      <c r="F24" s="18">
        <f>Windy_web!$T8</f>
        <v>11</v>
      </c>
      <c r="G24" s="27" t="str">
        <f>Windy_web!$T5</f>
        <v>17°</v>
      </c>
      <c r="H24" s="26">
        <f t="shared" si="2"/>
        <v>17</v>
      </c>
      <c r="I24" s="18">
        <v>25</v>
      </c>
      <c r="J24" s="18">
        <v>20</v>
      </c>
      <c r="K24" s="18">
        <f>Table12[[#This Row],[AEG E/S BARRA A]]*Table12[[#This Row],[AEG 5.2 MW]]</f>
        <v>123.9</v>
      </c>
      <c r="L24" s="18">
        <f>Table12[[#This Row],[AEG E/S BARRA B]]*Table12[[#This Row],[AEG 5.0 MW]]</f>
        <v>95.660000000000011</v>
      </c>
      <c r="M2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" s="29">
        <f>INDEX(Curva_Temp[Temp],MATCH(Table12[[#This Row],[Windy Temp.
°C]],Curva_Temp[Temp]))</f>
        <v>15</v>
      </c>
      <c r="O24" s="29">
        <f>INDEX(Curva_Temp[Warranted Power Curve for 
1.194Kg/m3 air density '[kW']
SG 5.0-145 (AM+1, 5.2MW) AT 
90M],MATCH(Table12[[#This Row],[Windy Temp.
°C]],Curva_Temp[Temp]))</f>
        <v>5200</v>
      </c>
      <c r="P24" s="29" cm="1">
        <f t="array" ref="P24">INDEX(Curva_Temp[Temp],MATCH(Table12[[#This Row],[Windy Temp.
°C]],Curva_Temp[Temp])+1)</f>
        <v>20</v>
      </c>
      <c r="Q24" s="29" cm="1">
        <f t="array" ref="Q24">INDEX(Curva_Temp[Warranted Power Curve for 
1.194Kg/m3 air density '[kW']
SG 5.0-145 (AM+1, 5.2MW) AT 
90M],MATCH(Table12[[#This Row],[Windy Temp.
°C]],Curva_Temp[Temp])+1)</f>
        <v>5000</v>
      </c>
      <c r="R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" s="18"/>
      <c r="V24" s="18"/>
      <c r="W24" s="18">
        <f>CEILING(Table12[[#This Row],[Darwin Gusts
m/s]],0.5)</f>
        <v>0</v>
      </c>
    </row>
    <row r="25" spans="2:24" ht="12" x14ac:dyDescent="0.2">
      <c r="B25" s="16">
        <f t="shared" si="0"/>
        <v>45080.874999999949</v>
      </c>
      <c r="C25" s="17">
        <f t="shared" si="1"/>
        <v>0.87499999999999967</v>
      </c>
      <c r="D25" s="29">
        <f>Table12[[#This Row],[MW TOTAL BARRA A]]+Table12[[#This Row],[MW TOTAL BARRA B]]</f>
        <v>219.56</v>
      </c>
      <c r="E25" s="18">
        <f>Windy_web!$U7</f>
        <v>6</v>
      </c>
      <c r="F25" s="18">
        <f>Windy_web!$U8</f>
        <v>11</v>
      </c>
      <c r="G25" s="27" t="str">
        <f>Windy_web!$U5</f>
        <v>17°</v>
      </c>
      <c r="H25" s="26">
        <f t="shared" si="2"/>
        <v>17</v>
      </c>
      <c r="I25" s="18">
        <v>25</v>
      </c>
      <c r="J25" s="18">
        <v>20</v>
      </c>
      <c r="K25" s="18">
        <f>Table12[[#This Row],[AEG E/S BARRA A]]*Table12[[#This Row],[AEG 5.2 MW]]</f>
        <v>123.9</v>
      </c>
      <c r="L25" s="18">
        <f>Table12[[#This Row],[AEG E/S BARRA B]]*Table12[[#This Row],[AEG 5.0 MW]]</f>
        <v>95.660000000000011</v>
      </c>
      <c r="M2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5" s="29">
        <f>INDEX(Curva_Temp[Temp],MATCH(Table12[[#This Row],[Windy Temp.
°C]],Curva_Temp[Temp]))</f>
        <v>15</v>
      </c>
      <c r="O25" s="29">
        <f>INDEX(Curva_Temp[Warranted Power Curve for 
1.194Kg/m3 air density '[kW']
SG 5.0-145 (AM+1, 5.2MW) AT 
90M],MATCH(Table12[[#This Row],[Windy Temp.
°C]],Curva_Temp[Temp]))</f>
        <v>5200</v>
      </c>
      <c r="P25" s="29" cm="1">
        <f t="array" ref="P25">INDEX(Curva_Temp[Temp],MATCH(Table12[[#This Row],[Windy Temp.
°C]],Curva_Temp[Temp])+1)</f>
        <v>20</v>
      </c>
      <c r="Q25" s="29" cm="1">
        <f t="array" ref="Q25">INDEX(Curva_Temp[Warranted Power Curve for 
1.194Kg/m3 air density '[kW']
SG 5.0-145 (AM+1, 5.2MW) AT 
90M],MATCH(Table12[[#This Row],[Windy Temp.
°C]],Curva_Temp[Temp])+1)</f>
        <v>5000</v>
      </c>
      <c r="R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5" s="18"/>
      <c r="U25" s="18">
        <v>1.5</v>
      </c>
      <c r="V25" s="18">
        <v>2.2999999999999998</v>
      </c>
      <c r="W25" s="18">
        <f>CEILING(Table12[[#This Row],[Darwin Gusts
m/s]],0.5)</f>
        <v>2.5</v>
      </c>
      <c r="X25" s="18">
        <v>20.3</v>
      </c>
    </row>
    <row r="26" spans="2:24" ht="12" x14ac:dyDescent="0.2">
      <c r="B26" s="16">
        <f t="shared" si="0"/>
        <v>45080.916666666613</v>
      </c>
      <c r="C26" s="17">
        <f t="shared" si="1"/>
        <v>0.9166666666666663</v>
      </c>
      <c r="D26" s="29">
        <f>Table12[[#This Row],[MW TOTAL BARRA A]]+Table12[[#This Row],[MW TOTAL BARRA B]]</f>
        <v>219.56</v>
      </c>
      <c r="E26" s="18">
        <f>Windy_web!$V7</f>
        <v>6</v>
      </c>
      <c r="F26" s="18">
        <f>Windy_web!$V8</f>
        <v>11</v>
      </c>
      <c r="G26" s="27" t="str">
        <f>Windy_web!$V5</f>
        <v>16°</v>
      </c>
      <c r="H26" s="26">
        <f t="shared" si="2"/>
        <v>16</v>
      </c>
      <c r="I26" s="18">
        <v>25</v>
      </c>
      <c r="J26" s="18">
        <v>20</v>
      </c>
      <c r="K26" s="18">
        <f>Table12[[#This Row],[AEG E/S BARRA A]]*Table12[[#This Row],[AEG 5.2 MW]]</f>
        <v>123.9</v>
      </c>
      <c r="L26" s="18">
        <f>Table12[[#This Row],[AEG E/S BARRA B]]*Table12[[#This Row],[AEG 5.0 MW]]</f>
        <v>95.660000000000011</v>
      </c>
      <c r="M2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6" s="29">
        <f>INDEX(Curva_Temp[Temp],MATCH(Table12[[#This Row],[Windy Temp.
°C]],Curva_Temp[Temp]))</f>
        <v>15</v>
      </c>
      <c r="O26" s="29">
        <f>INDEX(Curva_Temp[Warranted Power Curve for 
1.194Kg/m3 air density '[kW']
SG 5.0-145 (AM+1, 5.2MW) AT 
90M],MATCH(Table12[[#This Row],[Windy Temp.
°C]],Curva_Temp[Temp]))</f>
        <v>5200</v>
      </c>
      <c r="P26" s="29" cm="1">
        <f t="array" ref="P26">INDEX(Curva_Temp[Temp],MATCH(Table12[[#This Row],[Windy Temp.
°C]],Curva_Temp[Temp])+1)</f>
        <v>20</v>
      </c>
      <c r="Q26" s="29" cm="1">
        <f t="array" ref="Q26">INDEX(Curva_Temp[Warranted Power Curve for 
1.194Kg/m3 air density '[kW']
SG 5.0-145 (AM+1, 5.2MW) AT 
90M],MATCH(Table12[[#This Row],[Windy Temp.
°C]],Curva_Temp[Temp])+1)</f>
        <v>5000</v>
      </c>
      <c r="R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6" s="18"/>
      <c r="U26" s="18">
        <v>1.6</v>
      </c>
      <c r="V26" s="18">
        <v>2.2999999999999998</v>
      </c>
      <c r="W26" s="18">
        <f>CEILING(Table12[[#This Row],[Darwin Gusts
m/s]],0.5)</f>
        <v>2.5</v>
      </c>
      <c r="X26" s="18">
        <v>19.399999999999999</v>
      </c>
    </row>
    <row r="27" spans="2:24" ht="12" x14ac:dyDescent="0.2">
      <c r="B27" s="16">
        <f t="shared" si="0"/>
        <v>45080.958333333278</v>
      </c>
      <c r="C27" s="17">
        <f t="shared" si="1"/>
        <v>0.95833333333333293</v>
      </c>
      <c r="D27" s="29">
        <f>Table12[[#This Row],[MW TOTAL BARRA A]]+Table12[[#This Row],[MW TOTAL BARRA B]]</f>
        <v>191.33999999999997</v>
      </c>
      <c r="E27" s="18">
        <f>Windy_web!$W7</f>
        <v>6</v>
      </c>
      <c r="F27" s="18">
        <f>Windy_web!$W8</f>
        <v>10</v>
      </c>
      <c r="G27" s="27" t="str">
        <f>Windy_web!$W5</f>
        <v>16°</v>
      </c>
      <c r="H27" s="26">
        <f t="shared" si="2"/>
        <v>16</v>
      </c>
      <c r="I27" s="18">
        <v>25</v>
      </c>
      <c r="J27" s="18">
        <v>20</v>
      </c>
      <c r="K27" s="18">
        <f>Table12[[#This Row],[AEG E/S BARRA A]]*Table12[[#This Row],[AEG 5.2 MW]]</f>
        <v>107.1</v>
      </c>
      <c r="L27" s="18">
        <f>Table12[[#This Row],[AEG E/S BARRA B]]*Table12[[#This Row],[AEG 5.0 MW]]</f>
        <v>84.24</v>
      </c>
      <c r="M2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7" s="29">
        <f>INDEX(Curva_Temp[Temp],MATCH(Table12[[#This Row],[Windy Temp.
°C]],Curva_Temp[Temp]))</f>
        <v>15</v>
      </c>
      <c r="O27" s="29">
        <f>INDEX(Curva_Temp[Warranted Power Curve for 
1.194Kg/m3 air density '[kW']
SG 5.0-145 (AM+1, 5.2MW) AT 
90M],MATCH(Table12[[#This Row],[Windy Temp.
°C]],Curva_Temp[Temp]))</f>
        <v>5200</v>
      </c>
      <c r="P27" s="29" cm="1">
        <f t="array" ref="P27">INDEX(Curva_Temp[Temp],MATCH(Table12[[#This Row],[Windy Temp.
°C]],Curva_Temp[Temp])+1)</f>
        <v>20</v>
      </c>
      <c r="Q27" s="29" cm="1">
        <f t="array" ref="Q27">INDEX(Curva_Temp[Warranted Power Curve for 
1.194Kg/m3 air density '[kW']
SG 5.0-145 (AM+1, 5.2MW) AT 
90M],MATCH(Table12[[#This Row],[Windy Temp.
°C]],Curva_Temp[Temp])+1)</f>
        <v>5000</v>
      </c>
      <c r="R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7" s="18"/>
      <c r="U27" s="18">
        <v>1.9</v>
      </c>
      <c r="V27" s="18">
        <v>2.7</v>
      </c>
      <c r="W27" s="18">
        <f>CEILING(Table12[[#This Row],[Darwin Gusts
m/s]],0.5)</f>
        <v>3</v>
      </c>
      <c r="X27" s="18">
        <v>18.3</v>
      </c>
    </row>
    <row r="28" spans="2:24" ht="12" x14ac:dyDescent="0.2">
      <c r="B28" s="16">
        <f t="shared" si="0"/>
        <v>45080.999999999942</v>
      </c>
      <c r="C28" s="17">
        <f t="shared" si="1"/>
        <v>0.99999999999999956</v>
      </c>
      <c r="D28" s="29">
        <f>Table12[[#This Row],[MW TOTAL BARRA A]]+Table12[[#This Row],[MW TOTAL BARRA B]]</f>
        <v>191.33999999999997</v>
      </c>
      <c r="E28" s="18">
        <f>Windy_web!$X7</f>
        <v>5</v>
      </c>
      <c r="F28" s="18">
        <f>Windy_web!$X8</f>
        <v>10</v>
      </c>
      <c r="G28" s="27" t="str">
        <f>Windy_web!$X5</f>
        <v>16°</v>
      </c>
      <c r="H28" s="26">
        <f t="shared" si="2"/>
        <v>16</v>
      </c>
      <c r="I28" s="18">
        <v>25</v>
      </c>
      <c r="J28" s="18">
        <v>20</v>
      </c>
      <c r="K28" s="18">
        <f>Table12[[#This Row],[AEG E/S BARRA A]]*Table12[[#This Row],[AEG 5.2 MW]]</f>
        <v>107.1</v>
      </c>
      <c r="L28" s="18">
        <f>Table12[[#This Row],[AEG E/S BARRA B]]*Table12[[#This Row],[AEG 5.0 MW]]</f>
        <v>84.24</v>
      </c>
      <c r="M2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8" s="29">
        <f>INDEX(Curva_Temp[Temp],MATCH(Table12[[#This Row],[Windy Temp.
°C]],Curva_Temp[Temp]))</f>
        <v>15</v>
      </c>
      <c r="O28" s="29">
        <f>INDEX(Curva_Temp[Warranted Power Curve for 
1.194Kg/m3 air density '[kW']
SG 5.0-145 (AM+1, 5.2MW) AT 
90M],MATCH(Table12[[#This Row],[Windy Temp.
°C]],Curva_Temp[Temp]))</f>
        <v>5200</v>
      </c>
      <c r="P28" s="29" cm="1">
        <f t="array" ref="P28">INDEX(Curva_Temp[Temp],MATCH(Table12[[#This Row],[Windy Temp.
°C]],Curva_Temp[Temp])+1)</f>
        <v>20</v>
      </c>
      <c r="Q28" s="29" cm="1">
        <f t="array" ref="Q28">INDEX(Curva_Temp[Warranted Power Curve for 
1.194Kg/m3 air density '[kW']
SG 5.0-145 (AM+1, 5.2MW) AT 
90M],MATCH(Table12[[#This Row],[Windy Temp.
°C]],Curva_Temp[Temp])+1)</f>
        <v>5000</v>
      </c>
      <c r="R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8" s="18"/>
      <c r="U28" s="18">
        <v>2.7</v>
      </c>
      <c r="V28" s="18">
        <v>3.7</v>
      </c>
      <c r="W28" s="18">
        <f>CEILING(Table12[[#This Row],[Darwin Gusts
m/s]],0.5)</f>
        <v>4</v>
      </c>
      <c r="X28" s="18">
        <v>18</v>
      </c>
    </row>
    <row r="29" spans="2:24" ht="12" x14ac:dyDescent="0.2">
      <c r="B29" s="16">
        <f t="shared" si="0"/>
        <v>45081.041666666606</v>
      </c>
      <c r="C29" s="17">
        <f>C28+TIME(1,0,0)</f>
        <v>1.0416666666666663</v>
      </c>
      <c r="D29" s="29">
        <f>Table12[[#This Row],[MW TOTAL BARRA A]]+Table12[[#This Row],[MW TOTAL BARRA B]]</f>
        <v>191.33999999999997</v>
      </c>
      <c r="E29" s="18">
        <f>Windy_web!$Y7</f>
        <v>5</v>
      </c>
      <c r="F29" s="18">
        <f>Windy_web!$Y8</f>
        <v>10</v>
      </c>
      <c r="G29" s="27" t="str">
        <f>Windy_web!$Y5</f>
        <v>16°</v>
      </c>
      <c r="H29" s="26">
        <f t="shared" si="2"/>
        <v>16</v>
      </c>
      <c r="I29" s="18">
        <v>25</v>
      </c>
      <c r="J29" s="18">
        <v>20</v>
      </c>
      <c r="K29" s="18">
        <f>Table12[[#This Row],[AEG E/S BARRA A]]*Table12[[#This Row],[AEG 5.2 MW]]</f>
        <v>107.1</v>
      </c>
      <c r="L29" s="18">
        <f>Table12[[#This Row],[AEG E/S BARRA B]]*Table12[[#This Row],[AEG 5.0 MW]]</f>
        <v>84.24</v>
      </c>
      <c r="M2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9" s="29">
        <f>INDEX(Curva_Temp[Temp],MATCH(Table12[[#This Row],[Windy Temp.
°C]],Curva_Temp[Temp]))</f>
        <v>15</v>
      </c>
      <c r="O29" s="29">
        <f>INDEX(Curva_Temp[Warranted Power Curve for 
1.194Kg/m3 air density '[kW']
SG 5.0-145 (AM+1, 5.2MW) AT 
90M],MATCH(Table12[[#This Row],[Windy Temp.
°C]],Curva_Temp[Temp]))</f>
        <v>5200</v>
      </c>
      <c r="P29" s="29" cm="1">
        <f t="array" ref="P29">INDEX(Curva_Temp[Temp],MATCH(Table12[[#This Row],[Windy Temp.
°C]],Curva_Temp[Temp])+1)</f>
        <v>20</v>
      </c>
      <c r="Q29" s="29" cm="1">
        <f t="array" ref="Q29">INDEX(Curva_Temp[Warranted Power Curve for 
1.194Kg/m3 air density '[kW']
SG 5.0-145 (AM+1, 5.2MW) AT 
90M],MATCH(Table12[[#This Row],[Windy Temp.
°C]],Curva_Temp[Temp])+1)</f>
        <v>5000</v>
      </c>
      <c r="R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9" s="18"/>
      <c r="U29" s="18">
        <v>2.2000000000000002</v>
      </c>
      <c r="V29" s="18">
        <v>3.1</v>
      </c>
      <c r="W29" s="18">
        <f>CEILING(Table12[[#This Row],[Darwin Gusts
m/s]],0.5)</f>
        <v>3.5</v>
      </c>
      <c r="X29" s="18">
        <v>18.100000000000001</v>
      </c>
    </row>
    <row r="30" spans="2:24" ht="12" x14ac:dyDescent="0.2">
      <c r="B30" s="16">
        <f t="shared" si="0"/>
        <v>45081.08333333327</v>
      </c>
      <c r="C30" s="17">
        <f t="shared" si="1"/>
        <v>1.083333333333333</v>
      </c>
      <c r="D30" s="29">
        <f>Table12[[#This Row],[MW TOTAL BARRA A]]+Table12[[#This Row],[MW TOTAL BARRA B]]</f>
        <v>191.33999999999997</v>
      </c>
      <c r="E30" s="18">
        <f>Windy_web!$Z7</f>
        <v>4</v>
      </c>
      <c r="F30" s="18">
        <f>Windy_web!$Z8</f>
        <v>10</v>
      </c>
      <c r="G30" s="27" t="str">
        <f>Windy_web!$Z5</f>
        <v>16°</v>
      </c>
      <c r="H30" s="26">
        <f t="shared" si="2"/>
        <v>16</v>
      </c>
      <c r="I30" s="18">
        <v>25</v>
      </c>
      <c r="J30" s="18">
        <v>20</v>
      </c>
      <c r="K30" s="18">
        <f>Table12[[#This Row],[AEG E/S BARRA A]]*Table12[[#This Row],[AEG 5.2 MW]]</f>
        <v>107.1</v>
      </c>
      <c r="L30" s="18">
        <f>Table12[[#This Row],[AEG E/S BARRA B]]*Table12[[#This Row],[AEG 5.0 MW]]</f>
        <v>84.24</v>
      </c>
      <c r="M3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0" s="29">
        <f>INDEX(Curva_Temp[Temp],MATCH(Table12[[#This Row],[Windy Temp.
°C]],Curva_Temp[Temp]))</f>
        <v>15</v>
      </c>
      <c r="O30" s="29">
        <f>INDEX(Curva_Temp[Warranted Power Curve for 
1.194Kg/m3 air density '[kW']
SG 5.0-145 (AM+1, 5.2MW) AT 
90M],MATCH(Table12[[#This Row],[Windy Temp.
°C]],Curva_Temp[Temp]))</f>
        <v>5200</v>
      </c>
      <c r="P30" s="29" cm="1">
        <f t="array" ref="P30">INDEX(Curva_Temp[Temp],MATCH(Table12[[#This Row],[Windy Temp.
°C]],Curva_Temp[Temp])+1)</f>
        <v>20</v>
      </c>
      <c r="Q30" s="29" cm="1">
        <f t="array" ref="Q30">INDEX(Curva_Temp[Warranted Power Curve for 
1.194Kg/m3 air density '[kW']
SG 5.0-145 (AM+1, 5.2MW) AT 
90M],MATCH(Table12[[#This Row],[Windy Temp.
°C]],Curva_Temp[Temp])+1)</f>
        <v>5000</v>
      </c>
      <c r="R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0" s="18"/>
      <c r="U30" s="18">
        <v>2</v>
      </c>
      <c r="V30" s="18">
        <v>2.8</v>
      </c>
      <c r="W30" s="18">
        <f>CEILING(Table12[[#This Row],[Darwin Gusts
m/s]],0.5)</f>
        <v>3</v>
      </c>
      <c r="X30" s="18">
        <v>18.2</v>
      </c>
    </row>
    <row r="31" spans="2:24" ht="12" x14ac:dyDescent="0.2">
      <c r="B31" s="16">
        <f t="shared" si="0"/>
        <v>45081.124999999935</v>
      </c>
      <c r="C31" s="17">
        <f t="shared" si="1"/>
        <v>1.1249999999999998</v>
      </c>
      <c r="D31" s="29">
        <f>Table12[[#This Row],[MW TOTAL BARRA A]]+Table12[[#This Row],[MW TOTAL BARRA B]]</f>
        <v>150.87</v>
      </c>
      <c r="E31" s="18">
        <f>Windy_web!$AA7</f>
        <v>4</v>
      </c>
      <c r="F31" s="18">
        <f>Windy_web!$AA8</f>
        <v>9</v>
      </c>
      <c r="G31" s="27" t="str">
        <f>Windy_web!$AA5</f>
        <v>16°</v>
      </c>
      <c r="H31" s="26">
        <f t="shared" si="2"/>
        <v>16</v>
      </c>
      <c r="I31" s="18">
        <v>25</v>
      </c>
      <c r="J31" s="18">
        <v>20</v>
      </c>
      <c r="K31" s="18">
        <f>Table12[[#This Row],[AEG E/S BARRA A]]*Table12[[#This Row],[AEG 5.2 MW]]</f>
        <v>84.15</v>
      </c>
      <c r="L31" s="18">
        <f>Table12[[#This Row],[AEG E/S BARRA B]]*Table12[[#This Row],[AEG 5.0 MW]]</f>
        <v>66.72</v>
      </c>
      <c r="M3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1" s="29">
        <f>INDEX(Curva_Temp[Temp],MATCH(Table12[[#This Row],[Windy Temp.
°C]],Curva_Temp[Temp]))</f>
        <v>15</v>
      </c>
      <c r="O31" s="29">
        <f>INDEX(Curva_Temp[Warranted Power Curve for 
1.194Kg/m3 air density '[kW']
SG 5.0-145 (AM+1, 5.2MW) AT 
90M],MATCH(Table12[[#This Row],[Windy Temp.
°C]],Curva_Temp[Temp]))</f>
        <v>5200</v>
      </c>
      <c r="P31" s="29" cm="1">
        <f t="array" ref="P31">INDEX(Curva_Temp[Temp],MATCH(Table12[[#This Row],[Windy Temp.
°C]],Curva_Temp[Temp])+1)</f>
        <v>20</v>
      </c>
      <c r="Q31" s="29" cm="1">
        <f t="array" ref="Q31">INDEX(Curva_Temp[Warranted Power Curve for 
1.194Kg/m3 air density '[kW']
SG 5.0-145 (AM+1, 5.2MW) AT 
90M],MATCH(Table12[[#This Row],[Windy Temp.
°C]],Curva_Temp[Temp])+1)</f>
        <v>5000</v>
      </c>
      <c r="R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31" s="18"/>
      <c r="U31" s="18">
        <v>1.9</v>
      </c>
      <c r="V31" s="18">
        <v>2.7</v>
      </c>
      <c r="W31" s="18">
        <f>CEILING(Table12[[#This Row],[Darwin Gusts
m/s]],0.5)</f>
        <v>3</v>
      </c>
      <c r="X31" s="18">
        <v>18.399999999999999</v>
      </c>
    </row>
    <row r="32" spans="2:24" ht="12" x14ac:dyDescent="0.2">
      <c r="B32" s="16">
        <f t="shared" si="0"/>
        <v>45081.166666666599</v>
      </c>
      <c r="C32" s="17">
        <f t="shared" si="1"/>
        <v>1.1666666666666665</v>
      </c>
      <c r="D32" s="29">
        <f>Table12[[#This Row],[MW TOTAL BARRA A]]+Table12[[#This Row],[MW TOTAL BARRA B]]</f>
        <v>108.185</v>
      </c>
      <c r="E32" s="18">
        <f>Windy_web!$AB7</f>
        <v>3</v>
      </c>
      <c r="F32" s="18">
        <f>Windy_web!$AB8</f>
        <v>8</v>
      </c>
      <c r="G32" s="27" t="str">
        <f>Windy_web!$AB5</f>
        <v>16°</v>
      </c>
      <c r="H32" s="26">
        <f t="shared" si="2"/>
        <v>16</v>
      </c>
      <c r="I32" s="18">
        <v>25</v>
      </c>
      <c r="J32" s="18">
        <v>20</v>
      </c>
      <c r="K32" s="18">
        <f>Table12[[#This Row],[AEG E/S BARRA A]]*Table12[[#This Row],[AEG 5.2 MW]]</f>
        <v>60.224999999999994</v>
      </c>
      <c r="L32" s="18">
        <f>Table12[[#This Row],[AEG E/S BARRA B]]*Table12[[#This Row],[AEG 5.0 MW]]</f>
        <v>47.96</v>
      </c>
      <c r="M3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2" s="29">
        <f>INDEX(Curva_Temp[Temp],MATCH(Table12[[#This Row],[Windy Temp.
°C]],Curva_Temp[Temp]))</f>
        <v>15</v>
      </c>
      <c r="O32" s="29">
        <f>INDEX(Curva_Temp[Warranted Power Curve for 
1.194Kg/m3 air density '[kW']
SG 5.0-145 (AM+1, 5.2MW) AT 
90M],MATCH(Table12[[#This Row],[Windy Temp.
°C]],Curva_Temp[Temp]))</f>
        <v>5200</v>
      </c>
      <c r="P32" s="29" cm="1">
        <f t="array" ref="P32">INDEX(Curva_Temp[Temp],MATCH(Table12[[#This Row],[Windy Temp.
°C]],Curva_Temp[Temp])+1)</f>
        <v>20</v>
      </c>
      <c r="Q32" s="29" cm="1">
        <f t="array" ref="Q32">INDEX(Curva_Temp[Warranted Power Curve for 
1.194Kg/m3 air density '[kW']
SG 5.0-145 (AM+1, 5.2MW) AT 
90M],MATCH(Table12[[#This Row],[Windy Temp.
°C]],Curva_Temp[Temp])+1)</f>
        <v>5000</v>
      </c>
      <c r="R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2" s="18"/>
      <c r="U32" s="18">
        <v>2.2000000000000002</v>
      </c>
      <c r="V32" s="18">
        <v>3</v>
      </c>
      <c r="W32" s="18">
        <f>CEILING(Table12[[#This Row],[Darwin Gusts
m/s]],0.5)</f>
        <v>3</v>
      </c>
      <c r="X32" s="18">
        <v>18.7</v>
      </c>
    </row>
    <row r="33" spans="2:59" ht="12" x14ac:dyDescent="0.2">
      <c r="B33" s="16">
        <f t="shared" si="0"/>
        <v>45081.208333333263</v>
      </c>
      <c r="C33" s="17">
        <f t="shared" si="1"/>
        <v>1.2083333333333333</v>
      </c>
      <c r="D33" s="29">
        <f>Table12[[#This Row],[MW TOTAL BARRA A]]+Table12[[#This Row],[MW TOTAL BARRA B]]</f>
        <v>71.824999999999989</v>
      </c>
      <c r="E33" s="18">
        <f>Windy_web!$AC7</f>
        <v>3</v>
      </c>
      <c r="F33" s="18">
        <f>Windy_web!$AC8</f>
        <v>7</v>
      </c>
      <c r="G33" s="27" t="str">
        <f>Windy_web!$AC5</f>
        <v>16°</v>
      </c>
      <c r="H33" s="26">
        <f t="shared" si="2"/>
        <v>16</v>
      </c>
      <c r="I33" s="18">
        <v>25</v>
      </c>
      <c r="J33" s="18">
        <v>20</v>
      </c>
      <c r="K33" s="18">
        <f>Table12[[#This Row],[AEG E/S BARRA A]]*Table12[[#This Row],[AEG 5.2 MW]]</f>
        <v>39.924999999999997</v>
      </c>
      <c r="L33" s="18">
        <f>Table12[[#This Row],[AEG E/S BARRA B]]*Table12[[#This Row],[AEG 5.0 MW]]</f>
        <v>31.9</v>
      </c>
      <c r="M3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3" s="29">
        <f>INDEX(Curva_Temp[Temp],MATCH(Table12[[#This Row],[Windy Temp.
°C]],Curva_Temp[Temp]))</f>
        <v>15</v>
      </c>
      <c r="O33" s="29">
        <f>INDEX(Curva_Temp[Warranted Power Curve for 
1.194Kg/m3 air density '[kW']
SG 5.0-145 (AM+1, 5.2MW) AT 
90M],MATCH(Table12[[#This Row],[Windy Temp.
°C]],Curva_Temp[Temp]))</f>
        <v>5200</v>
      </c>
      <c r="P33" s="29" cm="1">
        <f t="array" ref="P33">INDEX(Curva_Temp[Temp],MATCH(Table12[[#This Row],[Windy Temp.
°C]],Curva_Temp[Temp])+1)</f>
        <v>20</v>
      </c>
      <c r="Q33" s="29" cm="1">
        <f t="array" ref="Q33">INDEX(Curva_Temp[Warranted Power Curve for 
1.194Kg/m3 air density '[kW']
SG 5.0-145 (AM+1, 5.2MW) AT 
90M],MATCH(Table12[[#This Row],[Windy Temp.
°C]],Curva_Temp[Temp])+1)</f>
        <v>5000</v>
      </c>
      <c r="R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3" s="18"/>
      <c r="U33" s="18">
        <v>2.1</v>
      </c>
      <c r="V33" s="18">
        <v>2.9</v>
      </c>
      <c r="W33" s="18">
        <f>CEILING(Table12[[#This Row],[Darwin Gusts
m/s]],0.5)</f>
        <v>3</v>
      </c>
      <c r="X33" s="18">
        <v>18.5</v>
      </c>
    </row>
    <row r="34" spans="2:59" ht="12" x14ac:dyDescent="0.2">
      <c r="B34" s="16">
        <f t="shared" si="0"/>
        <v>45081.249999999927</v>
      </c>
      <c r="C34" s="17">
        <f t="shared" si="1"/>
        <v>1.25</v>
      </c>
      <c r="D34" s="29">
        <f>Table12[[#This Row],[MW TOTAL BARRA A]]+Table12[[#This Row],[MW TOTAL BARRA B]]</f>
        <v>71.824999999999989</v>
      </c>
      <c r="E34" s="18">
        <f>Windy_web!$AD7</f>
        <v>3</v>
      </c>
      <c r="F34" s="18">
        <f>Windy_web!$AD8</f>
        <v>7</v>
      </c>
      <c r="G34" s="27" t="str">
        <f>Windy_web!$AD5</f>
        <v>16°</v>
      </c>
      <c r="H34" s="26">
        <f t="shared" si="2"/>
        <v>16</v>
      </c>
      <c r="I34" s="18">
        <v>25</v>
      </c>
      <c r="J34" s="18">
        <v>20</v>
      </c>
      <c r="K34" s="18">
        <f>Table12[[#This Row],[AEG E/S BARRA A]]*Table12[[#This Row],[AEG 5.2 MW]]</f>
        <v>39.924999999999997</v>
      </c>
      <c r="L34" s="18">
        <f>Table12[[#This Row],[AEG E/S BARRA B]]*Table12[[#This Row],[AEG 5.0 MW]]</f>
        <v>31.9</v>
      </c>
      <c r="M3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4" s="29">
        <f>INDEX(Curva_Temp[Temp],MATCH(Table12[[#This Row],[Windy Temp.
°C]],Curva_Temp[Temp]))</f>
        <v>15</v>
      </c>
      <c r="O34" s="29">
        <f>INDEX(Curva_Temp[Warranted Power Curve for 
1.194Kg/m3 air density '[kW']
SG 5.0-145 (AM+1, 5.2MW) AT 
90M],MATCH(Table12[[#This Row],[Windy Temp.
°C]],Curva_Temp[Temp]))</f>
        <v>5200</v>
      </c>
      <c r="P34" s="29" cm="1">
        <f t="array" ref="P34">INDEX(Curva_Temp[Temp],MATCH(Table12[[#This Row],[Windy Temp.
°C]],Curva_Temp[Temp])+1)</f>
        <v>20</v>
      </c>
      <c r="Q34" s="29" cm="1">
        <f t="array" ref="Q34">INDEX(Curva_Temp[Warranted Power Curve for 
1.194Kg/m3 air density '[kW']
SG 5.0-145 (AM+1, 5.2MW) AT 
90M],MATCH(Table12[[#This Row],[Windy Temp.
°C]],Curva_Temp[Temp])+1)</f>
        <v>5000</v>
      </c>
      <c r="R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4" s="18"/>
      <c r="U34" s="18">
        <v>2.6</v>
      </c>
      <c r="V34" s="18">
        <v>3.5</v>
      </c>
      <c r="W34" s="18">
        <f>CEILING(Table12[[#This Row],[Darwin Gusts
m/s]],0.5)</f>
        <v>3.5</v>
      </c>
      <c r="X34" s="18">
        <v>18.2</v>
      </c>
    </row>
    <row r="35" spans="2:59" ht="12" x14ac:dyDescent="0.2">
      <c r="B35" s="16">
        <f t="shared" si="0"/>
        <v>45081.291666666591</v>
      </c>
      <c r="C35" s="17">
        <f t="shared" si="1"/>
        <v>1.2916666666666667</v>
      </c>
      <c r="D35" s="29">
        <f>Table12[[#This Row],[MW TOTAL BARRA A]]+Table12[[#This Row],[MW TOTAL BARRA B]]</f>
        <v>44.215000000000003</v>
      </c>
      <c r="E35" s="18">
        <f>Windy_web!$AE7</f>
        <v>3</v>
      </c>
      <c r="F35" s="18">
        <f>Windy_web!$AE8</f>
        <v>6</v>
      </c>
      <c r="G35" s="27" t="str">
        <f>Windy_web!$AE5</f>
        <v>16°</v>
      </c>
      <c r="H35" s="26">
        <f t="shared" si="2"/>
        <v>16</v>
      </c>
      <c r="I35" s="18">
        <v>25</v>
      </c>
      <c r="J35" s="18">
        <v>20</v>
      </c>
      <c r="K35" s="18">
        <f>Table12[[#This Row],[AEG E/S BARRA A]]*Table12[[#This Row],[AEG 5.2 MW]]</f>
        <v>24.574999999999999</v>
      </c>
      <c r="L35" s="18">
        <f>Table12[[#This Row],[AEG E/S BARRA B]]*Table12[[#This Row],[AEG 5.0 MW]]</f>
        <v>19.64</v>
      </c>
      <c r="M3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5" s="29">
        <f>INDEX(Curva_Temp[Temp],MATCH(Table12[[#This Row],[Windy Temp.
°C]],Curva_Temp[Temp]))</f>
        <v>15</v>
      </c>
      <c r="O35" s="29">
        <f>INDEX(Curva_Temp[Warranted Power Curve for 
1.194Kg/m3 air density '[kW']
SG 5.0-145 (AM+1, 5.2MW) AT 
90M],MATCH(Table12[[#This Row],[Windy Temp.
°C]],Curva_Temp[Temp]))</f>
        <v>5200</v>
      </c>
      <c r="P35" s="29" cm="1">
        <f t="array" ref="P35">INDEX(Curva_Temp[Temp],MATCH(Table12[[#This Row],[Windy Temp.
°C]],Curva_Temp[Temp])+1)</f>
        <v>20</v>
      </c>
      <c r="Q35" s="29" cm="1">
        <f t="array" ref="Q35">INDEX(Curva_Temp[Warranted Power Curve for 
1.194Kg/m3 air density '[kW']
SG 5.0-145 (AM+1, 5.2MW) AT 
90M],MATCH(Table12[[#This Row],[Windy Temp.
°C]],Curva_Temp[Temp])+1)</f>
        <v>5000</v>
      </c>
      <c r="R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5" s="18"/>
      <c r="U35" s="18">
        <v>3.2</v>
      </c>
      <c r="V35" s="18">
        <v>4.3</v>
      </c>
      <c r="W35" s="18">
        <f>CEILING(Table12[[#This Row],[Darwin Gusts
m/s]],0.5)</f>
        <v>4.5</v>
      </c>
      <c r="X35" s="18">
        <v>17.8</v>
      </c>
    </row>
    <row r="36" spans="2:59" ht="12" x14ac:dyDescent="0.2">
      <c r="B36" s="16">
        <f t="shared" si="0"/>
        <v>45081.333333333256</v>
      </c>
      <c r="C36" s="17">
        <f t="shared" si="1"/>
        <v>1.3333333333333335</v>
      </c>
      <c r="D36" s="29">
        <f>Table12[[#This Row],[MW TOTAL BARRA A]]+Table12[[#This Row],[MW TOTAL BARRA B]]</f>
        <v>44.215000000000003</v>
      </c>
      <c r="E36" s="18">
        <f>Windy_web!$AF7</f>
        <v>4</v>
      </c>
      <c r="F36" s="18">
        <f>Windy_web!$AF8</f>
        <v>6</v>
      </c>
      <c r="G36" s="27" t="str">
        <f>Windy_web!$AF5</f>
        <v>17°</v>
      </c>
      <c r="H36" s="26">
        <f t="shared" si="2"/>
        <v>17</v>
      </c>
      <c r="I36" s="18">
        <v>25</v>
      </c>
      <c r="J36" s="18">
        <v>20</v>
      </c>
      <c r="K36" s="18">
        <f>Table12[[#This Row],[AEG E/S BARRA A]]*Table12[[#This Row],[AEG 5.2 MW]]</f>
        <v>24.574999999999999</v>
      </c>
      <c r="L36" s="18">
        <f>Table12[[#This Row],[AEG E/S BARRA B]]*Table12[[#This Row],[AEG 5.0 MW]]</f>
        <v>19.64</v>
      </c>
      <c r="M3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36" s="29">
        <f>INDEX(Curva_Temp[Temp],MATCH(Table12[[#This Row],[Windy Temp.
°C]],Curva_Temp[Temp]))</f>
        <v>15</v>
      </c>
      <c r="O36" s="29">
        <f>INDEX(Curva_Temp[Warranted Power Curve for 
1.194Kg/m3 air density '[kW']
SG 5.0-145 (AM+1, 5.2MW) AT 
90M],MATCH(Table12[[#This Row],[Windy Temp.
°C]],Curva_Temp[Temp]))</f>
        <v>5200</v>
      </c>
      <c r="P36" s="29" cm="1">
        <f t="array" ref="P36">INDEX(Curva_Temp[Temp],MATCH(Table12[[#This Row],[Windy Temp.
°C]],Curva_Temp[Temp])+1)</f>
        <v>20</v>
      </c>
      <c r="Q36" s="29" cm="1">
        <f t="array" ref="Q36">INDEX(Curva_Temp[Warranted Power Curve for 
1.194Kg/m3 air density '[kW']
SG 5.0-145 (AM+1, 5.2MW) AT 
90M],MATCH(Table12[[#This Row],[Windy Temp.
°C]],Curva_Temp[Temp])+1)</f>
        <v>5000</v>
      </c>
      <c r="R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6" s="18"/>
      <c r="U36" s="18">
        <v>3.7</v>
      </c>
      <c r="V36" s="18">
        <v>4.9000000000000004</v>
      </c>
      <c r="W36" s="18">
        <f>CEILING(Table12[[#This Row],[Darwin Gusts
m/s]],0.5)</f>
        <v>5</v>
      </c>
      <c r="X36" s="18">
        <v>17.2</v>
      </c>
    </row>
    <row r="37" spans="2:59" ht="12" x14ac:dyDescent="0.2">
      <c r="B37" s="16">
        <f t="shared" si="0"/>
        <v>45081.37499999992</v>
      </c>
      <c r="C37" s="17">
        <f t="shared" si="1"/>
        <v>1.3750000000000002</v>
      </c>
      <c r="D37" s="29">
        <f>Table12[[#This Row],[MW TOTAL BARRA A]]+Table12[[#This Row],[MW TOTAL BARRA B]]</f>
        <v>71.824999999999989</v>
      </c>
      <c r="E37" s="18">
        <f>Windy_web!$AG7</f>
        <v>4</v>
      </c>
      <c r="F37" s="18">
        <f>Windy_web!$AG8</f>
        <v>7</v>
      </c>
      <c r="G37" s="27" t="str">
        <f>Windy_web!$AG5</f>
        <v>18°</v>
      </c>
      <c r="H37" s="26">
        <f t="shared" si="2"/>
        <v>18</v>
      </c>
      <c r="I37" s="18">
        <v>25</v>
      </c>
      <c r="J37" s="18">
        <v>20</v>
      </c>
      <c r="K37" s="18">
        <f>Table12[[#This Row],[AEG E/S BARRA A]]*Table12[[#This Row],[AEG 5.2 MW]]</f>
        <v>39.924999999999997</v>
      </c>
      <c r="L37" s="18">
        <f>Table12[[#This Row],[AEG E/S BARRA B]]*Table12[[#This Row],[AEG 5.0 MW]]</f>
        <v>31.9</v>
      </c>
      <c r="M3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37" s="29">
        <f>INDEX(Curva_Temp[Temp],MATCH(Table12[[#This Row],[Windy Temp.
°C]],Curva_Temp[Temp]))</f>
        <v>15</v>
      </c>
      <c r="O37" s="29">
        <f>INDEX(Curva_Temp[Warranted Power Curve for 
1.194Kg/m3 air density '[kW']
SG 5.0-145 (AM+1, 5.2MW) AT 
90M],MATCH(Table12[[#This Row],[Windy Temp.
°C]],Curva_Temp[Temp]))</f>
        <v>5200</v>
      </c>
      <c r="P37" s="29" cm="1">
        <f t="array" ref="P37">INDEX(Curva_Temp[Temp],MATCH(Table12[[#This Row],[Windy Temp.
°C]],Curva_Temp[Temp])+1)</f>
        <v>20</v>
      </c>
      <c r="Q37" s="29" cm="1">
        <f t="array" ref="Q37">INDEX(Curva_Temp[Warranted Power Curve for 
1.194Kg/m3 air density '[kW']
SG 5.0-145 (AM+1, 5.2MW) AT 
90M],MATCH(Table12[[#This Row],[Windy Temp.
°C]],Curva_Temp[Temp])+1)</f>
        <v>5000</v>
      </c>
      <c r="R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7" s="18"/>
      <c r="U37" s="18">
        <v>3.2</v>
      </c>
      <c r="V37" s="18">
        <v>4.3</v>
      </c>
      <c r="W37" s="18">
        <f>CEILING(Table12[[#This Row],[Darwin Gusts
m/s]],0.5)</f>
        <v>4.5</v>
      </c>
      <c r="X37" s="18">
        <v>16.899999999999999</v>
      </c>
    </row>
    <row r="38" spans="2:59" ht="12" x14ac:dyDescent="0.2">
      <c r="B38" s="16">
        <f t="shared" si="0"/>
        <v>45081.416666666584</v>
      </c>
      <c r="C38" s="17">
        <f t="shared" si="1"/>
        <v>1.416666666666667</v>
      </c>
      <c r="D38" s="29">
        <f>Table12[[#This Row],[MW TOTAL BARRA A]]+Table12[[#This Row],[MW TOTAL BARRA B]]</f>
        <v>108.185</v>
      </c>
      <c r="E38" s="18">
        <f>Windy_web!$AH7</f>
        <v>5</v>
      </c>
      <c r="F38" s="18">
        <f>Windy_web!$AH8</f>
        <v>8</v>
      </c>
      <c r="G38" s="27" t="str">
        <f>Windy_web!$AH5</f>
        <v>19°</v>
      </c>
      <c r="H38" s="26">
        <f t="shared" si="2"/>
        <v>19</v>
      </c>
      <c r="I38" s="18">
        <v>25</v>
      </c>
      <c r="J38" s="18">
        <v>20</v>
      </c>
      <c r="K38" s="18">
        <f>Table12[[#This Row],[AEG E/S BARRA A]]*Table12[[#This Row],[AEG 5.2 MW]]</f>
        <v>60.224999999999994</v>
      </c>
      <c r="L38" s="18">
        <f>Table12[[#This Row],[AEG E/S BARRA B]]*Table12[[#This Row],[AEG 5.0 MW]]</f>
        <v>47.96</v>
      </c>
      <c r="M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38" s="29">
        <f>INDEX(Curva_Temp[Temp],MATCH(Table12[[#This Row],[Windy Temp.
°C]],Curva_Temp[Temp]))</f>
        <v>15</v>
      </c>
      <c r="O38" s="29">
        <f>INDEX(Curva_Temp[Warranted Power Curve for 
1.194Kg/m3 air density '[kW']
SG 5.0-145 (AM+1, 5.2MW) AT 
90M],MATCH(Table12[[#This Row],[Windy Temp.
°C]],Curva_Temp[Temp]))</f>
        <v>5200</v>
      </c>
      <c r="P38" s="29" cm="1">
        <f t="array" ref="P38">INDEX(Curva_Temp[Temp],MATCH(Table12[[#This Row],[Windy Temp.
°C]],Curva_Temp[Temp])+1)</f>
        <v>20</v>
      </c>
      <c r="Q38" s="29" cm="1">
        <f t="array" ref="Q38">INDEX(Curva_Temp[Warranted Power Curve for 
1.194Kg/m3 air density '[kW']
SG 5.0-145 (AM+1, 5.2MW) AT 
90M],MATCH(Table12[[#This Row],[Windy Temp.
°C]],Curva_Temp[Temp])+1)</f>
        <v>5000</v>
      </c>
      <c r="R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8" s="18"/>
      <c r="U38" s="18">
        <v>2.4</v>
      </c>
      <c r="V38" s="18">
        <v>3.3</v>
      </c>
      <c r="W38" s="18">
        <f>CEILING(Table12[[#This Row],[Darwin Gusts
m/s]],0.5)</f>
        <v>3.5</v>
      </c>
      <c r="X38" s="18">
        <v>16.600000000000001</v>
      </c>
      <c r="AR38" s="18">
        <v>32</v>
      </c>
      <c r="AS38" s="18">
        <v>35</v>
      </c>
    </row>
    <row r="39" spans="2:59" ht="12" x14ac:dyDescent="0.2">
      <c r="B39" s="16">
        <f t="shared" si="0"/>
        <v>45081.458333333248</v>
      </c>
      <c r="C39" s="17">
        <f t="shared" si="1"/>
        <v>1.4583333333333337</v>
      </c>
      <c r="D39" s="29">
        <f>Table12[[#This Row],[MW TOTAL BARRA A]]+Table12[[#This Row],[MW TOTAL BARRA B]]</f>
        <v>191.33999999999997</v>
      </c>
      <c r="E39" s="18">
        <f>Windy_web!$AI7</f>
        <v>6</v>
      </c>
      <c r="F39" s="18">
        <f>Windy_web!$AI8</f>
        <v>10</v>
      </c>
      <c r="G39" s="27" t="str">
        <f>Windy_web!$AI5</f>
        <v>20°</v>
      </c>
      <c r="H39" s="26">
        <f t="shared" si="2"/>
        <v>20</v>
      </c>
      <c r="I39" s="18">
        <v>25</v>
      </c>
      <c r="J39" s="18">
        <v>20</v>
      </c>
      <c r="K39" s="18">
        <f>Table12[[#This Row],[AEG E/S BARRA A]]*Table12[[#This Row],[AEG 5.2 MW]]</f>
        <v>107.1</v>
      </c>
      <c r="L39" s="18">
        <f>Table12[[#This Row],[AEG E/S BARRA B]]*Table12[[#This Row],[AEG 5.0 MW]]</f>
        <v>84.24</v>
      </c>
      <c r="M3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39" s="29">
        <f>INDEX(Curva_Temp[Temp],MATCH(Table12[[#This Row],[Windy Temp.
°C]],Curva_Temp[Temp]))</f>
        <v>20</v>
      </c>
      <c r="O39" s="29">
        <f>INDEX(Curva_Temp[Warranted Power Curve for 
1.194Kg/m3 air density '[kW']
SG 5.0-145 (AM+1, 5.2MW) AT 
90M],MATCH(Table12[[#This Row],[Windy Temp.
°C]],Curva_Temp[Temp]))</f>
        <v>5000</v>
      </c>
      <c r="P39" s="29" cm="1">
        <f t="array" ref="P39">INDEX(Curva_Temp[Temp],MATCH(Table12[[#This Row],[Windy Temp.
°C]],Curva_Temp[Temp])+1)</f>
        <v>25</v>
      </c>
      <c r="Q39" s="29" cm="1">
        <f t="array" ref="Q39">INDEX(Curva_Temp[Warranted Power Curve for 
1.194Kg/m3 air density '[kW']
SG 5.0-145 (AM+1, 5.2MW) AT 
90M],MATCH(Table12[[#This Row],[Windy Temp.
°C]],Curva_Temp[Temp])+1)</f>
        <v>4900</v>
      </c>
      <c r="R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9" s="18"/>
      <c r="U39" s="18">
        <v>1.7</v>
      </c>
      <c r="V39" s="18">
        <v>2.5</v>
      </c>
      <c r="W39" s="18">
        <f>CEILING(Table12[[#This Row],[Darwin Gusts
m/s]],0.5)</f>
        <v>2.5</v>
      </c>
      <c r="X39" s="18">
        <v>16.8</v>
      </c>
      <c r="AR39" s="18">
        <v>37</v>
      </c>
    </row>
    <row r="40" spans="2:59" ht="12" x14ac:dyDescent="0.2">
      <c r="B40" s="16">
        <f t="shared" si="0"/>
        <v>45081.499999999913</v>
      </c>
      <c r="C40" s="17">
        <f t="shared" si="1"/>
        <v>1.5000000000000004</v>
      </c>
      <c r="D40" s="29">
        <f>Table12[[#This Row],[MW TOTAL BARRA A]]+Table12[[#This Row],[MW TOTAL BARRA B]]</f>
        <v>219.56</v>
      </c>
      <c r="E40" s="18">
        <f>Windy_web!$AJ7</f>
        <v>7</v>
      </c>
      <c r="F40" s="18">
        <f>Windy_web!$AJ8</f>
        <v>11</v>
      </c>
      <c r="G40" s="27" t="str">
        <f>Windy_web!$AJ5</f>
        <v>20°</v>
      </c>
      <c r="H40" s="26">
        <f t="shared" si="2"/>
        <v>20</v>
      </c>
      <c r="I40" s="18">
        <v>25</v>
      </c>
      <c r="J40" s="18">
        <v>20</v>
      </c>
      <c r="K40" s="18">
        <f>Table12[[#This Row],[AEG E/S BARRA A]]*Table12[[#This Row],[AEG 5.2 MW]]</f>
        <v>123.9</v>
      </c>
      <c r="L40" s="18">
        <f>Table12[[#This Row],[AEG E/S BARRA B]]*Table12[[#This Row],[AEG 5.0 MW]]</f>
        <v>95.660000000000011</v>
      </c>
      <c r="M4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0" s="29">
        <f>INDEX(Curva_Temp[Temp],MATCH(Table12[[#This Row],[Windy Temp.
°C]],Curva_Temp[Temp]))</f>
        <v>20</v>
      </c>
      <c r="O40" s="29">
        <f>INDEX(Curva_Temp[Warranted Power Curve for 
1.194Kg/m3 air density '[kW']
SG 5.0-145 (AM+1, 5.2MW) AT 
90M],MATCH(Table12[[#This Row],[Windy Temp.
°C]],Curva_Temp[Temp]))</f>
        <v>5000</v>
      </c>
      <c r="P40" s="29" cm="1">
        <f t="array" ref="P40">INDEX(Curva_Temp[Temp],MATCH(Table12[[#This Row],[Windy Temp.
°C]],Curva_Temp[Temp])+1)</f>
        <v>25</v>
      </c>
      <c r="Q40" s="29" cm="1">
        <f t="array" ref="Q40">INDEX(Curva_Temp[Warranted Power Curve for 
1.194Kg/m3 air density '[kW']
SG 5.0-145 (AM+1, 5.2MW) AT 
90M],MATCH(Table12[[#This Row],[Windy Temp.
°C]],Curva_Temp[Temp])+1)</f>
        <v>4900</v>
      </c>
      <c r="R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40" s="18"/>
      <c r="U40" s="18">
        <v>1.2</v>
      </c>
      <c r="V40" s="18">
        <v>1.9</v>
      </c>
      <c r="W40" s="18">
        <f>CEILING(Table12[[#This Row],[Darwin Gusts
m/s]],0.5)</f>
        <v>2</v>
      </c>
      <c r="X40" s="18">
        <v>17.3</v>
      </c>
      <c r="AR40" s="18">
        <v>13</v>
      </c>
      <c r="AS40" s="18" t="s">
        <v>10</v>
      </c>
      <c r="AT40" s="18">
        <v>690</v>
      </c>
      <c r="AU40" s="18">
        <v>13</v>
      </c>
      <c r="AV40" s="18">
        <v>1.1299999999999999</v>
      </c>
      <c r="AX40" s="18">
        <f>690*0.13</f>
        <v>89.7</v>
      </c>
      <c r="AZ40" s="28">
        <f>AT40+AX40</f>
        <v>779.7</v>
      </c>
      <c r="BC40" s="18">
        <f>AX40*48</f>
        <v>4305.6000000000004</v>
      </c>
      <c r="BF40" s="18">
        <f>33000+BC40</f>
        <v>37305.599999999999</v>
      </c>
    </row>
    <row r="41" spans="2:59" ht="12" x14ac:dyDescent="0.2">
      <c r="B41" s="16">
        <f t="shared" si="0"/>
        <v>45081.541666666577</v>
      </c>
      <c r="C41" s="17">
        <f t="shared" si="1"/>
        <v>1.5416666666666672</v>
      </c>
      <c r="D41" s="29">
        <f>Table12[[#This Row],[MW TOTAL BARRA A]]+Table12[[#This Row],[MW TOTAL BARRA B]]</f>
        <v>224.44</v>
      </c>
      <c r="E41" s="18">
        <f>Windy_web!$AK7</f>
        <v>7</v>
      </c>
      <c r="F41" s="18">
        <f>Windy_web!$AK8</f>
        <v>12</v>
      </c>
      <c r="G41" s="27" t="str">
        <f>Windy_web!$AK5</f>
        <v>20°</v>
      </c>
      <c r="H41" s="26">
        <f t="shared" si="2"/>
        <v>20</v>
      </c>
      <c r="I41" s="18">
        <v>25</v>
      </c>
      <c r="J41" s="18">
        <v>20</v>
      </c>
      <c r="K41" s="18">
        <f>Table12[[#This Row],[AEG E/S BARRA A]]*Table12[[#This Row],[AEG 5.2 MW]]</f>
        <v>125</v>
      </c>
      <c r="L41" s="18">
        <f>Table12[[#This Row],[AEG E/S BARRA B]]*Table12[[#This Row],[AEG 5.0 MW]]</f>
        <v>99.440000000000012</v>
      </c>
      <c r="M4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1" s="29">
        <f>INDEX(Curva_Temp[Temp],MATCH(Table12[[#This Row],[Windy Temp.
°C]],Curva_Temp[Temp]))</f>
        <v>20</v>
      </c>
      <c r="O41" s="29">
        <f>INDEX(Curva_Temp[Warranted Power Curve for 
1.194Kg/m3 air density '[kW']
SG 5.0-145 (AM+1, 5.2MW) AT 
90M],MATCH(Table12[[#This Row],[Windy Temp.
°C]],Curva_Temp[Temp]))</f>
        <v>5000</v>
      </c>
      <c r="P41" s="29" cm="1">
        <f t="array" ref="P41">INDEX(Curva_Temp[Temp],MATCH(Table12[[#This Row],[Windy Temp.
°C]],Curva_Temp[Temp])+1)</f>
        <v>25</v>
      </c>
      <c r="Q41" s="29" cm="1">
        <f t="array" ref="Q41">INDEX(Curva_Temp[Warranted Power Curve for 
1.194Kg/m3 air density '[kW']
SG 5.0-145 (AM+1, 5.2MW) AT 
90M],MATCH(Table12[[#This Row],[Windy Temp.
°C]],Curva_Temp[Temp])+1)</f>
        <v>4900</v>
      </c>
      <c r="R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1" s="18"/>
      <c r="U41" s="18">
        <v>0.6</v>
      </c>
      <c r="V41" s="18">
        <v>1.2</v>
      </c>
      <c r="W41" s="18">
        <f>CEILING(Table12[[#This Row],[Darwin Gusts
m/s]],0.5)</f>
        <v>1.5</v>
      </c>
      <c r="X41" s="18">
        <v>17.899999999999999</v>
      </c>
      <c r="AR41" s="18">
        <v>10</v>
      </c>
      <c r="AS41" s="18" t="s">
        <v>10</v>
      </c>
      <c r="AT41" s="18">
        <v>690</v>
      </c>
      <c r="AU41" s="18">
        <v>10</v>
      </c>
      <c r="AV41" s="18">
        <v>0.9</v>
      </c>
      <c r="AX41" s="18">
        <f>690*0.1</f>
        <v>69</v>
      </c>
      <c r="AZ41" s="28">
        <f>AT41-AX41</f>
        <v>621</v>
      </c>
      <c r="BC41" s="18">
        <f>AX41*48</f>
        <v>3312</v>
      </c>
      <c r="BF41" s="18">
        <f>33000-BC41</f>
        <v>29688</v>
      </c>
    </row>
    <row r="42" spans="2:59" ht="12" x14ac:dyDescent="0.2">
      <c r="B42" s="16">
        <f t="shared" si="0"/>
        <v>45081.583333333241</v>
      </c>
      <c r="C42" s="17">
        <f t="shared" si="1"/>
        <v>1.5833333333333339</v>
      </c>
      <c r="D42" s="29">
        <f>Table12[[#This Row],[MW TOTAL BARRA A]]+Table12[[#This Row],[MW TOTAL BARRA B]]</f>
        <v>224.88</v>
      </c>
      <c r="E42" s="18">
        <f>Windy_web!$AL7</f>
        <v>8</v>
      </c>
      <c r="F42" s="18">
        <f>Windy_web!$AL8</f>
        <v>13</v>
      </c>
      <c r="G42" s="27" t="str">
        <f>Windy_web!$AL5</f>
        <v>20°</v>
      </c>
      <c r="H42" s="26">
        <f t="shared" si="2"/>
        <v>20</v>
      </c>
      <c r="I42" s="18">
        <v>25</v>
      </c>
      <c r="J42" s="18">
        <v>20</v>
      </c>
      <c r="K42" s="18">
        <f>Table12[[#This Row],[AEG E/S BARRA A]]*Table12[[#This Row],[AEG 5.2 MW]]</f>
        <v>125</v>
      </c>
      <c r="L42" s="18">
        <f>Table12[[#This Row],[AEG E/S BARRA B]]*Table12[[#This Row],[AEG 5.0 MW]]</f>
        <v>99.88</v>
      </c>
      <c r="M4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2" s="29">
        <f>INDEX(Curva_Temp[Temp],MATCH(Table12[[#This Row],[Windy Temp.
°C]],Curva_Temp[Temp]))</f>
        <v>20</v>
      </c>
      <c r="O42" s="29">
        <f>INDEX(Curva_Temp[Warranted Power Curve for 
1.194Kg/m3 air density '[kW']
SG 5.0-145 (AM+1, 5.2MW) AT 
90M],MATCH(Table12[[#This Row],[Windy Temp.
°C]],Curva_Temp[Temp]))</f>
        <v>5000</v>
      </c>
      <c r="P42" s="29" cm="1">
        <f t="array" ref="P42">INDEX(Curva_Temp[Temp],MATCH(Table12[[#This Row],[Windy Temp.
°C]],Curva_Temp[Temp])+1)</f>
        <v>25</v>
      </c>
      <c r="Q42" s="29" cm="1">
        <f t="array" ref="Q42">INDEX(Curva_Temp[Warranted Power Curve for 
1.194Kg/m3 air density '[kW']
SG 5.0-145 (AM+1, 5.2MW) AT 
90M],MATCH(Table12[[#This Row],[Windy Temp.
°C]],Curva_Temp[Temp])+1)</f>
        <v>4900</v>
      </c>
      <c r="R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2" s="18"/>
      <c r="U42" s="18">
        <v>0.2</v>
      </c>
      <c r="V42" s="18">
        <v>0.6</v>
      </c>
      <c r="W42" s="18">
        <f>CEILING(Table12[[#This Row],[Darwin Gusts
m/s]],0.5)</f>
        <v>1</v>
      </c>
      <c r="X42" s="18">
        <v>19.399999999999999</v>
      </c>
      <c r="AR42" s="18">
        <f>33*0.1</f>
        <v>3.3000000000000003</v>
      </c>
    </row>
    <row r="43" spans="2:59" ht="12" x14ac:dyDescent="0.2">
      <c r="B43" s="16">
        <f t="shared" si="0"/>
        <v>45081.624999999905</v>
      </c>
      <c r="C43" s="17">
        <f t="shared" si="1"/>
        <v>1.6250000000000007</v>
      </c>
      <c r="D43" s="29">
        <f>Table12[[#This Row],[MW TOTAL BARRA A]]+Table12[[#This Row],[MW TOTAL BARRA B]]</f>
        <v>225.88</v>
      </c>
      <c r="E43" s="18">
        <f>Windy_web!$AM7</f>
        <v>7</v>
      </c>
      <c r="F43" s="18">
        <f>Windy_web!$AM8</f>
        <v>13</v>
      </c>
      <c r="G43" s="27" t="str">
        <f>Windy_web!$AM5</f>
        <v>19°</v>
      </c>
      <c r="H43" s="26">
        <f t="shared" si="2"/>
        <v>19</v>
      </c>
      <c r="I43" s="18">
        <v>25</v>
      </c>
      <c r="J43" s="18">
        <v>20</v>
      </c>
      <c r="K43" s="18">
        <f>Table12[[#This Row],[AEG E/S BARRA A]]*Table12[[#This Row],[AEG 5.2 MW]]</f>
        <v>126</v>
      </c>
      <c r="L43" s="18">
        <f>Table12[[#This Row],[AEG E/S BARRA B]]*Table12[[#This Row],[AEG 5.0 MW]]</f>
        <v>99.88</v>
      </c>
      <c r="M4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3" s="29">
        <f>INDEX(Curva_Temp[Temp],MATCH(Table12[[#This Row],[Windy Temp.
°C]],Curva_Temp[Temp]))</f>
        <v>15</v>
      </c>
      <c r="O43" s="29">
        <f>INDEX(Curva_Temp[Warranted Power Curve for 
1.194Kg/m3 air density '[kW']
SG 5.0-145 (AM+1, 5.2MW) AT 
90M],MATCH(Table12[[#This Row],[Windy Temp.
°C]],Curva_Temp[Temp]))</f>
        <v>5200</v>
      </c>
      <c r="P43" s="29" cm="1">
        <f t="array" ref="P43">INDEX(Curva_Temp[Temp],MATCH(Table12[[#This Row],[Windy Temp.
°C]],Curva_Temp[Temp])+1)</f>
        <v>20</v>
      </c>
      <c r="Q43" s="29" cm="1">
        <f t="array" ref="Q43">INDEX(Curva_Temp[Warranted Power Curve for 
1.194Kg/m3 air density '[kW']
SG 5.0-145 (AM+1, 5.2MW) AT 
90M],MATCH(Table12[[#This Row],[Windy Temp.
°C]],Curva_Temp[Temp])+1)</f>
        <v>5000</v>
      </c>
      <c r="R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3" s="18"/>
      <c r="U43" s="18">
        <v>0.2</v>
      </c>
      <c r="V43" s="18">
        <v>0.7</v>
      </c>
      <c r="W43" s="18">
        <f>CEILING(Table12[[#This Row],[Darwin Gusts
m/s]],0.5)</f>
        <v>1</v>
      </c>
      <c r="X43" s="18">
        <v>21.1</v>
      </c>
    </row>
    <row r="44" spans="2:59" ht="12" x14ac:dyDescent="0.2">
      <c r="B44" s="16">
        <f t="shared" si="0"/>
        <v>45081.66666666657</v>
      </c>
      <c r="C44" s="17">
        <f t="shared" si="1"/>
        <v>1.6666666666666674</v>
      </c>
      <c r="D44" s="29">
        <f>Table12[[#This Row],[MW TOTAL BARRA A]]+Table12[[#This Row],[MW TOTAL BARRA B]]</f>
        <v>225.88</v>
      </c>
      <c r="E44" s="18">
        <f>Windy_web!$AN7</f>
        <v>7</v>
      </c>
      <c r="F44" s="18">
        <f>Windy_web!$AN8</f>
        <v>13</v>
      </c>
      <c r="G44" s="27" t="str">
        <f>Windy_web!$AN5</f>
        <v>19°</v>
      </c>
      <c r="H44" s="26">
        <f t="shared" si="2"/>
        <v>19</v>
      </c>
      <c r="I44" s="18">
        <v>25</v>
      </c>
      <c r="J44" s="18">
        <v>20</v>
      </c>
      <c r="K44" s="18">
        <f>Table12[[#This Row],[AEG E/S BARRA A]]*Table12[[#This Row],[AEG 5.2 MW]]</f>
        <v>126</v>
      </c>
      <c r="L44" s="18">
        <f>Table12[[#This Row],[AEG E/S BARRA B]]*Table12[[#This Row],[AEG 5.0 MW]]</f>
        <v>99.88</v>
      </c>
      <c r="M4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4" s="29">
        <f>INDEX(Curva_Temp[Temp],MATCH(Table12[[#This Row],[Windy Temp.
°C]],Curva_Temp[Temp]))</f>
        <v>15</v>
      </c>
      <c r="O44" s="29">
        <f>INDEX(Curva_Temp[Warranted Power Curve for 
1.194Kg/m3 air density '[kW']
SG 5.0-145 (AM+1, 5.2MW) AT 
90M],MATCH(Table12[[#This Row],[Windy Temp.
°C]],Curva_Temp[Temp]))</f>
        <v>5200</v>
      </c>
      <c r="P44" s="29" cm="1">
        <f t="array" ref="P44">INDEX(Curva_Temp[Temp],MATCH(Table12[[#This Row],[Windy Temp.
°C]],Curva_Temp[Temp])+1)</f>
        <v>20</v>
      </c>
      <c r="Q44" s="29" cm="1">
        <f t="array" ref="Q44">INDEX(Curva_Temp[Warranted Power Curve for 
1.194Kg/m3 air density '[kW']
SG 5.0-145 (AM+1, 5.2MW) AT 
90M],MATCH(Table12[[#This Row],[Windy Temp.
°C]],Curva_Temp[Temp])+1)</f>
        <v>5000</v>
      </c>
      <c r="R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4" s="18"/>
      <c r="U44" s="18">
        <v>0.3</v>
      </c>
      <c r="V44" s="18">
        <v>0.8</v>
      </c>
      <c r="W44" s="18">
        <f>CEILING(Table12[[#This Row],[Darwin Gusts
m/s]],0.5)</f>
        <v>1</v>
      </c>
      <c r="X44" s="18">
        <v>22.1</v>
      </c>
    </row>
    <row r="45" spans="2:59" ht="12" x14ac:dyDescent="0.2">
      <c r="B45" s="16">
        <f t="shared" si="0"/>
        <v>45081.708333333234</v>
      </c>
      <c r="C45" s="17">
        <f t="shared" si="1"/>
        <v>1.7083333333333341</v>
      </c>
      <c r="D45" s="29">
        <f>Table12[[#This Row],[MW TOTAL BARRA A]]+Table12[[#This Row],[MW TOTAL BARRA B]]</f>
        <v>226.88</v>
      </c>
      <c r="E45" s="18">
        <f>Windy_web!$AO7</f>
        <v>7</v>
      </c>
      <c r="F45" s="18">
        <f>Windy_web!$AO8</f>
        <v>13</v>
      </c>
      <c r="G45" s="27" t="str">
        <f>Windy_web!$AO5</f>
        <v>18°</v>
      </c>
      <c r="H45" s="26">
        <f t="shared" si="2"/>
        <v>18</v>
      </c>
      <c r="I45" s="18">
        <v>25</v>
      </c>
      <c r="J45" s="18">
        <v>20</v>
      </c>
      <c r="K45" s="18">
        <f>Table12[[#This Row],[AEG E/S BARRA A]]*Table12[[#This Row],[AEG 5.2 MW]]</f>
        <v>127</v>
      </c>
      <c r="L45" s="18">
        <f>Table12[[#This Row],[AEG E/S BARRA B]]*Table12[[#This Row],[AEG 5.0 MW]]</f>
        <v>99.88</v>
      </c>
      <c r="M4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45" s="29">
        <f>INDEX(Curva_Temp[Temp],MATCH(Table12[[#This Row],[Windy Temp.
°C]],Curva_Temp[Temp]))</f>
        <v>15</v>
      </c>
      <c r="O45" s="29">
        <f>INDEX(Curva_Temp[Warranted Power Curve for 
1.194Kg/m3 air density '[kW']
SG 5.0-145 (AM+1, 5.2MW) AT 
90M],MATCH(Table12[[#This Row],[Windy Temp.
°C]],Curva_Temp[Temp]))</f>
        <v>5200</v>
      </c>
      <c r="P45" s="29" cm="1">
        <f t="array" ref="P45">INDEX(Curva_Temp[Temp],MATCH(Table12[[#This Row],[Windy Temp.
°C]],Curva_Temp[Temp])+1)</f>
        <v>20</v>
      </c>
      <c r="Q45" s="29" cm="1">
        <f t="array" ref="Q45">INDEX(Curva_Temp[Warranted Power Curve for 
1.194Kg/m3 air density '[kW']
SG 5.0-145 (AM+1, 5.2MW) AT 
90M],MATCH(Table12[[#This Row],[Windy Temp.
°C]],Curva_Temp[Temp])+1)</f>
        <v>5000</v>
      </c>
      <c r="R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5" s="18"/>
      <c r="U45" s="18">
        <v>0.4</v>
      </c>
      <c r="V45" s="18">
        <v>1</v>
      </c>
      <c r="W45" s="18">
        <f>CEILING(Table12[[#This Row],[Darwin Gusts
m/s]],0.5)</f>
        <v>1</v>
      </c>
      <c r="X45" s="18">
        <v>22.8</v>
      </c>
      <c r="AV45" s="18">
        <v>690</v>
      </c>
      <c r="AX45" s="18">
        <f>AV45/AV46</f>
        <v>2.0909090909090908E-2</v>
      </c>
      <c r="AZ45" s="18">
        <f>AV46/AV45</f>
        <v>47.826086956521742</v>
      </c>
      <c r="BG45" s="18">
        <f>33000*1.13</f>
        <v>37290</v>
      </c>
    </row>
    <row r="46" spans="2:59" ht="12" x14ac:dyDescent="0.2">
      <c r="B46" s="16">
        <f t="shared" si="0"/>
        <v>45081.749999999898</v>
      </c>
      <c r="C46" s="17">
        <f t="shared" si="1"/>
        <v>1.7500000000000009</v>
      </c>
      <c r="D46" s="29">
        <f>Table12[[#This Row],[MW TOTAL BARRA A]]+Table12[[#This Row],[MW TOTAL BARRA B]]</f>
        <v>227.88</v>
      </c>
      <c r="E46" s="18">
        <f>Windy_web!$AP7</f>
        <v>7</v>
      </c>
      <c r="F46" s="18">
        <f>Windy_web!$AP8</f>
        <v>13</v>
      </c>
      <c r="G46" s="27" t="str">
        <f>Windy_web!$AP5</f>
        <v>17°</v>
      </c>
      <c r="H46" s="26">
        <f t="shared" si="2"/>
        <v>17</v>
      </c>
      <c r="I46" s="18">
        <v>25</v>
      </c>
      <c r="J46" s="18">
        <v>20</v>
      </c>
      <c r="K46" s="18">
        <f>Table12[[#This Row],[AEG E/S BARRA A]]*Table12[[#This Row],[AEG 5.2 MW]]</f>
        <v>128</v>
      </c>
      <c r="L46" s="18">
        <f>Table12[[#This Row],[AEG E/S BARRA B]]*Table12[[#This Row],[AEG 5.0 MW]]</f>
        <v>99.88</v>
      </c>
      <c r="M4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6" s="29">
        <f>INDEX(Curva_Temp[Temp],MATCH(Table12[[#This Row],[Windy Temp.
°C]],Curva_Temp[Temp]))</f>
        <v>15</v>
      </c>
      <c r="O46" s="29">
        <f>INDEX(Curva_Temp[Warranted Power Curve for 
1.194Kg/m3 air density '[kW']
SG 5.0-145 (AM+1, 5.2MW) AT 
90M],MATCH(Table12[[#This Row],[Windy Temp.
°C]],Curva_Temp[Temp]))</f>
        <v>5200</v>
      </c>
      <c r="P46" s="29" cm="1">
        <f t="array" ref="P46">INDEX(Curva_Temp[Temp],MATCH(Table12[[#This Row],[Windy Temp.
°C]],Curva_Temp[Temp])+1)</f>
        <v>20</v>
      </c>
      <c r="Q46" s="29" cm="1">
        <f t="array" ref="Q46">INDEX(Curva_Temp[Warranted Power Curve for 
1.194Kg/m3 air density '[kW']
SG 5.0-145 (AM+1, 5.2MW) AT 
90M],MATCH(Table12[[#This Row],[Windy Temp.
°C]],Curva_Temp[Temp])+1)</f>
        <v>5000</v>
      </c>
      <c r="R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6" s="18"/>
      <c r="U46" s="18">
        <v>0.9</v>
      </c>
      <c r="V46" s="18">
        <v>1.5</v>
      </c>
      <c r="W46" s="18">
        <f>CEILING(Table12[[#This Row],[Darwin Gusts
m/s]],0.5)</f>
        <v>1.5</v>
      </c>
      <c r="X46" s="18">
        <v>22.7</v>
      </c>
      <c r="AV46" s="18">
        <v>33000</v>
      </c>
      <c r="BG46" s="18">
        <f>33000*0.9</f>
        <v>29700</v>
      </c>
    </row>
    <row r="47" spans="2:59" ht="12" x14ac:dyDescent="0.2">
      <c r="B47" s="16">
        <f t="shared" si="0"/>
        <v>45081.791666666562</v>
      </c>
      <c r="C47" s="17">
        <f>C46+TIME(1,0,0)</f>
        <v>1.7916666666666676</v>
      </c>
      <c r="D47" s="29">
        <f>Table12[[#This Row],[MW TOTAL BARRA A]]+Table12[[#This Row],[MW TOTAL BARRA B]]</f>
        <v>227.88</v>
      </c>
      <c r="E47" s="18">
        <f>Windy_web!$AQ7</f>
        <v>7</v>
      </c>
      <c r="F47" s="18">
        <f>Windy_web!$AQ8</f>
        <v>13</v>
      </c>
      <c r="G47" s="27" t="str">
        <f>Windy_web!$AQ5</f>
        <v>17°</v>
      </c>
      <c r="H47" s="26">
        <f t="shared" si="2"/>
        <v>17</v>
      </c>
      <c r="I47" s="18">
        <v>25</v>
      </c>
      <c r="J47" s="18">
        <v>20</v>
      </c>
      <c r="K47" s="18">
        <f>Table12[[#This Row],[AEG E/S BARRA A]]*Table12[[#This Row],[AEG 5.2 MW]]</f>
        <v>128</v>
      </c>
      <c r="L47" s="18">
        <f>Table12[[#This Row],[AEG E/S BARRA B]]*Table12[[#This Row],[AEG 5.0 MW]]</f>
        <v>99.88</v>
      </c>
      <c r="M4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7" s="29">
        <f>INDEX(Curva_Temp[Temp],MATCH(Table12[[#This Row],[Windy Temp.
°C]],Curva_Temp[Temp]))</f>
        <v>15</v>
      </c>
      <c r="O47" s="29">
        <f>INDEX(Curva_Temp[Warranted Power Curve for 
1.194Kg/m3 air density '[kW']
SG 5.0-145 (AM+1, 5.2MW) AT 
90M],MATCH(Table12[[#This Row],[Windy Temp.
°C]],Curva_Temp[Temp]))</f>
        <v>5200</v>
      </c>
      <c r="P47" s="29" cm="1">
        <f t="array" ref="P47">INDEX(Curva_Temp[Temp],MATCH(Table12[[#This Row],[Windy Temp.
°C]],Curva_Temp[Temp])+1)</f>
        <v>20</v>
      </c>
      <c r="Q47" s="29" cm="1">
        <f t="array" ref="Q47">INDEX(Curva_Temp[Warranted Power Curve for 
1.194Kg/m3 air density '[kW']
SG 5.0-145 (AM+1, 5.2MW) AT 
90M],MATCH(Table12[[#This Row],[Windy Temp.
°C]],Curva_Temp[Temp])+1)</f>
        <v>5000</v>
      </c>
      <c r="R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7" s="18"/>
      <c r="U47" s="18">
        <v>0.8</v>
      </c>
      <c r="V47" s="18">
        <v>1.4</v>
      </c>
      <c r="W47" s="18">
        <f>CEILING(Table12[[#This Row],[Darwin Gusts
m/s]],0.5)</f>
        <v>1.5</v>
      </c>
      <c r="X47" s="18">
        <v>22.1</v>
      </c>
    </row>
    <row r="48" spans="2:59" ht="12" x14ac:dyDescent="0.2">
      <c r="B48" s="16">
        <f t="shared" si="0"/>
        <v>45081.833333333227</v>
      </c>
      <c r="C48" s="17">
        <f t="shared" si="1"/>
        <v>1.8333333333333344</v>
      </c>
      <c r="D48" s="29">
        <f>Table12[[#This Row],[MW TOTAL BARRA A]]+Table12[[#This Row],[MW TOTAL BARRA B]]</f>
        <v>227.44</v>
      </c>
      <c r="E48" s="18">
        <f>Windy_web!$AR7</f>
        <v>6</v>
      </c>
      <c r="F48" s="18">
        <f>Windy_web!$AR8</f>
        <v>12</v>
      </c>
      <c r="G48" s="27" t="str">
        <f>Windy_web!$AR5</f>
        <v>17°</v>
      </c>
      <c r="H48" s="26">
        <f t="shared" si="2"/>
        <v>17</v>
      </c>
      <c r="I48" s="18">
        <v>25</v>
      </c>
      <c r="J48" s="18">
        <v>20</v>
      </c>
      <c r="K48" s="18">
        <f>Table12[[#This Row],[AEG E/S BARRA A]]*Table12[[#This Row],[AEG 5.2 MW]]</f>
        <v>128</v>
      </c>
      <c r="L48" s="18">
        <f>Table12[[#This Row],[AEG E/S BARRA B]]*Table12[[#This Row],[AEG 5.0 MW]]</f>
        <v>99.440000000000012</v>
      </c>
      <c r="M4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8" s="29">
        <f>INDEX(Curva_Temp[Temp],MATCH(Table12[[#This Row],[Windy Temp.
°C]],Curva_Temp[Temp]))</f>
        <v>15</v>
      </c>
      <c r="O48" s="29">
        <f>INDEX(Curva_Temp[Warranted Power Curve for 
1.194Kg/m3 air density '[kW']
SG 5.0-145 (AM+1, 5.2MW) AT 
90M],MATCH(Table12[[#This Row],[Windy Temp.
°C]],Curva_Temp[Temp]))</f>
        <v>5200</v>
      </c>
      <c r="P48" s="29" cm="1">
        <f t="array" ref="P48">INDEX(Curva_Temp[Temp],MATCH(Table12[[#This Row],[Windy Temp.
°C]],Curva_Temp[Temp])+1)</f>
        <v>20</v>
      </c>
      <c r="Q48" s="29" cm="1">
        <f t="array" ref="Q48">INDEX(Curva_Temp[Warranted Power Curve for 
1.194Kg/m3 air density '[kW']
SG 5.0-145 (AM+1, 5.2MW) AT 
90M],MATCH(Table12[[#This Row],[Windy Temp.
°C]],Curva_Temp[Temp])+1)</f>
        <v>5000</v>
      </c>
      <c r="R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8" s="18"/>
      <c r="U48" s="18">
        <v>1.2</v>
      </c>
      <c r="V48" s="18">
        <v>1.9</v>
      </c>
      <c r="W48" s="18">
        <f>CEILING(Table12[[#This Row],[Darwin Gusts
m/s]],0.5)</f>
        <v>2</v>
      </c>
      <c r="X48" s="18">
        <v>21.3</v>
      </c>
    </row>
    <row r="49" spans="2:24" ht="12" x14ac:dyDescent="0.2">
      <c r="B49" s="16">
        <f t="shared" si="0"/>
        <v>45081.874999999891</v>
      </c>
      <c r="C49" s="17">
        <f t="shared" si="1"/>
        <v>1.8750000000000011</v>
      </c>
      <c r="D49" s="29">
        <f>Table12[[#This Row],[MW TOTAL BARRA A]]+Table12[[#This Row],[MW TOTAL BARRA B]]</f>
        <v>228.44</v>
      </c>
      <c r="E49" s="18">
        <f>Windy_web!$AS7</f>
        <v>6</v>
      </c>
      <c r="F49" s="18">
        <f>Windy_web!$AS8</f>
        <v>12</v>
      </c>
      <c r="G49" s="27" t="str">
        <f>Windy_web!$AS5</f>
        <v>16°</v>
      </c>
      <c r="H49" s="26">
        <f t="shared" si="2"/>
        <v>16</v>
      </c>
      <c r="I49" s="18">
        <v>25</v>
      </c>
      <c r="J49" s="18">
        <v>20</v>
      </c>
      <c r="K49" s="18">
        <f>Table12[[#This Row],[AEG E/S BARRA A]]*Table12[[#This Row],[AEG 5.2 MW]]</f>
        <v>129</v>
      </c>
      <c r="L49" s="18">
        <f>Table12[[#This Row],[AEG E/S BARRA B]]*Table12[[#This Row],[AEG 5.0 MW]]</f>
        <v>99.440000000000012</v>
      </c>
      <c r="M4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9" s="29">
        <f>INDEX(Curva_Temp[Temp],MATCH(Table12[[#This Row],[Windy Temp.
°C]],Curva_Temp[Temp]))</f>
        <v>15</v>
      </c>
      <c r="O49" s="29">
        <f>INDEX(Curva_Temp[Warranted Power Curve for 
1.194Kg/m3 air density '[kW']
SG 5.0-145 (AM+1, 5.2MW) AT 
90M],MATCH(Table12[[#This Row],[Windy Temp.
°C]],Curva_Temp[Temp]))</f>
        <v>5200</v>
      </c>
      <c r="P49" s="29" cm="1">
        <f t="array" ref="P49">INDEX(Curva_Temp[Temp],MATCH(Table12[[#This Row],[Windy Temp.
°C]],Curva_Temp[Temp])+1)</f>
        <v>20</v>
      </c>
      <c r="Q49" s="29" cm="1">
        <f t="array" ref="Q49">INDEX(Curva_Temp[Warranted Power Curve for 
1.194Kg/m3 air density '[kW']
SG 5.0-145 (AM+1, 5.2MW) AT 
90M],MATCH(Table12[[#This Row],[Windy Temp.
°C]],Curva_Temp[Temp])+1)</f>
        <v>5000</v>
      </c>
      <c r="R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9" s="18"/>
      <c r="U49" s="18">
        <v>2.2999999999999998</v>
      </c>
      <c r="V49" s="18">
        <v>3.1</v>
      </c>
      <c r="W49" s="18">
        <f>CEILING(Table12[[#This Row],[Darwin Gusts
m/s]],0.5)</f>
        <v>3.5</v>
      </c>
      <c r="X49" s="18">
        <v>20.399999999999999</v>
      </c>
    </row>
    <row r="50" spans="2:24" ht="12" x14ac:dyDescent="0.2">
      <c r="B50" s="16">
        <f t="shared" si="0"/>
        <v>45081.916666666555</v>
      </c>
      <c r="C50" s="17">
        <f t="shared" si="1"/>
        <v>1.9166666666666679</v>
      </c>
      <c r="D50" s="29">
        <f>Table12[[#This Row],[MW TOTAL BARRA A]]+Table12[[#This Row],[MW TOTAL BARRA B]]</f>
        <v>219.56</v>
      </c>
      <c r="E50" s="18">
        <f>Windy_web!$AT7</f>
        <v>6</v>
      </c>
      <c r="F50" s="18">
        <f>Windy_web!$AT8</f>
        <v>11</v>
      </c>
      <c r="G50" s="27" t="str">
        <f>Windy_web!$AT5</f>
        <v>16°</v>
      </c>
      <c r="H50" s="26">
        <f t="shared" si="2"/>
        <v>16</v>
      </c>
      <c r="I50" s="18">
        <v>25</v>
      </c>
      <c r="J50" s="18">
        <v>20</v>
      </c>
      <c r="K50" s="18">
        <f>Table12[[#This Row],[AEG E/S BARRA A]]*Table12[[#This Row],[AEG 5.2 MW]]</f>
        <v>123.9</v>
      </c>
      <c r="L50" s="18">
        <f>Table12[[#This Row],[AEG E/S BARRA B]]*Table12[[#This Row],[AEG 5.0 MW]]</f>
        <v>95.660000000000011</v>
      </c>
      <c r="M5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0" s="29">
        <f>INDEX(Curva_Temp[Temp],MATCH(Table12[[#This Row],[Windy Temp.
°C]],Curva_Temp[Temp]))</f>
        <v>15</v>
      </c>
      <c r="O50" s="29">
        <f>INDEX(Curva_Temp[Warranted Power Curve for 
1.194Kg/m3 air density '[kW']
SG 5.0-145 (AM+1, 5.2MW) AT 
90M],MATCH(Table12[[#This Row],[Windy Temp.
°C]],Curva_Temp[Temp]))</f>
        <v>5200</v>
      </c>
      <c r="P50" s="29" cm="1">
        <f t="array" ref="P50">INDEX(Curva_Temp[Temp],MATCH(Table12[[#This Row],[Windy Temp.
°C]],Curva_Temp[Temp])+1)</f>
        <v>20</v>
      </c>
      <c r="Q50" s="29" cm="1">
        <f t="array" ref="Q50">INDEX(Curva_Temp[Warranted Power Curve for 
1.194Kg/m3 air density '[kW']
SG 5.0-145 (AM+1, 5.2MW) AT 
90M],MATCH(Table12[[#This Row],[Windy Temp.
°C]],Curva_Temp[Temp])+1)</f>
        <v>5000</v>
      </c>
      <c r="R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0" s="18"/>
      <c r="U50" s="18">
        <v>2.9</v>
      </c>
      <c r="V50" s="18">
        <v>3.9</v>
      </c>
      <c r="W50" s="18">
        <f>CEILING(Table12[[#This Row],[Darwin Gusts
m/s]],0.5)</f>
        <v>4</v>
      </c>
      <c r="X50" s="18">
        <v>19.399999999999999</v>
      </c>
    </row>
    <row r="51" spans="2:24" ht="12" x14ac:dyDescent="0.2">
      <c r="B51" s="16">
        <f t="shared" si="0"/>
        <v>45081.958333333219</v>
      </c>
      <c r="C51" s="17">
        <f t="shared" si="1"/>
        <v>1.9583333333333346</v>
      </c>
      <c r="D51" s="29">
        <f>Table12[[#This Row],[MW TOTAL BARRA A]]+Table12[[#This Row],[MW TOTAL BARRA B]]</f>
        <v>219.56</v>
      </c>
      <c r="E51" s="18">
        <f>Windy_web!$AU7</f>
        <v>5</v>
      </c>
      <c r="F51" s="18">
        <f>Windy_web!$AU8</f>
        <v>11</v>
      </c>
      <c r="G51" s="27" t="str">
        <f>Windy_web!$AU5</f>
        <v>16°</v>
      </c>
      <c r="H51" s="26">
        <f t="shared" si="2"/>
        <v>16</v>
      </c>
      <c r="I51" s="18">
        <v>25</v>
      </c>
      <c r="J51" s="18">
        <v>20</v>
      </c>
      <c r="K51" s="18">
        <f>Table12[[#This Row],[AEG E/S BARRA A]]*Table12[[#This Row],[AEG 5.2 MW]]</f>
        <v>123.9</v>
      </c>
      <c r="L51" s="18">
        <f>Table12[[#This Row],[AEG E/S BARRA B]]*Table12[[#This Row],[AEG 5.0 MW]]</f>
        <v>95.660000000000011</v>
      </c>
      <c r="M5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1" s="29">
        <f>INDEX(Curva_Temp[Temp],MATCH(Table12[[#This Row],[Windy Temp.
°C]],Curva_Temp[Temp]))</f>
        <v>15</v>
      </c>
      <c r="O51" s="29">
        <f>INDEX(Curva_Temp[Warranted Power Curve for 
1.194Kg/m3 air density '[kW']
SG 5.0-145 (AM+1, 5.2MW) AT 
90M],MATCH(Table12[[#This Row],[Windy Temp.
°C]],Curva_Temp[Temp]))</f>
        <v>5200</v>
      </c>
      <c r="P51" s="29" cm="1">
        <f t="array" ref="P51">INDEX(Curva_Temp[Temp],MATCH(Table12[[#This Row],[Windy Temp.
°C]],Curva_Temp[Temp])+1)</f>
        <v>20</v>
      </c>
      <c r="Q51" s="29" cm="1">
        <f t="array" ref="Q51">INDEX(Curva_Temp[Warranted Power Curve for 
1.194Kg/m3 air density '[kW']
SG 5.0-145 (AM+1, 5.2MW) AT 
90M],MATCH(Table12[[#This Row],[Windy Temp.
°C]],Curva_Temp[Temp])+1)</f>
        <v>5000</v>
      </c>
      <c r="R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1" s="18"/>
      <c r="U51" s="18">
        <v>3</v>
      </c>
      <c r="V51" s="18">
        <v>4</v>
      </c>
      <c r="W51" s="18">
        <f>CEILING(Table12[[#This Row],[Darwin Gusts
m/s]],0.5)</f>
        <v>4</v>
      </c>
      <c r="X51" s="18">
        <v>18.100000000000001</v>
      </c>
    </row>
    <row r="52" spans="2:24" ht="12" x14ac:dyDescent="0.2">
      <c r="B52" s="16">
        <f t="shared" si="0"/>
        <v>45081.999999999884</v>
      </c>
      <c r="C52" s="17">
        <f t="shared" ref="C52" si="3">C51+TIME(1,0,0)</f>
        <v>2.0000000000000013</v>
      </c>
      <c r="D52" s="29">
        <f>Table12[[#This Row],[MW TOTAL BARRA A]]+Table12[[#This Row],[MW TOTAL BARRA B]]</f>
        <v>191.33999999999997</v>
      </c>
      <c r="E52" s="18">
        <f>Windy_web!$AV7</f>
        <v>4</v>
      </c>
      <c r="F52" s="18">
        <f>Windy_web!$AV8</f>
        <v>10</v>
      </c>
      <c r="G52" s="27" t="str">
        <f>Windy_web!$AV5</f>
        <v>16°</v>
      </c>
      <c r="H52" s="26">
        <f t="shared" si="2"/>
        <v>16</v>
      </c>
      <c r="I52" s="18">
        <v>25</v>
      </c>
      <c r="J52" s="18">
        <v>20</v>
      </c>
      <c r="K52" s="18">
        <f>Table12[[#This Row],[AEG E/S BARRA A]]*Table12[[#This Row],[AEG 5.2 MW]]</f>
        <v>107.1</v>
      </c>
      <c r="L52" s="18">
        <f>Table12[[#This Row],[AEG E/S BARRA B]]*Table12[[#This Row],[AEG 5.0 MW]]</f>
        <v>84.24</v>
      </c>
      <c r="M5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2" s="29">
        <f>INDEX(Curva_Temp[Temp],MATCH(Table12[[#This Row],[Windy Temp.
°C]],Curva_Temp[Temp]))</f>
        <v>15</v>
      </c>
      <c r="O52" s="29">
        <f>INDEX(Curva_Temp[Warranted Power Curve for 
1.194Kg/m3 air density '[kW']
SG 5.0-145 (AM+1, 5.2MW) AT 
90M],MATCH(Table12[[#This Row],[Windy Temp.
°C]],Curva_Temp[Temp]))</f>
        <v>5200</v>
      </c>
      <c r="P52" s="29" cm="1">
        <f t="array" ref="P52">INDEX(Curva_Temp[Temp],MATCH(Table12[[#This Row],[Windy Temp.
°C]],Curva_Temp[Temp])+1)</f>
        <v>20</v>
      </c>
      <c r="Q52" s="29" cm="1">
        <f t="array" ref="Q52">INDEX(Curva_Temp[Warranted Power Curve for 
1.194Kg/m3 air density '[kW']
SG 5.0-145 (AM+1, 5.2MW) AT 
90M],MATCH(Table12[[#This Row],[Windy Temp.
°C]],Curva_Temp[Temp])+1)</f>
        <v>5000</v>
      </c>
      <c r="R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2" s="18"/>
      <c r="U52" s="18">
        <v>3.5</v>
      </c>
      <c r="V52" s="18">
        <v>4.7</v>
      </c>
      <c r="W52" s="18">
        <f>CEILING(Table12[[#This Row],[Darwin Gusts
m/s]],0.5)</f>
        <v>5</v>
      </c>
      <c r="X52" s="18">
        <v>17.7</v>
      </c>
    </row>
    <row r="53" spans="2:24" ht="12" x14ac:dyDescent="0.2">
      <c r="B53" s="16">
        <f t="shared" si="0"/>
        <v>45082.041666666548</v>
      </c>
      <c r="C53" s="17">
        <f>C52+TIME(1,0,0)</f>
        <v>2.0416666666666679</v>
      </c>
      <c r="D53" s="29">
        <f>Table12[[#This Row],[MW TOTAL BARRA A]]+Table12[[#This Row],[MW TOTAL BARRA B]]</f>
        <v>191.33999999999997</v>
      </c>
      <c r="E53" s="18">
        <f>Windy_web!$AW7</f>
        <v>4</v>
      </c>
      <c r="F53" s="18">
        <f>Windy_web!$AW8</f>
        <v>10</v>
      </c>
      <c r="G53" s="27" t="str">
        <f>Windy_web!$AW5</f>
        <v>16°</v>
      </c>
      <c r="H53" s="26">
        <f t="shared" si="2"/>
        <v>16</v>
      </c>
      <c r="I53" s="18">
        <v>25</v>
      </c>
      <c r="J53" s="18">
        <v>20</v>
      </c>
      <c r="K53" s="18">
        <f>Table12[[#This Row],[AEG E/S BARRA A]]*Table12[[#This Row],[AEG 5.2 MW]]</f>
        <v>107.1</v>
      </c>
      <c r="L53" s="18">
        <f>Table12[[#This Row],[AEG E/S BARRA B]]*Table12[[#This Row],[AEG 5.0 MW]]</f>
        <v>84.24</v>
      </c>
      <c r="M5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3" s="29">
        <f>INDEX(Curva_Temp[Temp],MATCH(Table12[[#This Row],[Windy Temp.
°C]],Curva_Temp[Temp]))</f>
        <v>15</v>
      </c>
      <c r="O53" s="29">
        <f>INDEX(Curva_Temp[Warranted Power Curve for 
1.194Kg/m3 air density '[kW']
SG 5.0-145 (AM+1, 5.2MW) AT 
90M],MATCH(Table12[[#This Row],[Windy Temp.
°C]],Curva_Temp[Temp]))</f>
        <v>5200</v>
      </c>
      <c r="P53" s="29" cm="1">
        <f t="array" ref="P53">INDEX(Curva_Temp[Temp],MATCH(Table12[[#This Row],[Windy Temp.
°C]],Curva_Temp[Temp])+1)</f>
        <v>20</v>
      </c>
      <c r="Q53" s="29" cm="1">
        <f t="array" ref="Q53">INDEX(Curva_Temp[Warranted Power Curve for 
1.194Kg/m3 air density '[kW']
SG 5.0-145 (AM+1, 5.2MW) AT 
90M],MATCH(Table12[[#This Row],[Windy Temp.
°C]],Curva_Temp[Temp])+1)</f>
        <v>5000</v>
      </c>
      <c r="R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3" s="18"/>
      <c r="U53" s="18">
        <v>4.4000000000000004</v>
      </c>
      <c r="V53" s="18">
        <v>5.7</v>
      </c>
      <c r="W53" s="18">
        <f>CEILING(Table12[[#This Row],[Darwin Gusts
m/s]],0.5)</f>
        <v>6</v>
      </c>
      <c r="X53" s="18">
        <v>17.7</v>
      </c>
    </row>
    <row r="54" spans="2:24" ht="12" x14ac:dyDescent="0.2">
      <c r="B54" s="16">
        <f t="shared" si="0"/>
        <v>45082.083333333212</v>
      </c>
      <c r="C54" s="17">
        <f t="shared" ref="C54:C70" si="4">C53+TIME(1,0,0)</f>
        <v>2.0833333333333344</v>
      </c>
      <c r="D54" s="29">
        <f>Table12[[#This Row],[MW TOTAL BARRA A]]+Table12[[#This Row],[MW TOTAL BARRA B]]</f>
        <v>150.87</v>
      </c>
      <c r="E54" s="18">
        <f>Windy_web!$AX7</f>
        <v>4</v>
      </c>
      <c r="F54" s="18">
        <f>Windy_web!$AX8</f>
        <v>9</v>
      </c>
      <c r="G54" s="27" t="str">
        <f>Windy_web!$AX5</f>
        <v>16°</v>
      </c>
      <c r="H54" s="26">
        <f t="shared" si="2"/>
        <v>16</v>
      </c>
      <c r="I54" s="18">
        <v>25</v>
      </c>
      <c r="J54" s="18">
        <v>20</v>
      </c>
      <c r="K54" s="18">
        <f>Table12[[#This Row],[AEG E/S BARRA A]]*Table12[[#This Row],[AEG 5.2 MW]]</f>
        <v>84.15</v>
      </c>
      <c r="L54" s="18">
        <f>Table12[[#This Row],[AEG E/S BARRA B]]*Table12[[#This Row],[AEG 5.0 MW]]</f>
        <v>66.72</v>
      </c>
      <c r="M5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4" s="29">
        <f>INDEX(Curva_Temp[Temp],MATCH(Table12[[#This Row],[Windy Temp.
°C]],Curva_Temp[Temp]))</f>
        <v>15</v>
      </c>
      <c r="O54" s="29">
        <f>INDEX(Curva_Temp[Warranted Power Curve for 
1.194Kg/m3 air density '[kW']
SG 5.0-145 (AM+1, 5.2MW) AT 
90M],MATCH(Table12[[#This Row],[Windy Temp.
°C]],Curva_Temp[Temp]))</f>
        <v>5200</v>
      </c>
      <c r="P54" s="29" cm="1">
        <f t="array" ref="P54">INDEX(Curva_Temp[Temp],MATCH(Table12[[#This Row],[Windy Temp.
°C]],Curva_Temp[Temp])+1)</f>
        <v>20</v>
      </c>
      <c r="Q54" s="29" cm="1">
        <f t="array" ref="Q54">INDEX(Curva_Temp[Warranted Power Curve for 
1.194Kg/m3 air density '[kW']
SG 5.0-145 (AM+1, 5.2MW) AT 
90M],MATCH(Table12[[#This Row],[Windy Temp.
°C]],Curva_Temp[Temp])+1)</f>
        <v>5000</v>
      </c>
      <c r="R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4" s="18"/>
      <c r="U54" s="18">
        <v>4.8</v>
      </c>
      <c r="V54" s="18">
        <v>6.2</v>
      </c>
      <c r="W54" s="18">
        <f>CEILING(Table12[[#This Row],[Darwin Gusts
m/s]],0.5)</f>
        <v>6.5</v>
      </c>
      <c r="X54" s="18">
        <v>17.8</v>
      </c>
    </row>
    <row r="55" spans="2:24" ht="12" x14ac:dyDescent="0.2">
      <c r="B55" s="16">
        <f t="shared" si="0"/>
        <v>45082.124999999876</v>
      </c>
      <c r="C55" s="17">
        <f t="shared" si="4"/>
        <v>2.1250000000000009</v>
      </c>
      <c r="D55" s="29">
        <f>Table12[[#This Row],[MW TOTAL BARRA A]]+Table12[[#This Row],[MW TOTAL BARRA B]]</f>
        <v>108.185</v>
      </c>
      <c r="E55" s="18">
        <f>Windy_web!$AY7</f>
        <v>4</v>
      </c>
      <c r="F55" s="18">
        <f>Windy_web!$AY8</f>
        <v>8</v>
      </c>
      <c r="G55" s="27" t="str">
        <f>Windy_web!$AY5</f>
        <v>16°</v>
      </c>
      <c r="H55" s="26">
        <f t="shared" si="2"/>
        <v>16</v>
      </c>
      <c r="I55" s="18">
        <v>25</v>
      </c>
      <c r="J55" s="18">
        <v>20</v>
      </c>
      <c r="K55" s="18">
        <f>Table12[[#This Row],[AEG E/S BARRA A]]*Table12[[#This Row],[AEG 5.2 MW]]</f>
        <v>60.224999999999994</v>
      </c>
      <c r="L55" s="18">
        <f>Table12[[#This Row],[AEG E/S BARRA B]]*Table12[[#This Row],[AEG 5.0 MW]]</f>
        <v>47.96</v>
      </c>
      <c r="M5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5" s="29">
        <f>INDEX(Curva_Temp[Temp],MATCH(Table12[[#This Row],[Windy Temp.
°C]],Curva_Temp[Temp]))</f>
        <v>15</v>
      </c>
      <c r="O55" s="29">
        <f>INDEX(Curva_Temp[Warranted Power Curve for 
1.194Kg/m3 air density '[kW']
SG 5.0-145 (AM+1, 5.2MW) AT 
90M],MATCH(Table12[[#This Row],[Windy Temp.
°C]],Curva_Temp[Temp]))</f>
        <v>5200</v>
      </c>
      <c r="P55" s="29" cm="1">
        <f t="array" ref="P55">INDEX(Curva_Temp[Temp],MATCH(Table12[[#This Row],[Windy Temp.
°C]],Curva_Temp[Temp])+1)</f>
        <v>20</v>
      </c>
      <c r="Q55" s="29" cm="1">
        <f t="array" ref="Q55">INDEX(Curva_Temp[Warranted Power Curve for 
1.194Kg/m3 air density '[kW']
SG 5.0-145 (AM+1, 5.2MW) AT 
90M],MATCH(Table12[[#This Row],[Windy Temp.
°C]],Curva_Temp[Temp])+1)</f>
        <v>5000</v>
      </c>
      <c r="R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5" s="18"/>
      <c r="U55" s="18">
        <v>5.4</v>
      </c>
      <c r="V55" s="18">
        <v>7</v>
      </c>
      <c r="W55" s="18">
        <f>CEILING(Table12[[#This Row],[Darwin Gusts
m/s]],0.5)</f>
        <v>7</v>
      </c>
      <c r="X55" s="18">
        <v>17.8</v>
      </c>
    </row>
    <row r="56" spans="2:24" ht="12" x14ac:dyDescent="0.2">
      <c r="B56" s="16">
        <f t="shared" si="0"/>
        <v>45082.166666666541</v>
      </c>
      <c r="C56" s="17">
        <f t="shared" si="4"/>
        <v>2.1666666666666674</v>
      </c>
      <c r="D56" s="29">
        <f>Table12[[#This Row],[MW TOTAL BARRA A]]+Table12[[#This Row],[MW TOTAL BARRA B]]</f>
        <v>71.824999999999989</v>
      </c>
      <c r="E56" s="18">
        <f>Windy_web!$AZ7</f>
        <v>4</v>
      </c>
      <c r="F56" s="18">
        <f>Windy_web!$AZ8</f>
        <v>7</v>
      </c>
      <c r="G56" s="27" t="str">
        <f>Windy_web!$AZ5</f>
        <v>16°</v>
      </c>
      <c r="H56" s="26">
        <f t="shared" si="2"/>
        <v>16</v>
      </c>
      <c r="I56" s="18">
        <v>25</v>
      </c>
      <c r="J56" s="18">
        <v>20</v>
      </c>
      <c r="K56" s="18">
        <f>Table12[[#This Row],[AEG E/S BARRA A]]*Table12[[#This Row],[AEG 5.2 MW]]</f>
        <v>39.924999999999997</v>
      </c>
      <c r="L56" s="18">
        <f>Table12[[#This Row],[AEG E/S BARRA B]]*Table12[[#This Row],[AEG 5.0 MW]]</f>
        <v>31.9</v>
      </c>
      <c r="M5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6" s="29">
        <f>INDEX(Curva_Temp[Temp],MATCH(Table12[[#This Row],[Windy Temp.
°C]],Curva_Temp[Temp]))</f>
        <v>15</v>
      </c>
      <c r="O56" s="29">
        <f>INDEX(Curva_Temp[Warranted Power Curve for 
1.194Kg/m3 air density '[kW']
SG 5.0-145 (AM+1, 5.2MW) AT 
90M],MATCH(Table12[[#This Row],[Windy Temp.
°C]],Curva_Temp[Temp]))</f>
        <v>5200</v>
      </c>
      <c r="P56" s="29" cm="1">
        <f t="array" ref="P56">INDEX(Curva_Temp[Temp],MATCH(Table12[[#This Row],[Windy Temp.
°C]],Curva_Temp[Temp])+1)</f>
        <v>20</v>
      </c>
      <c r="Q56" s="29" cm="1">
        <f t="array" ref="Q56">INDEX(Curva_Temp[Warranted Power Curve for 
1.194Kg/m3 air density '[kW']
SG 5.0-145 (AM+1, 5.2MW) AT 
90M],MATCH(Table12[[#This Row],[Windy Temp.
°C]],Curva_Temp[Temp])+1)</f>
        <v>5000</v>
      </c>
      <c r="R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6" s="18"/>
      <c r="U56" s="18">
        <v>6</v>
      </c>
      <c r="V56" s="18">
        <v>7.6</v>
      </c>
      <c r="W56" s="18">
        <f>CEILING(Table12[[#This Row],[Darwin Gusts
m/s]],0.5)</f>
        <v>8</v>
      </c>
      <c r="X56" s="18">
        <v>17.5</v>
      </c>
    </row>
    <row r="57" spans="2:24" ht="12" x14ac:dyDescent="0.2">
      <c r="B57" s="16">
        <f t="shared" si="0"/>
        <v>45082.208333333205</v>
      </c>
      <c r="C57" s="17">
        <f t="shared" si="4"/>
        <v>2.2083333333333339</v>
      </c>
      <c r="D57" s="29">
        <f>Table12[[#This Row],[MW TOTAL BARRA A]]+Table12[[#This Row],[MW TOTAL BARRA B]]</f>
        <v>71.824999999999989</v>
      </c>
      <c r="E57" s="18">
        <f>Windy_web!$BA7</f>
        <v>5</v>
      </c>
      <c r="F57" s="18">
        <f>Windy_web!$BA8</f>
        <v>7</v>
      </c>
      <c r="G57" s="27" t="str">
        <f>Windy_web!$BA5</f>
        <v>16°</v>
      </c>
      <c r="H57" s="26">
        <f t="shared" si="2"/>
        <v>16</v>
      </c>
      <c r="I57" s="18">
        <v>25</v>
      </c>
      <c r="J57" s="18">
        <v>20</v>
      </c>
      <c r="K57" s="18">
        <f>Table12[[#This Row],[AEG E/S BARRA A]]*Table12[[#This Row],[AEG 5.2 MW]]</f>
        <v>39.924999999999997</v>
      </c>
      <c r="L57" s="18">
        <f>Table12[[#This Row],[AEG E/S BARRA B]]*Table12[[#This Row],[AEG 5.0 MW]]</f>
        <v>31.9</v>
      </c>
      <c r="M5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7" s="29">
        <f>INDEX(Curva_Temp[Temp],MATCH(Table12[[#This Row],[Windy Temp.
°C]],Curva_Temp[Temp]))</f>
        <v>15</v>
      </c>
      <c r="O57" s="29">
        <f>INDEX(Curva_Temp[Warranted Power Curve for 
1.194Kg/m3 air density '[kW']
SG 5.0-145 (AM+1, 5.2MW) AT 
90M],MATCH(Table12[[#This Row],[Windy Temp.
°C]],Curva_Temp[Temp]))</f>
        <v>5200</v>
      </c>
      <c r="P57" s="29" cm="1">
        <f t="array" ref="P57">INDEX(Curva_Temp[Temp],MATCH(Table12[[#This Row],[Windy Temp.
°C]],Curva_Temp[Temp])+1)</f>
        <v>20</v>
      </c>
      <c r="Q57" s="29" cm="1">
        <f t="array" ref="Q57">INDEX(Curva_Temp[Warranted Power Curve for 
1.194Kg/m3 air density '[kW']
SG 5.0-145 (AM+1, 5.2MW) AT 
90M],MATCH(Table12[[#This Row],[Windy Temp.
°C]],Curva_Temp[Temp])+1)</f>
        <v>5000</v>
      </c>
      <c r="R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7" s="18"/>
      <c r="U57" s="18">
        <v>6.2</v>
      </c>
      <c r="V57" s="18">
        <v>7.9</v>
      </c>
      <c r="W57" s="18">
        <f>CEILING(Table12[[#This Row],[Darwin Gusts
m/s]],0.5)</f>
        <v>8</v>
      </c>
      <c r="X57" s="18">
        <v>17.3</v>
      </c>
    </row>
    <row r="58" spans="2:24" ht="12" x14ac:dyDescent="0.2">
      <c r="B58" s="16">
        <f t="shared" si="0"/>
        <v>45082.249999999869</v>
      </c>
      <c r="C58" s="17">
        <f t="shared" si="4"/>
        <v>2.2500000000000004</v>
      </c>
      <c r="D58" s="29">
        <f>Table12[[#This Row],[MW TOTAL BARRA A]]+Table12[[#This Row],[MW TOTAL BARRA B]]</f>
        <v>108.185</v>
      </c>
      <c r="E58" s="18">
        <f>Windy_web!$BB7</f>
        <v>5</v>
      </c>
      <c r="F58" s="18">
        <f>Windy_web!$BB8</f>
        <v>8</v>
      </c>
      <c r="G58" s="27" t="str">
        <f>Windy_web!$BB5</f>
        <v>15°</v>
      </c>
      <c r="H58" s="26">
        <f t="shared" si="2"/>
        <v>15</v>
      </c>
      <c r="I58" s="18">
        <v>25</v>
      </c>
      <c r="J58" s="18">
        <v>20</v>
      </c>
      <c r="K58" s="18">
        <f>Table12[[#This Row],[AEG E/S BARRA A]]*Table12[[#This Row],[AEG 5.2 MW]]</f>
        <v>60.224999999999994</v>
      </c>
      <c r="L58" s="18">
        <f>Table12[[#This Row],[AEG E/S BARRA B]]*Table12[[#This Row],[AEG 5.0 MW]]</f>
        <v>47.96</v>
      </c>
      <c r="M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58" s="29">
        <f>INDEX(Curva_Temp[Temp],MATCH(Table12[[#This Row],[Windy Temp.
°C]],Curva_Temp[Temp]))</f>
        <v>15</v>
      </c>
      <c r="O58" s="29">
        <f>INDEX(Curva_Temp[Warranted Power Curve for 
1.194Kg/m3 air density '[kW']
SG 5.0-145 (AM+1, 5.2MW) AT 
90M],MATCH(Table12[[#This Row],[Windy Temp.
°C]],Curva_Temp[Temp]))</f>
        <v>5200</v>
      </c>
      <c r="P58" s="29" cm="1">
        <f t="array" ref="P58">INDEX(Curva_Temp[Temp],MATCH(Table12[[#This Row],[Windy Temp.
°C]],Curva_Temp[Temp])+1)</f>
        <v>20</v>
      </c>
      <c r="Q58" s="29" cm="1">
        <f t="array" ref="Q58">INDEX(Curva_Temp[Warranted Power Curve for 
1.194Kg/m3 air density '[kW']
SG 5.0-145 (AM+1, 5.2MW) AT 
90M],MATCH(Table12[[#This Row],[Windy Temp.
°C]],Curva_Temp[Temp])+1)</f>
        <v>5000</v>
      </c>
      <c r="R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8" s="18"/>
      <c r="U58" s="18">
        <v>6.5</v>
      </c>
      <c r="V58" s="18">
        <v>8.3000000000000007</v>
      </c>
      <c r="W58" s="18">
        <f>CEILING(Table12[[#This Row],[Darwin Gusts
m/s]],0.5)</f>
        <v>8.5</v>
      </c>
      <c r="X58" s="18">
        <v>17</v>
      </c>
    </row>
    <row r="59" spans="2:24" ht="12" x14ac:dyDescent="0.2">
      <c r="B59" s="16">
        <f t="shared" si="0"/>
        <v>45082.291666666533</v>
      </c>
      <c r="C59" s="17">
        <f t="shared" si="4"/>
        <v>2.291666666666667</v>
      </c>
      <c r="D59" s="29">
        <f>Table12[[#This Row],[MW TOTAL BARRA A]]+Table12[[#This Row],[MW TOTAL BARRA B]]</f>
        <v>150.87</v>
      </c>
      <c r="E59" s="18">
        <f>Windy_web!$BC7</f>
        <v>5</v>
      </c>
      <c r="F59" s="18">
        <f>Windy_web!$BC8</f>
        <v>9</v>
      </c>
      <c r="G59" s="27" t="str">
        <f>Windy_web!$BC5</f>
        <v>16°</v>
      </c>
      <c r="H59" s="26">
        <f t="shared" si="2"/>
        <v>16</v>
      </c>
      <c r="I59" s="18">
        <v>25</v>
      </c>
      <c r="J59" s="18">
        <v>20</v>
      </c>
      <c r="K59" s="18">
        <f>Table12[[#This Row],[AEG E/S BARRA A]]*Table12[[#This Row],[AEG 5.2 MW]]</f>
        <v>84.15</v>
      </c>
      <c r="L59" s="18">
        <f>Table12[[#This Row],[AEG E/S BARRA B]]*Table12[[#This Row],[AEG 5.0 MW]]</f>
        <v>66.72</v>
      </c>
      <c r="M5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9" s="29">
        <f>INDEX(Curva_Temp[Temp],MATCH(Table12[[#This Row],[Windy Temp.
°C]],Curva_Temp[Temp]))</f>
        <v>15</v>
      </c>
      <c r="O59" s="29">
        <f>INDEX(Curva_Temp[Warranted Power Curve for 
1.194Kg/m3 air density '[kW']
SG 5.0-145 (AM+1, 5.2MW) AT 
90M],MATCH(Table12[[#This Row],[Windy Temp.
°C]],Curva_Temp[Temp]))</f>
        <v>5200</v>
      </c>
      <c r="P59" s="29" cm="1">
        <f t="array" ref="P59">INDEX(Curva_Temp[Temp],MATCH(Table12[[#This Row],[Windy Temp.
°C]],Curva_Temp[Temp])+1)</f>
        <v>20</v>
      </c>
      <c r="Q59" s="29" cm="1">
        <f t="array" ref="Q59">INDEX(Curva_Temp[Warranted Power Curve for 
1.194Kg/m3 air density '[kW']
SG 5.0-145 (AM+1, 5.2MW) AT 
90M],MATCH(Table12[[#This Row],[Windy Temp.
°C]],Curva_Temp[Temp])+1)</f>
        <v>5000</v>
      </c>
      <c r="R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9" s="18"/>
      <c r="U59" s="18">
        <v>6.4</v>
      </c>
      <c r="V59" s="18">
        <v>8.1</v>
      </c>
      <c r="W59" s="18">
        <f>CEILING(Table12[[#This Row],[Darwin Gusts
m/s]],0.5)</f>
        <v>8.5</v>
      </c>
      <c r="X59" s="18">
        <v>16.899999999999999</v>
      </c>
    </row>
    <row r="60" spans="2:24" ht="12" x14ac:dyDescent="0.2">
      <c r="B60" s="16">
        <f t="shared" si="0"/>
        <v>45082.333333333198</v>
      </c>
      <c r="C60" s="17">
        <f t="shared" si="4"/>
        <v>2.3333333333333335</v>
      </c>
      <c r="D60" s="29">
        <f>Table12[[#This Row],[MW TOTAL BARRA A]]+Table12[[#This Row],[MW TOTAL BARRA B]]</f>
        <v>150.87</v>
      </c>
      <c r="E60" s="18">
        <f>Windy_web!$BD7</f>
        <v>5</v>
      </c>
      <c r="F60" s="18">
        <f>Windy_web!$BD8</f>
        <v>9</v>
      </c>
      <c r="G60" s="27" t="str">
        <f>Windy_web!$BD5</f>
        <v>17°</v>
      </c>
      <c r="H60" s="26">
        <f t="shared" si="2"/>
        <v>17</v>
      </c>
      <c r="I60" s="18">
        <v>25</v>
      </c>
      <c r="J60" s="18">
        <v>20</v>
      </c>
      <c r="K60" s="18">
        <f>Table12[[#This Row],[AEG E/S BARRA A]]*Table12[[#This Row],[AEG 5.2 MW]]</f>
        <v>84.15</v>
      </c>
      <c r="L60" s="18">
        <f>Table12[[#This Row],[AEG E/S BARRA B]]*Table12[[#This Row],[AEG 5.0 MW]]</f>
        <v>66.72</v>
      </c>
      <c r="M6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60" s="29">
        <f>INDEX(Curva_Temp[Temp],MATCH(Table12[[#This Row],[Windy Temp.
°C]],Curva_Temp[Temp]))</f>
        <v>15</v>
      </c>
      <c r="O60" s="29">
        <f>INDEX(Curva_Temp[Warranted Power Curve for 
1.194Kg/m3 air density '[kW']
SG 5.0-145 (AM+1, 5.2MW) AT 
90M],MATCH(Table12[[#This Row],[Windy Temp.
°C]],Curva_Temp[Temp]))</f>
        <v>5200</v>
      </c>
      <c r="P60" s="29" cm="1">
        <f t="array" ref="P60">INDEX(Curva_Temp[Temp],MATCH(Table12[[#This Row],[Windy Temp.
°C]],Curva_Temp[Temp])+1)</f>
        <v>20</v>
      </c>
      <c r="Q60" s="29" cm="1">
        <f t="array" ref="Q60">INDEX(Curva_Temp[Warranted Power Curve for 
1.194Kg/m3 air density '[kW']
SG 5.0-145 (AM+1, 5.2MW) AT 
90M],MATCH(Table12[[#This Row],[Windy Temp.
°C]],Curva_Temp[Temp])+1)</f>
        <v>5000</v>
      </c>
      <c r="R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0" s="18"/>
      <c r="U60" s="18">
        <v>6.2</v>
      </c>
      <c r="V60" s="18">
        <v>7.9</v>
      </c>
      <c r="W60" s="18">
        <f>CEILING(Table12[[#This Row],[Darwin Gusts
m/s]],0.5)</f>
        <v>8</v>
      </c>
      <c r="X60" s="18">
        <v>16.8</v>
      </c>
    </row>
    <row r="61" spans="2:24" ht="12" x14ac:dyDescent="0.2">
      <c r="B61" s="16">
        <f t="shared" si="0"/>
        <v>45082.374999999862</v>
      </c>
      <c r="C61" s="17">
        <f t="shared" si="4"/>
        <v>2.375</v>
      </c>
      <c r="D61" s="29">
        <f>Table12[[#This Row],[MW TOTAL BARRA A]]+Table12[[#This Row],[MW TOTAL BARRA B]]</f>
        <v>150.87</v>
      </c>
      <c r="E61" s="18">
        <f>Windy_web!$BE7</f>
        <v>5</v>
      </c>
      <c r="F61" s="18">
        <f>Windy_web!$BE8</f>
        <v>9</v>
      </c>
      <c r="G61" s="27" t="str">
        <f>Windy_web!$BE5</f>
        <v>18°</v>
      </c>
      <c r="H61" s="26">
        <f t="shared" si="2"/>
        <v>18</v>
      </c>
      <c r="I61" s="18">
        <v>25</v>
      </c>
      <c r="J61" s="18">
        <v>20</v>
      </c>
      <c r="K61" s="18">
        <f>Table12[[#This Row],[AEG E/S BARRA A]]*Table12[[#This Row],[AEG 5.2 MW]]</f>
        <v>84.15</v>
      </c>
      <c r="L61" s="18">
        <f>Table12[[#This Row],[AEG E/S BARRA B]]*Table12[[#This Row],[AEG 5.0 MW]]</f>
        <v>66.72</v>
      </c>
      <c r="M6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1" s="29">
        <f>INDEX(Curva_Temp[Temp],MATCH(Table12[[#This Row],[Windy Temp.
°C]],Curva_Temp[Temp]))</f>
        <v>15</v>
      </c>
      <c r="O61" s="29">
        <f>INDEX(Curva_Temp[Warranted Power Curve for 
1.194Kg/m3 air density '[kW']
SG 5.0-145 (AM+1, 5.2MW) AT 
90M],MATCH(Table12[[#This Row],[Windy Temp.
°C]],Curva_Temp[Temp]))</f>
        <v>5200</v>
      </c>
      <c r="P61" s="29" cm="1">
        <f t="array" ref="P61">INDEX(Curva_Temp[Temp],MATCH(Table12[[#This Row],[Windy Temp.
°C]],Curva_Temp[Temp])+1)</f>
        <v>20</v>
      </c>
      <c r="Q61" s="29" cm="1">
        <f t="array" ref="Q61">INDEX(Curva_Temp[Warranted Power Curve for 
1.194Kg/m3 air density '[kW']
SG 5.0-145 (AM+1, 5.2MW) AT 
90M],MATCH(Table12[[#This Row],[Windy Temp.
°C]],Curva_Temp[Temp])+1)</f>
        <v>5000</v>
      </c>
      <c r="R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1" s="18"/>
      <c r="U61" s="18">
        <v>6.1</v>
      </c>
      <c r="V61" s="18">
        <v>7.7</v>
      </c>
      <c r="W61" s="18">
        <f>CEILING(Table12[[#This Row],[Darwin Gusts
m/s]],0.5)</f>
        <v>8</v>
      </c>
      <c r="X61" s="18">
        <v>16.600000000000001</v>
      </c>
    </row>
    <row r="62" spans="2:24" ht="12" x14ac:dyDescent="0.2">
      <c r="B62" s="16">
        <f t="shared" si="0"/>
        <v>45082.416666666526</v>
      </c>
      <c r="C62" s="17">
        <f t="shared" si="4"/>
        <v>2.4166666666666665</v>
      </c>
      <c r="D62" s="29">
        <f>Table12[[#This Row],[MW TOTAL BARRA A]]+Table12[[#This Row],[MW TOTAL BARRA B]]</f>
        <v>150.87</v>
      </c>
      <c r="E62" s="18">
        <f>Windy_web!$BF7</f>
        <v>4</v>
      </c>
      <c r="F62" s="18">
        <f>Windy_web!$BF8</f>
        <v>9</v>
      </c>
      <c r="G62" s="27" t="str">
        <f>Windy_web!$BF5</f>
        <v>19°</v>
      </c>
      <c r="H62" s="26">
        <f t="shared" si="2"/>
        <v>19</v>
      </c>
      <c r="I62" s="18">
        <v>25</v>
      </c>
      <c r="J62" s="18">
        <v>20</v>
      </c>
      <c r="K62" s="18">
        <f>Table12[[#This Row],[AEG E/S BARRA A]]*Table12[[#This Row],[AEG 5.2 MW]]</f>
        <v>84.15</v>
      </c>
      <c r="L62" s="18">
        <f>Table12[[#This Row],[AEG E/S BARRA B]]*Table12[[#This Row],[AEG 5.0 MW]]</f>
        <v>66.72</v>
      </c>
      <c r="M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2" s="29">
        <f>INDEX(Curva_Temp[Temp],MATCH(Table12[[#This Row],[Windy Temp.
°C]],Curva_Temp[Temp]))</f>
        <v>15</v>
      </c>
      <c r="O62" s="29">
        <f>INDEX(Curva_Temp[Warranted Power Curve for 
1.194Kg/m3 air density '[kW']
SG 5.0-145 (AM+1, 5.2MW) AT 
90M],MATCH(Table12[[#This Row],[Windy Temp.
°C]],Curva_Temp[Temp]))</f>
        <v>5200</v>
      </c>
      <c r="P62" s="29" cm="1">
        <f t="array" ref="P62">INDEX(Curva_Temp[Temp],MATCH(Table12[[#This Row],[Windy Temp.
°C]],Curva_Temp[Temp])+1)</f>
        <v>20</v>
      </c>
      <c r="Q62" s="29" cm="1">
        <f t="array" ref="Q62">INDEX(Curva_Temp[Warranted Power Curve for 
1.194Kg/m3 air density '[kW']
SG 5.0-145 (AM+1, 5.2MW) AT 
90M],MATCH(Table12[[#This Row],[Windy Temp.
°C]],Curva_Temp[Temp])+1)</f>
        <v>5000</v>
      </c>
      <c r="R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2" s="18"/>
      <c r="U62" s="18">
        <v>5.2</v>
      </c>
      <c r="V62" s="18">
        <v>6.7</v>
      </c>
      <c r="W62" s="18">
        <f>CEILING(Table12[[#This Row],[Darwin Gusts
m/s]],0.5)</f>
        <v>7</v>
      </c>
      <c r="X62" s="18">
        <v>16.600000000000001</v>
      </c>
    </row>
    <row r="63" spans="2:24" ht="12" x14ac:dyDescent="0.2">
      <c r="B63" s="16">
        <f t="shared" si="0"/>
        <v>45082.45833333319</v>
      </c>
      <c r="C63" s="17">
        <f t="shared" si="4"/>
        <v>2.458333333333333</v>
      </c>
      <c r="D63" s="29">
        <f>Table12[[#This Row],[MW TOTAL BARRA A]]+Table12[[#This Row],[MW TOTAL BARRA B]]</f>
        <v>191.33999999999997</v>
      </c>
      <c r="E63" s="18">
        <f>Windy_web!$BG7</f>
        <v>5</v>
      </c>
      <c r="F63" s="18">
        <f>Windy_web!$BG8</f>
        <v>10</v>
      </c>
      <c r="G63" s="27" t="str">
        <f>Windy_web!$BG5</f>
        <v>20°</v>
      </c>
      <c r="H63" s="26">
        <f t="shared" si="2"/>
        <v>20</v>
      </c>
      <c r="I63" s="18">
        <v>25</v>
      </c>
      <c r="J63" s="18">
        <v>20</v>
      </c>
      <c r="K63" s="18">
        <f>Table12[[#This Row],[AEG E/S BARRA A]]*Table12[[#This Row],[AEG 5.2 MW]]</f>
        <v>107.1</v>
      </c>
      <c r="L63" s="18">
        <f>Table12[[#This Row],[AEG E/S BARRA B]]*Table12[[#This Row],[AEG 5.0 MW]]</f>
        <v>84.24</v>
      </c>
      <c r="M6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3" s="29">
        <f>INDEX(Curva_Temp[Temp],MATCH(Table12[[#This Row],[Windy Temp.
°C]],Curva_Temp[Temp]))</f>
        <v>20</v>
      </c>
      <c r="O63" s="29">
        <f>INDEX(Curva_Temp[Warranted Power Curve for 
1.194Kg/m3 air density '[kW']
SG 5.0-145 (AM+1, 5.2MW) AT 
90M],MATCH(Table12[[#This Row],[Windy Temp.
°C]],Curva_Temp[Temp]))</f>
        <v>5000</v>
      </c>
      <c r="P63" s="29" cm="1">
        <f t="array" ref="P63">INDEX(Curva_Temp[Temp],MATCH(Table12[[#This Row],[Windy Temp.
°C]],Curva_Temp[Temp])+1)</f>
        <v>25</v>
      </c>
      <c r="Q63" s="29" cm="1">
        <f t="array" ref="Q63">INDEX(Curva_Temp[Warranted Power Curve for 
1.194Kg/m3 air density '[kW']
SG 5.0-145 (AM+1, 5.2MW) AT 
90M],MATCH(Table12[[#This Row],[Windy Temp.
°C]],Curva_Temp[Temp])+1)</f>
        <v>4900</v>
      </c>
      <c r="R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63" s="18"/>
      <c r="U63" s="18">
        <v>4.4000000000000004</v>
      </c>
      <c r="V63" s="18">
        <v>5.7</v>
      </c>
      <c r="W63" s="18">
        <f>CEILING(Table12[[#This Row],[Darwin Gusts
m/s]],0.5)</f>
        <v>6</v>
      </c>
      <c r="X63" s="18">
        <v>17</v>
      </c>
    </row>
    <row r="64" spans="2:24" ht="12" x14ac:dyDescent="0.2">
      <c r="B64" s="16">
        <f t="shared" si="0"/>
        <v>45082.499999999854</v>
      </c>
      <c r="C64" s="17">
        <f t="shared" si="4"/>
        <v>2.4999999999999996</v>
      </c>
      <c r="D64" s="29">
        <f>Table12[[#This Row],[MW TOTAL BARRA A]]+Table12[[#This Row],[MW TOTAL BARRA B]]</f>
        <v>224.44</v>
      </c>
      <c r="E64" s="18">
        <f>Windy_web!$BH7</f>
        <v>7</v>
      </c>
      <c r="F64" s="18">
        <f>Windy_web!$BH8</f>
        <v>12</v>
      </c>
      <c r="G64" s="27" t="str">
        <f>Windy_web!$BH5</f>
        <v>20°</v>
      </c>
      <c r="H64" s="26">
        <f t="shared" si="2"/>
        <v>20</v>
      </c>
      <c r="I64" s="18">
        <v>25</v>
      </c>
      <c r="J64" s="18">
        <v>20</v>
      </c>
      <c r="K64" s="18">
        <f>Table12[[#This Row],[AEG E/S BARRA A]]*Table12[[#This Row],[AEG 5.2 MW]]</f>
        <v>125</v>
      </c>
      <c r="L64" s="18">
        <f>Table12[[#This Row],[AEG E/S BARRA B]]*Table12[[#This Row],[AEG 5.0 MW]]</f>
        <v>99.440000000000012</v>
      </c>
      <c r="M6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4" s="29">
        <f>INDEX(Curva_Temp[Temp],MATCH(Table12[[#This Row],[Windy Temp.
°C]],Curva_Temp[Temp]))</f>
        <v>20</v>
      </c>
      <c r="O64" s="29">
        <f>INDEX(Curva_Temp[Warranted Power Curve for 
1.194Kg/m3 air density '[kW']
SG 5.0-145 (AM+1, 5.2MW) AT 
90M],MATCH(Table12[[#This Row],[Windy Temp.
°C]],Curva_Temp[Temp]))</f>
        <v>5000</v>
      </c>
      <c r="P64" s="29" cm="1">
        <f t="array" ref="P64">INDEX(Curva_Temp[Temp],MATCH(Table12[[#This Row],[Windy Temp.
°C]],Curva_Temp[Temp])+1)</f>
        <v>25</v>
      </c>
      <c r="Q64" s="29" cm="1">
        <f t="array" ref="Q64">INDEX(Curva_Temp[Warranted Power Curve for 
1.194Kg/m3 air density '[kW']
SG 5.0-145 (AM+1, 5.2MW) AT 
90M],MATCH(Table12[[#This Row],[Windy Temp.
°C]],Curva_Temp[Temp])+1)</f>
        <v>4900</v>
      </c>
      <c r="R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64" s="18"/>
      <c r="U64" s="18">
        <v>3.5</v>
      </c>
      <c r="V64" s="18">
        <v>4.5999999999999996</v>
      </c>
      <c r="W64" s="18">
        <f>CEILING(Table12[[#This Row],[Darwin Gusts
m/s]],0.5)</f>
        <v>5</v>
      </c>
      <c r="X64" s="18">
        <v>17.5</v>
      </c>
    </row>
    <row r="65" spans="2:24" ht="12" x14ac:dyDescent="0.2">
      <c r="B65" s="16">
        <f t="shared" si="0"/>
        <v>45082.541666666519</v>
      </c>
      <c r="C65" s="17">
        <f t="shared" si="4"/>
        <v>2.5416666666666661</v>
      </c>
      <c r="D65" s="29">
        <f>Table12[[#This Row],[MW TOTAL BARRA A]]+Table12[[#This Row],[MW TOTAL BARRA B]]</f>
        <v>224.88</v>
      </c>
      <c r="E65" s="18">
        <f>Windy_web!$BI7</f>
        <v>8</v>
      </c>
      <c r="F65" s="18">
        <f>Windy_web!$BI8</f>
        <v>13</v>
      </c>
      <c r="G65" s="27" t="str">
        <f>Windy_web!$BI5</f>
        <v>20°</v>
      </c>
      <c r="H65" s="26">
        <f t="shared" si="2"/>
        <v>20</v>
      </c>
      <c r="I65" s="18">
        <v>25</v>
      </c>
      <c r="J65" s="18">
        <v>20</v>
      </c>
      <c r="K65" s="18">
        <f>Table12[[#This Row],[AEG E/S BARRA A]]*Table12[[#This Row],[AEG 5.2 MW]]</f>
        <v>125</v>
      </c>
      <c r="L65" s="18">
        <f>Table12[[#This Row],[AEG E/S BARRA B]]*Table12[[#This Row],[AEG 5.0 MW]]</f>
        <v>99.88</v>
      </c>
      <c r="M6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5" s="29">
        <f>INDEX(Curva_Temp[Temp],MATCH(Table12[[#This Row],[Windy Temp.
°C]],Curva_Temp[Temp]))</f>
        <v>20</v>
      </c>
      <c r="O65" s="29">
        <f>INDEX(Curva_Temp[Warranted Power Curve for 
1.194Kg/m3 air density '[kW']
SG 5.0-145 (AM+1, 5.2MW) AT 
90M],MATCH(Table12[[#This Row],[Windy Temp.
°C]],Curva_Temp[Temp]))</f>
        <v>5000</v>
      </c>
      <c r="P65" s="29" cm="1">
        <f t="array" ref="P65">INDEX(Curva_Temp[Temp],MATCH(Table12[[#This Row],[Windy Temp.
°C]],Curva_Temp[Temp])+1)</f>
        <v>25</v>
      </c>
      <c r="Q65" s="29" cm="1">
        <f t="array" ref="Q65">INDEX(Curva_Temp[Warranted Power Curve for 
1.194Kg/m3 air density '[kW']
SG 5.0-145 (AM+1, 5.2MW) AT 
90M],MATCH(Table12[[#This Row],[Windy Temp.
°C]],Curva_Temp[Temp])+1)</f>
        <v>4900</v>
      </c>
      <c r="R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5" s="18"/>
      <c r="U65" s="18">
        <v>3.3</v>
      </c>
      <c r="V65" s="18">
        <v>4.4000000000000004</v>
      </c>
      <c r="W65" s="18">
        <f>CEILING(Table12[[#This Row],[Darwin Gusts
m/s]],0.5)</f>
        <v>4.5</v>
      </c>
      <c r="X65" s="18">
        <v>18.3</v>
      </c>
    </row>
    <row r="66" spans="2:24" ht="12" x14ac:dyDescent="0.2">
      <c r="B66" s="16">
        <f t="shared" si="0"/>
        <v>45082.583333333183</v>
      </c>
      <c r="C66" s="17">
        <f t="shared" si="4"/>
        <v>2.5833333333333326</v>
      </c>
      <c r="D66" s="29">
        <f>Table12[[#This Row],[MW TOTAL BARRA A]]+Table12[[#This Row],[MW TOTAL BARRA B]]</f>
        <v>224.88</v>
      </c>
      <c r="E66" s="18">
        <f>Windy_web!$BJ7</f>
        <v>8</v>
      </c>
      <c r="F66" s="18">
        <f>Windy_web!$BJ8</f>
        <v>13</v>
      </c>
      <c r="G66" s="27" t="str">
        <f>Windy_web!$BJ5</f>
        <v>20°</v>
      </c>
      <c r="H66" s="26">
        <f t="shared" si="2"/>
        <v>20</v>
      </c>
      <c r="I66" s="18">
        <v>25</v>
      </c>
      <c r="J66" s="18">
        <v>20</v>
      </c>
      <c r="K66" s="18">
        <f>Table12[[#This Row],[AEG E/S BARRA A]]*Table12[[#This Row],[AEG 5.2 MW]]</f>
        <v>125</v>
      </c>
      <c r="L66" s="18">
        <f>Table12[[#This Row],[AEG E/S BARRA B]]*Table12[[#This Row],[AEG 5.0 MW]]</f>
        <v>99.88</v>
      </c>
      <c r="M6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6" s="29">
        <f>INDEX(Curva_Temp[Temp],MATCH(Table12[[#This Row],[Windy Temp.
°C]],Curva_Temp[Temp]))</f>
        <v>20</v>
      </c>
      <c r="O66" s="29">
        <f>INDEX(Curva_Temp[Warranted Power Curve for 
1.194Kg/m3 air density '[kW']
SG 5.0-145 (AM+1, 5.2MW) AT 
90M],MATCH(Table12[[#This Row],[Windy Temp.
°C]],Curva_Temp[Temp]))</f>
        <v>5000</v>
      </c>
      <c r="P66" s="29" cm="1">
        <f t="array" ref="P66">INDEX(Curva_Temp[Temp],MATCH(Table12[[#This Row],[Windy Temp.
°C]],Curva_Temp[Temp])+1)</f>
        <v>25</v>
      </c>
      <c r="Q66" s="29" cm="1">
        <f t="array" ref="Q66">INDEX(Curva_Temp[Warranted Power Curve for 
1.194Kg/m3 air density '[kW']
SG 5.0-145 (AM+1, 5.2MW) AT 
90M],MATCH(Table12[[#This Row],[Windy Temp.
°C]],Curva_Temp[Temp])+1)</f>
        <v>4900</v>
      </c>
      <c r="R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6" s="18"/>
      <c r="U66" s="18">
        <v>3.2</v>
      </c>
      <c r="V66" s="18">
        <v>4.2</v>
      </c>
      <c r="W66" s="18">
        <f>CEILING(Table12[[#This Row],[Darwin Gusts
m/s]],0.5)</f>
        <v>4.5</v>
      </c>
      <c r="X66" s="18">
        <v>19.2</v>
      </c>
    </row>
    <row r="67" spans="2:24" ht="12" x14ac:dyDescent="0.2">
      <c r="B67" s="16">
        <f t="shared" si="0"/>
        <v>45082.624999999847</v>
      </c>
      <c r="C67" s="17">
        <f t="shared" si="4"/>
        <v>2.6249999999999991</v>
      </c>
      <c r="D67" s="29">
        <f>Table12[[#This Row],[MW TOTAL BARRA A]]+Table12[[#This Row],[MW TOTAL BARRA B]]</f>
        <v>224.88</v>
      </c>
      <c r="E67" s="18">
        <f>Windy_web!$BK7</f>
        <v>7</v>
      </c>
      <c r="F67" s="18">
        <f>Windy_web!$BK8</f>
        <v>13</v>
      </c>
      <c r="G67" s="27" t="str">
        <f>Windy_web!$BK5</f>
        <v>20°</v>
      </c>
      <c r="H67" s="26">
        <f t="shared" si="2"/>
        <v>20</v>
      </c>
      <c r="I67" s="18">
        <v>25</v>
      </c>
      <c r="J67" s="18">
        <v>20</v>
      </c>
      <c r="K67" s="18">
        <f>Table12[[#This Row],[AEG E/S BARRA A]]*Table12[[#This Row],[AEG 5.2 MW]]</f>
        <v>125</v>
      </c>
      <c r="L67" s="18">
        <f>Table12[[#This Row],[AEG E/S BARRA B]]*Table12[[#This Row],[AEG 5.0 MW]]</f>
        <v>99.88</v>
      </c>
      <c r="M6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7" s="29">
        <f>INDEX(Curva_Temp[Temp],MATCH(Table12[[#This Row],[Windy Temp.
°C]],Curva_Temp[Temp]))</f>
        <v>20</v>
      </c>
      <c r="O67" s="29">
        <f>INDEX(Curva_Temp[Warranted Power Curve for 
1.194Kg/m3 air density '[kW']
SG 5.0-145 (AM+1, 5.2MW) AT 
90M],MATCH(Table12[[#This Row],[Windy Temp.
°C]],Curva_Temp[Temp]))</f>
        <v>5000</v>
      </c>
      <c r="P67" s="29" cm="1">
        <f t="array" ref="P67">INDEX(Curva_Temp[Temp],MATCH(Table12[[#This Row],[Windy Temp.
°C]],Curva_Temp[Temp])+1)</f>
        <v>25</v>
      </c>
      <c r="Q67" s="29" cm="1">
        <f t="array" ref="Q67">INDEX(Curva_Temp[Warranted Power Curve for 
1.194Kg/m3 air density '[kW']
SG 5.0-145 (AM+1, 5.2MW) AT 
90M],MATCH(Table12[[#This Row],[Windy Temp.
°C]],Curva_Temp[Temp])+1)</f>
        <v>4900</v>
      </c>
      <c r="R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7" s="18"/>
      <c r="U67" s="18">
        <v>3</v>
      </c>
      <c r="V67" s="18">
        <v>4.3</v>
      </c>
      <c r="W67" s="18">
        <f>CEILING(Table12[[#This Row],[Darwin Gusts
m/s]],0.5)</f>
        <v>4.5</v>
      </c>
      <c r="X67" s="18">
        <v>20</v>
      </c>
    </row>
    <row r="68" spans="2:24" ht="12" x14ac:dyDescent="0.2">
      <c r="B68" s="16">
        <f t="shared" si="0"/>
        <v>45082.666666666511</v>
      </c>
      <c r="C68" s="17">
        <f t="shared" si="4"/>
        <v>2.6666666666666656</v>
      </c>
      <c r="D68" s="29">
        <f>Table12[[#This Row],[MW TOTAL BARRA A]]+Table12[[#This Row],[MW TOTAL BARRA B]]</f>
        <v>225.88</v>
      </c>
      <c r="E68" s="18">
        <f>Windy_web!$BL7</f>
        <v>7</v>
      </c>
      <c r="F68" s="18">
        <f>Windy_web!$BL8</f>
        <v>13</v>
      </c>
      <c r="G68" s="27" t="str">
        <f>Windy_web!$BL5</f>
        <v>19°</v>
      </c>
      <c r="H68" s="26">
        <f t="shared" si="2"/>
        <v>19</v>
      </c>
      <c r="I68" s="18">
        <v>25</v>
      </c>
      <c r="J68" s="18">
        <v>20</v>
      </c>
      <c r="K68" s="18">
        <f>Table12[[#This Row],[AEG E/S BARRA A]]*Table12[[#This Row],[AEG 5.2 MW]]</f>
        <v>126</v>
      </c>
      <c r="L68" s="18">
        <f>Table12[[#This Row],[AEG E/S BARRA B]]*Table12[[#This Row],[AEG 5.0 MW]]</f>
        <v>99.88</v>
      </c>
      <c r="M6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8" s="29">
        <f>INDEX(Curva_Temp[Temp],MATCH(Table12[[#This Row],[Windy Temp.
°C]],Curva_Temp[Temp]))</f>
        <v>15</v>
      </c>
      <c r="O68" s="29">
        <f>INDEX(Curva_Temp[Warranted Power Curve for 
1.194Kg/m3 air density '[kW']
SG 5.0-145 (AM+1, 5.2MW) AT 
90M],MATCH(Table12[[#This Row],[Windy Temp.
°C]],Curva_Temp[Temp]))</f>
        <v>5200</v>
      </c>
      <c r="P68" s="29" cm="1">
        <f t="array" ref="P68">INDEX(Curva_Temp[Temp],MATCH(Table12[[#This Row],[Windy Temp.
°C]],Curva_Temp[Temp])+1)</f>
        <v>20</v>
      </c>
      <c r="Q68" s="29" cm="1">
        <f t="array" ref="Q68">INDEX(Curva_Temp[Warranted Power Curve for 
1.194Kg/m3 air density '[kW']
SG 5.0-145 (AM+1, 5.2MW) AT 
90M],MATCH(Table12[[#This Row],[Windy Temp.
°C]],Curva_Temp[Temp])+1)</f>
        <v>5000</v>
      </c>
      <c r="R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8" s="18"/>
      <c r="U68" s="18">
        <v>3</v>
      </c>
      <c r="V68" s="18">
        <v>4.3</v>
      </c>
      <c r="W68" s="18">
        <f>CEILING(Table12[[#This Row],[Darwin Gusts
m/s]],0.5)</f>
        <v>4.5</v>
      </c>
      <c r="X68" s="18">
        <v>20.6</v>
      </c>
    </row>
    <row r="69" spans="2:24" ht="12" x14ac:dyDescent="0.2">
      <c r="B69" s="16">
        <f t="shared" si="0"/>
        <v>45082.708333333176</v>
      </c>
      <c r="C69" s="17">
        <f t="shared" si="4"/>
        <v>2.7083333333333321</v>
      </c>
      <c r="D69" s="29">
        <f>Table12[[#This Row],[MW TOTAL BARRA A]]+Table12[[#This Row],[MW TOTAL BARRA B]]</f>
        <v>226.88</v>
      </c>
      <c r="E69" s="18">
        <f>Windy_web!$BM7</f>
        <v>6</v>
      </c>
      <c r="F69" s="18">
        <f>Windy_web!$BM8</f>
        <v>13</v>
      </c>
      <c r="G69" s="27" t="str">
        <f>Windy_web!$BM5</f>
        <v>18°</v>
      </c>
      <c r="H69" s="26">
        <f t="shared" ref="H69:H132" si="5">MID(G69,1,2)*1</f>
        <v>18</v>
      </c>
      <c r="I69" s="18">
        <v>25</v>
      </c>
      <c r="J69" s="18">
        <v>20</v>
      </c>
      <c r="K69" s="18">
        <f>Table12[[#This Row],[AEG E/S BARRA A]]*Table12[[#This Row],[AEG 5.2 MW]]</f>
        <v>127</v>
      </c>
      <c r="L69" s="18">
        <f>Table12[[#This Row],[AEG E/S BARRA B]]*Table12[[#This Row],[AEG 5.0 MW]]</f>
        <v>99.88</v>
      </c>
      <c r="M69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9" s="29">
        <f>INDEX(Curva_Temp[Temp],MATCH(Table12[[#This Row],[Windy Temp.
°C]],Curva_Temp[Temp]))</f>
        <v>15</v>
      </c>
      <c r="O69" s="29">
        <f>INDEX(Curva_Temp[Warranted Power Curve for 
1.194Kg/m3 air density '[kW']
SG 5.0-145 (AM+1, 5.2MW) AT 
90M],MATCH(Table12[[#This Row],[Windy Temp.
°C]],Curva_Temp[Temp]))</f>
        <v>5200</v>
      </c>
      <c r="P69" s="29" cm="1">
        <f t="array" ref="P69">INDEX(Curva_Temp[Temp],MATCH(Table12[[#This Row],[Windy Temp.
°C]],Curva_Temp[Temp])+1)</f>
        <v>20</v>
      </c>
      <c r="Q69" s="29" cm="1">
        <f t="array" ref="Q69">INDEX(Curva_Temp[Warranted Power Curve for 
1.194Kg/m3 air density '[kW']
SG 5.0-145 (AM+1, 5.2MW) AT 
90M],MATCH(Table12[[#This Row],[Windy Temp.
°C]],Curva_Temp[Temp])+1)</f>
        <v>5000</v>
      </c>
      <c r="R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9" s="18"/>
      <c r="U69" s="18">
        <v>3.1</v>
      </c>
      <c r="V69" s="18">
        <v>4.4000000000000004</v>
      </c>
      <c r="W69" s="18">
        <f>CEILING(Table12[[#This Row],[Darwin Gusts
m/s]],0.5)</f>
        <v>4.5</v>
      </c>
      <c r="X69" s="18">
        <v>21</v>
      </c>
    </row>
    <row r="70" spans="2:24" ht="12" x14ac:dyDescent="0.2">
      <c r="B70" s="16">
        <f t="shared" ref="B70:B133" si="6">B69+TIME(1,0,0)</f>
        <v>45082.74999999984</v>
      </c>
      <c r="C70" s="17">
        <f t="shared" si="4"/>
        <v>2.7499999999999987</v>
      </c>
      <c r="D70" s="29">
        <f>Table12[[#This Row],[MW TOTAL BARRA A]]+Table12[[#This Row],[MW TOTAL BARRA B]]</f>
        <v>226.44</v>
      </c>
      <c r="E70" s="18">
        <f>Windy_web!$BN7</f>
        <v>6</v>
      </c>
      <c r="F70" s="18">
        <f>Windy_web!$BN8</f>
        <v>12</v>
      </c>
      <c r="G70" s="27" t="str">
        <f>Windy_web!$BN5</f>
        <v>18°</v>
      </c>
      <c r="H70" s="26">
        <f t="shared" si="5"/>
        <v>18</v>
      </c>
      <c r="I70" s="18">
        <v>25</v>
      </c>
      <c r="J70" s="18">
        <v>20</v>
      </c>
      <c r="K70" s="18">
        <f>Table12[[#This Row],[AEG E/S BARRA A]]*Table12[[#This Row],[AEG 5.2 MW]]</f>
        <v>127</v>
      </c>
      <c r="L70" s="18">
        <f>Table12[[#This Row],[AEG E/S BARRA B]]*Table12[[#This Row],[AEG 5.0 MW]]</f>
        <v>99.440000000000012</v>
      </c>
      <c r="M7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70" s="29">
        <f>INDEX(Curva_Temp[Temp],MATCH(Table12[[#This Row],[Windy Temp.
°C]],Curva_Temp[Temp]))</f>
        <v>15</v>
      </c>
      <c r="O70" s="29">
        <f>INDEX(Curva_Temp[Warranted Power Curve for 
1.194Kg/m3 air density '[kW']
SG 5.0-145 (AM+1, 5.2MW) AT 
90M],MATCH(Table12[[#This Row],[Windy Temp.
°C]],Curva_Temp[Temp]))</f>
        <v>5200</v>
      </c>
      <c r="P70" s="29" cm="1">
        <f t="array" ref="P70">INDEX(Curva_Temp[Temp],MATCH(Table12[[#This Row],[Windy Temp.
°C]],Curva_Temp[Temp])+1)</f>
        <v>20</v>
      </c>
      <c r="Q70" s="29" cm="1">
        <f t="array" ref="Q70">INDEX(Curva_Temp[Warranted Power Curve for 
1.194Kg/m3 air density '[kW']
SG 5.0-145 (AM+1, 5.2MW) AT 
90M],MATCH(Table12[[#This Row],[Windy Temp.
°C]],Curva_Temp[Temp])+1)</f>
        <v>5000</v>
      </c>
      <c r="R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70" s="18"/>
      <c r="U70" s="18">
        <v>3.1</v>
      </c>
      <c r="V70" s="18">
        <v>4.4000000000000004</v>
      </c>
      <c r="W70" s="18">
        <f>CEILING(Table12[[#This Row],[Darwin Gusts
m/s]],0.5)</f>
        <v>4.5</v>
      </c>
      <c r="X70" s="18">
        <v>21.3</v>
      </c>
    </row>
    <row r="71" spans="2:24" ht="12" x14ac:dyDescent="0.2">
      <c r="B71" s="16">
        <f t="shared" si="6"/>
        <v>45082.791666666504</v>
      </c>
      <c r="C71" s="17">
        <f>C70+TIME(1,0,0)</f>
        <v>2.7916666666666652</v>
      </c>
      <c r="D71" s="29">
        <f>Table12[[#This Row],[MW TOTAL BARRA A]]+Table12[[#This Row],[MW TOTAL BARRA B]]</f>
        <v>219.56</v>
      </c>
      <c r="E71" s="18">
        <f>Windy_web!$BO7</f>
        <v>6</v>
      </c>
      <c r="F71" s="18">
        <f>Windy_web!$BO8</f>
        <v>11</v>
      </c>
      <c r="G71" s="27" t="str">
        <f>Windy_web!$BO5</f>
        <v>17°</v>
      </c>
      <c r="H71" s="26">
        <f t="shared" si="5"/>
        <v>17</v>
      </c>
      <c r="I71" s="18">
        <v>25</v>
      </c>
      <c r="J71" s="18">
        <v>20</v>
      </c>
      <c r="K71" s="18">
        <f>Table12[[#This Row],[AEG E/S BARRA A]]*Table12[[#This Row],[AEG 5.2 MW]]</f>
        <v>123.9</v>
      </c>
      <c r="L71" s="18">
        <f>Table12[[#This Row],[AEG E/S BARRA B]]*Table12[[#This Row],[AEG 5.0 MW]]</f>
        <v>95.660000000000011</v>
      </c>
      <c r="M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1" s="29">
        <f>INDEX(Curva_Temp[Temp],MATCH(Table12[[#This Row],[Windy Temp.
°C]],Curva_Temp[Temp]))</f>
        <v>15</v>
      </c>
      <c r="O71" s="29">
        <f>INDEX(Curva_Temp[Warranted Power Curve for 
1.194Kg/m3 air density '[kW']
SG 5.0-145 (AM+1, 5.2MW) AT 
90M],MATCH(Table12[[#This Row],[Windy Temp.
°C]],Curva_Temp[Temp]))</f>
        <v>5200</v>
      </c>
      <c r="P71" s="29" cm="1">
        <f t="array" ref="P71">INDEX(Curva_Temp[Temp],MATCH(Table12[[#This Row],[Windy Temp.
°C]],Curva_Temp[Temp])+1)</f>
        <v>20</v>
      </c>
      <c r="Q71" s="29" cm="1">
        <f t="array" ref="Q71">INDEX(Curva_Temp[Warranted Power Curve for 
1.194Kg/m3 air density '[kW']
SG 5.0-145 (AM+1, 5.2MW) AT 
90M],MATCH(Table12[[#This Row],[Windy Temp.
°C]],Curva_Temp[Temp])+1)</f>
        <v>5000</v>
      </c>
      <c r="R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1" s="18"/>
      <c r="U71" s="18">
        <v>3.4</v>
      </c>
      <c r="V71" s="18">
        <v>4.5999999999999996</v>
      </c>
      <c r="W71" s="18">
        <f>CEILING(Table12[[#This Row],[Darwin Gusts
m/s]],0.5)</f>
        <v>5</v>
      </c>
      <c r="X71" s="18">
        <v>20.8</v>
      </c>
    </row>
    <row r="72" spans="2:24" ht="12" x14ac:dyDescent="0.2">
      <c r="B72" s="16">
        <f t="shared" si="6"/>
        <v>45082.833333333168</v>
      </c>
      <c r="C72" s="17">
        <f t="shared" ref="C72:C76" si="7">C71+TIME(1,0,0)</f>
        <v>2.8333333333333317</v>
      </c>
      <c r="D72" s="29">
        <f>Table12[[#This Row],[MW TOTAL BARRA A]]+Table12[[#This Row],[MW TOTAL BARRA B]]</f>
        <v>219.56</v>
      </c>
      <c r="E72" s="18">
        <f>Windy_web!$BP7</f>
        <v>6</v>
      </c>
      <c r="F72" s="18">
        <f>Windy_web!$BP8</f>
        <v>11</v>
      </c>
      <c r="G72" s="27" t="str">
        <f>Windy_web!$BP5</f>
        <v>17°</v>
      </c>
      <c r="H72" s="26">
        <f t="shared" si="5"/>
        <v>17</v>
      </c>
      <c r="I72" s="18">
        <v>25</v>
      </c>
      <c r="J72" s="18">
        <v>20</v>
      </c>
      <c r="K72" s="18">
        <f>Table12[[#This Row],[AEG E/S BARRA A]]*Table12[[#This Row],[AEG 5.2 MW]]</f>
        <v>123.9</v>
      </c>
      <c r="L72" s="18">
        <f>Table12[[#This Row],[AEG E/S BARRA B]]*Table12[[#This Row],[AEG 5.0 MW]]</f>
        <v>95.660000000000011</v>
      </c>
      <c r="M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2" s="29">
        <f>INDEX(Curva_Temp[Temp],MATCH(Table12[[#This Row],[Windy Temp.
°C]],Curva_Temp[Temp]))</f>
        <v>15</v>
      </c>
      <c r="O72" s="29">
        <f>INDEX(Curva_Temp[Warranted Power Curve for 
1.194Kg/m3 air density '[kW']
SG 5.0-145 (AM+1, 5.2MW) AT 
90M],MATCH(Table12[[#This Row],[Windy Temp.
°C]],Curva_Temp[Temp]))</f>
        <v>5200</v>
      </c>
      <c r="P72" s="29" cm="1">
        <f t="array" ref="P72">INDEX(Curva_Temp[Temp],MATCH(Table12[[#This Row],[Windy Temp.
°C]],Curva_Temp[Temp])+1)</f>
        <v>20</v>
      </c>
      <c r="Q72" s="29" cm="1">
        <f t="array" ref="Q72">INDEX(Curva_Temp[Warranted Power Curve for 
1.194Kg/m3 air density '[kW']
SG 5.0-145 (AM+1, 5.2MW) AT 
90M],MATCH(Table12[[#This Row],[Windy Temp.
°C]],Curva_Temp[Temp])+1)</f>
        <v>5000</v>
      </c>
      <c r="R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2" s="18"/>
      <c r="U72" s="18">
        <v>3.6</v>
      </c>
      <c r="V72" s="18">
        <v>4.9000000000000004</v>
      </c>
      <c r="W72" s="18">
        <f>CEILING(Table12[[#This Row],[Darwin Gusts
m/s]],0.5)</f>
        <v>5</v>
      </c>
      <c r="X72" s="18">
        <v>20.3</v>
      </c>
    </row>
    <row r="73" spans="2:24" ht="12" x14ac:dyDescent="0.2">
      <c r="B73" s="16">
        <f t="shared" si="6"/>
        <v>45082.874999999833</v>
      </c>
      <c r="C73" s="17">
        <f t="shared" si="7"/>
        <v>2.8749999999999982</v>
      </c>
      <c r="D73" s="29">
        <f>Table12[[#This Row],[MW TOTAL BARRA A]]+Table12[[#This Row],[MW TOTAL BARRA B]]</f>
        <v>191.33999999999997</v>
      </c>
      <c r="E73" s="18">
        <f>Windy_web!$BQ7</f>
        <v>6</v>
      </c>
      <c r="F73" s="18">
        <f>Windy_web!$BQ8</f>
        <v>10</v>
      </c>
      <c r="G73" s="27" t="str">
        <f>Windy_web!$BQ5</f>
        <v>16°</v>
      </c>
      <c r="H73" s="26">
        <f t="shared" si="5"/>
        <v>16</v>
      </c>
      <c r="I73" s="18">
        <v>25</v>
      </c>
      <c r="J73" s="18">
        <v>20</v>
      </c>
      <c r="K73" s="18">
        <f>Table12[[#This Row],[AEG E/S BARRA A]]*Table12[[#This Row],[AEG 5.2 MW]]</f>
        <v>107.1</v>
      </c>
      <c r="L73" s="18">
        <f>Table12[[#This Row],[AEG E/S BARRA B]]*Table12[[#This Row],[AEG 5.0 MW]]</f>
        <v>84.24</v>
      </c>
      <c r="M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3" s="29">
        <f>INDEX(Curva_Temp[Temp],MATCH(Table12[[#This Row],[Windy Temp.
°C]],Curva_Temp[Temp]))</f>
        <v>15</v>
      </c>
      <c r="O73" s="29">
        <f>INDEX(Curva_Temp[Warranted Power Curve for 
1.194Kg/m3 air density '[kW']
SG 5.0-145 (AM+1, 5.2MW) AT 
90M],MATCH(Table12[[#This Row],[Windy Temp.
°C]],Curva_Temp[Temp]))</f>
        <v>5200</v>
      </c>
      <c r="P73" s="29" cm="1">
        <f t="array" ref="P73">INDEX(Curva_Temp[Temp],MATCH(Table12[[#This Row],[Windy Temp.
°C]],Curva_Temp[Temp])+1)</f>
        <v>20</v>
      </c>
      <c r="Q73" s="29" cm="1">
        <f t="array" ref="Q73">INDEX(Curva_Temp[Warranted Power Curve for 
1.194Kg/m3 air density '[kW']
SG 5.0-145 (AM+1, 5.2MW) AT 
90M],MATCH(Table12[[#This Row],[Windy Temp.
°C]],Curva_Temp[Temp])+1)</f>
        <v>5000</v>
      </c>
      <c r="R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3" s="18"/>
      <c r="U73" s="18">
        <v>3.9</v>
      </c>
      <c r="V73" s="18">
        <v>5.3</v>
      </c>
      <c r="W73" s="18">
        <f>CEILING(Table12[[#This Row],[Darwin Gusts
m/s]],0.5)</f>
        <v>5.5</v>
      </c>
      <c r="X73" s="18">
        <v>19.7</v>
      </c>
    </row>
    <row r="74" spans="2:24" ht="12" x14ac:dyDescent="0.2">
      <c r="B74" s="16">
        <f t="shared" si="6"/>
        <v>45082.916666666497</v>
      </c>
      <c r="C74" s="17">
        <f t="shared" si="7"/>
        <v>2.9166666666666647</v>
      </c>
      <c r="D74" s="29">
        <f>Table12[[#This Row],[MW TOTAL BARRA A]]+Table12[[#This Row],[MW TOTAL BARRA B]]</f>
        <v>191.33999999999997</v>
      </c>
      <c r="E74" s="18">
        <f>Windy_web!$BR7</f>
        <v>6</v>
      </c>
      <c r="F74" s="18">
        <f>Windy_web!$BR8</f>
        <v>10</v>
      </c>
      <c r="G74" s="27" t="str">
        <f>Windy_web!$BR5</f>
        <v>16°</v>
      </c>
      <c r="H74" s="26">
        <f t="shared" si="5"/>
        <v>16</v>
      </c>
      <c r="I74" s="18">
        <v>25</v>
      </c>
      <c r="J74" s="18">
        <v>20</v>
      </c>
      <c r="K74" s="18">
        <f>Table12[[#This Row],[AEG E/S BARRA A]]*Table12[[#This Row],[AEG 5.2 MW]]</f>
        <v>107.1</v>
      </c>
      <c r="L74" s="18">
        <f>Table12[[#This Row],[AEG E/S BARRA B]]*Table12[[#This Row],[AEG 5.0 MW]]</f>
        <v>84.24</v>
      </c>
      <c r="M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4" s="29">
        <f>INDEX(Curva_Temp[Temp],MATCH(Table12[[#This Row],[Windy Temp.
°C]],Curva_Temp[Temp]))</f>
        <v>15</v>
      </c>
      <c r="O74" s="29">
        <f>INDEX(Curva_Temp[Warranted Power Curve for 
1.194Kg/m3 air density '[kW']
SG 5.0-145 (AM+1, 5.2MW) AT 
90M],MATCH(Table12[[#This Row],[Windy Temp.
°C]],Curva_Temp[Temp]))</f>
        <v>5200</v>
      </c>
      <c r="P74" s="29" cm="1">
        <f t="array" ref="P74">INDEX(Curva_Temp[Temp],MATCH(Table12[[#This Row],[Windy Temp.
°C]],Curva_Temp[Temp])+1)</f>
        <v>20</v>
      </c>
      <c r="Q74" s="29" cm="1">
        <f t="array" ref="Q74">INDEX(Curva_Temp[Warranted Power Curve for 
1.194Kg/m3 air density '[kW']
SG 5.0-145 (AM+1, 5.2MW) AT 
90M],MATCH(Table12[[#This Row],[Windy Temp.
°C]],Curva_Temp[Temp])+1)</f>
        <v>5000</v>
      </c>
      <c r="R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4" s="18"/>
      <c r="U74" s="18">
        <v>4.7</v>
      </c>
      <c r="V74" s="18">
        <v>6.1</v>
      </c>
      <c r="W74" s="18">
        <f>CEILING(Table12[[#This Row],[Darwin Gusts
m/s]],0.5)</f>
        <v>6.5</v>
      </c>
      <c r="X74" s="18">
        <v>19</v>
      </c>
    </row>
    <row r="75" spans="2:24" ht="12" x14ac:dyDescent="0.2">
      <c r="B75" s="16">
        <f t="shared" si="6"/>
        <v>45082.958333333161</v>
      </c>
      <c r="C75" s="17">
        <f t="shared" si="7"/>
        <v>2.9583333333333313</v>
      </c>
      <c r="D75" s="29">
        <f>Table12[[#This Row],[MW TOTAL BARRA A]]+Table12[[#This Row],[MW TOTAL BARRA B]]</f>
        <v>191.33999999999997</v>
      </c>
      <c r="E75" s="18">
        <f>Windy_web!$BS7</f>
        <v>6</v>
      </c>
      <c r="F75" s="18">
        <f>Windy_web!$BS8</f>
        <v>10</v>
      </c>
      <c r="G75" s="27" t="str">
        <f>Windy_web!$BS5</f>
        <v>16°</v>
      </c>
      <c r="H75" s="26">
        <f t="shared" si="5"/>
        <v>16</v>
      </c>
      <c r="I75" s="18">
        <v>25</v>
      </c>
      <c r="J75" s="18">
        <v>20</v>
      </c>
      <c r="K75" s="18">
        <f>Table12[[#This Row],[AEG E/S BARRA A]]*Table12[[#This Row],[AEG 5.2 MW]]</f>
        <v>107.1</v>
      </c>
      <c r="L75" s="18">
        <f>Table12[[#This Row],[AEG E/S BARRA B]]*Table12[[#This Row],[AEG 5.0 MW]]</f>
        <v>84.24</v>
      </c>
      <c r="M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5" s="29">
        <f>INDEX(Curva_Temp[Temp],MATCH(Table12[[#This Row],[Windy Temp.
°C]],Curva_Temp[Temp]))</f>
        <v>15</v>
      </c>
      <c r="O75" s="29">
        <f>INDEX(Curva_Temp[Warranted Power Curve for 
1.194Kg/m3 air density '[kW']
SG 5.0-145 (AM+1, 5.2MW) AT 
90M],MATCH(Table12[[#This Row],[Windy Temp.
°C]],Curva_Temp[Temp]))</f>
        <v>5200</v>
      </c>
      <c r="P75" s="29" cm="1">
        <f t="array" ref="P75">INDEX(Curva_Temp[Temp],MATCH(Table12[[#This Row],[Windy Temp.
°C]],Curva_Temp[Temp])+1)</f>
        <v>20</v>
      </c>
      <c r="Q75" s="29" cm="1">
        <f t="array" ref="Q75">INDEX(Curva_Temp[Warranted Power Curve for 
1.194Kg/m3 air density '[kW']
SG 5.0-145 (AM+1, 5.2MW) AT 
90M],MATCH(Table12[[#This Row],[Windy Temp.
°C]],Curva_Temp[Temp])+1)</f>
        <v>5000</v>
      </c>
      <c r="R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5" s="18"/>
      <c r="U75" s="18">
        <v>5.5</v>
      </c>
      <c r="V75" s="18">
        <v>7.1</v>
      </c>
      <c r="W75" s="18">
        <f>CEILING(Table12[[#This Row],[Darwin Gusts
m/s]],0.5)</f>
        <v>7.5</v>
      </c>
      <c r="X75" s="18">
        <v>18.100000000000001</v>
      </c>
    </row>
    <row r="76" spans="2:24" ht="12" x14ac:dyDescent="0.2">
      <c r="B76" s="16">
        <f t="shared" si="6"/>
        <v>45082.999999999825</v>
      </c>
      <c r="C76" s="17">
        <f t="shared" si="7"/>
        <v>2.9999999999999978</v>
      </c>
      <c r="D76" s="29">
        <f>Table12[[#This Row],[MW TOTAL BARRA A]]+Table12[[#This Row],[MW TOTAL BARRA B]]</f>
        <v>191.33999999999997</v>
      </c>
      <c r="E76" s="18">
        <f>Windy_web!$BT7</f>
        <v>5</v>
      </c>
      <c r="F76" s="18">
        <f>Windy_web!$BT8</f>
        <v>10</v>
      </c>
      <c r="G76" s="27" t="str">
        <f>Windy_web!$BT5</f>
        <v>16°</v>
      </c>
      <c r="H76" s="26">
        <f t="shared" si="5"/>
        <v>16</v>
      </c>
      <c r="I76" s="18">
        <v>25</v>
      </c>
      <c r="J76" s="18">
        <v>20</v>
      </c>
      <c r="K76" s="18">
        <f>Table12[[#This Row],[AEG E/S BARRA A]]*Table12[[#This Row],[AEG 5.2 MW]]</f>
        <v>107.1</v>
      </c>
      <c r="L76" s="18">
        <f>Table12[[#This Row],[AEG E/S BARRA B]]*Table12[[#This Row],[AEG 5.0 MW]]</f>
        <v>84.24</v>
      </c>
      <c r="M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6" s="29">
        <f>INDEX(Curva_Temp[Temp],MATCH(Table12[[#This Row],[Windy Temp.
°C]],Curva_Temp[Temp]))</f>
        <v>15</v>
      </c>
      <c r="O76" s="29">
        <f>INDEX(Curva_Temp[Warranted Power Curve for 
1.194Kg/m3 air density '[kW']
SG 5.0-145 (AM+1, 5.2MW) AT 
90M],MATCH(Table12[[#This Row],[Windy Temp.
°C]],Curva_Temp[Temp]))</f>
        <v>5200</v>
      </c>
      <c r="P76" s="29" cm="1">
        <f t="array" ref="P76">INDEX(Curva_Temp[Temp],MATCH(Table12[[#This Row],[Windy Temp.
°C]],Curva_Temp[Temp])+1)</f>
        <v>20</v>
      </c>
      <c r="Q76" s="29" cm="1">
        <f t="array" ref="Q76">INDEX(Curva_Temp[Warranted Power Curve for 
1.194Kg/m3 air density '[kW']
SG 5.0-145 (AM+1, 5.2MW) AT 
90M],MATCH(Table12[[#This Row],[Windy Temp.
°C]],Curva_Temp[Temp])+1)</f>
        <v>5000</v>
      </c>
      <c r="R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6" s="18"/>
      <c r="U76" s="18">
        <v>6.4</v>
      </c>
      <c r="V76" s="18">
        <v>8.1</v>
      </c>
      <c r="W76" s="18">
        <f>CEILING(Table12[[#This Row],[Darwin Gusts
m/s]],0.5)</f>
        <v>8.5</v>
      </c>
      <c r="X76" s="18">
        <v>17.5</v>
      </c>
    </row>
    <row r="77" spans="2:24" ht="12" x14ac:dyDescent="0.2">
      <c r="B77" s="16">
        <f t="shared" si="6"/>
        <v>45083.04166666649</v>
      </c>
      <c r="C77" s="17">
        <f>C76+TIME(1,0,0)</f>
        <v>3.0416666666666643</v>
      </c>
      <c r="D77" s="29">
        <f>Table12[[#This Row],[MW TOTAL BARRA A]]+Table12[[#This Row],[MW TOTAL BARRA B]]</f>
        <v>150.87</v>
      </c>
      <c r="E77" s="18">
        <f>Windy_web!$BU7</f>
        <v>5</v>
      </c>
      <c r="F77" s="18">
        <f>Windy_web!$BU8</f>
        <v>9</v>
      </c>
      <c r="G77" s="27" t="str">
        <f>Windy_web!$BU5</f>
        <v>16°</v>
      </c>
      <c r="H77" s="26">
        <f t="shared" si="5"/>
        <v>16</v>
      </c>
      <c r="I77" s="18">
        <v>25</v>
      </c>
      <c r="J77" s="18">
        <v>20</v>
      </c>
      <c r="K77" s="18">
        <f>Table12[[#This Row],[AEG E/S BARRA A]]*Table12[[#This Row],[AEG 5.2 MW]]</f>
        <v>84.15</v>
      </c>
      <c r="L77" s="18">
        <f>Table12[[#This Row],[AEG E/S BARRA B]]*Table12[[#This Row],[AEG 5.0 MW]]</f>
        <v>66.72</v>
      </c>
      <c r="M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7" s="29">
        <f>INDEX(Curva_Temp[Temp],MATCH(Table12[[#This Row],[Windy Temp.
°C]],Curva_Temp[Temp]))</f>
        <v>15</v>
      </c>
      <c r="O77" s="29">
        <f>INDEX(Curva_Temp[Warranted Power Curve for 
1.194Kg/m3 air density '[kW']
SG 5.0-145 (AM+1, 5.2MW) AT 
90M],MATCH(Table12[[#This Row],[Windy Temp.
°C]],Curva_Temp[Temp]))</f>
        <v>5200</v>
      </c>
      <c r="P77" s="29" cm="1">
        <f t="array" ref="P77">INDEX(Curva_Temp[Temp],MATCH(Table12[[#This Row],[Windy Temp.
°C]],Curva_Temp[Temp])+1)</f>
        <v>20</v>
      </c>
      <c r="Q77" s="29" cm="1">
        <f t="array" ref="Q77">INDEX(Curva_Temp[Warranted Power Curve for 
1.194Kg/m3 air density '[kW']
SG 5.0-145 (AM+1, 5.2MW) AT 
90M],MATCH(Table12[[#This Row],[Windy Temp.
°C]],Curva_Temp[Temp])+1)</f>
        <v>5000</v>
      </c>
      <c r="R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7" s="18"/>
      <c r="U77" s="18">
        <v>6.6</v>
      </c>
      <c r="V77" s="18">
        <v>8.3000000000000007</v>
      </c>
      <c r="W77" s="18">
        <f>CEILING(Table12[[#This Row],[Darwin Gusts
m/s]],0.5)</f>
        <v>8.5</v>
      </c>
      <c r="X77" s="18">
        <v>17.399999999999999</v>
      </c>
    </row>
    <row r="78" spans="2:24" ht="12" x14ac:dyDescent="0.2">
      <c r="B78" s="16">
        <f t="shared" si="6"/>
        <v>45083.083333333154</v>
      </c>
      <c r="C78" s="17">
        <f t="shared" ref="C78:C94" si="8">C77+TIME(1,0,0)</f>
        <v>3.0833333333333308</v>
      </c>
      <c r="D78" s="29">
        <f>Table12[[#This Row],[MW TOTAL BARRA A]]+Table12[[#This Row],[MW TOTAL BARRA B]]</f>
        <v>150.87</v>
      </c>
      <c r="E78" s="18">
        <f>Windy_web!$BV7</f>
        <v>5</v>
      </c>
      <c r="F78" s="18">
        <f>Windy_web!$BV8</f>
        <v>9</v>
      </c>
      <c r="G78" s="27" t="str">
        <f>Windy_web!$BV5</f>
        <v>16°</v>
      </c>
      <c r="H78" s="26">
        <f t="shared" si="5"/>
        <v>16</v>
      </c>
      <c r="I78" s="18">
        <v>25</v>
      </c>
      <c r="J78" s="18">
        <v>20</v>
      </c>
      <c r="K78" s="18">
        <f>Table12[[#This Row],[AEG E/S BARRA A]]*Table12[[#This Row],[AEG 5.2 MW]]</f>
        <v>84.15</v>
      </c>
      <c r="L78" s="18">
        <f>Table12[[#This Row],[AEG E/S BARRA B]]*Table12[[#This Row],[AEG 5.0 MW]]</f>
        <v>66.72</v>
      </c>
      <c r="M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8" s="29">
        <f>INDEX(Curva_Temp[Temp],MATCH(Table12[[#This Row],[Windy Temp.
°C]],Curva_Temp[Temp]))</f>
        <v>15</v>
      </c>
      <c r="O78" s="29">
        <f>INDEX(Curva_Temp[Warranted Power Curve for 
1.194Kg/m3 air density '[kW']
SG 5.0-145 (AM+1, 5.2MW) AT 
90M],MATCH(Table12[[#This Row],[Windy Temp.
°C]],Curva_Temp[Temp]))</f>
        <v>5200</v>
      </c>
      <c r="P78" s="29" cm="1">
        <f t="array" ref="P78">INDEX(Curva_Temp[Temp],MATCH(Table12[[#This Row],[Windy Temp.
°C]],Curva_Temp[Temp])+1)</f>
        <v>20</v>
      </c>
      <c r="Q78" s="29" cm="1">
        <f t="array" ref="Q78">INDEX(Curva_Temp[Warranted Power Curve for 
1.194Kg/m3 air density '[kW']
SG 5.0-145 (AM+1, 5.2MW) AT 
90M],MATCH(Table12[[#This Row],[Windy Temp.
°C]],Curva_Temp[Temp])+1)</f>
        <v>5000</v>
      </c>
      <c r="R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8" s="18"/>
      <c r="U78" s="18">
        <v>6.8</v>
      </c>
      <c r="V78" s="18">
        <v>8.6</v>
      </c>
      <c r="W78" s="18">
        <f>CEILING(Table12[[#This Row],[Darwin Gusts
m/s]],0.5)</f>
        <v>9</v>
      </c>
      <c r="X78" s="18">
        <v>17.399999999999999</v>
      </c>
    </row>
    <row r="79" spans="2:24" ht="12" x14ac:dyDescent="0.2">
      <c r="B79" s="16">
        <f t="shared" si="6"/>
        <v>45083.124999999818</v>
      </c>
      <c r="C79" s="17">
        <f t="shared" si="8"/>
        <v>3.1249999999999973</v>
      </c>
      <c r="D79" s="29">
        <f>Table12[[#This Row],[MW TOTAL BARRA A]]+Table12[[#This Row],[MW TOTAL BARRA B]]</f>
        <v>150.87</v>
      </c>
      <c r="E79" s="18">
        <f>Windy_web!$BW7</f>
        <v>5</v>
      </c>
      <c r="F79" s="18">
        <f>Windy_web!$BW8</f>
        <v>9</v>
      </c>
      <c r="G79" s="27" t="str">
        <f>Windy_web!$BW5</f>
        <v>16°</v>
      </c>
      <c r="H79" s="26">
        <f t="shared" si="5"/>
        <v>16</v>
      </c>
      <c r="I79" s="18">
        <v>25</v>
      </c>
      <c r="J79" s="18">
        <v>20</v>
      </c>
      <c r="K79" s="18">
        <f>Table12[[#This Row],[AEG E/S BARRA A]]*Table12[[#This Row],[AEG 5.2 MW]]</f>
        <v>84.15</v>
      </c>
      <c r="L79" s="18">
        <f>Table12[[#This Row],[AEG E/S BARRA B]]*Table12[[#This Row],[AEG 5.0 MW]]</f>
        <v>66.72</v>
      </c>
      <c r="M7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9" s="29">
        <f>INDEX(Curva_Temp[Temp],MATCH(Table12[[#This Row],[Windy Temp.
°C]],Curva_Temp[Temp]))</f>
        <v>15</v>
      </c>
      <c r="O79" s="29">
        <f>INDEX(Curva_Temp[Warranted Power Curve for 
1.194Kg/m3 air density '[kW']
SG 5.0-145 (AM+1, 5.2MW) AT 
90M],MATCH(Table12[[#This Row],[Windy Temp.
°C]],Curva_Temp[Temp]))</f>
        <v>5200</v>
      </c>
      <c r="P79" s="29" cm="1">
        <f t="array" ref="P79">INDEX(Curva_Temp[Temp],MATCH(Table12[[#This Row],[Windy Temp.
°C]],Curva_Temp[Temp])+1)</f>
        <v>20</v>
      </c>
      <c r="Q79" s="29" cm="1">
        <f t="array" ref="Q79">INDEX(Curva_Temp[Warranted Power Curve for 
1.194Kg/m3 air density '[kW']
SG 5.0-145 (AM+1, 5.2MW) AT 
90M],MATCH(Table12[[#This Row],[Windy Temp.
°C]],Curva_Temp[Temp])+1)</f>
        <v>5000</v>
      </c>
      <c r="R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9" s="18"/>
      <c r="U79" s="18">
        <v>7</v>
      </c>
      <c r="V79" s="18">
        <v>8.8000000000000007</v>
      </c>
      <c r="W79" s="18">
        <f>CEILING(Table12[[#This Row],[Darwin Gusts
m/s]],0.5)</f>
        <v>9</v>
      </c>
      <c r="X79" s="18">
        <v>17.399999999999999</v>
      </c>
    </row>
    <row r="80" spans="2:24" ht="12" x14ac:dyDescent="0.2">
      <c r="B80" s="16">
        <f t="shared" si="6"/>
        <v>45083.166666666482</v>
      </c>
      <c r="C80" s="17">
        <f t="shared" si="8"/>
        <v>3.1666666666666639</v>
      </c>
      <c r="D80" s="29">
        <f>Table12[[#This Row],[MW TOTAL BARRA A]]+Table12[[#This Row],[MW TOTAL BARRA B]]</f>
        <v>108.185</v>
      </c>
      <c r="E80" s="18">
        <f>Windy_web!$BX7</f>
        <v>4</v>
      </c>
      <c r="F80" s="18">
        <f>Windy_web!$BX8</f>
        <v>8</v>
      </c>
      <c r="G80" s="27" t="str">
        <f>Windy_web!$BX5</f>
        <v>16°</v>
      </c>
      <c r="H80" s="26">
        <f t="shared" si="5"/>
        <v>16</v>
      </c>
      <c r="I80" s="18">
        <v>25</v>
      </c>
      <c r="J80" s="18">
        <v>20</v>
      </c>
      <c r="K80" s="18">
        <f>Table12[[#This Row],[AEG E/S BARRA A]]*Table12[[#This Row],[AEG 5.2 MW]]</f>
        <v>60.224999999999994</v>
      </c>
      <c r="L80" s="18">
        <f>Table12[[#This Row],[AEG E/S BARRA B]]*Table12[[#This Row],[AEG 5.0 MW]]</f>
        <v>47.96</v>
      </c>
      <c r="M8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0" s="29">
        <f>INDEX(Curva_Temp[Temp],MATCH(Table12[[#This Row],[Windy Temp.
°C]],Curva_Temp[Temp]))</f>
        <v>15</v>
      </c>
      <c r="O80" s="29">
        <f>INDEX(Curva_Temp[Warranted Power Curve for 
1.194Kg/m3 air density '[kW']
SG 5.0-145 (AM+1, 5.2MW) AT 
90M],MATCH(Table12[[#This Row],[Windy Temp.
°C]],Curva_Temp[Temp]))</f>
        <v>5200</v>
      </c>
      <c r="P80" s="29" cm="1">
        <f t="array" ref="P80">INDEX(Curva_Temp[Temp],MATCH(Table12[[#This Row],[Windy Temp.
°C]],Curva_Temp[Temp])+1)</f>
        <v>20</v>
      </c>
      <c r="Q80" s="29" cm="1">
        <f t="array" ref="Q80">INDEX(Curva_Temp[Warranted Power Curve for 
1.194Kg/m3 air density '[kW']
SG 5.0-145 (AM+1, 5.2MW) AT 
90M],MATCH(Table12[[#This Row],[Windy Temp.
°C]],Curva_Temp[Temp])+1)</f>
        <v>5000</v>
      </c>
      <c r="R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0" s="18"/>
      <c r="U80" s="18">
        <v>7.1</v>
      </c>
      <c r="V80" s="18">
        <v>9</v>
      </c>
      <c r="W80" s="18">
        <f>CEILING(Table12[[#This Row],[Darwin Gusts
m/s]],0.5)</f>
        <v>9</v>
      </c>
      <c r="X80" s="18">
        <v>17.3</v>
      </c>
    </row>
    <row r="81" spans="2:24" ht="12" x14ac:dyDescent="0.2">
      <c r="B81" s="16">
        <f t="shared" si="6"/>
        <v>45083.208333333147</v>
      </c>
      <c r="C81" s="17">
        <f t="shared" si="8"/>
        <v>3.2083333333333304</v>
      </c>
      <c r="D81" s="29">
        <f>Table12[[#This Row],[MW TOTAL BARRA A]]+Table12[[#This Row],[MW TOTAL BARRA B]]</f>
        <v>108.185</v>
      </c>
      <c r="E81" s="18">
        <f>Windy_web!$BY7</f>
        <v>4</v>
      </c>
      <c r="F81" s="18">
        <f>Windy_web!$BY8</f>
        <v>8</v>
      </c>
      <c r="G81" s="27" t="str">
        <f>Windy_web!$BY5</f>
        <v>15°</v>
      </c>
      <c r="H81" s="26">
        <f t="shared" si="5"/>
        <v>15</v>
      </c>
      <c r="I81" s="18">
        <v>25</v>
      </c>
      <c r="J81" s="18">
        <v>20</v>
      </c>
      <c r="K81" s="18">
        <f>Table12[[#This Row],[AEG E/S BARRA A]]*Table12[[#This Row],[AEG 5.2 MW]]</f>
        <v>60.224999999999994</v>
      </c>
      <c r="L81" s="18">
        <f>Table12[[#This Row],[AEG E/S BARRA B]]*Table12[[#This Row],[AEG 5.0 MW]]</f>
        <v>47.96</v>
      </c>
      <c r="M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1" s="29">
        <f>INDEX(Curva_Temp[Temp],MATCH(Table12[[#This Row],[Windy Temp.
°C]],Curva_Temp[Temp]))</f>
        <v>15</v>
      </c>
      <c r="O81" s="29">
        <f>INDEX(Curva_Temp[Warranted Power Curve for 
1.194Kg/m3 air density '[kW']
SG 5.0-145 (AM+1, 5.2MW) AT 
90M],MATCH(Table12[[#This Row],[Windy Temp.
°C]],Curva_Temp[Temp]))</f>
        <v>5200</v>
      </c>
      <c r="P81" s="29" cm="1">
        <f t="array" ref="P81">INDEX(Curva_Temp[Temp],MATCH(Table12[[#This Row],[Windy Temp.
°C]],Curva_Temp[Temp])+1)</f>
        <v>20</v>
      </c>
      <c r="Q81" s="29" cm="1">
        <f t="array" ref="Q81">INDEX(Curva_Temp[Warranted Power Curve for 
1.194Kg/m3 air density '[kW']
SG 5.0-145 (AM+1, 5.2MW) AT 
90M],MATCH(Table12[[#This Row],[Windy Temp.
°C]],Curva_Temp[Temp])+1)</f>
        <v>5000</v>
      </c>
      <c r="R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1" s="18"/>
      <c r="U81" s="18">
        <v>7.2</v>
      </c>
      <c r="V81" s="18">
        <v>9.1</v>
      </c>
      <c r="W81" s="18">
        <f>CEILING(Table12[[#This Row],[Darwin Gusts
m/s]],0.5)</f>
        <v>9.5</v>
      </c>
      <c r="X81" s="18">
        <v>17.2</v>
      </c>
    </row>
    <row r="82" spans="2:24" ht="12" x14ac:dyDescent="0.2">
      <c r="B82" s="16">
        <f t="shared" si="6"/>
        <v>45083.249999999811</v>
      </c>
      <c r="C82" s="17">
        <f t="shared" si="8"/>
        <v>3.2499999999999969</v>
      </c>
      <c r="D82" s="29">
        <f>Table12[[#This Row],[MW TOTAL BARRA A]]+Table12[[#This Row],[MW TOTAL BARRA B]]</f>
        <v>71.824999999999989</v>
      </c>
      <c r="E82" s="18">
        <f>Windy_web!$BZ7</f>
        <v>3</v>
      </c>
      <c r="F82" s="18">
        <f>Windy_web!$BZ8</f>
        <v>7</v>
      </c>
      <c r="G82" s="27" t="str">
        <f>Windy_web!$BZ5</f>
        <v>15°</v>
      </c>
      <c r="H82" s="26">
        <f t="shared" si="5"/>
        <v>15</v>
      </c>
      <c r="I82" s="18">
        <v>25</v>
      </c>
      <c r="J82" s="18">
        <v>20</v>
      </c>
      <c r="K82" s="18">
        <f>Table12[[#This Row],[AEG E/S BARRA A]]*Table12[[#This Row],[AEG 5.2 MW]]</f>
        <v>39.924999999999997</v>
      </c>
      <c r="L82" s="18">
        <f>Table12[[#This Row],[AEG E/S BARRA B]]*Table12[[#This Row],[AEG 5.0 MW]]</f>
        <v>31.9</v>
      </c>
      <c r="M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2" s="29">
        <f>INDEX(Curva_Temp[Temp],MATCH(Table12[[#This Row],[Windy Temp.
°C]],Curva_Temp[Temp]))</f>
        <v>15</v>
      </c>
      <c r="O82" s="29">
        <f>INDEX(Curva_Temp[Warranted Power Curve for 
1.194Kg/m3 air density '[kW']
SG 5.0-145 (AM+1, 5.2MW) AT 
90M],MATCH(Table12[[#This Row],[Windy Temp.
°C]],Curva_Temp[Temp]))</f>
        <v>5200</v>
      </c>
      <c r="P82" s="29" cm="1">
        <f t="array" ref="P82">INDEX(Curva_Temp[Temp],MATCH(Table12[[#This Row],[Windy Temp.
°C]],Curva_Temp[Temp])+1)</f>
        <v>20</v>
      </c>
      <c r="Q82" s="29" cm="1">
        <f t="array" ref="Q82">INDEX(Curva_Temp[Warranted Power Curve for 
1.194Kg/m3 air density '[kW']
SG 5.0-145 (AM+1, 5.2MW) AT 
90M],MATCH(Table12[[#This Row],[Windy Temp.
°C]],Curva_Temp[Temp])+1)</f>
        <v>5000</v>
      </c>
      <c r="R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2" s="18"/>
      <c r="U82" s="18">
        <v>7.3</v>
      </c>
      <c r="V82" s="18">
        <v>9.4</v>
      </c>
      <c r="W82" s="18">
        <f>CEILING(Table12[[#This Row],[Darwin Gusts
m/s]],0.5)</f>
        <v>9.5</v>
      </c>
      <c r="X82" s="18">
        <v>17.100000000000001</v>
      </c>
    </row>
    <row r="83" spans="2:24" ht="12" x14ac:dyDescent="0.2">
      <c r="B83" s="16">
        <f t="shared" si="6"/>
        <v>45083.291666666475</v>
      </c>
      <c r="C83" s="17">
        <f t="shared" si="8"/>
        <v>3.2916666666666634</v>
      </c>
      <c r="D83" s="29">
        <f>Table12[[#This Row],[MW TOTAL BARRA A]]+Table12[[#This Row],[MW TOTAL BARRA B]]</f>
        <v>71.824999999999989</v>
      </c>
      <c r="E83" s="18">
        <f>Windy_web!$CA7</f>
        <v>3</v>
      </c>
      <c r="F83" s="18">
        <f>Windy_web!$CA8</f>
        <v>7</v>
      </c>
      <c r="G83" s="27" t="str">
        <f>Windy_web!$CA5</f>
        <v>15°</v>
      </c>
      <c r="H83" s="26">
        <f t="shared" si="5"/>
        <v>15</v>
      </c>
      <c r="I83" s="18">
        <v>25</v>
      </c>
      <c r="J83" s="18">
        <v>20</v>
      </c>
      <c r="K83" s="18">
        <f>Table12[[#This Row],[AEG E/S BARRA A]]*Table12[[#This Row],[AEG 5.2 MW]]</f>
        <v>39.924999999999997</v>
      </c>
      <c r="L83" s="18">
        <f>Table12[[#This Row],[AEG E/S BARRA B]]*Table12[[#This Row],[AEG 5.0 MW]]</f>
        <v>31.9</v>
      </c>
      <c r="M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3" s="29">
        <f>INDEX(Curva_Temp[Temp],MATCH(Table12[[#This Row],[Windy Temp.
°C]],Curva_Temp[Temp]))</f>
        <v>15</v>
      </c>
      <c r="O83" s="29">
        <f>INDEX(Curva_Temp[Warranted Power Curve for 
1.194Kg/m3 air density '[kW']
SG 5.0-145 (AM+1, 5.2MW) AT 
90M],MATCH(Table12[[#This Row],[Windy Temp.
°C]],Curva_Temp[Temp]))</f>
        <v>5200</v>
      </c>
      <c r="P83" s="29" cm="1">
        <f t="array" ref="P83">INDEX(Curva_Temp[Temp],MATCH(Table12[[#This Row],[Windy Temp.
°C]],Curva_Temp[Temp])+1)</f>
        <v>20</v>
      </c>
      <c r="Q83" s="29" cm="1">
        <f t="array" ref="Q83">INDEX(Curva_Temp[Warranted Power Curve for 
1.194Kg/m3 air density '[kW']
SG 5.0-145 (AM+1, 5.2MW) AT 
90M],MATCH(Table12[[#This Row],[Windy Temp.
°C]],Curva_Temp[Temp])+1)</f>
        <v>5000</v>
      </c>
      <c r="R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3" s="18"/>
      <c r="U83" s="18">
        <v>6.8</v>
      </c>
      <c r="V83" s="18">
        <v>8.6</v>
      </c>
      <c r="W83" s="18">
        <f>CEILING(Table12[[#This Row],[Darwin Gusts
m/s]],0.5)</f>
        <v>9</v>
      </c>
      <c r="X83" s="18">
        <v>17</v>
      </c>
    </row>
    <row r="84" spans="2:24" ht="12" x14ac:dyDescent="0.2">
      <c r="B84" s="16">
        <f t="shared" si="6"/>
        <v>45083.333333333139</v>
      </c>
      <c r="C84" s="17">
        <f t="shared" si="8"/>
        <v>3.3333333333333299</v>
      </c>
      <c r="D84" s="29">
        <f>Table12[[#This Row],[MW TOTAL BARRA A]]+Table12[[#This Row],[MW TOTAL BARRA B]]</f>
        <v>71.824999999999989</v>
      </c>
      <c r="E84" s="18">
        <f>Windy_web!$CB7</f>
        <v>3</v>
      </c>
      <c r="F84" s="18">
        <f>Windy_web!$CB8</f>
        <v>7</v>
      </c>
      <c r="G84" s="27" t="str">
        <f>Windy_web!$CB5</f>
        <v>17°</v>
      </c>
      <c r="H84" s="26">
        <f t="shared" si="5"/>
        <v>17</v>
      </c>
      <c r="I84" s="18">
        <v>25</v>
      </c>
      <c r="J84" s="18">
        <v>20</v>
      </c>
      <c r="K84" s="18">
        <f>Table12[[#This Row],[AEG E/S BARRA A]]*Table12[[#This Row],[AEG 5.2 MW]]</f>
        <v>39.924999999999997</v>
      </c>
      <c r="L84" s="18">
        <f>Table12[[#This Row],[AEG E/S BARRA B]]*Table12[[#This Row],[AEG 5.0 MW]]</f>
        <v>31.9</v>
      </c>
      <c r="M8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84" s="29">
        <f>INDEX(Curva_Temp[Temp],MATCH(Table12[[#This Row],[Windy Temp.
°C]],Curva_Temp[Temp]))</f>
        <v>15</v>
      </c>
      <c r="O84" s="29">
        <f>INDEX(Curva_Temp[Warranted Power Curve for 
1.194Kg/m3 air density '[kW']
SG 5.0-145 (AM+1, 5.2MW) AT 
90M],MATCH(Table12[[#This Row],[Windy Temp.
°C]],Curva_Temp[Temp]))</f>
        <v>5200</v>
      </c>
      <c r="P84" s="29" cm="1">
        <f t="array" ref="P84">INDEX(Curva_Temp[Temp],MATCH(Table12[[#This Row],[Windy Temp.
°C]],Curva_Temp[Temp])+1)</f>
        <v>20</v>
      </c>
      <c r="Q84" s="29" cm="1">
        <f t="array" ref="Q84">INDEX(Curva_Temp[Warranted Power Curve for 
1.194Kg/m3 air density '[kW']
SG 5.0-145 (AM+1, 5.2MW) AT 
90M],MATCH(Table12[[#This Row],[Windy Temp.
°C]],Curva_Temp[Temp])+1)</f>
        <v>5000</v>
      </c>
      <c r="R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4" s="18"/>
      <c r="U84" s="18">
        <v>6.2</v>
      </c>
      <c r="V84" s="18">
        <v>8.3000000000000007</v>
      </c>
      <c r="W84" s="18">
        <f>CEILING(Table12[[#This Row],[Darwin Gusts
m/s]],0.5)</f>
        <v>8.5</v>
      </c>
      <c r="X84" s="18">
        <v>16.899999999999999</v>
      </c>
    </row>
    <row r="85" spans="2:24" ht="12" x14ac:dyDescent="0.2">
      <c r="B85" s="16">
        <f t="shared" si="6"/>
        <v>45083.374999999804</v>
      </c>
      <c r="C85" s="17">
        <f t="shared" si="8"/>
        <v>3.3749999999999964</v>
      </c>
      <c r="D85" s="29">
        <f>Table12[[#This Row],[MW TOTAL BARRA A]]+Table12[[#This Row],[MW TOTAL BARRA B]]</f>
        <v>71.824999999999989</v>
      </c>
      <c r="E85" s="18">
        <f>Windy_web!$CC7</f>
        <v>3</v>
      </c>
      <c r="F85" s="18">
        <f>Windy_web!$CC8</f>
        <v>7</v>
      </c>
      <c r="G85" s="27" t="str">
        <f>Windy_web!$CC5</f>
        <v>18°</v>
      </c>
      <c r="H85" s="26">
        <f t="shared" si="5"/>
        <v>18</v>
      </c>
      <c r="I85" s="18">
        <v>25</v>
      </c>
      <c r="J85" s="18">
        <v>20</v>
      </c>
      <c r="K85" s="18">
        <f>Table12[[#This Row],[AEG E/S BARRA A]]*Table12[[#This Row],[AEG 5.2 MW]]</f>
        <v>39.924999999999997</v>
      </c>
      <c r="L85" s="18">
        <f>Table12[[#This Row],[AEG E/S BARRA B]]*Table12[[#This Row],[AEG 5.0 MW]]</f>
        <v>31.9</v>
      </c>
      <c r="M8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85" s="29">
        <f>INDEX(Curva_Temp[Temp],MATCH(Table12[[#This Row],[Windy Temp.
°C]],Curva_Temp[Temp]))</f>
        <v>15</v>
      </c>
      <c r="O85" s="29">
        <f>INDEX(Curva_Temp[Warranted Power Curve for 
1.194Kg/m3 air density '[kW']
SG 5.0-145 (AM+1, 5.2MW) AT 
90M],MATCH(Table12[[#This Row],[Windy Temp.
°C]],Curva_Temp[Temp]))</f>
        <v>5200</v>
      </c>
      <c r="P85" s="29" cm="1">
        <f t="array" ref="P85">INDEX(Curva_Temp[Temp],MATCH(Table12[[#This Row],[Windy Temp.
°C]],Curva_Temp[Temp])+1)</f>
        <v>20</v>
      </c>
      <c r="Q85" s="29" cm="1">
        <f t="array" ref="Q85">INDEX(Curva_Temp[Warranted Power Curve for 
1.194Kg/m3 air density '[kW']
SG 5.0-145 (AM+1, 5.2MW) AT 
90M],MATCH(Table12[[#This Row],[Windy Temp.
°C]],Curva_Temp[Temp])+1)</f>
        <v>5000</v>
      </c>
      <c r="R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5" s="18"/>
      <c r="U85" s="18">
        <v>5.6</v>
      </c>
      <c r="V85" s="18">
        <v>7.9</v>
      </c>
      <c r="W85" s="18">
        <f>CEILING(Table12[[#This Row],[Darwin Gusts
m/s]],0.5)</f>
        <v>8</v>
      </c>
      <c r="X85" s="18">
        <v>16.8</v>
      </c>
    </row>
    <row r="86" spans="2:24" ht="12" x14ac:dyDescent="0.2">
      <c r="B86" s="16">
        <f t="shared" si="6"/>
        <v>45083.416666666468</v>
      </c>
      <c r="C86" s="17">
        <f t="shared" si="8"/>
        <v>3.416666666666663</v>
      </c>
      <c r="D86" s="29">
        <f>Table12[[#This Row],[MW TOTAL BARRA A]]+Table12[[#This Row],[MW TOTAL BARRA B]]</f>
        <v>71.824999999999989</v>
      </c>
      <c r="E86" s="18">
        <f>Windy_web!$CD7</f>
        <v>4</v>
      </c>
      <c r="F86" s="18">
        <f>Windy_web!$CD8</f>
        <v>7</v>
      </c>
      <c r="G86" s="27" t="str">
        <f>Windy_web!$CD5</f>
        <v>19°</v>
      </c>
      <c r="H86" s="26">
        <f t="shared" si="5"/>
        <v>19</v>
      </c>
      <c r="I86" s="18">
        <v>25</v>
      </c>
      <c r="J86" s="18">
        <v>20</v>
      </c>
      <c r="K86" s="18">
        <f>Table12[[#This Row],[AEG E/S BARRA A]]*Table12[[#This Row],[AEG 5.2 MW]]</f>
        <v>39.924999999999997</v>
      </c>
      <c r="L86" s="18">
        <f>Table12[[#This Row],[AEG E/S BARRA B]]*Table12[[#This Row],[AEG 5.0 MW]]</f>
        <v>31.9</v>
      </c>
      <c r="M8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86" s="29">
        <f>INDEX(Curva_Temp[Temp],MATCH(Table12[[#This Row],[Windy Temp.
°C]],Curva_Temp[Temp]))</f>
        <v>15</v>
      </c>
      <c r="O86" s="29">
        <f>INDEX(Curva_Temp[Warranted Power Curve for 
1.194Kg/m3 air density '[kW']
SG 5.0-145 (AM+1, 5.2MW) AT 
90M],MATCH(Table12[[#This Row],[Windy Temp.
°C]],Curva_Temp[Temp]))</f>
        <v>5200</v>
      </c>
      <c r="P86" s="29" cm="1">
        <f t="array" ref="P86">INDEX(Curva_Temp[Temp],MATCH(Table12[[#This Row],[Windy Temp.
°C]],Curva_Temp[Temp])+1)</f>
        <v>20</v>
      </c>
      <c r="Q86" s="29" cm="1">
        <f t="array" ref="Q86">INDEX(Curva_Temp[Warranted Power Curve for 
1.194Kg/m3 air density '[kW']
SG 5.0-145 (AM+1, 5.2MW) AT 
90M],MATCH(Table12[[#This Row],[Windy Temp.
°C]],Curva_Temp[Temp])+1)</f>
        <v>5000</v>
      </c>
      <c r="R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6" s="18"/>
      <c r="U86" s="18">
        <v>5.2</v>
      </c>
      <c r="V86" s="18">
        <v>7.3</v>
      </c>
      <c r="W86" s="18">
        <f>CEILING(Table12[[#This Row],[Darwin Gusts
m/s]],0.5)</f>
        <v>7.5</v>
      </c>
      <c r="X86" s="18">
        <v>16.8</v>
      </c>
    </row>
    <row r="87" spans="2:24" ht="12" x14ac:dyDescent="0.2">
      <c r="B87" s="16">
        <f t="shared" si="6"/>
        <v>45083.458333333132</v>
      </c>
      <c r="C87" s="17">
        <f t="shared" si="8"/>
        <v>3.4583333333333295</v>
      </c>
      <c r="D87" s="29">
        <f>Table12[[#This Row],[MW TOTAL BARRA A]]+Table12[[#This Row],[MW TOTAL BARRA B]]</f>
        <v>150.87</v>
      </c>
      <c r="E87" s="18">
        <f>Windy_web!$CE7</f>
        <v>5</v>
      </c>
      <c r="F87" s="18">
        <f>Windy_web!$CE8</f>
        <v>9</v>
      </c>
      <c r="G87" s="27" t="str">
        <f>Windy_web!$CE5</f>
        <v>20°</v>
      </c>
      <c r="H87" s="26">
        <f t="shared" si="5"/>
        <v>20</v>
      </c>
      <c r="I87" s="18">
        <v>25</v>
      </c>
      <c r="J87" s="18">
        <v>20</v>
      </c>
      <c r="K87" s="18">
        <f>Table12[[#This Row],[AEG E/S BARRA A]]*Table12[[#This Row],[AEG 5.2 MW]]</f>
        <v>84.15</v>
      </c>
      <c r="L87" s="18">
        <f>Table12[[#This Row],[AEG E/S BARRA B]]*Table12[[#This Row],[AEG 5.0 MW]]</f>
        <v>66.72</v>
      </c>
      <c r="M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7" s="29">
        <f>INDEX(Curva_Temp[Temp],MATCH(Table12[[#This Row],[Windy Temp.
°C]],Curva_Temp[Temp]))</f>
        <v>20</v>
      </c>
      <c r="O87" s="29">
        <f>INDEX(Curva_Temp[Warranted Power Curve for 
1.194Kg/m3 air density '[kW']
SG 5.0-145 (AM+1, 5.2MW) AT 
90M],MATCH(Table12[[#This Row],[Windy Temp.
°C]],Curva_Temp[Temp]))</f>
        <v>5000</v>
      </c>
      <c r="P87" s="29" cm="1">
        <f t="array" ref="P87">INDEX(Curva_Temp[Temp],MATCH(Table12[[#This Row],[Windy Temp.
°C]],Curva_Temp[Temp])+1)</f>
        <v>25</v>
      </c>
      <c r="Q87" s="29" cm="1">
        <f t="array" ref="Q87">INDEX(Curva_Temp[Warranted Power Curve for 
1.194Kg/m3 air density '[kW']
SG 5.0-145 (AM+1, 5.2MW) AT 
90M],MATCH(Table12[[#This Row],[Windy Temp.
°C]],Curva_Temp[Temp])+1)</f>
        <v>4900</v>
      </c>
      <c r="R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87" s="18"/>
      <c r="U87" s="18">
        <v>4.7</v>
      </c>
      <c r="V87" s="18">
        <v>6.7</v>
      </c>
      <c r="W87" s="18">
        <f>CEILING(Table12[[#This Row],[Darwin Gusts
m/s]],0.5)</f>
        <v>7</v>
      </c>
      <c r="X87" s="18">
        <v>17.2</v>
      </c>
    </row>
    <row r="88" spans="2:24" ht="12" x14ac:dyDescent="0.2">
      <c r="B88" s="16">
        <f t="shared" si="6"/>
        <v>45083.499999999796</v>
      </c>
      <c r="C88" s="17">
        <f t="shared" si="8"/>
        <v>3.499999999999996</v>
      </c>
      <c r="D88" s="29">
        <f>Table12[[#This Row],[MW TOTAL BARRA A]]+Table12[[#This Row],[MW TOTAL BARRA B]]</f>
        <v>191.33999999999997</v>
      </c>
      <c r="E88" s="18">
        <f>Windy_web!$CF7</f>
        <v>6</v>
      </c>
      <c r="F88" s="18">
        <f>Windy_web!$CF8</f>
        <v>10</v>
      </c>
      <c r="G88" s="27" t="str">
        <f>Windy_web!$CF5</f>
        <v>20°</v>
      </c>
      <c r="H88" s="26">
        <f t="shared" si="5"/>
        <v>20</v>
      </c>
      <c r="I88" s="18">
        <v>25</v>
      </c>
      <c r="J88" s="18">
        <v>20</v>
      </c>
      <c r="K88" s="18">
        <f>Table12[[#This Row],[AEG E/S BARRA A]]*Table12[[#This Row],[AEG 5.2 MW]]</f>
        <v>107.1</v>
      </c>
      <c r="L88" s="18">
        <f>Table12[[#This Row],[AEG E/S BARRA B]]*Table12[[#This Row],[AEG 5.0 MW]]</f>
        <v>84.24</v>
      </c>
      <c r="M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8" s="29">
        <f>INDEX(Curva_Temp[Temp],MATCH(Table12[[#This Row],[Windy Temp.
°C]],Curva_Temp[Temp]))</f>
        <v>20</v>
      </c>
      <c r="O88" s="29">
        <f>INDEX(Curva_Temp[Warranted Power Curve for 
1.194Kg/m3 air density '[kW']
SG 5.0-145 (AM+1, 5.2MW) AT 
90M],MATCH(Table12[[#This Row],[Windy Temp.
°C]],Curva_Temp[Temp]))</f>
        <v>5000</v>
      </c>
      <c r="P88" s="29" cm="1">
        <f t="array" ref="P88">INDEX(Curva_Temp[Temp],MATCH(Table12[[#This Row],[Windy Temp.
°C]],Curva_Temp[Temp])+1)</f>
        <v>25</v>
      </c>
      <c r="Q88" s="29" cm="1">
        <f t="array" ref="Q88">INDEX(Curva_Temp[Warranted Power Curve for 
1.194Kg/m3 air density '[kW']
SG 5.0-145 (AM+1, 5.2MW) AT 
90M],MATCH(Table12[[#This Row],[Windy Temp.
°C]],Curva_Temp[Temp])+1)</f>
        <v>4900</v>
      </c>
      <c r="R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88" s="18"/>
      <c r="U88" s="18">
        <v>4.3</v>
      </c>
      <c r="V88" s="18">
        <v>6.1</v>
      </c>
      <c r="W88" s="18">
        <f>CEILING(Table12[[#This Row],[Darwin Gusts
m/s]],0.5)</f>
        <v>6.5</v>
      </c>
      <c r="X88" s="18">
        <v>17.600000000000001</v>
      </c>
    </row>
    <row r="89" spans="2:24" ht="12" x14ac:dyDescent="0.2">
      <c r="B89" s="16">
        <f t="shared" si="6"/>
        <v>45083.541666666461</v>
      </c>
      <c r="C89" s="17">
        <f t="shared" si="8"/>
        <v>3.5416666666666625</v>
      </c>
      <c r="D89" s="29">
        <f>Table12[[#This Row],[MW TOTAL BARRA A]]+Table12[[#This Row],[MW TOTAL BARRA B]]</f>
        <v>219.56</v>
      </c>
      <c r="E89" s="18">
        <f>Windy_web!$CG7</f>
        <v>6</v>
      </c>
      <c r="F89" s="18">
        <f>Windy_web!$CG8</f>
        <v>11</v>
      </c>
      <c r="G89" s="27" t="str">
        <f>Windy_web!$CG5</f>
        <v>20°</v>
      </c>
      <c r="H89" s="26">
        <f t="shared" si="5"/>
        <v>20</v>
      </c>
      <c r="I89" s="18">
        <v>25</v>
      </c>
      <c r="J89" s="18">
        <v>20</v>
      </c>
      <c r="K89" s="18">
        <f>Table12[[#This Row],[AEG E/S BARRA A]]*Table12[[#This Row],[AEG 5.2 MW]]</f>
        <v>123.9</v>
      </c>
      <c r="L89" s="18">
        <f>Table12[[#This Row],[AEG E/S BARRA B]]*Table12[[#This Row],[AEG 5.0 MW]]</f>
        <v>95.660000000000011</v>
      </c>
      <c r="M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9" s="29">
        <f>INDEX(Curva_Temp[Temp],MATCH(Table12[[#This Row],[Windy Temp.
°C]],Curva_Temp[Temp]))</f>
        <v>20</v>
      </c>
      <c r="O89" s="29">
        <f>INDEX(Curva_Temp[Warranted Power Curve for 
1.194Kg/m3 air density '[kW']
SG 5.0-145 (AM+1, 5.2MW) AT 
90M],MATCH(Table12[[#This Row],[Windy Temp.
°C]],Curva_Temp[Temp]))</f>
        <v>5000</v>
      </c>
      <c r="P89" s="29" cm="1">
        <f t="array" ref="P89">INDEX(Curva_Temp[Temp],MATCH(Table12[[#This Row],[Windy Temp.
°C]],Curva_Temp[Temp])+1)</f>
        <v>25</v>
      </c>
      <c r="Q89" s="29" cm="1">
        <f t="array" ref="Q89">INDEX(Curva_Temp[Warranted Power Curve for 
1.194Kg/m3 air density '[kW']
SG 5.0-145 (AM+1, 5.2MW) AT 
90M],MATCH(Table12[[#This Row],[Windy Temp.
°C]],Curva_Temp[Temp])+1)</f>
        <v>4900</v>
      </c>
      <c r="R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89" s="18"/>
      <c r="U89" s="18">
        <v>4</v>
      </c>
      <c r="V89" s="18">
        <v>6</v>
      </c>
      <c r="W89" s="18">
        <f>CEILING(Table12[[#This Row],[Darwin Gusts
m/s]],0.5)</f>
        <v>6</v>
      </c>
      <c r="X89" s="18">
        <v>18.600000000000001</v>
      </c>
    </row>
    <row r="90" spans="2:24" ht="12" x14ac:dyDescent="0.2">
      <c r="B90" s="16">
        <f t="shared" si="6"/>
        <v>45083.583333333125</v>
      </c>
      <c r="C90" s="17">
        <f t="shared" si="8"/>
        <v>3.583333333333329</v>
      </c>
      <c r="D90" s="29">
        <f>Table12[[#This Row],[MW TOTAL BARRA A]]+Table12[[#This Row],[MW TOTAL BARRA B]]</f>
        <v>219.56</v>
      </c>
      <c r="E90" s="18">
        <f>Windy_web!$CH7</f>
        <v>7</v>
      </c>
      <c r="F90" s="18">
        <f>Windy_web!$CH8</f>
        <v>11</v>
      </c>
      <c r="G90" s="27" t="str">
        <f>Windy_web!$CH5</f>
        <v>20°</v>
      </c>
      <c r="H90" s="26">
        <f t="shared" si="5"/>
        <v>20</v>
      </c>
      <c r="I90" s="18">
        <v>25</v>
      </c>
      <c r="J90" s="18">
        <v>20</v>
      </c>
      <c r="K90" s="18">
        <f>Table12[[#This Row],[AEG E/S BARRA A]]*Table12[[#This Row],[AEG 5.2 MW]]</f>
        <v>123.9</v>
      </c>
      <c r="L90" s="18">
        <f>Table12[[#This Row],[AEG E/S BARRA B]]*Table12[[#This Row],[AEG 5.0 MW]]</f>
        <v>95.660000000000011</v>
      </c>
      <c r="M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0" s="29">
        <f>INDEX(Curva_Temp[Temp],MATCH(Table12[[#This Row],[Windy Temp.
°C]],Curva_Temp[Temp]))</f>
        <v>20</v>
      </c>
      <c r="O90" s="29">
        <f>INDEX(Curva_Temp[Warranted Power Curve for 
1.194Kg/m3 air density '[kW']
SG 5.0-145 (AM+1, 5.2MW) AT 
90M],MATCH(Table12[[#This Row],[Windy Temp.
°C]],Curva_Temp[Temp]))</f>
        <v>5000</v>
      </c>
      <c r="P90" s="29" cm="1">
        <f t="array" ref="P90">INDEX(Curva_Temp[Temp],MATCH(Table12[[#This Row],[Windy Temp.
°C]],Curva_Temp[Temp])+1)</f>
        <v>25</v>
      </c>
      <c r="Q90" s="29" cm="1">
        <f t="array" ref="Q90">INDEX(Curva_Temp[Warranted Power Curve for 
1.194Kg/m3 air density '[kW']
SG 5.0-145 (AM+1, 5.2MW) AT 
90M],MATCH(Table12[[#This Row],[Windy Temp.
°C]],Curva_Temp[Temp])+1)</f>
        <v>4900</v>
      </c>
      <c r="R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0" s="18"/>
      <c r="U90" s="18">
        <v>3.7</v>
      </c>
      <c r="V90" s="18">
        <v>5.9</v>
      </c>
      <c r="W90" s="18">
        <f>CEILING(Table12[[#This Row],[Darwin Gusts
m/s]],0.5)</f>
        <v>6</v>
      </c>
      <c r="X90" s="18">
        <v>19.7</v>
      </c>
    </row>
    <row r="91" spans="2:24" ht="12" x14ac:dyDescent="0.2">
      <c r="B91" s="16">
        <f t="shared" si="6"/>
        <v>45083.624999999789</v>
      </c>
      <c r="C91" s="17">
        <f t="shared" si="8"/>
        <v>3.6249999999999956</v>
      </c>
      <c r="D91" s="29">
        <f>Table12[[#This Row],[MW TOTAL BARRA A]]+Table12[[#This Row],[MW TOTAL BARRA B]]</f>
        <v>219.56</v>
      </c>
      <c r="E91" s="18">
        <f>Windy_web!$CI7</f>
        <v>6</v>
      </c>
      <c r="F91" s="18">
        <f>Windy_web!$CI8</f>
        <v>11</v>
      </c>
      <c r="G91" s="27" t="str">
        <f>Windy_web!$CI5</f>
        <v>20°</v>
      </c>
      <c r="H91" s="26">
        <f t="shared" si="5"/>
        <v>20</v>
      </c>
      <c r="I91" s="18">
        <v>25</v>
      </c>
      <c r="J91" s="18">
        <v>20</v>
      </c>
      <c r="K91" s="18">
        <f>Table12[[#This Row],[AEG E/S BARRA A]]*Table12[[#This Row],[AEG 5.2 MW]]</f>
        <v>123.9</v>
      </c>
      <c r="L91" s="18">
        <f>Table12[[#This Row],[AEG E/S BARRA B]]*Table12[[#This Row],[AEG 5.0 MW]]</f>
        <v>95.660000000000011</v>
      </c>
      <c r="M9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1" s="29">
        <f>INDEX(Curva_Temp[Temp],MATCH(Table12[[#This Row],[Windy Temp.
°C]],Curva_Temp[Temp]))</f>
        <v>20</v>
      </c>
      <c r="O91" s="29">
        <f>INDEX(Curva_Temp[Warranted Power Curve for 
1.194Kg/m3 air density '[kW']
SG 5.0-145 (AM+1, 5.2MW) AT 
90M],MATCH(Table12[[#This Row],[Windy Temp.
°C]],Curva_Temp[Temp]))</f>
        <v>5000</v>
      </c>
      <c r="P91" s="29" cm="1">
        <f t="array" ref="P91">INDEX(Curva_Temp[Temp],MATCH(Table12[[#This Row],[Windy Temp.
°C]],Curva_Temp[Temp])+1)</f>
        <v>25</v>
      </c>
      <c r="Q91" s="29" cm="1">
        <f t="array" ref="Q91">INDEX(Curva_Temp[Warranted Power Curve for 
1.194Kg/m3 air density '[kW']
SG 5.0-145 (AM+1, 5.2MW) AT 
90M],MATCH(Table12[[#This Row],[Windy Temp.
°C]],Curva_Temp[Temp])+1)</f>
        <v>4900</v>
      </c>
      <c r="R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1" s="18"/>
      <c r="U91" s="18">
        <v>3.5</v>
      </c>
      <c r="V91" s="18">
        <v>5.9</v>
      </c>
      <c r="W91" s="18">
        <f>CEILING(Table12[[#This Row],[Darwin Gusts
m/s]],0.5)</f>
        <v>6</v>
      </c>
      <c r="X91" s="18">
        <v>20.8</v>
      </c>
    </row>
    <row r="92" spans="2:24" ht="12" x14ac:dyDescent="0.2">
      <c r="B92" s="16">
        <f t="shared" si="6"/>
        <v>45083.666666666453</v>
      </c>
      <c r="C92" s="17">
        <f t="shared" si="8"/>
        <v>3.6666666666666621</v>
      </c>
      <c r="D92" s="29">
        <f>Table12[[#This Row],[MW TOTAL BARRA A]]+Table12[[#This Row],[MW TOTAL BARRA B]]</f>
        <v>219.56</v>
      </c>
      <c r="E92" s="18">
        <f>Windy_web!$CJ7</f>
        <v>7</v>
      </c>
      <c r="F92" s="18">
        <f>Windy_web!$CJ8</f>
        <v>11</v>
      </c>
      <c r="G92" s="27" t="str">
        <f>Windy_web!$CJ5</f>
        <v>19°</v>
      </c>
      <c r="H92" s="26">
        <f t="shared" si="5"/>
        <v>19</v>
      </c>
      <c r="I92" s="18">
        <v>25</v>
      </c>
      <c r="J92" s="18">
        <v>20</v>
      </c>
      <c r="K92" s="18">
        <f>Table12[[#This Row],[AEG E/S BARRA A]]*Table12[[#This Row],[AEG 5.2 MW]]</f>
        <v>123.9</v>
      </c>
      <c r="L92" s="18">
        <f>Table12[[#This Row],[AEG E/S BARRA B]]*Table12[[#This Row],[AEG 5.0 MW]]</f>
        <v>95.660000000000011</v>
      </c>
      <c r="M9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92" s="29">
        <f>INDEX(Curva_Temp[Temp],MATCH(Table12[[#This Row],[Windy Temp.
°C]],Curva_Temp[Temp]))</f>
        <v>15</v>
      </c>
      <c r="O92" s="29">
        <f>INDEX(Curva_Temp[Warranted Power Curve for 
1.194Kg/m3 air density '[kW']
SG 5.0-145 (AM+1, 5.2MW) AT 
90M],MATCH(Table12[[#This Row],[Windy Temp.
°C]],Curva_Temp[Temp]))</f>
        <v>5200</v>
      </c>
      <c r="P92" s="29" cm="1">
        <f t="array" ref="P92">INDEX(Curva_Temp[Temp],MATCH(Table12[[#This Row],[Windy Temp.
°C]],Curva_Temp[Temp])+1)</f>
        <v>20</v>
      </c>
      <c r="Q92" s="29" cm="1">
        <f t="array" ref="Q92">INDEX(Curva_Temp[Warranted Power Curve for 
1.194Kg/m3 air density '[kW']
SG 5.0-145 (AM+1, 5.2MW) AT 
90M],MATCH(Table12[[#This Row],[Windy Temp.
°C]],Curva_Temp[Temp])+1)</f>
        <v>5000</v>
      </c>
      <c r="R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2" s="18"/>
      <c r="U92" s="18">
        <v>3</v>
      </c>
      <c r="V92" s="18">
        <v>5.3</v>
      </c>
      <c r="W92" s="18">
        <f>CEILING(Table12[[#This Row],[Darwin Gusts
m/s]],0.5)</f>
        <v>5.5</v>
      </c>
      <c r="X92" s="18">
        <v>21.4</v>
      </c>
    </row>
    <row r="93" spans="2:24" ht="12" x14ac:dyDescent="0.2">
      <c r="B93" s="16">
        <f t="shared" si="6"/>
        <v>45083.708333333117</v>
      </c>
      <c r="C93" s="17">
        <f t="shared" si="8"/>
        <v>3.7083333333333286</v>
      </c>
      <c r="D93" s="29">
        <f>Table12[[#This Row],[MW TOTAL BARRA A]]+Table12[[#This Row],[MW TOTAL BARRA B]]</f>
        <v>219.56</v>
      </c>
      <c r="E93" s="18">
        <f>Windy_web!$CK7</f>
        <v>7</v>
      </c>
      <c r="F93" s="18">
        <f>Windy_web!$CK8</f>
        <v>11</v>
      </c>
      <c r="G93" s="27" t="str">
        <f>Windy_web!$CK5</f>
        <v>18°</v>
      </c>
      <c r="H93" s="26">
        <f t="shared" si="5"/>
        <v>18</v>
      </c>
      <c r="I93" s="18">
        <v>25</v>
      </c>
      <c r="J93" s="18">
        <v>20</v>
      </c>
      <c r="K93" s="18">
        <f>Table12[[#This Row],[AEG E/S BARRA A]]*Table12[[#This Row],[AEG 5.2 MW]]</f>
        <v>123.9</v>
      </c>
      <c r="L93" s="18">
        <f>Table12[[#This Row],[AEG E/S BARRA B]]*Table12[[#This Row],[AEG 5.0 MW]]</f>
        <v>95.660000000000011</v>
      </c>
      <c r="M9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93" s="29">
        <f>INDEX(Curva_Temp[Temp],MATCH(Table12[[#This Row],[Windy Temp.
°C]],Curva_Temp[Temp]))</f>
        <v>15</v>
      </c>
      <c r="O93" s="29">
        <f>INDEX(Curva_Temp[Warranted Power Curve for 
1.194Kg/m3 air density '[kW']
SG 5.0-145 (AM+1, 5.2MW) AT 
90M],MATCH(Table12[[#This Row],[Windy Temp.
°C]],Curva_Temp[Temp]))</f>
        <v>5200</v>
      </c>
      <c r="P93" s="29" cm="1">
        <f t="array" ref="P93">INDEX(Curva_Temp[Temp],MATCH(Table12[[#This Row],[Windy Temp.
°C]],Curva_Temp[Temp])+1)</f>
        <v>20</v>
      </c>
      <c r="Q93" s="29" cm="1">
        <f t="array" ref="Q93">INDEX(Curva_Temp[Warranted Power Curve for 
1.194Kg/m3 air density '[kW']
SG 5.0-145 (AM+1, 5.2MW) AT 
90M],MATCH(Table12[[#This Row],[Windy Temp.
°C]],Curva_Temp[Temp])+1)</f>
        <v>5000</v>
      </c>
      <c r="R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3" s="18"/>
      <c r="U93" s="18">
        <v>2.5</v>
      </c>
      <c r="V93" s="18">
        <v>4.5</v>
      </c>
      <c r="W93" s="18">
        <f>CEILING(Table12[[#This Row],[Darwin Gusts
m/s]],0.5)</f>
        <v>4.5</v>
      </c>
      <c r="X93" s="18">
        <v>21.8</v>
      </c>
    </row>
    <row r="94" spans="2:24" ht="12" x14ac:dyDescent="0.2">
      <c r="B94" s="16">
        <f t="shared" si="6"/>
        <v>45083.749999999782</v>
      </c>
      <c r="C94" s="17">
        <f t="shared" si="8"/>
        <v>3.7499999999999951</v>
      </c>
      <c r="D94" s="29">
        <f>Table12[[#This Row],[MW TOTAL BARRA A]]+Table12[[#This Row],[MW TOTAL BARRA B]]</f>
        <v>219.56</v>
      </c>
      <c r="E94" s="18">
        <f>Windy_web!$CL7</f>
        <v>7</v>
      </c>
      <c r="F94" s="18">
        <f>Windy_web!$CL8</f>
        <v>11</v>
      </c>
      <c r="G94" s="27" t="str">
        <f>Windy_web!$CL5</f>
        <v>17°</v>
      </c>
      <c r="H94" s="26">
        <f t="shared" si="5"/>
        <v>17</v>
      </c>
      <c r="I94" s="18">
        <v>25</v>
      </c>
      <c r="J94" s="18">
        <v>20</v>
      </c>
      <c r="K94" s="18">
        <f>Table12[[#This Row],[AEG E/S BARRA A]]*Table12[[#This Row],[AEG 5.2 MW]]</f>
        <v>123.9</v>
      </c>
      <c r="L94" s="18">
        <f>Table12[[#This Row],[AEG E/S BARRA B]]*Table12[[#This Row],[AEG 5.0 MW]]</f>
        <v>95.660000000000011</v>
      </c>
      <c r="M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4" s="29">
        <f>INDEX(Curva_Temp[Temp],MATCH(Table12[[#This Row],[Windy Temp.
°C]],Curva_Temp[Temp]))</f>
        <v>15</v>
      </c>
      <c r="O94" s="29">
        <f>INDEX(Curva_Temp[Warranted Power Curve for 
1.194Kg/m3 air density '[kW']
SG 5.0-145 (AM+1, 5.2MW) AT 
90M],MATCH(Table12[[#This Row],[Windy Temp.
°C]],Curva_Temp[Temp]))</f>
        <v>5200</v>
      </c>
      <c r="P94" s="29" cm="1">
        <f t="array" ref="P94">INDEX(Curva_Temp[Temp],MATCH(Table12[[#This Row],[Windy Temp.
°C]],Curva_Temp[Temp])+1)</f>
        <v>20</v>
      </c>
      <c r="Q94" s="29" cm="1">
        <f t="array" ref="Q94">INDEX(Curva_Temp[Warranted Power Curve for 
1.194Kg/m3 air density '[kW']
SG 5.0-145 (AM+1, 5.2MW) AT 
90M],MATCH(Table12[[#This Row],[Windy Temp.
°C]],Curva_Temp[Temp])+1)</f>
        <v>5000</v>
      </c>
      <c r="R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4" s="18"/>
      <c r="U94" s="18">
        <v>2.1</v>
      </c>
      <c r="V94" s="18">
        <v>3.6</v>
      </c>
      <c r="W94" s="18">
        <f>CEILING(Table12[[#This Row],[Darwin Gusts
m/s]],0.5)</f>
        <v>4</v>
      </c>
      <c r="X94" s="18">
        <v>21.9</v>
      </c>
    </row>
    <row r="95" spans="2:24" ht="12" x14ac:dyDescent="0.2">
      <c r="B95" s="16">
        <f t="shared" si="6"/>
        <v>45083.791666666446</v>
      </c>
      <c r="C95" s="17">
        <f>C94+TIME(1,0,0)</f>
        <v>3.7916666666666616</v>
      </c>
      <c r="D95" s="29">
        <f>Table12[[#This Row],[MW TOTAL BARRA A]]+Table12[[#This Row],[MW TOTAL BARRA B]]</f>
        <v>227.44</v>
      </c>
      <c r="E95" s="18">
        <f>Windy_web!$CM7</f>
        <v>7</v>
      </c>
      <c r="F95" s="18">
        <f>Windy_web!$CM8</f>
        <v>12</v>
      </c>
      <c r="G95" s="27" t="str">
        <f>Windy_web!$CM5</f>
        <v>17°</v>
      </c>
      <c r="H95" s="26">
        <f t="shared" si="5"/>
        <v>17</v>
      </c>
      <c r="I95" s="18">
        <v>25</v>
      </c>
      <c r="J95" s="18">
        <v>20</v>
      </c>
      <c r="K95" s="18">
        <f>Table12[[#This Row],[AEG E/S BARRA A]]*Table12[[#This Row],[AEG 5.2 MW]]</f>
        <v>128</v>
      </c>
      <c r="L95" s="18">
        <f>Table12[[#This Row],[AEG E/S BARRA B]]*Table12[[#This Row],[AEG 5.0 MW]]</f>
        <v>99.440000000000012</v>
      </c>
      <c r="M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5" s="29">
        <f>INDEX(Curva_Temp[Temp],MATCH(Table12[[#This Row],[Windy Temp.
°C]],Curva_Temp[Temp]))</f>
        <v>15</v>
      </c>
      <c r="O95" s="29">
        <f>INDEX(Curva_Temp[Warranted Power Curve for 
1.194Kg/m3 air density '[kW']
SG 5.0-145 (AM+1, 5.2MW) AT 
90M],MATCH(Table12[[#This Row],[Windy Temp.
°C]],Curva_Temp[Temp]))</f>
        <v>5200</v>
      </c>
      <c r="P95" s="29" cm="1">
        <f t="array" ref="P95">INDEX(Curva_Temp[Temp],MATCH(Table12[[#This Row],[Windy Temp.
°C]],Curva_Temp[Temp])+1)</f>
        <v>20</v>
      </c>
      <c r="Q95" s="29" cm="1">
        <f t="array" ref="Q95">INDEX(Curva_Temp[Warranted Power Curve for 
1.194Kg/m3 air density '[kW']
SG 5.0-145 (AM+1, 5.2MW) AT 
90M],MATCH(Table12[[#This Row],[Windy Temp.
°C]],Curva_Temp[Temp])+1)</f>
        <v>5000</v>
      </c>
      <c r="R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5" s="18"/>
      <c r="U95" s="18">
        <v>3.1</v>
      </c>
      <c r="V95" s="18">
        <v>5.3</v>
      </c>
      <c r="W95" s="18">
        <f>CEILING(Table12[[#This Row],[Darwin Gusts
m/s]],0.5)</f>
        <v>5.5</v>
      </c>
      <c r="X95" s="18">
        <v>21.2</v>
      </c>
    </row>
    <row r="96" spans="2:24" ht="12" x14ac:dyDescent="0.2">
      <c r="B96" s="16">
        <f t="shared" si="6"/>
        <v>45083.83333333311</v>
      </c>
      <c r="C96" s="24">
        <f t="shared" ref="C96:C100" si="9">C95+TIME(1,0,0)</f>
        <v>3.8333333333333282</v>
      </c>
      <c r="D96" s="29">
        <f>Table12[[#This Row],[MW TOTAL BARRA A]]+Table12[[#This Row],[MW TOTAL BARRA B]]</f>
        <v>227.44</v>
      </c>
      <c r="E96" s="25">
        <f>Windy_web!$CM7</f>
        <v>7</v>
      </c>
      <c r="F96" s="25">
        <f>Windy_web!$CM8</f>
        <v>12</v>
      </c>
      <c r="G96" s="26" t="str">
        <f>Windy_web!$CM5</f>
        <v>17°</v>
      </c>
      <c r="H96" s="26">
        <f t="shared" si="5"/>
        <v>17</v>
      </c>
      <c r="I96" s="18">
        <v>25</v>
      </c>
      <c r="J96" s="18">
        <v>20</v>
      </c>
      <c r="K96" s="18">
        <f>Table12[[#This Row],[AEG E/S BARRA A]]*Table12[[#This Row],[AEG 5.2 MW]]</f>
        <v>128</v>
      </c>
      <c r="L96" s="18">
        <f>Table12[[#This Row],[AEG E/S BARRA B]]*Table12[[#This Row],[AEG 5.0 MW]]</f>
        <v>99.440000000000012</v>
      </c>
      <c r="M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6" s="29">
        <f>INDEX(Curva_Temp[Temp],MATCH(Table12[[#This Row],[Windy Temp.
°C]],Curva_Temp[Temp]))</f>
        <v>15</v>
      </c>
      <c r="O96" s="29">
        <f>INDEX(Curva_Temp[Warranted Power Curve for 
1.194Kg/m3 air density '[kW']
SG 5.0-145 (AM+1, 5.2MW) AT 
90M],MATCH(Table12[[#This Row],[Windy Temp.
°C]],Curva_Temp[Temp]))</f>
        <v>5200</v>
      </c>
      <c r="P96" s="29" cm="1">
        <f t="array" ref="P96">INDEX(Curva_Temp[Temp],MATCH(Table12[[#This Row],[Windy Temp.
°C]],Curva_Temp[Temp])+1)</f>
        <v>20</v>
      </c>
      <c r="Q96" s="29" cm="1">
        <f t="array" ref="Q96">INDEX(Curva_Temp[Warranted Power Curve for 
1.194Kg/m3 air density '[kW']
SG 5.0-145 (AM+1, 5.2MW) AT 
90M],MATCH(Table12[[#This Row],[Windy Temp.
°C]],Curva_Temp[Temp])+1)</f>
        <v>5000</v>
      </c>
      <c r="R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6" s="18"/>
      <c r="U96" s="18">
        <v>4</v>
      </c>
      <c r="V96" s="18">
        <v>6.3</v>
      </c>
      <c r="W96" s="18">
        <f>CEILING(Table12[[#This Row],[Darwin Gusts
m/s]],0.5)</f>
        <v>6.5</v>
      </c>
      <c r="X96" s="18">
        <v>20.399999999999999</v>
      </c>
    </row>
    <row r="97" spans="2:24" ht="12" x14ac:dyDescent="0.2">
      <c r="B97" s="16">
        <f t="shared" si="6"/>
        <v>45083.874999999774</v>
      </c>
      <c r="C97" s="24">
        <f t="shared" si="9"/>
        <v>3.8749999999999947</v>
      </c>
      <c r="D97" s="29">
        <f>Table12[[#This Row],[MW TOTAL BARRA A]]+Table12[[#This Row],[MW TOTAL BARRA B]]</f>
        <v>227.44</v>
      </c>
      <c r="E97" s="25">
        <f>Windy_web!$CM7</f>
        <v>7</v>
      </c>
      <c r="F97" s="25">
        <f>Windy_web!$CM8</f>
        <v>12</v>
      </c>
      <c r="G97" s="26" t="str">
        <f>Windy_web!$CM5</f>
        <v>17°</v>
      </c>
      <c r="H97" s="26">
        <f t="shared" si="5"/>
        <v>17</v>
      </c>
      <c r="I97" s="18">
        <v>25</v>
      </c>
      <c r="J97" s="18">
        <v>20</v>
      </c>
      <c r="K97" s="18">
        <f>Table12[[#This Row],[AEG E/S BARRA A]]*Table12[[#This Row],[AEG 5.2 MW]]</f>
        <v>128</v>
      </c>
      <c r="L97" s="18">
        <f>Table12[[#This Row],[AEG E/S BARRA B]]*Table12[[#This Row],[AEG 5.0 MW]]</f>
        <v>99.440000000000012</v>
      </c>
      <c r="M9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7" s="29">
        <f>INDEX(Curva_Temp[Temp],MATCH(Table12[[#This Row],[Windy Temp.
°C]],Curva_Temp[Temp]))</f>
        <v>15</v>
      </c>
      <c r="O97" s="29">
        <f>INDEX(Curva_Temp[Warranted Power Curve for 
1.194Kg/m3 air density '[kW']
SG 5.0-145 (AM+1, 5.2MW) AT 
90M],MATCH(Table12[[#This Row],[Windy Temp.
°C]],Curva_Temp[Temp]))</f>
        <v>5200</v>
      </c>
      <c r="P97" s="29" cm="1">
        <f t="array" ref="P97">INDEX(Curva_Temp[Temp],MATCH(Table12[[#This Row],[Windy Temp.
°C]],Curva_Temp[Temp])+1)</f>
        <v>20</v>
      </c>
      <c r="Q97" s="29" cm="1">
        <f t="array" ref="Q97">INDEX(Curva_Temp[Warranted Power Curve for 
1.194Kg/m3 air density '[kW']
SG 5.0-145 (AM+1, 5.2MW) AT 
90M],MATCH(Table12[[#This Row],[Windy Temp.
°C]],Curva_Temp[Temp])+1)</f>
        <v>5000</v>
      </c>
      <c r="R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7" s="18"/>
      <c r="U97" s="18">
        <v>5</v>
      </c>
      <c r="V97" s="18">
        <v>7.3</v>
      </c>
      <c r="W97" s="18">
        <f>CEILING(Table12[[#This Row],[Darwin Gusts
m/s]],0.5)</f>
        <v>7.5</v>
      </c>
      <c r="X97" s="18">
        <v>19.600000000000001</v>
      </c>
    </row>
    <row r="98" spans="2:24" ht="12" x14ac:dyDescent="0.2">
      <c r="B98" s="16">
        <f t="shared" si="6"/>
        <v>45083.916666666439</v>
      </c>
      <c r="C98" s="17">
        <f t="shared" si="9"/>
        <v>3.9166666666666612</v>
      </c>
      <c r="D98" s="29">
        <f>Table12[[#This Row],[MW TOTAL BARRA A]]+Table12[[#This Row],[MW TOTAL BARRA B]]</f>
        <v>219.56</v>
      </c>
      <c r="E98" s="18">
        <f>Windy_web!$CN7</f>
        <v>6</v>
      </c>
      <c r="F98" s="18">
        <f>Windy_web!$CN8</f>
        <v>11</v>
      </c>
      <c r="G98" s="27" t="str">
        <f>Windy_web!$CN5</f>
        <v>16°</v>
      </c>
      <c r="H98" s="26">
        <f t="shared" si="5"/>
        <v>16</v>
      </c>
      <c r="I98" s="18">
        <v>25</v>
      </c>
      <c r="J98" s="18">
        <v>20</v>
      </c>
      <c r="K98" s="18">
        <f>Table12[[#This Row],[AEG E/S BARRA A]]*Table12[[#This Row],[AEG 5.2 MW]]</f>
        <v>123.9</v>
      </c>
      <c r="L98" s="18">
        <f>Table12[[#This Row],[AEG E/S BARRA B]]*Table12[[#This Row],[AEG 5.0 MW]]</f>
        <v>95.660000000000011</v>
      </c>
      <c r="M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8" s="29">
        <f>INDEX(Curva_Temp[Temp],MATCH(Table12[[#This Row],[Windy Temp.
°C]],Curva_Temp[Temp]))</f>
        <v>15</v>
      </c>
      <c r="O98" s="29">
        <f>INDEX(Curva_Temp[Warranted Power Curve for 
1.194Kg/m3 air density '[kW']
SG 5.0-145 (AM+1, 5.2MW) AT 
90M],MATCH(Table12[[#This Row],[Windy Temp.
°C]],Curva_Temp[Temp]))</f>
        <v>5200</v>
      </c>
      <c r="P98" s="29" cm="1">
        <f t="array" ref="P98">INDEX(Curva_Temp[Temp],MATCH(Table12[[#This Row],[Windy Temp.
°C]],Curva_Temp[Temp])+1)</f>
        <v>20</v>
      </c>
      <c r="Q98" s="29" cm="1">
        <f t="array" ref="Q98">INDEX(Curva_Temp[Warranted Power Curve for 
1.194Kg/m3 air density '[kW']
SG 5.0-145 (AM+1, 5.2MW) AT 
90M],MATCH(Table12[[#This Row],[Windy Temp.
°C]],Curva_Temp[Temp])+1)</f>
        <v>5000</v>
      </c>
      <c r="R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8" s="18"/>
      <c r="U98" s="18">
        <v>5.2</v>
      </c>
      <c r="V98" s="18">
        <v>7.2</v>
      </c>
      <c r="W98" s="18">
        <f>CEILING(Table12[[#This Row],[Darwin Gusts
m/s]],0.5)</f>
        <v>7.5</v>
      </c>
      <c r="X98" s="18">
        <v>19</v>
      </c>
    </row>
    <row r="99" spans="2:24" ht="12" x14ac:dyDescent="0.2">
      <c r="B99" s="16">
        <f t="shared" si="6"/>
        <v>45083.958333333103</v>
      </c>
      <c r="C99" s="24">
        <f t="shared" si="9"/>
        <v>3.9583333333333277</v>
      </c>
      <c r="D99" s="29">
        <f>Table12[[#This Row],[MW TOTAL BARRA A]]+Table12[[#This Row],[MW TOTAL BARRA B]]</f>
        <v>219.56</v>
      </c>
      <c r="E99" s="25">
        <f>Windy_web!$CN7</f>
        <v>6</v>
      </c>
      <c r="F99" s="25">
        <f>Windy_web!$CN8</f>
        <v>11</v>
      </c>
      <c r="G99" s="26" t="str">
        <f>Windy_web!$CN5</f>
        <v>16°</v>
      </c>
      <c r="H99" s="26">
        <f t="shared" si="5"/>
        <v>16</v>
      </c>
      <c r="I99" s="18">
        <v>25</v>
      </c>
      <c r="J99" s="18">
        <v>20</v>
      </c>
      <c r="K99" s="18">
        <f>Table12[[#This Row],[AEG E/S BARRA A]]*Table12[[#This Row],[AEG 5.2 MW]]</f>
        <v>123.9</v>
      </c>
      <c r="L99" s="18">
        <f>Table12[[#This Row],[AEG E/S BARRA B]]*Table12[[#This Row],[AEG 5.0 MW]]</f>
        <v>95.660000000000011</v>
      </c>
      <c r="M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9" s="29">
        <f>INDEX(Curva_Temp[Temp],MATCH(Table12[[#This Row],[Windy Temp.
°C]],Curva_Temp[Temp]))</f>
        <v>15</v>
      </c>
      <c r="O99" s="29">
        <f>INDEX(Curva_Temp[Warranted Power Curve for 
1.194Kg/m3 air density '[kW']
SG 5.0-145 (AM+1, 5.2MW) AT 
90M],MATCH(Table12[[#This Row],[Windy Temp.
°C]],Curva_Temp[Temp]))</f>
        <v>5200</v>
      </c>
      <c r="P99" s="29" cm="1">
        <f t="array" ref="P99">INDEX(Curva_Temp[Temp],MATCH(Table12[[#This Row],[Windy Temp.
°C]],Curva_Temp[Temp])+1)</f>
        <v>20</v>
      </c>
      <c r="Q99" s="29" cm="1">
        <f t="array" ref="Q99">INDEX(Curva_Temp[Warranted Power Curve for 
1.194Kg/m3 air density '[kW']
SG 5.0-145 (AM+1, 5.2MW) AT 
90M],MATCH(Table12[[#This Row],[Windy Temp.
°C]],Curva_Temp[Temp])+1)</f>
        <v>5000</v>
      </c>
      <c r="R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9" s="18"/>
      <c r="U99" s="18">
        <v>5.4</v>
      </c>
      <c r="V99" s="18">
        <v>7.1</v>
      </c>
      <c r="W99" s="18">
        <f>CEILING(Table12[[#This Row],[Darwin Gusts
m/s]],0.5)</f>
        <v>7.5</v>
      </c>
      <c r="X99" s="18">
        <v>18.100000000000001</v>
      </c>
    </row>
    <row r="100" spans="2:24" ht="12" x14ac:dyDescent="0.2">
      <c r="B100" s="16">
        <f t="shared" si="6"/>
        <v>45083.999999999767</v>
      </c>
      <c r="C100" s="24">
        <f t="shared" si="9"/>
        <v>3.9999999999999942</v>
      </c>
      <c r="D100" s="29">
        <f>Table12[[#This Row],[MW TOTAL BARRA A]]+Table12[[#This Row],[MW TOTAL BARRA B]]</f>
        <v>219.56</v>
      </c>
      <c r="E100" s="25">
        <f>Windy_web!$CN7</f>
        <v>6</v>
      </c>
      <c r="F100" s="25">
        <f>Windy_web!$CN8</f>
        <v>11</v>
      </c>
      <c r="G100" s="26" t="str">
        <f>Windy_web!$CN5</f>
        <v>16°</v>
      </c>
      <c r="H100" s="26">
        <f t="shared" si="5"/>
        <v>16</v>
      </c>
      <c r="I100" s="18">
        <v>25</v>
      </c>
      <c r="J100" s="18">
        <v>20</v>
      </c>
      <c r="K100" s="18">
        <f>Table12[[#This Row],[AEG E/S BARRA A]]*Table12[[#This Row],[AEG 5.2 MW]]</f>
        <v>123.9</v>
      </c>
      <c r="L100" s="18">
        <f>Table12[[#This Row],[AEG E/S BARRA B]]*Table12[[#This Row],[AEG 5.0 MW]]</f>
        <v>95.660000000000011</v>
      </c>
      <c r="M1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0" s="29">
        <f>INDEX(Curva_Temp[Temp],MATCH(Table12[[#This Row],[Windy Temp.
°C]],Curva_Temp[Temp]))</f>
        <v>15</v>
      </c>
      <c r="O100" s="29">
        <f>INDEX(Curva_Temp[Warranted Power Curve for 
1.194Kg/m3 air density '[kW']
SG 5.0-145 (AM+1, 5.2MW) AT 
90M],MATCH(Table12[[#This Row],[Windy Temp.
°C]],Curva_Temp[Temp]))</f>
        <v>5200</v>
      </c>
      <c r="P100" s="29" cm="1">
        <f t="array" ref="P100">INDEX(Curva_Temp[Temp],MATCH(Table12[[#This Row],[Windy Temp.
°C]],Curva_Temp[Temp])+1)</f>
        <v>20</v>
      </c>
      <c r="Q100" s="29" cm="1">
        <f t="array" ref="Q100">INDEX(Curva_Temp[Warranted Power Curve for 
1.194Kg/m3 air density '[kW']
SG 5.0-145 (AM+1, 5.2MW) AT 
90M],MATCH(Table12[[#This Row],[Windy Temp.
°C]],Curva_Temp[Temp])+1)</f>
        <v>5000</v>
      </c>
      <c r="R1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00" s="18"/>
      <c r="U100" s="18">
        <v>5.6</v>
      </c>
      <c r="V100" s="18">
        <v>7.1</v>
      </c>
      <c r="W100" s="18">
        <f>CEILING(Table12[[#This Row],[Darwin Gusts
m/s]],0.5)</f>
        <v>7.5</v>
      </c>
      <c r="X100" s="18">
        <v>17.7</v>
      </c>
    </row>
    <row r="101" spans="2:24" ht="12" x14ac:dyDescent="0.2">
      <c r="B101" s="16">
        <f t="shared" si="6"/>
        <v>45084.041666666431</v>
      </c>
      <c r="C101" s="17">
        <f>C100+TIME(1,0,0)</f>
        <v>4.0416666666666607</v>
      </c>
      <c r="D101" s="29">
        <f>Table12[[#This Row],[MW TOTAL BARRA A]]+Table12[[#This Row],[MW TOTAL BARRA B]]</f>
        <v>191.33999999999997</v>
      </c>
      <c r="E101" s="18">
        <f>Windy_web!$CO7</f>
        <v>2</v>
      </c>
      <c r="F101" s="18">
        <f>Windy_web!$CO8</f>
        <v>10</v>
      </c>
      <c r="G101" s="27" t="str">
        <f>Windy_web!$CO5</f>
        <v>16°</v>
      </c>
      <c r="H101" s="26">
        <f t="shared" si="5"/>
        <v>16</v>
      </c>
      <c r="I101" s="18">
        <v>25</v>
      </c>
      <c r="J101" s="18">
        <v>20</v>
      </c>
      <c r="K101" s="18">
        <f>Table12[[#This Row],[AEG E/S BARRA A]]*Table12[[#This Row],[AEG 5.2 MW]]</f>
        <v>107.1</v>
      </c>
      <c r="L101" s="18">
        <f>Table12[[#This Row],[AEG E/S BARRA B]]*Table12[[#This Row],[AEG 5.0 MW]]</f>
        <v>84.24</v>
      </c>
      <c r="M1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1" s="29">
        <f>INDEX(Curva_Temp[Temp],MATCH(Table12[[#This Row],[Windy Temp.
°C]],Curva_Temp[Temp]))</f>
        <v>15</v>
      </c>
      <c r="O101" s="29">
        <f>INDEX(Curva_Temp[Warranted Power Curve for 
1.194Kg/m3 air density '[kW']
SG 5.0-145 (AM+1, 5.2MW) AT 
90M],MATCH(Table12[[#This Row],[Windy Temp.
°C]],Curva_Temp[Temp]))</f>
        <v>5200</v>
      </c>
      <c r="P101" s="29" cm="1">
        <f t="array" ref="P101">INDEX(Curva_Temp[Temp],MATCH(Table12[[#This Row],[Windy Temp.
°C]],Curva_Temp[Temp])+1)</f>
        <v>20</v>
      </c>
      <c r="Q101" s="29" cm="1">
        <f t="array" ref="Q101">INDEX(Curva_Temp[Warranted Power Curve for 
1.194Kg/m3 air density '[kW']
SG 5.0-145 (AM+1, 5.2MW) AT 
90M],MATCH(Table12[[#This Row],[Windy Temp.
°C]],Curva_Temp[Temp])+1)</f>
        <v>5000</v>
      </c>
      <c r="R1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1" s="18"/>
      <c r="U101" s="18">
        <v>5.8</v>
      </c>
      <c r="V101" s="18">
        <v>7.4</v>
      </c>
      <c r="W101" s="18">
        <f>CEILING(Table12[[#This Row],[Darwin Gusts
m/s]],0.5)</f>
        <v>7.5</v>
      </c>
      <c r="X101" s="18">
        <v>17.899999999999999</v>
      </c>
    </row>
    <row r="102" spans="2:24" ht="12" x14ac:dyDescent="0.2">
      <c r="B102" s="16">
        <f t="shared" si="6"/>
        <v>45084.083333333096</v>
      </c>
      <c r="C102" s="24">
        <f t="shared" ref="C102:C118" si="10">C101+TIME(1,0,0)</f>
        <v>4.0833333333333277</v>
      </c>
      <c r="D102" s="29">
        <f>Table12[[#This Row],[MW TOTAL BARRA A]]+Table12[[#This Row],[MW TOTAL BARRA B]]</f>
        <v>191.33999999999997</v>
      </c>
      <c r="E102" s="25">
        <f>Windy_web!$CO7</f>
        <v>2</v>
      </c>
      <c r="F102" s="25">
        <f>Windy_web!$CO8</f>
        <v>10</v>
      </c>
      <c r="G102" s="26" t="str">
        <f>Windy_web!$CO5</f>
        <v>16°</v>
      </c>
      <c r="H102" s="26">
        <f t="shared" si="5"/>
        <v>16</v>
      </c>
      <c r="I102" s="18">
        <v>25</v>
      </c>
      <c r="J102" s="18">
        <v>20</v>
      </c>
      <c r="K102" s="18">
        <f>Table12[[#This Row],[AEG E/S BARRA A]]*Table12[[#This Row],[AEG 5.2 MW]]</f>
        <v>107.1</v>
      </c>
      <c r="L102" s="18">
        <f>Table12[[#This Row],[AEG E/S BARRA B]]*Table12[[#This Row],[AEG 5.0 MW]]</f>
        <v>84.24</v>
      </c>
      <c r="M1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2" s="29">
        <f>INDEX(Curva_Temp[Temp],MATCH(Table12[[#This Row],[Windy Temp.
°C]],Curva_Temp[Temp]))</f>
        <v>15</v>
      </c>
      <c r="O102" s="29">
        <f>INDEX(Curva_Temp[Warranted Power Curve for 
1.194Kg/m3 air density '[kW']
SG 5.0-145 (AM+1, 5.2MW) AT 
90M],MATCH(Table12[[#This Row],[Windy Temp.
°C]],Curva_Temp[Temp]))</f>
        <v>5200</v>
      </c>
      <c r="P102" s="29" cm="1">
        <f t="array" ref="P102">INDEX(Curva_Temp[Temp],MATCH(Table12[[#This Row],[Windy Temp.
°C]],Curva_Temp[Temp])+1)</f>
        <v>20</v>
      </c>
      <c r="Q102" s="29" cm="1">
        <f t="array" ref="Q102">INDEX(Curva_Temp[Warranted Power Curve for 
1.194Kg/m3 air density '[kW']
SG 5.0-145 (AM+1, 5.2MW) AT 
90M],MATCH(Table12[[#This Row],[Windy Temp.
°C]],Curva_Temp[Temp])+1)</f>
        <v>5000</v>
      </c>
      <c r="R1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2" s="18"/>
      <c r="U102" s="18">
        <v>6</v>
      </c>
      <c r="V102" s="18">
        <v>7.6</v>
      </c>
      <c r="W102" s="18">
        <f>CEILING(Table12[[#This Row],[Darwin Gusts
m/s]],0.5)</f>
        <v>8</v>
      </c>
      <c r="X102" s="18">
        <v>18.100000000000001</v>
      </c>
    </row>
    <row r="103" spans="2:24" ht="12" x14ac:dyDescent="0.2">
      <c r="B103" s="16">
        <f t="shared" si="6"/>
        <v>45084.12499999976</v>
      </c>
      <c r="C103" s="24">
        <f t="shared" si="10"/>
        <v>4.1249999999999947</v>
      </c>
      <c r="D103" s="29">
        <f>Table12[[#This Row],[MW TOTAL BARRA A]]+Table12[[#This Row],[MW TOTAL BARRA B]]</f>
        <v>191.33999999999997</v>
      </c>
      <c r="E103" s="25">
        <f>Windy_web!$CO7</f>
        <v>2</v>
      </c>
      <c r="F103" s="25">
        <f>Windy_web!$CO8</f>
        <v>10</v>
      </c>
      <c r="G103" s="26" t="str">
        <f>Windy_web!$CO5</f>
        <v>16°</v>
      </c>
      <c r="H103" s="26">
        <f t="shared" si="5"/>
        <v>16</v>
      </c>
      <c r="I103" s="18">
        <v>25</v>
      </c>
      <c r="J103" s="18">
        <v>20</v>
      </c>
      <c r="K103" s="18">
        <f>Table12[[#This Row],[AEG E/S BARRA A]]*Table12[[#This Row],[AEG 5.2 MW]]</f>
        <v>107.1</v>
      </c>
      <c r="L103" s="18">
        <f>Table12[[#This Row],[AEG E/S BARRA B]]*Table12[[#This Row],[AEG 5.0 MW]]</f>
        <v>84.24</v>
      </c>
      <c r="M10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3" s="29">
        <f>INDEX(Curva_Temp[Temp],MATCH(Table12[[#This Row],[Windy Temp.
°C]],Curva_Temp[Temp]))</f>
        <v>15</v>
      </c>
      <c r="O103" s="29">
        <f>INDEX(Curva_Temp[Warranted Power Curve for 
1.194Kg/m3 air density '[kW']
SG 5.0-145 (AM+1, 5.2MW) AT 
90M],MATCH(Table12[[#This Row],[Windy Temp.
°C]],Curva_Temp[Temp]))</f>
        <v>5200</v>
      </c>
      <c r="P103" s="29" cm="1">
        <f t="array" ref="P103">INDEX(Curva_Temp[Temp],MATCH(Table12[[#This Row],[Windy Temp.
°C]],Curva_Temp[Temp])+1)</f>
        <v>20</v>
      </c>
      <c r="Q103" s="29" cm="1">
        <f t="array" ref="Q103">INDEX(Curva_Temp[Warranted Power Curve for 
1.194Kg/m3 air density '[kW']
SG 5.0-145 (AM+1, 5.2MW) AT 
90M],MATCH(Table12[[#This Row],[Windy Temp.
°C]],Curva_Temp[Temp])+1)</f>
        <v>5000</v>
      </c>
      <c r="R1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3" s="18"/>
      <c r="U103" s="18">
        <v>6.2</v>
      </c>
      <c r="V103" s="18">
        <v>7.8</v>
      </c>
      <c r="W103" s="18">
        <f>CEILING(Table12[[#This Row],[Darwin Gusts
m/s]],0.5)</f>
        <v>8</v>
      </c>
      <c r="X103" s="18">
        <v>18.3</v>
      </c>
    </row>
    <row r="104" spans="2:24" ht="12" x14ac:dyDescent="0.2">
      <c r="B104" s="16">
        <f t="shared" si="6"/>
        <v>45084.166666666424</v>
      </c>
      <c r="C104" s="17">
        <f t="shared" si="10"/>
        <v>4.1666666666666616</v>
      </c>
      <c r="D104" s="29">
        <f>Table12[[#This Row],[MW TOTAL BARRA A]]+Table12[[#This Row],[MW TOTAL BARRA B]]</f>
        <v>44.215000000000003</v>
      </c>
      <c r="E104" s="18">
        <f>Windy_web!$CP7</f>
        <v>4</v>
      </c>
      <c r="F104" s="18">
        <f>Windy_web!$CP8</f>
        <v>6</v>
      </c>
      <c r="G104" s="27" t="str">
        <f>Windy_web!$CP5</f>
        <v>15°</v>
      </c>
      <c r="H104" s="26">
        <f t="shared" si="5"/>
        <v>15</v>
      </c>
      <c r="I104" s="18">
        <v>25</v>
      </c>
      <c r="J104" s="18">
        <v>20</v>
      </c>
      <c r="K104" s="18">
        <f>Table12[[#This Row],[AEG E/S BARRA A]]*Table12[[#This Row],[AEG 5.2 MW]]</f>
        <v>24.574999999999999</v>
      </c>
      <c r="L104" s="18">
        <f>Table12[[#This Row],[AEG E/S BARRA B]]*Table12[[#This Row],[AEG 5.0 MW]]</f>
        <v>19.64</v>
      </c>
      <c r="M1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4" s="29">
        <f>INDEX(Curva_Temp[Temp],MATCH(Table12[[#This Row],[Windy Temp.
°C]],Curva_Temp[Temp]))</f>
        <v>15</v>
      </c>
      <c r="O104" s="29">
        <f>INDEX(Curva_Temp[Warranted Power Curve for 
1.194Kg/m3 air density '[kW']
SG 5.0-145 (AM+1, 5.2MW) AT 
90M],MATCH(Table12[[#This Row],[Windy Temp.
°C]],Curva_Temp[Temp]))</f>
        <v>5200</v>
      </c>
      <c r="P104" s="29" cm="1">
        <f t="array" ref="P104">INDEX(Curva_Temp[Temp],MATCH(Table12[[#This Row],[Windy Temp.
°C]],Curva_Temp[Temp])+1)</f>
        <v>20</v>
      </c>
      <c r="Q104" s="29" cm="1">
        <f t="array" ref="Q104">INDEX(Curva_Temp[Warranted Power Curve for 
1.194Kg/m3 air density '[kW']
SG 5.0-145 (AM+1, 5.2MW) AT 
90M],MATCH(Table12[[#This Row],[Windy Temp.
°C]],Curva_Temp[Temp])+1)</f>
        <v>5000</v>
      </c>
      <c r="R1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4" s="18"/>
      <c r="U104" s="18">
        <v>6.2</v>
      </c>
      <c r="V104" s="18">
        <v>7.9</v>
      </c>
      <c r="W104" s="18">
        <f>CEILING(Table12[[#This Row],[Darwin Gusts
m/s]],0.5)</f>
        <v>8</v>
      </c>
      <c r="X104" s="18">
        <v>18.3</v>
      </c>
    </row>
    <row r="105" spans="2:24" ht="12" x14ac:dyDescent="0.2">
      <c r="B105" s="16">
        <f t="shared" si="6"/>
        <v>45084.208333333088</v>
      </c>
      <c r="C105" s="24">
        <f t="shared" si="10"/>
        <v>4.2083333333333286</v>
      </c>
      <c r="D105" s="29">
        <f>Table12[[#This Row],[MW TOTAL BARRA A]]+Table12[[#This Row],[MW TOTAL BARRA B]]</f>
        <v>44.215000000000003</v>
      </c>
      <c r="E105" s="25">
        <f>Windy_web!$CP7</f>
        <v>4</v>
      </c>
      <c r="F105" s="25">
        <f>Windy_web!$CP8</f>
        <v>6</v>
      </c>
      <c r="G105" s="26" t="str">
        <f>Windy_web!$CP5</f>
        <v>15°</v>
      </c>
      <c r="H105" s="26">
        <f t="shared" si="5"/>
        <v>15</v>
      </c>
      <c r="I105" s="18">
        <v>25</v>
      </c>
      <c r="J105" s="18">
        <v>20</v>
      </c>
      <c r="K105" s="18">
        <f>Table12[[#This Row],[AEG E/S BARRA A]]*Table12[[#This Row],[AEG 5.2 MW]]</f>
        <v>24.574999999999999</v>
      </c>
      <c r="L105" s="18">
        <f>Table12[[#This Row],[AEG E/S BARRA B]]*Table12[[#This Row],[AEG 5.0 MW]]</f>
        <v>19.64</v>
      </c>
      <c r="M1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5" s="29">
        <f>INDEX(Curva_Temp[Temp],MATCH(Table12[[#This Row],[Windy Temp.
°C]],Curva_Temp[Temp]))</f>
        <v>15</v>
      </c>
      <c r="O105" s="29">
        <f>INDEX(Curva_Temp[Warranted Power Curve for 
1.194Kg/m3 air density '[kW']
SG 5.0-145 (AM+1, 5.2MW) AT 
90M],MATCH(Table12[[#This Row],[Windy Temp.
°C]],Curva_Temp[Temp]))</f>
        <v>5200</v>
      </c>
      <c r="P105" s="29" cm="1">
        <f t="array" ref="P105">INDEX(Curva_Temp[Temp],MATCH(Table12[[#This Row],[Windy Temp.
°C]],Curva_Temp[Temp])+1)</f>
        <v>20</v>
      </c>
      <c r="Q105" s="29" cm="1">
        <f t="array" ref="Q105">INDEX(Curva_Temp[Warranted Power Curve for 
1.194Kg/m3 air density '[kW']
SG 5.0-145 (AM+1, 5.2MW) AT 
90M],MATCH(Table12[[#This Row],[Windy Temp.
°C]],Curva_Temp[Temp])+1)</f>
        <v>5000</v>
      </c>
      <c r="R1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5" s="18"/>
      <c r="U105" s="18">
        <v>6.3</v>
      </c>
      <c r="V105" s="18">
        <v>7.9</v>
      </c>
      <c r="W105" s="18">
        <f>CEILING(Table12[[#This Row],[Darwin Gusts
m/s]],0.5)</f>
        <v>8</v>
      </c>
      <c r="X105" s="18">
        <v>18.2</v>
      </c>
    </row>
    <row r="106" spans="2:24" ht="12" x14ac:dyDescent="0.2">
      <c r="B106" s="16">
        <f t="shared" si="6"/>
        <v>45084.249999999753</v>
      </c>
      <c r="C106" s="24">
        <f t="shared" si="10"/>
        <v>4.2499999999999956</v>
      </c>
      <c r="D106" s="29">
        <f>Table12[[#This Row],[MW TOTAL BARRA A]]+Table12[[#This Row],[MW TOTAL BARRA B]]</f>
        <v>44.215000000000003</v>
      </c>
      <c r="E106" s="25">
        <f>Windy_web!$CP7</f>
        <v>4</v>
      </c>
      <c r="F106" s="25">
        <f>Windy_web!$CP8</f>
        <v>6</v>
      </c>
      <c r="G106" s="26" t="str">
        <f>Windy_web!$CP5</f>
        <v>15°</v>
      </c>
      <c r="H106" s="26">
        <f t="shared" si="5"/>
        <v>15</v>
      </c>
      <c r="I106" s="18">
        <v>25</v>
      </c>
      <c r="J106" s="18">
        <v>20</v>
      </c>
      <c r="K106" s="18">
        <f>Table12[[#This Row],[AEG E/S BARRA A]]*Table12[[#This Row],[AEG 5.2 MW]]</f>
        <v>24.574999999999999</v>
      </c>
      <c r="L106" s="18">
        <f>Table12[[#This Row],[AEG E/S BARRA B]]*Table12[[#This Row],[AEG 5.0 MW]]</f>
        <v>19.64</v>
      </c>
      <c r="M1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6" s="29">
        <f>INDEX(Curva_Temp[Temp],MATCH(Table12[[#This Row],[Windy Temp.
°C]],Curva_Temp[Temp]))</f>
        <v>15</v>
      </c>
      <c r="O106" s="29">
        <f>INDEX(Curva_Temp[Warranted Power Curve for 
1.194Kg/m3 air density '[kW']
SG 5.0-145 (AM+1, 5.2MW) AT 
90M],MATCH(Table12[[#This Row],[Windy Temp.
°C]],Curva_Temp[Temp]))</f>
        <v>5200</v>
      </c>
      <c r="P106" s="29" cm="1">
        <f t="array" ref="P106">INDEX(Curva_Temp[Temp],MATCH(Table12[[#This Row],[Windy Temp.
°C]],Curva_Temp[Temp])+1)</f>
        <v>20</v>
      </c>
      <c r="Q106" s="29" cm="1">
        <f t="array" ref="Q106">INDEX(Curva_Temp[Warranted Power Curve for 
1.194Kg/m3 air density '[kW']
SG 5.0-145 (AM+1, 5.2MW) AT 
90M],MATCH(Table12[[#This Row],[Windy Temp.
°C]],Curva_Temp[Temp])+1)</f>
        <v>5000</v>
      </c>
      <c r="R1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6" s="18"/>
      <c r="U106" s="18">
        <v>6.3</v>
      </c>
      <c r="V106" s="18">
        <v>8</v>
      </c>
      <c r="W106" s="18">
        <f>CEILING(Table12[[#This Row],[Darwin Gusts
m/s]],0.5)</f>
        <v>8</v>
      </c>
      <c r="X106" s="18">
        <v>18.2</v>
      </c>
    </row>
    <row r="107" spans="2:24" ht="12" x14ac:dyDescent="0.2">
      <c r="B107" s="16">
        <f t="shared" si="6"/>
        <v>45084.291666666417</v>
      </c>
      <c r="C107" s="17">
        <f t="shared" si="10"/>
        <v>4.2916666666666625</v>
      </c>
      <c r="D107" s="29">
        <f>Table12[[#This Row],[MW TOTAL BARRA A]]+Table12[[#This Row],[MW TOTAL BARRA B]]</f>
        <v>71.824999999999989</v>
      </c>
      <c r="E107" s="18">
        <f>Windy_web!$CQ7</f>
        <v>4</v>
      </c>
      <c r="F107" s="18">
        <f>Windy_web!$CQ8</f>
        <v>7</v>
      </c>
      <c r="G107" s="27" t="str">
        <f>Windy_web!$CQ5</f>
        <v>15°</v>
      </c>
      <c r="H107" s="26">
        <f t="shared" si="5"/>
        <v>15</v>
      </c>
      <c r="I107" s="18">
        <v>25</v>
      </c>
      <c r="J107" s="18">
        <v>20</v>
      </c>
      <c r="K107" s="18">
        <f>Table12[[#This Row],[AEG E/S BARRA A]]*Table12[[#This Row],[AEG 5.2 MW]]</f>
        <v>39.924999999999997</v>
      </c>
      <c r="L107" s="18">
        <f>Table12[[#This Row],[AEG E/S BARRA B]]*Table12[[#This Row],[AEG 5.0 MW]]</f>
        <v>31.9</v>
      </c>
      <c r="M1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7" s="29">
        <f>INDEX(Curva_Temp[Temp],MATCH(Table12[[#This Row],[Windy Temp.
°C]],Curva_Temp[Temp]))</f>
        <v>15</v>
      </c>
      <c r="O107" s="29">
        <f>INDEX(Curva_Temp[Warranted Power Curve for 
1.194Kg/m3 air density '[kW']
SG 5.0-145 (AM+1, 5.2MW) AT 
90M],MATCH(Table12[[#This Row],[Windy Temp.
°C]],Curva_Temp[Temp]))</f>
        <v>5200</v>
      </c>
      <c r="P107" s="29" cm="1">
        <f t="array" ref="P107">INDEX(Curva_Temp[Temp],MATCH(Table12[[#This Row],[Windy Temp.
°C]],Curva_Temp[Temp])+1)</f>
        <v>20</v>
      </c>
      <c r="Q107" s="29" cm="1">
        <f t="array" ref="Q107">INDEX(Curva_Temp[Warranted Power Curve for 
1.194Kg/m3 air density '[kW']
SG 5.0-145 (AM+1, 5.2MW) AT 
90M],MATCH(Table12[[#This Row],[Windy Temp.
°C]],Curva_Temp[Temp])+1)</f>
        <v>5000</v>
      </c>
      <c r="R1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7" s="18"/>
      <c r="U107" s="18">
        <v>5.7</v>
      </c>
      <c r="V107" s="18">
        <v>7.3</v>
      </c>
      <c r="W107" s="18">
        <f>CEILING(Table12[[#This Row],[Darwin Gusts
m/s]],0.5)</f>
        <v>7.5</v>
      </c>
      <c r="X107" s="18">
        <v>18.100000000000001</v>
      </c>
    </row>
    <row r="108" spans="2:24" ht="12" x14ac:dyDescent="0.2">
      <c r="B108" s="16">
        <f t="shared" si="6"/>
        <v>45084.333333333081</v>
      </c>
      <c r="C108" s="24">
        <f t="shared" si="10"/>
        <v>4.3333333333333295</v>
      </c>
      <c r="D108" s="29">
        <f>Table12[[#This Row],[MW TOTAL BARRA A]]+Table12[[#This Row],[MW TOTAL BARRA B]]</f>
        <v>71.824999999999989</v>
      </c>
      <c r="E108" s="25">
        <f>Windy_web!$CQ7</f>
        <v>4</v>
      </c>
      <c r="F108" s="25">
        <f>Windy_web!$CQ8</f>
        <v>7</v>
      </c>
      <c r="G108" s="26" t="str">
        <f>Windy_web!$CQ5</f>
        <v>15°</v>
      </c>
      <c r="H108" s="26">
        <f t="shared" si="5"/>
        <v>15</v>
      </c>
      <c r="I108" s="18">
        <v>25</v>
      </c>
      <c r="J108" s="18">
        <v>20</v>
      </c>
      <c r="K108" s="18">
        <f>Table12[[#This Row],[AEG E/S BARRA A]]*Table12[[#This Row],[AEG 5.2 MW]]</f>
        <v>39.924999999999997</v>
      </c>
      <c r="L108" s="18">
        <f>Table12[[#This Row],[AEG E/S BARRA B]]*Table12[[#This Row],[AEG 5.0 MW]]</f>
        <v>31.9</v>
      </c>
      <c r="M1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8" s="29">
        <f>INDEX(Curva_Temp[Temp],MATCH(Table12[[#This Row],[Windy Temp.
°C]],Curva_Temp[Temp]))</f>
        <v>15</v>
      </c>
      <c r="O108" s="29">
        <f>INDEX(Curva_Temp[Warranted Power Curve for 
1.194Kg/m3 air density '[kW']
SG 5.0-145 (AM+1, 5.2MW) AT 
90M],MATCH(Table12[[#This Row],[Windy Temp.
°C]],Curva_Temp[Temp]))</f>
        <v>5200</v>
      </c>
      <c r="P108" s="29" cm="1">
        <f t="array" ref="P108">INDEX(Curva_Temp[Temp],MATCH(Table12[[#This Row],[Windy Temp.
°C]],Curva_Temp[Temp])+1)</f>
        <v>20</v>
      </c>
      <c r="Q108" s="29" cm="1">
        <f t="array" ref="Q108">INDEX(Curva_Temp[Warranted Power Curve for 
1.194Kg/m3 air density '[kW']
SG 5.0-145 (AM+1, 5.2MW) AT 
90M],MATCH(Table12[[#This Row],[Windy Temp.
°C]],Curva_Temp[Temp])+1)</f>
        <v>5000</v>
      </c>
      <c r="R1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8" s="18"/>
      <c r="U108" s="18">
        <v>5.2</v>
      </c>
      <c r="V108" s="18">
        <v>6.8</v>
      </c>
      <c r="W108" s="18">
        <f>CEILING(Table12[[#This Row],[Darwin Gusts
m/s]],0.5)</f>
        <v>7</v>
      </c>
      <c r="X108" s="18">
        <v>17.899999999999999</v>
      </c>
    </row>
    <row r="109" spans="2:24" ht="12" x14ac:dyDescent="0.2">
      <c r="B109" s="16">
        <f t="shared" si="6"/>
        <v>45084.374999999745</v>
      </c>
      <c r="C109" s="24">
        <f t="shared" si="10"/>
        <v>4.3749999999999964</v>
      </c>
      <c r="D109" s="29">
        <f>Table12[[#This Row],[MW TOTAL BARRA A]]+Table12[[#This Row],[MW TOTAL BARRA B]]</f>
        <v>71.824999999999989</v>
      </c>
      <c r="E109" s="25">
        <f>Windy_web!$CQ7</f>
        <v>4</v>
      </c>
      <c r="F109" s="25">
        <f>Windy_web!$CQ8</f>
        <v>7</v>
      </c>
      <c r="G109" s="26" t="str">
        <f>Windy_web!$CQ5</f>
        <v>15°</v>
      </c>
      <c r="H109" s="26">
        <f t="shared" si="5"/>
        <v>15</v>
      </c>
      <c r="I109" s="18">
        <v>25</v>
      </c>
      <c r="J109" s="18">
        <v>20</v>
      </c>
      <c r="K109" s="18">
        <f>Table12[[#This Row],[AEG E/S BARRA A]]*Table12[[#This Row],[AEG 5.2 MW]]</f>
        <v>39.924999999999997</v>
      </c>
      <c r="L109" s="18">
        <f>Table12[[#This Row],[AEG E/S BARRA B]]*Table12[[#This Row],[AEG 5.0 MW]]</f>
        <v>31.9</v>
      </c>
      <c r="M10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9" s="29">
        <f>INDEX(Curva_Temp[Temp],MATCH(Table12[[#This Row],[Windy Temp.
°C]],Curva_Temp[Temp]))</f>
        <v>15</v>
      </c>
      <c r="O109" s="29">
        <f>INDEX(Curva_Temp[Warranted Power Curve for 
1.194Kg/m3 air density '[kW']
SG 5.0-145 (AM+1, 5.2MW) AT 
90M],MATCH(Table12[[#This Row],[Windy Temp.
°C]],Curva_Temp[Temp]))</f>
        <v>5200</v>
      </c>
      <c r="P109" s="29" cm="1">
        <f t="array" ref="P109">INDEX(Curva_Temp[Temp],MATCH(Table12[[#This Row],[Windy Temp.
°C]],Curva_Temp[Temp])+1)</f>
        <v>20</v>
      </c>
      <c r="Q109" s="29" cm="1">
        <f t="array" ref="Q109">INDEX(Curva_Temp[Warranted Power Curve for 
1.194Kg/m3 air density '[kW']
SG 5.0-145 (AM+1, 5.2MW) AT 
90M],MATCH(Table12[[#This Row],[Windy Temp.
°C]],Curva_Temp[Temp])+1)</f>
        <v>5000</v>
      </c>
      <c r="R1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9" s="18"/>
      <c r="U109" s="18">
        <v>4.5999999999999996</v>
      </c>
      <c r="V109" s="18">
        <v>6.2</v>
      </c>
      <c r="W109" s="18">
        <f>CEILING(Table12[[#This Row],[Darwin Gusts
m/s]],0.5)</f>
        <v>6.5</v>
      </c>
      <c r="X109" s="18">
        <v>17.8</v>
      </c>
    </row>
    <row r="110" spans="2:24" ht="12" x14ac:dyDescent="0.2">
      <c r="B110" s="16">
        <f t="shared" si="6"/>
        <v>45084.41666666641</v>
      </c>
      <c r="C110" s="17">
        <f t="shared" si="10"/>
        <v>4.4166666666666634</v>
      </c>
      <c r="D110" s="29">
        <f>Table12[[#This Row],[MW TOTAL BARRA A]]+Table12[[#This Row],[MW TOTAL BARRA B]]</f>
        <v>71.824999999999989</v>
      </c>
      <c r="E110" s="18">
        <f>Windy_web!$CR7</f>
        <v>4</v>
      </c>
      <c r="F110" s="18">
        <f>Windy_web!$CR8</f>
        <v>7</v>
      </c>
      <c r="G110" s="27" t="str">
        <f>Windy_web!$CR5</f>
        <v>19°</v>
      </c>
      <c r="H110" s="26">
        <f t="shared" si="5"/>
        <v>19</v>
      </c>
      <c r="I110" s="18">
        <v>25</v>
      </c>
      <c r="J110" s="18">
        <v>20</v>
      </c>
      <c r="K110" s="18">
        <f>Table12[[#This Row],[AEG E/S BARRA A]]*Table12[[#This Row],[AEG 5.2 MW]]</f>
        <v>39.924999999999997</v>
      </c>
      <c r="L110" s="18">
        <f>Table12[[#This Row],[AEG E/S BARRA B]]*Table12[[#This Row],[AEG 5.0 MW]]</f>
        <v>31.9</v>
      </c>
      <c r="M11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0" s="29">
        <f>INDEX(Curva_Temp[Temp],MATCH(Table12[[#This Row],[Windy Temp.
°C]],Curva_Temp[Temp]))</f>
        <v>15</v>
      </c>
      <c r="O110" s="29">
        <f>INDEX(Curva_Temp[Warranted Power Curve for 
1.194Kg/m3 air density '[kW']
SG 5.0-145 (AM+1, 5.2MW) AT 
90M],MATCH(Table12[[#This Row],[Windy Temp.
°C]],Curva_Temp[Temp]))</f>
        <v>5200</v>
      </c>
      <c r="P110" s="29" cm="1">
        <f t="array" ref="P110">INDEX(Curva_Temp[Temp],MATCH(Table12[[#This Row],[Windy Temp.
°C]],Curva_Temp[Temp])+1)</f>
        <v>20</v>
      </c>
      <c r="Q110" s="29" cm="1">
        <f t="array" ref="Q110">INDEX(Curva_Temp[Warranted Power Curve for 
1.194Kg/m3 air density '[kW']
SG 5.0-145 (AM+1, 5.2MW) AT 
90M],MATCH(Table12[[#This Row],[Windy Temp.
°C]],Curva_Temp[Temp])+1)</f>
        <v>5000</v>
      </c>
      <c r="R1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0" s="18"/>
      <c r="U110" s="18">
        <v>5.9</v>
      </c>
      <c r="V110" s="18">
        <v>7.5</v>
      </c>
      <c r="W110" s="18">
        <f>CEILING(Table12[[#This Row],[Darwin Gusts
m/s]],0.5)</f>
        <v>7.5</v>
      </c>
      <c r="X110" s="18">
        <v>17.7</v>
      </c>
    </row>
    <row r="111" spans="2:24" ht="12" x14ac:dyDescent="0.2">
      <c r="B111" s="16">
        <f t="shared" si="6"/>
        <v>45084.458333333074</v>
      </c>
      <c r="C111" s="24">
        <f t="shared" si="10"/>
        <v>4.4583333333333304</v>
      </c>
      <c r="D111" s="29">
        <f>Table12[[#This Row],[MW TOTAL BARRA A]]+Table12[[#This Row],[MW TOTAL BARRA B]]</f>
        <v>71.824999999999989</v>
      </c>
      <c r="E111" s="25">
        <f>Windy_web!$CR7</f>
        <v>4</v>
      </c>
      <c r="F111" s="25">
        <f>Windy_web!$CR8</f>
        <v>7</v>
      </c>
      <c r="G111" s="26" t="str">
        <f>Windy_web!$CR5</f>
        <v>19°</v>
      </c>
      <c r="H111" s="26">
        <f t="shared" si="5"/>
        <v>19</v>
      </c>
      <c r="I111" s="18">
        <v>25</v>
      </c>
      <c r="J111" s="18">
        <v>20</v>
      </c>
      <c r="K111" s="18">
        <f>Table12[[#This Row],[AEG E/S BARRA A]]*Table12[[#This Row],[AEG 5.2 MW]]</f>
        <v>39.924999999999997</v>
      </c>
      <c r="L111" s="18">
        <f>Table12[[#This Row],[AEG E/S BARRA B]]*Table12[[#This Row],[AEG 5.0 MW]]</f>
        <v>31.9</v>
      </c>
      <c r="M11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1" s="29">
        <f>INDEX(Curva_Temp[Temp],MATCH(Table12[[#This Row],[Windy Temp.
°C]],Curva_Temp[Temp]))</f>
        <v>15</v>
      </c>
      <c r="O111" s="29">
        <f>INDEX(Curva_Temp[Warranted Power Curve for 
1.194Kg/m3 air density '[kW']
SG 5.0-145 (AM+1, 5.2MW) AT 
90M],MATCH(Table12[[#This Row],[Windy Temp.
°C]],Curva_Temp[Temp]))</f>
        <v>5200</v>
      </c>
      <c r="P111" s="29" cm="1">
        <f t="array" ref="P111">INDEX(Curva_Temp[Temp],MATCH(Table12[[#This Row],[Windy Temp.
°C]],Curva_Temp[Temp])+1)</f>
        <v>20</v>
      </c>
      <c r="Q111" s="29" cm="1">
        <f t="array" ref="Q111">INDEX(Curva_Temp[Warranted Power Curve for 
1.194Kg/m3 air density '[kW']
SG 5.0-145 (AM+1, 5.2MW) AT 
90M],MATCH(Table12[[#This Row],[Windy Temp.
°C]],Curva_Temp[Temp])+1)</f>
        <v>5000</v>
      </c>
      <c r="R1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1" s="18"/>
      <c r="U111" s="18">
        <v>7.1</v>
      </c>
      <c r="V111" s="18">
        <v>8.9</v>
      </c>
      <c r="W111" s="18">
        <f>CEILING(Table12[[#This Row],[Darwin Gusts
m/s]],0.5)</f>
        <v>9</v>
      </c>
      <c r="X111" s="18">
        <v>18.100000000000001</v>
      </c>
    </row>
    <row r="112" spans="2:24" ht="12" x14ac:dyDescent="0.2">
      <c r="B112" s="16">
        <f t="shared" si="6"/>
        <v>45084.499999999738</v>
      </c>
      <c r="C112" s="24">
        <f t="shared" si="10"/>
        <v>4.4999999999999973</v>
      </c>
      <c r="D112" s="29">
        <f>Table12[[#This Row],[MW TOTAL BARRA A]]+Table12[[#This Row],[MW TOTAL BARRA B]]</f>
        <v>71.824999999999989</v>
      </c>
      <c r="E112" s="25">
        <f>Windy_web!$CR7</f>
        <v>4</v>
      </c>
      <c r="F112" s="25">
        <f>Windy_web!$CR8</f>
        <v>7</v>
      </c>
      <c r="G112" s="26" t="str">
        <f>Windy_web!$CR5</f>
        <v>19°</v>
      </c>
      <c r="H112" s="26">
        <f t="shared" si="5"/>
        <v>19</v>
      </c>
      <c r="I112" s="18">
        <v>25</v>
      </c>
      <c r="J112" s="18">
        <v>20</v>
      </c>
      <c r="K112" s="18">
        <f>Table12[[#This Row],[AEG E/S BARRA A]]*Table12[[#This Row],[AEG 5.2 MW]]</f>
        <v>39.924999999999997</v>
      </c>
      <c r="L112" s="18">
        <f>Table12[[#This Row],[AEG E/S BARRA B]]*Table12[[#This Row],[AEG 5.0 MW]]</f>
        <v>31.9</v>
      </c>
      <c r="M11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2" s="29">
        <f>INDEX(Curva_Temp[Temp],MATCH(Table12[[#This Row],[Windy Temp.
°C]],Curva_Temp[Temp]))</f>
        <v>15</v>
      </c>
      <c r="O112" s="29">
        <f>INDEX(Curva_Temp[Warranted Power Curve for 
1.194Kg/m3 air density '[kW']
SG 5.0-145 (AM+1, 5.2MW) AT 
90M],MATCH(Table12[[#This Row],[Windy Temp.
°C]],Curva_Temp[Temp]))</f>
        <v>5200</v>
      </c>
      <c r="P112" s="29" cm="1">
        <f t="array" ref="P112">INDEX(Curva_Temp[Temp],MATCH(Table12[[#This Row],[Windy Temp.
°C]],Curva_Temp[Temp])+1)</f>
        <v>20</v>
      </c>
      <c r="Q112" s="29" cm="1">
        <f t="array" ref="Q112">INDEX(Curva_Temp[Warranted Power Curve for 
1.194Kg/m3 air density '[kW']
SG 5.0-145 (AM+1, 5.2MW) AT 
90M],MATCH(Table12[[#This Row],[Windy Temp.
°C]],Curva_Temp[Temp])+1)</f>
        <v>5000</v>
      </c>
      <c r="R1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2" s="18"/>
      <c r="U112" s="18">
        <v>8.3000000000000007</v>
      </c>
      <c r="V112" s="18">
        <v>10.4</v>
      </c>
      <c r="W112" s="18">
        <f>CEILING(Table12[[#This Row],[Darwin Gusts
m/s]],0.5)</f>
        <v>10.5</v>
      </c>
      <c r="X112" s="18">
        <v>18.7</v>
      </c>
    </row>
    <row r="113" spans="2:24" ht="12" x14ac:dyDescent="0.2">
      <c r="B113" s="16">
        <f t="shared" si="6"/>
        <v>45084.541666666402</v>
      </c>
      <c r="C113" s="17">
        <f t="shared" si="10"/>
        <v>4.5416666666666643</v>
      </c>
      <c r="D113" s="29">
        <f>Table12[[#This Row],[MW TOTAL BARRA A]]+Table12[[#This Row],[MW TOTAL BARRA B]]</f>
        <v>219.56</v>
      </c>
      <c r="E113" s="25">
        <f>Windy_web!$CS7</f>
        <v>6</v>
      </c>
      <c r="F113" s="25">
        <f>Windy_web!$CS8</f>
        <v>11</v>
      </c>
      <c r="G113" s="26" t="str">
        <f>Windy_web!$CS5</f>
        <v>20°</v>
      </c>
      <c r="H113" s="26">
        <f t="shared" si="5"/>
        <v>20</v>
      </c>
      <c r="I113" s="18">
        <v>25</v>
      </c>
      <c r="J113" s="18">
        <v>20</v>
      </c>
      <c r="K113" s="18">
        <f>Table12[[#This Row],[AEG E/S BARRA A]]*Table12[[#This Row],[AEG 5.2 MW]]</f>
        <v>123.9</v>
      </c>
      <c r="L113" s="18">
        <f>Table12[[#This Row],[AEG E/S BARRA B]]*Table12[[#This Row],[AEG 5.0 MW]]</f>
        <v>95.660000000000011</v>
      </c>
      <c r="M1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3" s="29">
        <f>INDEX(Curva_Temp[Temp],MATCH(Table12[[#This Row],[Windy Temp.
°C]],Curva_Temp[Temp]))</f>
        <v>20</v>
      </c>
      <c r="O113" s="29">
        <f>INDEX(Curva_Temp[Warranted Power Curve for 
1.194Kg/m3 air density '[kW']
SG 5.0-145 (AM+1, 5.2MW) AT 
90M],MATCH(Table12[[#This Row],[Windy Temp.
°C]],Curva_Temp[Temp]))</f>
        <v>5000</v>
      </c>
      <c r="P113" s="29" cm="1">
        <f t="array" ref="P113">INDEX(Curva_Temp[Temp],MATCH(Table12[[#This Row],[Windy Temp.
°C]],Curva_Temp[Temp])+1)</f>
        <v>25</v>
      </c>
      <c r="Q113" s="29" cm="1">
        <f t="array" ref="Q113">INDEX(Curva_Temp[Warranted Power Curve for 
1.194Kg/m3 air density '[kW']
SG 5.0-145 (AM+1, 5.2MW) AT 
90M],MATCH(Table12[[#This Row],[Windy Temp.
°C]],Curva_Temp[Temp])+1)</f>
        <v>4900</v>
      </c>
      <c r="R1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3" s="18"/>
      <c r="U113" s="18">
        <v>8.1999999999999993</v>
      </c>
      <c r="V113" s="18">
        <v>10.199999999999999</v>
      </c>
      <c r="W113" s="18">
        <f>CEILING(Table12[[#This Row],[Darwin Gusts
m/s]],0.5)</f>
        <v>10.5</v>
      </c>
      <c r="X113" s="18">
        <v>19.3</v>
      </c>
    </row>
    <row r="114" spans="2:24" ht="12" x14ac:dyDescent="0.2">
      <c r="B114" s="16">
        <f t="shared" si="6"/>
        <v>45084.583333333067</v>
      </c>
      <c r="C114" s="24">
        <f t="shared" si="10"/>
        <v>4.5833333333333313</v>
      </c>
      <c r="D114" s="29">
        <f>Table12[[#This Row],[MW TOTAL BARRA A]]+Table12[[#This Row],[MW TOTAL BARRA B]]</f>
        <v>219.56</v>
      </c>
      <c r="E114" s="25">
        <f>Windy_web!$CS7</f>
        <v>6</v>
      </c>
      <c r="F114" s="25">
        <f>Windy_web!$CS8</f>
        <v>11</v>
      </c>
      <c r="G114" s="26" t="str">
        <f>Windy_web!$CS5</f>
        <v>20°</v>
      </c>
      <c r="H114" s="26">
        <f t="shared" si="5"/>
        <v>20</v>
      </c>
      <c r="I114" s="18">
        <v>25</v>
      </c>
      <c r="J114" s="18">
        <v>20</v>
      </c>
      <c r="K114" s="18">
        <f>Table12[[#This Row],[AEG E/S BARRA A]]*Table12[[#This Row],[AEG 5.2 MW]]</f>
        <v>123.9</v>
      </c>
      <c r="L114" s="18">
        <f>Table12[[#This Row],[AEG E/S BARRA B]]*Table12[[#This Row],[AEG 5.0 MW]]</f>
        <v>95.660000000000011</v>
      </c>
      <c r="M1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4" s="29">
        <f>INDEX(Curva_Temp[Temp],MATCH(Table12[[#This Row],[Windy Temp.
°C]],Curva_Temp[Temp]))</f>
        <v>20</v>
      </c>
      <c r="O114" s="29">
        <f>INDEX(Curva_Temp[Warranted Power Curve for 
1.194Kg/m3 air density '[kW']
SG 5.0-145 (AM+1, 5.2MW) AT 
90M],MATCH(Table12[[#This Row],[Windy Temp.
°C]],Curva_Temp[Temp]))</f>
        <v>5000</v>
      </c>
      <c r="P114" s="29" cm="1">
        <f t="array" ref="P114">INDEX(Curva_Temp[Temp],MATCH(Table12[[#This Row],[Windy Temp.
°C]],Curva_Temp[Temp])+1)</f>
        <v>25</v>
      </c>
      <c r="Q114" s="29" cm="1">
        <f t="array" ref="Q114">INDEX(Curva_Temp[Warranted Power Curve for 
1.194Kg/m3 air density '[kW']
SG 5.0-145 (AM+1, 5.2MW) AT 
90M],MATCH(Table12[[#This Row],[Windy Temp.
°C]],Curva_Temp[Temp])+1)</f>
        <v>4900</v>
      </c>
      <c r="R1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4" s="18"/>
      <c r="U114" s="18">
        <v>8</v>
      </c>
      <c r="V114" s="18">
        <v>10</v>
      </c>
      <c r="W114" s="18">
        <f>CEILING(Table12[[#This Row],[Darwin Gusts
m/s]],0.5)</f>
        <v>10</v>
      </c>
      <c r="X114" s="18">
        <v>19.8</v>
      </c>
    </row>
    <row r="115" spans="2:24" ht="12" x14ac:dyDescent="0.2">
      <c r="B115" s="16">
        <f t="shared" si="6"/>
        <v>45084.624999999731</v>
      </c>
      <c r="C115" s="24">
        <f t="shared" si="10"/>
        <v>4.6249999999999982</v>
      </c>
      <c r="D115" s="29">
        <f>Table12[[#This Row],[MW TOTAL BARRA A]]+Table12[[#This Row],[MW TOTAL BARRA B]]</f>
        <v>219.56</v>
      </c>
      <c r="E115" s="25">
        <f>Windy_web!$CS7</f>
        <v>6</v>
      </c>
      <c r="F115" s="25">
        <f>Windy_web!$CS8</f>
        <v>11</v>
      </c>
      <c r="G115" s="26" t="str">
        <f>Windy_web!$CS5</f>
        <v>20°</v>
      </c>
      <c r="H115" s="26">
        <f t="shared" si="5"/>
        <v>20</v>
      </c>
      <c r="I115" s="18">
        <v>25</v>
      </c>
      <c r="J115" s="18">
        <v>20</v>
      </c>
      <c r="K115" s="18">
        <f>Table12[[#This Row],[AEG E/S BARRA A]]*Table12[[#This Row],[AEG 5.2 MW]]</f>
        <v>123.9</v>
      </c>
      <c r="L115" s="18">
        <f>Table12[[#This Row],[AEG E/S BARRA B]]*Table12[[#This Row],[AEG 5.0 MW]]</f>
        <v>95.660000000000011</v>
      </c>
      <c r="M1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5" s="29">
        <f>INDEX(Curva_Temp[Temp],MATCH(Table12[[#This Row],[Windy Temp.
°C]],Curva_Temp[Temp]))</f>
        <v>20</v>
      </c>
      <c r="O115" s="29">
        <f>INDEX(Curva_Temp[Warranted Power Curve for 
1.194Kg/m3 air density '[kW']
SG 5.0-145 (AM+1, 5.2MW) AT 
90M],MATCH(Table12[[#This Row],[Windy Temp.
°C]],Curva_Temp[Temp]))</f>
        <v>5000</v>
      </c>
      <c r="P115" s="29" cm="1">
        <f t="array" ref="P115">INDEX(Curva_Temp[Temp],MATCH(Table12[[#This Row],[Windy Temp.
°C]],Curva_Temp[Temp])+1)</f>
        <v>25</v>
      </c>
      <c r="Q115" s="29" cm="1">
        <f t="array" ref="Q115">INDEX(Curva_Temp[Warranted Power Curve for 
1.194Kg/m3 air density '[kW']
SG 5.0-145 (AM+1, 5.2MW) AT 
90M],MATCH(Table12[[#This Row],[Windy Temp.
°C]],Curva_Temp[Temp])+1)</f>
        <v>4900</v>
      </c>
      <c r="R1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5" s="18"/>
      <c r="U115" s="18">
        <v>7.9</v>
      </c>
      <c r="V115" s="18">
        <v>9.9</v>
      </c>
      <c r="W115" s="18">
        <f>CEILING(Table12[[#This Row],[Darwin Gusts
m/s]],0.5)</f>
        <v>10</v>
      </c>
      <c r="X115" s="18">
        <v>20.2</v>
      </c>
    </row>
    <row r="116" spans="2:24" ht="12" x14ac:dyDescent="0.2">
      <c r="B116" s="16">
        <f t="shared" si="6"/>
        <v>45084.666666666395</v>
      </c>
      <c r="C116" s="17">
        <f t="shared" si="10"/>
        <v>4.6666666666666652</v>
      </c>
      <c r="D116" s="29">
        <f>Table12[[#This Row],[MW TOTAL BARRA A]]+Table12[[#This Row],[MW TOTAL BARRA B]]</f>
        <v>226.44</v>
      </c>
      <c r="E116" s="18">
        <f>Windy_web!$CT7</f>
        <v>7</v>
      </c>
      <c r="F116" s="18">
        <f>Windy_web!$CT8</f>
        <v>12</v>
      </c>
      <c r="G116" s="27" t="str">
        <f>Windy_web!$CT5</f>
        <v>18°</v>
      </c>
      <c r="H116" s="26">
        <f t="shared" si="5"/>
        <v>18</v>
      </c>
      <c r="I116" s="18">
        <v>25</v>
      </c>
      <c r="J116" s="18">
        <v>20</v>
      </c>
      <c r="K116" s="18">
        <f>Table12[[#This Row],[AEG E/S BARRA A]]*Table12[[#This Row],[AEG 5.2 MW]]</f>
        <v>127</v>
      </c>
      <c r="L116" s="18">
        <f>Table12[[#This Row],[AEG E/S BARRA B]]*Table12[[#This Row],[AEG 5.0 MW]]</f>
        <v>99.440000000000012</v>
      </c>
      <c r="M11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6" s="29">
        <f>INDEX(Curva_Temp[Temp],MATCH(Table12[[#This Row],[Windy Temp.
°C]],Curva_Temp[Temp]))</f>
        <v>15</v>
      </c>
      <c r="O116" s="29">
        <f>INDEX(Curva_Temp[Warranted Power Curve for 
1.194Kg/m3 air density '[kW']
SG 5.0-145 (AM+1, 5.2MW) AT 
90M],MATCH(Table12[[#This Row],[Windy Temp.
°C]],Curva_Temp[Temp]))</f>
        <v>5200</v>
      </c>
      <c r="P116" s="29" cm="1">
        <f t="array" ref="P116">INDEX(Curva_Temp[Temp],MATCH(Table12[[#This Row],[Windy Temp.
°C]],Curva_Temp[Temp])+1)</f>
        <v>20</v>
      </c>
      <c r="Q116" s="29" cm="1">
        <f t="array" ref="Q116">INDEX(Curva_Temp[Warranted Power Curve for 
1.194Kg/m3 air density '[kW']
SG 5.0-145 (AM+1, 5.2MW) AT 
90M],MATCH(Table12[[#This Row],[Windy Temp.
°C]],Curva_Temp[Temp])+1)</f>
        <v>5000</v>
      </c>
      <c r="R1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6" s="18"/>
      <c r="U116" s="18">
        <v>7.1</v>
      </c>
      <c r="V116" s="18">
        <v>9.4</v>
      </c>
      <c r="W116" s="18">
        <f>CEILING(Table12[[#This Row],[Darwin Gusts
m/s]],0.5)</f>
        <v>9.5</v>
      </c>
      <c r="X116" s="18">
        <v>20.3</v>
      </c>
    </row>
    <row r="117" spans="2:24" ht="12" x14ac:dyDescent="0.2">
      <c r="B117" s="16">
        <f t="shared" si="6"/>
        <v>45084.708333333059</v>
      </c>
      <c r="C117" s="24">
        <f t="shared" si="10"/>
        <v>4.7083333333333321</v>
      </c>
      <c r="D117" s="29">
        <f>Table12[[#This Row],[MW TOTAL BARRA A]]+Table12[[#This Row],[MW TOTAL BARRA B]]</f>
        <v>226.44</v>
      </c>
      <c r="E117" s="25">
        <f>Windy_web!$CT7</f>
        <v>7</v>
      </c>
      <c r="F117" s="25">
        <f>Windy_web!$CT8</f>
        <v>12</v>
      </c>
      <c r="G117" s="26" t="str">
        <f>Windy_web!$CT5</f>
        <v>18°</v>
      </c>
      <c r="H117" s="26">
        <f t="shared" si="5"/>
        <v>18</v>
      </c>
      <c r="I117" s="18">
        <v>25</v>
      </c>
      <c r="J117" s="18">
        <v>20</v>
      </c>
      <c r="K117" s="18">
        <f>Table12[[#This Row],[AEG E/S BARRA A]]*Table12[[#This Row],[AEG 5.2 MW]]</f>
        <v>127</v>
      </c>
      <c r="L117" s="18">
        <f>Table12[[#This Row],[AEG E/S BARRA B]]*Table12[[#This Row],[AEG 5.0 MW]]</f>
        <v>99.440000000000012</v>
      </c>
      <c r="M11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7" s="29">
        <f>INDEX(Curva_Temp[Temp],MATCH(Table12[[#This Row],[Windy Temp.
°C]],Curva_Temp[Temp]))</f>
        <v>15</v>
      </c>
      <c r="O117" s="29">
        <f>INDEX(Curva_Temp[Warranted Power Curve for 
1.194Kg/m3 air density '[kW']
SG 5.0-145 (AM+1, 5.2MW) AT 
90M],MATCH(Table12[[#This Row],[Windy Temp.
°C]],Curva_Temp[Temp]))</f>
        <v>5200</v>
      </c>
      <c r="P117" s="29" cm="1">
        <f t="array" ref="P117">INDEX(Curva_Temp[Temp],MATCH(Table12[[#This Row],[Windy Temp.
°C]],Curva_Temp[Temp])+1)</f>
        <v>20</v>
      </c>
      <c r="Q117" s="29" cm="1">
        <f t="array" ref="Q117">INDEX(Curva_Temp[Warranted Power Curve for 
1.194Kg/m3 air density '[kW']
SG 5.0-145 (AM+1, 5.2MW) AT 
90M],MATCH(Table12[[#This Row],[Windy Temp.
°C]],Curva_Temp[Temp])+1)</f>
        <v>5000</v>
      </c>
      <c r="R1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7" s="18"/>
      <c r="U117" s="18">
        <v>6.4</v>
      </c>
      <c r="V117" s="18">
        <v>8.9</v>
      </c>
      <c r="W117" s="18">
        <f>CEILING(Table12[[#This Row],[Darwin Gusts
m/s]],0.5)</f>
        <v>9</v>
      </c>
      <c r="X117" s="18">
        <v>20.2</v>
      </c>
    </row>
    <row r="118" spans="2:24" ht="12" x14ac:dyDescent="0.2">
      <c r="B118" s="16">
        <f t="shared" si="6"/>
        <v>45084.749999999724</v>
      </c>
      <c r="C118" s="24">
        <f t="shared" si="10"/>
        <v>4.7499999999999991</v>
      </c>
      <c r="D118" s="29">
        <f>Table12[[#This Row],[MW TOTAL BARRA A]]+Table12[[#This Row],[MW TOTAL BARRA B]]</f>
        <v>226.44</v>
      </c>
      <c r="E118" s="25">
        <f>Windy_web!$CT7</f>
        <v>7</v>
      </c>
      <c r="F118" s="25">
        <f>Windy_web!$CT8</f>
        <v>12</v>
      </c>
      <c r="G118" s="26" t="str">
        <f>Windy_web!$CT5</f>
        <v>18°</v>
      </c>
      <c r="H118" s="26">
        <f t="shared" si="5"/>
        <v>18</v>
      </c>
      <c r="I118" s="18">
        <v>25</v>
      </c>
      <c r="J118" s="18">
        <v>20</v>
      </c>
      <c r="K118" s="18">
        <f>Table12[[#This Row],[AEG E/S BARRA A]]*Table12[[#This Row],[AEG 5.2 MW]]</f>
        <v>127</v>
      </c>
      <c r="L118" s="18">
        <f>Table12[[#This Row],[AEG E/S BARRA B]]*Table12[[#This Row],[AEG 5.0 MW]]</f>
        <v>99.440000000000012</v>
      </c>
      <c r="M118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8" s="29">
        <f>INDEX(Curva_Temp[Temp],MATCH(Table12[[#This Row],[Windy Temp.
°C]],Curva_Temp[Temp]))</f>
        <v>15</v>
      </c>
      <c r="O118" s="29">
        <f>INDEX(Curva_Temp[Warranted Power Curve for 
1.194Kg/m3 air density '[kW']
SG 5.0-145 (AM+1, 5.2MW) AT 
90M],MATCH(Table12[[#This Row],[Windy Temp.
°C]],Curva_Temp[Temp]))</f>
        <v>5200</v>
      </c>
      <c r="P118" s="29" cm="1">
        <f t="array" ref="P118">INDEX(Curva_Temp[Temp],MATCH(Table12[[#This Row],[Windy Temp.
°C]],Curva_Temp[Temp])+1)</f>
        <v>20</v>
      </c>
      <c r="Q118" s="29" cm="1">
        <f t="array" ref="Q118">INDEX(Curva_Temp[Warranted Power Curve for 
1.194Kg/m3 air density '[kW']
SG 5.0-145 (AM+1, 5.2MW) AT 
90M],MATCH(Table12[[#This Row],[Windy Temp.
°C]],Curva_Temp[Temp])+1)</f>
        <v>5000</v>
      </c>
      <c r="R1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8" s="18"/>
      <c r="U118" s="18">
        <v>5.7</v>
      </c>
      <c r="V118" s="18">
        <v>8.4</v>
      </c>
      <c r="W118" s="18">
        <f>CEILING(Table12[[#This Row],[Darwin Gusts
m/s]],0.5)</f>
        <v>8.5</v>
      </c>
      <c r="X118" s="18">
        <v>19.899999999999999</v>
      </c>
    </row>
    <row r="119" spans="2:24" ht="12" x14ac:dyDescent="0.2">
      <c r="B119" s="16">
        <f t="shared" si="6"/>
        <v>45084.791666666388</v>
      </c>
      <c r="C119" s="17">
        <f>C118+TIME(1,0,0)</f>
        <v>4.7916666666666661</v>
      </c>
      <c r="D119" s="29">
        <f>Table12[[#This Row],[MW TOTAL BARRA A]]+Table12[[#This Row],[MW TOTAL BARRA B]]</f>
        <v>227.44</v>
      </c>
      <c r="E119" s="18">
        <f>Windy_web!$CU7</f>
        <v>7</v>
      </c>
      <c r="F119" s="18">
        <f>Windy_web!$CU8</f>
        <v>12</v>
      </c>
      <c r="G119" s="27" t="str">
        <f>Windy_web!$CU5</f>
        <v>17°</v>
      </c>
      <c r="H119" s="26">
        <f t="shared" si="5"/>
        <v>17</v>
      </c>
      <c r="I119" s="18">
        <v>25</v>
      </c>
      <c r="J119" s="18">
        <v>20</v>
      </c>
      <c r="K119" s="18">
        <f>Table12[[#This Row],[AEG E/S BARRA A]]*Table12[[#This Row],[AEG 5.2 MW]]</f>
        <v>128</v>
      </c>
      <c r="L119" s="18">
        <f>Table12[[#This Row],[AEG E/S BARRA B]]*Table12[[#This Row],[AEG 5.0 MW]]</f>
        <v>99.440000000000012</v>
      </c>
      <c r="M11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19" s="29">
        <f>INDEX(Curva_Temp[Temp],MATCH(Table12[[#This Row],[Windy Temp.
°C]],Curva_Temp[Temp]))</f>
        <v>15</v>
      </c>
      <c r="O119" s="29">
        <f>INDEX(Curva_Temp[Warranted Power Curve for 
1.194Kg/m3 air density '[kW']
SG 5.0-145 (AM+1, 5.2MW) AT 
90M],MATCH(Table12[[#This Row],[Windy Temp.
°C]],Curva_Temp[Temp]))</f>
        <v>5200</v>
      </c>
      <c r="P119" s="29" cm="1">
        <f t="array" ref="P119">INDEX(Curva_Temp[Temp],MATCH(Table12[[#This Row],[Windy Temp.
°C]],Curva_Temp[Temp])+1)</f>
        <v>20</v>
      </c>
      <c r="Q119" s="29" cm="1">
        <f t="array" ref="Q119">INDEX(Curva_Temp[Warranted Power Curve for 
1.194Kg/m3 air density '[kW']
SG 5.0-145 (AM+1, 5.2MW) AT 
90M],MATCH(Table12[[#This Row],[Windy Temp.
°C]],Curva_Temp[Temp])+1)</f>
        <v>5000</v>
      </c>
      <c r="R1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9" s="18"/>
      <c r="U119" s="18">
        <v>5.7</v>
      </c>
      <c r="V119" s="18">
        <v>8.4</v>
      </c>
      <c r="W119" s="18">
        <f>CEILING(Table12[[#This Row],[Darwin Gusts
m/s]],0.5)</f>
        <v>8.5</v>
      </c>
      <c r="X119" s="18">
        <v>19.5</v>
      </c>
    </row>
    <row r="120" spans="2:24" ht="12" x14ac:dyDescent="0.2">
      <c r="B120" s="16">
        <f t="shared" si="6"/>
        <v>45084.833333333052</v>
      </c>
      <c r="C120" s="24">
        <f t="shared" ref="C120:C124" si="11">C119+TIME(1,0,0)</f>
        <v>4.833333333333333</v>
      </c>
      <c r="D120" s="29">
        <f>Table12[[#This Row],[MW TOTAL BARRA A]]+Table12[[#This Row],[MW TOTAL BARRA B]]</f>
        <v>227.44</v>
      </c>
      <c r="E120" s="25">
        <f>Windy_web!$CU7</f>
        <v>7</v>
      </c>
      <c r="F120" s="25">
        <f>Windy_web!$CU8</f>
        <v>12</v>
      </c>
      <c r="G120" s="26" t="str">
        <f>Windy_web!$CU5</f>
        <v>17°</v>
      </c>
      <c r="H120" s="26">
        <f t="shared" si="5"/>
        <v>17</v>
      </c>
      <c r="I120" s="18">
        <v>25</v>
      </c>
      <c r="J120" s="18">
        <v>20</v>
      </c>
      <c r="K120" s="18">
        <f>Table12[[#This Row],[AEG E/S BARRA A]]*Table12[[#This Row],[AEG 5.2 MW]]</f>
        <v>128</v>
      </c>
      <c r="L120" s="18">
        <f>Table12[[#This Row],[AEG E/S BARRA B]]*Table12[[#This Row],[AEG 5.0 MW]]</f>
        <v>99.440000000000012</v>
      </c>
      <c r="M12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0" s="29">
        <f>INDEX(Curva_Temp[Temp],MATCH(Table12[[#This Row],[Windy Temp.
°C]],Curva_Temp[Temp]))</f>
        <v>15</v>
      </c>
      <c r="O120" s="29">
        <f>INDEX(Curva_Temp[Warranted Power Curve for 
1.194Kg/m3 air density '[kW']
SG 5.0-145 (AM+1, 5.2MW) AT 
90M],MATCH(Table12[[#This Row],[Windy Temp.
°C]],Curva_Temp[Temp]))</f>
        <v>5200</v>
      </c>
      <c r="P120" s="29" cm="1">
        <f t="array" ref="P120">INDEX(Curva_Temp[Temp],MATCH(Table12[[#This Row],[Windy Temp.
°C]],Curva_Temp[Temp])+1)</f>
        <v>20</v>
      </c>
      <c r="Q120" s="29" cm="1">
        <f t="array" ref="Q120">INDEX(Curva_Temp[Warranted Power Curve for 
1.194Kg/m3 air density '[kW']
SG 5.0-145 (AM+1, 5.2MW) AT 
90M],MATCH(Table12[[#This Row],[Windy Temp.
°C]],Curva_Temp[Temp])+1)</f>
        <v>5000</v>
      </c>
      <c r="R1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0" s="18"/>
      <c r="U120" s="18">
        <v>5.7</v>
      </c>
      <c r="V120" s="18">
        <v>8.5</v>
      </c>
      <c r="W120" s="18">
        <f>CEILING(Table12[[#This Row],[Darwin Gusts
m/s]],0.5)</f>
        <v>8.5</v>
      </c>
      <c r="X120" s="18">
        <v>19</v>
      </c>
    </row>
    <row r="121" spans="2:24" ht="12" x14ac:dyDescent="0.2">
      <c r="B121" s="16">
        <f t="shared" si="6"/>
        <v>45084.874999999716</v>
      </c>
      <c r="C121" s="24">
        <f t="shared" si="11"/>
        <v>4.875</v>
      </c>
      <c r="D121" s="29">
        <f>Table12[[#This Row],[MW TOTAL BARRA A]]+Table12[[#This Row],[MW TOTAL BARRA B]]</f>
        <v>227.44</v>
      </c>
      <c r="E121" s="25">
        <f>Windy_web!$CU7</f>
        <v>7</v>
      </c>
      <c r="F121" s="25">
        <f>Windy_web!$CU8</f>
        <v>12</v>
      </c>
      <c r="G121" s="26" t="str">
        <f>Windy_web!$CU5</f>
        <v>17°</v>
      </c>
      <c r="H121" s="26">
        <f t="shared" si="5"/>
        <v>17</v>
      </c>
      <c r="I121" s="18">
        <v>25</v>
      </c>
      <c r="J121" s="18">
        <v>20</v>
      </c>
      <c r="K121" s="18">
        <f>Table12[[#This Row],[AEG E/S BARRA A]]*Table12[[#This Row],[AEG 5.2 MW]]</f>
        <v>128</v>
      </c>
      <c r="L121" s="18">
        <f>Table12[[#This Row],[AEG E/S BARRA B]]*Table12[[#This Row],[AEG 5.0 MW]]</f>
        <v>99.440000000000012</v>
      </c>
      <c r="M12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1" s="29">
        <f>INDEX(Curva_Temp[Temp],MATCH(Table12[[#This Row],[Windy Temp.
°C]],Curva_Temp[Temp]))</f>
        <v>15</v>
      </c>
      <c r="O121" s="29">
        <f>INDEX(Curva_Temp[Warranted Power Curve for 
1.194Kg/m3 air density '[kW']
SG 5.0-145 (AM+1, 5.2MW) AT 
90M],MATCH(Table12[[#This Row],[Windy Temp.
°C]],Curva_Temp[Temp]))</f>
        <v>5200</v>
      </c>
      <c r="P121" s="29" cm="1">
        <f t="array" ref="P121">INDEX(Curva_Temp[Temp],MATCH(Table12[[#This Row],[Windy Temp.
°C]],Curva_Temp[Temp])+1)</f>
        <v>20</v>
      </c>
      <c r="Q121" s="29" cm="1">
        <f t="array" ref="Q121">INDEX(Curva_Temp[Warranted Power Curve for 
1.194Kg/m3 air density '[kW']
SG 5.0-145 (AM+1, 5.2MW) AT 
90M],MATCH(Table12[[#This Row],[Windy Temp.
°C]],Curva_Temp[Temp])+1)</f>
        <v>5000</v>
      </c>
      <c r="R1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1" s="18"/>
      <c r="U121" s="18">
        <v>5.8</v>
      </c>
      <c r="V121" s="18">
        <v>8.6</v>
      </c>
      <c r="W121" s="18">
        <f>CEILING(Table12[[#This Row],[Darwin Gusts
m/s]],0.5)</f>
        <v>9</v>
      </c>
      <c r="X121" s="18">
        <v>18.5</v>
      </c>
    </row>
    <row r="122" spans="2:24" ht="12" x14ac:dyDescent="0.2">
      <c r="B122" s="16">
        <f t="shared" si="6"/>
        <v>45084.91666666638</v>
      </c>
      <c r="C122" s="17">
        <f t="shared" si="11"/>
        <v>4.916666666666667</v>
      </c>
      <c r="D122" s="29">
        <f>Table12[[#This Row],[MW TOTAL BARRA A]]+Table12[[#This Row],[MW TOTAL BARRA B]]</f>
        <v>219.56</v>
      </c>
      <c r="E122" s="18">
        <f>Windy_web!$CV7</f>
        <v>5</v>
      </c>
      <c r="F122" s="18">
        <f>Windy_web!$CV8</f>
        <v>11</v>
      </c>
      <c r="G122" s="27" t="str">
        <f>Windy_web!$CV5</f>
        <v>16°</v>
      </c>
      <c r="H122" s="26">
        <f t="shared" si="5"/>
        <v>16</v>
      </c>
      <c r="I122" s="18">
        <v>25</v>
      </c>
      <c r="J122" s="18">
        <v>20</v>
      </c>
      <c r="K122" s="18">
        <f>Table12[[#This Row],[AEG E/S BARRA A]]*Table12[[#This Row],[AEG 5.2 MW]]</f>
        <v>123.9</v>
      </c>
      <c r="L122" s="18">
        <f>Table12[[#This Row],[AEG E/S BARRA B]]*Table12[[#This Row],[AEG 5.0 MW]]</f>
        <v>95.660000000000011</v>
      </c>
      <c r="M12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2" s="29">
        <f>INDEX(Curva_Temp[Temp],MATCH(Table12[[#This Row],[Windy Temp.
°C]],Curva_Temp[Temp]))</f>
        <v>15</v>
      </c>
      <c r="O122" s="29">
        <f>INDEX(Curva_Temp[Warranted Power Curve for 
1.194Kg/m3 air density '[kW']
SG 5.0-145 (AM+1, 5.2MW) AT 
90M],MATCH(Table12[[#This Row],[Windy Temp.
°C]],Curva_Temp[Temp]))</f>
        <v>5200</v>
      </c>
      <c r="P122" s="29" cm="1">
        <f t="array" ref="P122">INDEX(Curva_Temp[Temp],MATCH(Table12[[#This Row],[Windy Temp.
°C]],Curva_Temp[Temp])+1)</f>
        <v>20</v>
      </c>
      <c r="Q122" s="29" cm="1">
        <f t="array" ref="Q122">INDEX(Curva_Temp[Warranted Power Curve for 
1.194Kg/m3 air density '[kW']
SG 5.0-145 (AM+1, 5.2MW) AT 
90M],MATCH(Table12[[#This Row],[Windy Temp.
°C]],Curva_Temp[Temp])+1)</f>
        <v>5000</v>
      </c>
      <c r="R1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2" s="18"/>
      <c r="U122" s="18">
        <v>6.6</v>
      </c>
      <c r="V122" s="18">
        <v>8.9</v>
      </c>
      <c r="W122" s="18">
        <f>CEILING(Table12[[#This Row],[Darwin Gusts
m/s]],0.5)</f>
        <v>9</v>
      </c>
      <c r="X122" s="18">
        <v>18.2</v>
      </c>
    </row>
    <row r="123" spans="2:24" ht="12" x14ac:dyDescent="0.2">
      <c r="B123" s="16">
        <f t="shared" si="6"/>
        <v>45084.958333333045</v>
      </c>
      <c r="C123" s="24">
        <f t="shared" si="11"/>
        <v>4.9583333333333339</v>
      </c>
      <c r="D123" s="29">
        <f>Table12[[#This Row],[MW TOTAL BARRA A]]+Table12[[#This Row],[MW TOTAL BARRA B]]</f>
        <v>219.56</v>
      </c>
      <c r="E123" s="25">
        <f>Windy_web!$CV7</f>
        <v>5</v>
      </c>
      <c r="F123" s="25">
        <f>Windy_web!$CV8</f>
        <v>11</v>
      </c>
      <c r="G123" s="26" t="str">
        <f>Windy_web!$CV5</f>
        <v>16°</v>
      </c>
      <c r="H123" s="26">
        <f t="shared" si="5"/>
        <v>16</v>
      </c>
      <c r="I123" s="18">
        <v>25</v>
      </c>
      <c r="J123" s="18">
        <v>20</v>
      </c>
      <c r="K123" s="18">
        <f>Table12[[#This Row],[AEG E/S BARRA A]]*Table12[[#This Row],[AEG 5.2 MW]]</f>
        <v>123.9</v>
      </c>
      <c r="L123" s="18">
        <f>Table12[[#This Row],[AEG E/S BARRA B]]*Table12[[#This Row],[AEG 5.0 MW]]</f>
        <v>95.660000000000011</v>
      </c>
      <c r="M12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3" s="29">
        <f>INDEX(Curva_Temp[Temp],MATCH(Table12[[#This Row],[Windy Temp.
°C]],Curva_Temp[Temp]))</f>
        <v>15</v>
      </c>
      <c r="O123" s="29">
        <f>INDEX(Curva_Temp[Warranted Power Curve for 
1.194Kg/m3 air density '[kW']
SG 5.0-145 (AM+1, 5.2MW) AT 
90M],MATCH(Table12[[#This Row],[Windy Temp.
°C]],Curva_Temp[Temp]))</f>
        <v>5200</v>
      </c>
      <c r="P123" s="29" cm="1">
        <f t="array" ref="P123">INDEX(Curva_Temp[Temp],MATCH(Table12[[#This Row],[Windy Temp.
°C]],Curva_Temp[Temp])+1)</f>
        <v>20</v>
      </c>
      <c r="Q123" s="29" cm="1">
        <f t="array" ref="Q123">INDEX(Curva_Temp[Warranted Power Curve for 
1.194Kg/m3 air density '[kW']
SG 5.0-145 (AM+1, 5.2MW) AT 
90M],MATCH(Table12[[#This Row],[Windy Temp.
°C]],Curva_Temp[Temp])+1)</f>
        <v>5000</v>
      </c>
      <c r="R1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3" s="18"/>
      <c r="U123" s="18">
        <v>7.4</v>
      </c>
      <c r="V123" s="18">
        <v>9.3000000000000007</v>
      </c>
      <c r="W123" s="18">
        <f>CEILING(Table12[[#This Row],[Darwin Gusts
m/s]],0.5)</f>
        <v>9.5</v>
      </c>
      <c r="X123" s="18">
        <v>17.7</v>
      </c>
    </row>
    <row r="124" spans="2:24" ht="12" x14ac:dyDescent="0.2">
      <c r="B124" s="16">
        <f t="shared" si="6"/>
        <v>45084.999999999709</v>
      </c>
      <c r="C124" s="24">
        <f t="shared" si="11"/>
        <v>5.0000000000000009</v>
      </c>
      <c r="D124" s="29">
        <f>Table12[[#This Row],[MW TOTAL BARRA A]]+Table12[[#This Row],[MW TOTAL BARRA B]]</f>
        <v>219.56</v>
      </c>
      <c r="E124" s="25">
        <f>Windy_web!$CV7</f>
        <v>5</v>
      </c>
      <c r="F124" s="25">
        <f>Windy_web!$CV8</f>
        <v>11</v>
      </c>
      <c r="G124" s="26" t="str">
        <f>Windy_web!$CV5</f>
        <v>16°</v>
      </c>
      <c r="H124" s="26">
        <f t="shared" si="5"/>
        <v>16</v>
      </c>
      <c r="I124" s="18">
        <v>25</v>
      </c>
      <c r="J124" s="18">
        <v>20</v>
      </c>
      <c r="K124" s="18">
        <f>Table12[[#This Row],[AEG E/S BARRA A]]*Table12[[#This Row],[AEG 5.2 MW]]</f>
        <v>123.9</v>
      </c>
      <c r="L124" s="18">
        <f>Table12[[#This Row],[AEG E/S BARRA B]]*Table12[[#This Row],[AEG 5.0 MW]]</f>
        <v>95.660000000000011</v>
      </c>
      <c r="M12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4" s="29">
        <f>INDEX(Curva_Temp[Temp],MATCH(Table12[[#This Row],[Windy Temp.
°C]],Curva_Temp[Temp]))</f>
        <v>15</v>
      </c>
      <c r="O124" s="29">
        <f>INDEX(Curva_Temp[Warranted Power Curve for 
1.194Kg/m3 air density '[kW']
SG 5.0-145 (AM+1, 5.2MW) AT 
90M],MATCH(Table12[[#This Row],[Windy Temp.
°C]],Curva_Temp[Temp]))</f>
        <v>5200</v>
      </c>
      <c r="P124" s="29" cm="1">
        <f t="array" ref="P124">INDEX(Curva_Temp[Temp],MATCH(Table12[[#This Row],[Windy Temp.
°C]],Curva_Temp[Temp])+1)</f>
        <v>20</v>
      </c>
      <c r="Q124" s="29" cm="1">
        <f t="array" ref="Q124">INDEX(Curva_Temp[Warranted Power Curve for 
1.194Kg/m3 air density '[kW']
SG 5.0-145 (AM+1, 5.2MW) AT 
90M],MATCH(Table12[[#This Row],[Windy Temp.
°C]],Curva_Temp[Temp])+1)</f>
        <v>5000</v>
      </c>
      <c r="R1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4" s="18"/>
      <c r="U124" s="18">
        <v>8.1999999999999993</v>
      </c>
      <c r="V124" s="18">
        <v>10.199999999999999</v>
      </c>
      <c r="W124" s="18">
        <f>CEILING(Table12[[#This Row],[Darwin Gusts
m/s]],0.5)</f>
        <v>10.5</v>
      </c>
      <c r="X124" s="18">
        <v>17.5</v>
      </c>
    </row>
    <row r="125" spans="2:24" ht="12" x14ac:dyDescent="0.2">
      <c r="B125" s="16">
        <f t="shared" si="6"/>
        <v>45085.041666666373</v>
      </c>
      <c r="C125" s="17">
        <f>C124+TIME(1,0,0)</f>
        <v>5.0416666666666679</v>
      </c>
      <c r="D125" s="29">
        <f>Table12[[#This Row],[MW TOTAL BARRA A]]+Table12[[#This Row],[MW TOTAL BARRA B]]</f>
        <v>108.185</v>
      </c>
      <c r="E125" s="18">
        <f>Windy_web!$CW7</f>
        <v>3</v>
      </c>
      <c r="F125" s="18">
        <f>Windy_web!$CW8</f>
        <v>8</v>
      </c>
      <c r="G125" s="27" t="str">
        <f>Windy_web!$CW5</f>
        <v>15°</v>
      </c>
      <c r="H125" s="26">
        <f t="shared" si="5"/>
        <v>15</v>
      </c>
      <c r="I125" s="18">
        <v>25</v>
      </c>
      <c r="J125" s="18">
        <v>20</v>
      </c>
      <c r="K125" s="18">
        <f>Table12[[#This Row],[AEG E/S BARRA A]]*Table12[[#This Row],[AEG 5.2 MW]]</f>
        <v>60.224999999999994</v>
      </c>
      <c r="L125" s="18">
        <f>Table12[[#This Row],[AEG E/S BARRA B]]*Table12[[#This Row],[AEG 5.0 MW]]</f>
        <v>47.96</v>
      </c>
      <c r="M1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5" s="29">
        <f>INDEX(Curva_Temp[Temp],MATCH(Table12[[#This Row],[Windy Temp.
°C]],Curva_Temp[Temp]))</f>
        <v>15</v>
      </c>
      <c r="O125" s="29">
        <f>INDEX(Curva_Temp[Warranted Power Curve for 
1.194Kg/m3 air density '[kW']
SG 5.0-145 (AM+1, 5.2MW) AT 
90M],MATCH(Table12[[#This Row],[Windy Temp.
°C]],Curva_Temp[Temp]))</f>
        <v>5200</v>
      </c>
      <c r="P125" s="29" cm="1">
        <f t="array" ref="P125">INDEX(Curva_Temp[Temp],MATCH(Table12[[#This Row],[Windy Temp.
°C]],Curva_Temp[Temp])+1)</f>
        <v>20</v>
      </c>
      <c r="Q125" s="29" cm="1">
        <f t="array" ref="Q125">INDEX(Curva_Temp[Warranted Power Curve for 
1.194Kg/m3 air density '[kW']
SG 5.0-145 (AM+1, 5.2MW) AT 
90M],MATCH(Table12[[#This Row],[Windy Temp.
°C]],Curva_Temp[Temp])+1)</f>
        <v>5000</v>
      </c>
      <c r="R1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5" s="18"/>
      <c r="U125" s="18">
        <v>8.4</v>
      </c>
      <c r="V125" s="18">
        <v>10.4</v>
      </c>
      <c r="W125" s="18">
        <f>CEILING(Table12[[#This Row],[Darwin Gusts
m/s]],0.5)</f>
        <v>10.5</v>
      </c>
      <c r="X125" s="18">
        <v>17.600000000000001</v>
      </c>
    </row>
    <row r="126" spans="2:24" ht="12" x14ac:dyDescent="0.2">
      <c r="B126" s="16">
        <f t="shared" si="6"/>
        <v>45085.083333333037</v>
      </c>
      <c r="C126" s="24">
        <f t="shared" ref="C126:C142" si="12">C125+TIME(1,0,0)</f>
        <v>5.0833333333333348</v>
      </c>
      <c r="D126" s="29">
        <f>Table12[[#This Row],[MW TOTAL BARRA A]]+Table12[[#This Row],[MW TOTAL BARRA B]]</f>
        <v>108.185</v>
      </c>
      <c r="E126" s="25">
        <f>Windy_web!$CW7</f>
        <v>3</v>
      </c>
      <c r="F126" s="25">
        <f>Windy_web!$CW8</f>
        <v>8</v>
      </c>
      <c r="G126" s="26" t="str">
        <f>Windy_web!$CW5</f>
        <v>15°</v>
      </c>
      <c r="H126" s="26">
        <f t="shared" si="5"/>
        <v>15</v>
      </c>
      <c r="I126" s="18">
        <v>25</v>
      </c>
      <c r="J126" s="18">
        <v>20</v>
      </c>
      <c r="K126" s="18">
        <f>Table12[[#This Row],[AEG E/S BARRA A]]*Table12[[#This Row],[AEG 5.2 MW]]</f>
        <v>60.224999999999994</v>
      </c>
      <c r="L126" s="18">
        <f>Table12[[#This Row],[AEG E/S BARRA B]]*Table12[[#This Row],[AEG 5.0 MW]]</f>
        <v>47.96</v>
      </c>
      <c r="M1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6" s="29">
        <f>INDEX(Curva_Temp[Temp],MATCH(Table12[[#This Row],[Windy Temp.
°C]],Curva_Temp[Temp]))</f>
        <v>15</v>
      </c>
      <c r="O126" s="29">
        <f>INDEX(Curva_Temp[Warranted Power Curve for 
1.194Kg/m3 air density '[kW']
SG 5.0-145 (AM+1, 5.2MW) AT 
90M],MATCH(Table12[[#This Row],[Windy Temp.
°C]],Curva_Temp[Temp]))</f>
        <v>5200</v>
      </c>
      <c r="P126" s="29" cm="1">
        <f t="array" ref="P126">INDEX(Curva_Temp[Temp],MATCH(Table12[[#This Row],[Windy Temp.
°C]],Curva_Temp[Temp])+1)</f>
        <v>20</v>
      </c>
      <c r="Q126" s="29" cm="1">
        <f t="array" ref="Q126">INDEX(Curva_Temp[Warranted Power Curve for 
1.194Kg/m3 air density '[kW']
SG 5.0-145 (AM+1, 5.2MW) AT 
90M],MATCH(Table12[[#This Row],[Windy Temp.
°C]],Curva_Temp[Temp])+1)</f>
        <v>5000</v>
      </c>
      <c r="R1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6" s="18"/>
      <c r="U126" s="18">
        <v>8.5</v>
      </c>
      <c r="V126" s="18">
        <v>10.7</v>
      </c>
      <c r="W126" s="18">
        <f>CEILING(Table12[[#This Row],[Darwin Gusts
m/s]],0.5)</f>
        <v>11</v>
      </c>
      <c r="X126" s="18">
        <v>17.8</v>
      </c>
    </row>
    <row r="127" spans="2:24" ht="12" x14ac:dyDescent="0.2">
      <c r="B127" s="16">
        <f t="shared" si="6"/>
        <v>45085.124999999702</v>
      </c>
      <c r="C127" s="24">
        <f t="shared" si="12"/>
        <v>5.1250000000000018</v>
      </c>
      <c r="D127" s="29">
        <f>Table12[[#This Row],[MW TOTAL BARRA A]]+Table12[[#This Row],[MW TOTAL BARRA B]]</f>
        <v>108.185</v>
      </c>
      <c r="E127" s="25">
        <f>Windy_web!$CW7</f>
        <v>3</v>
      </c>
      <c r="F127" s="25">
        <f>Windy_web!$CW8</f>
        <v>8</v>
      </c>
      <c r="G127" s="26" t="str">
        <f>Windy_web!$CW5</f>
        <v>15°</v>
      </c>
      <c r="H127" s="26">
        <f t="shared" si="5"/>
        <v>15</v>
      </c>
      <c r="I127" s="18">
        <v>25</v>
      </c>
      <c r="J127" s="18">
        <v>20</v>
      </c>
      <c r="K127" s="18">
        <f>Table12[[#This Row],[AEG E/S BARRA A]]*Table12[[#This Row],[AEG 5.2 MW]]</f>
        <v>60.224999999999994</v>
      </c>
      <c r="L127" s="18">
        <f>Table12[[#This Row],[AEG E/S BARRA B]]*Table12[[#This Row],[AEG 5.0 MW]]</f>
        <v>47.96</v>
      </c>
      <c r="M1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7" s="29">
        <f>INDEX(Curva_Temp[Temp],MATCH(Table12[[#This Row],[Windy Temp.
°C]],Curva_Temp[Temp]))</f>
        <v>15</v>
      </c>
      <c r="O127" s="29">
        <f>INDEX(Curva_Temp[Warranted Power Curve for 
1.194Kg/m3 air density '[kW']
SG 5.0-145 (AM+1, 5.2MW) AT 
90M],MATCH(Table12[[#This Row],[Windy Temp.
°C]],Curva_Temp[Temp]))</f>
        <v>5200</v>
      </c>
      <c r="P127" s="29" cm="1">
        <f t="array" ref="P127">INDEX(Curva_Temp[Temp],MATCH(Table12[[#This Row],[Windy Temp.
°C]],Curva_Temp[Temp])+1)</f>
        <v>20</v>
      </c>
      <c r="Q127" s="29" cm="1">
        <f t="array" ref="Q127">INDEX(Curva_Temp[Warranted Power Curve for 
1.194Kg/m3 air density '[kW']
SG 5.0-145 (AM+1, 5.2MW) AT 
90M],MATCH(Table12[[#This Row],[Windy Temp.
°C]],Curva_Temp[Temp])+1)</f>
        <v>5000</v>
      </c>
      <c r="R1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7" s="18"/>
      <c r="U127" s="18">
        <v>8.6999999999999993</v>
      </c>
      <c r="V127" s="18">
        <v>10.9</v>
      </c>
      <c r="W127" s="18">
        <f>CEILING(Table12[[#This Row],[Darwin Gusts
m/s]],0.5)</f>
        <v>11</v>
      </c>
      <c r="X127" s="18">
        <v>17.899999999999999</v>
      </c>
    </row>
    <row r="128" spans="2:24" ht="12" x14ac:dyDescent="0.2">
      <c r="B128" s="16">
        <f t="shared" si="6"/>
        <v>45085.166666666366</v>
      </c>
      <c r="C128" s="17">
        <f t="shared" si="12"/>
        <v>5.1666666666666687</v>
      </c>
      <c r="D128" s="29">
        <f>Table12[[#This Row],[MW TOTAL BARRA A]]+Table12[[#This Row],[MW TOTAL BARRA B]]</f>
        <v>44.215000000000003</v>
      </c>
      <c r="E128" s="18">
        <f>Windy_web!$CX7</f>
        <v>4</v>
      </c>
      <c r="F128" s="18">
        <f>Windy_web!$CX8</f>
        <v>6</v>
      </c>
      <c r="G128" s="27" t="str">
        <f>Windy_web!$CX5</f>
        <v>15°</v>
      </c>
      <c r="H128" s="26">
        <f t="shared" si="5"/>
        <v>15</v>
      </c>
      <c r="I128" s="18">
        <v>25</v>
      </c>
      <c r="J128" s="18">
        <v>20</v>
      </c>
      <c r="K128" s="18">
        <f>Table12[[#This Row],[AEG E/S BARRA A]]*Table12[[#This Row],[AEG 5.2 MW]]</f>
        <v>24.574999999999999</v>
      </c>
      <c r="L128" s="18">
        <f>Table12[[#This Row],[AEG E/S BARRA B]]*Table12[[#This Row],[AEG 5.0 MW]]</f>
        <v>19.64</v>
      </c>
      <c r="M1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8" s="29">
        <f>INDEX(Curva_Temp[Temp],MATCH(Table12[[#This Row],[Windy Temp.
°C]],Curva_Temp[Temp]))</f>
        <v>15</v>
      </c>
      <c r="O128" s="29">
        <f>INDEX(Curva_Temp[Warranted Power Curve for 
1.194Kg/m3 air density '[kW']
SG 5.0-145 (AM+1, 5.2MW) AT 
90M],MATCH(Table12[[#This Row],[Windy Temp.
°C]],Curva_Temp[Temp]))</f>
        <v>5200</v>
      </c>
      <c r="P128" s="29" cm="1">
        <f t="array" ref="P128">INDEX(Curva_Temp[Temp],MATCH(Table12[[#This Row],[Windy Temp.
°C]],Curva_Temp[Temp])+1)</f>
        <v>20</v>
      </c>
      <c r="Q128" s="29" cm="1">
        <f t="array" ref="Q128">INDEX(Curva_Temp[Warranted Power Curve for 
1.194Kg/m3 air density '[kW']
SG 5.0-145 (AM+1, 5.2MW) AT 
90M],MATCH(Table12[[#This Row],[Windy Temp.
°C]],Curva_Temp[Temp])+1)</f>
        <v>5000</v>
      </c>
      <c r="R1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8" s="18"/>
      <c r="U128" s="18">
        <v>9.1</v>
      </c>
      <c r="V128" s="18">
        <v>11.4</v>
      </c>
      <c r="W128" s="18">
        <f>CEILING(Table12[[#This Row],[Darwin Gusts
m/s]],0.5)</f>
        <v>11.5</v>
      </c>
      <c r="X128" s="18">
        <v>18</v>
      </c>
    </row>
    <row r="129" spans="2:24" ht="12" x14ac:dyDescent="0.2">
      <c r="B129" s="16">
        <f t="shared" si="6"/>
        <v>45085.20833333303</v>
      </c>
      <c r="C129" s="24">
        <f t="shared" si="12"/>
        <v>5.2083333333333357</v>
      </c>
      <c r="D129" s="29">
        <f>Table12[[#This Row],[MW TOTAL BARRA A]]+Table12[[#This Row],[MW TOTAL BARRA B]]</f>
        <v>44.215000000000003</v>
      </c>
      <c r="E129" s="25">
        <f>Windy_web!$CX7</f>
        <v>4</v>
      </c>
      <c r="F129" s="25">
        <f>Windy_web!$CX8</f>
        <v>6</v>
      </c>
      <c r="G129" s="26" t="str">
        <f>Windy_web!$CX5</f>
        <v>15°</v>
      </c>
      <c r="H129" s="26">
        <f t="shared" si="5"/>
        <v>15</v>
      </c>
      <c r="I129" s="18">
        <v>25</v>
      </c>
      <c r="J129" s="18">
        <v>20</v>
      </c>
      <c r="K129" s="18">
        <f>Table12[[#This Row],[AEG E/S BARRA A]]*Table12[[#This Row],[AEG 5.2 MW]]</f>
        <v>24.574999999999999</v>
      </c>
      <c r="L129" s="18">
        <f>Table12[[#This Row],[AEG E/S BARRA B]]*Table12[[#This Row],[AEG 5.0 MW]]</f>
        <v>19.64</v>
      </c>
      <c r="M1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9" s="29">
        <f>INDEX(Curva_Temp[Temp],MATCH(Table12[[#This Row],[Windy Temp.
°C]],Curva_Temp[Temp]))</f>
        <v>15</v>
      </c>
      <c r="O129" s="29">
        <f>INDEX(Curva_Temp[Warranted Power Curve for 
1.194Kg/m3 air density '[kW']
SG 5.0-145 (AM+1, 5.2MW) AT 
90M],MATCH(Table12[[#This Row],[Windy Temp.
°C]],Curva_Temp[Temp]))</f>
        <v>5200</v>
      </c>
      <c r="P129" s="29" cm="1">
        <f t="array" ref="P129">INDEX(Curva_Temp[Temp],MATCH(Table12[[#This Row],[Windy Temp.
°C]],Curva_Temp[Temp])+1)</f>
        <v>20</v>
      </c>
      <c r="Q129" s="29" cm="1">
        <f t="array" ref="Q129">INDEX(Curva_Temp[Warranted Power Curve for 
1.194Kg/m3 air density '[kW']
SG 5.0-145 (AM+1, 5.2MW) AT 
90M],MATCH(Table12[[#This Row],[Windy Temp.
°C]],Curva_Temp[Temp])+1)</f>
        <v>5000</v>
      </c>
      <c r="R1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9" s="18"/>
      <c r="U129" s="18">
        <v>9.6</v>
      </c>
      <c r="V129" s="18">
        <v>11.9</v>
      </c>
      <c r="W129" s="18">
        <f>CEILING(Table12[[#This Row],[Darwin Gusts
m/s]],0.5)</f>
        <v>12</v>
      </c>
      <c r="X129" s="18">
        <v>18.2</v>
      </c>
    </row>
    <row r="130" spans="2:24" ht="12" x14ac:dyDescent="0.2">
      <c r="B130" s="16">
        <f t="shared" si="6"/>
        <v>45085.249999999694</v>
      </c>
      <c r="C130" s="24">
        <f t="shared" si="12"/>
        <v>5.2500000000000027</v>
      </c>
      <c r="D130" s="29">
        <f>Table12[[#This Row],[MW TOTAL BARRA A]]+Table12[[#This Row],[MW TOTAL BARRA B]]</f>
        <v>44.215000000000003</v>
      </c>
      <c r="E130" s="25">
        <f>Windy_web!$CX7</f>
        <v>4</v>
      </c>
      <c r="F130" s="25">
        <f>Windy_web!$CX8</f>
        <v>6</v>
      </c>
      <c r="G130" s="26" t="str">
        <f>Windy_web!$CX5</f>
        <v>15°</v>
      </c>
      <c r="H130" s="26">
        <f t="shared" si="5"/>
        <v>15</v>
      </c>
      <c r="I130" s="18">
        <v>25</v>
      </c>
      <c r="J130" s="18">
        <v>20</v>
      </c>
      <c r="K130" s="18">
        <f>Table12[[#This Row],[AEG E/S BARRA A]]*Table12[[#This Row],[AEG 5.2 MW]]</f>
        <v>24.574999999999999</v>
      </c>
      <c r="L130" s="18">
        <f>Table12[[#This Row],[AEG E/S BARRA B]]*Table12[[#This Row],[AEG 5.0 MW]]</f>
        <v>19.64</v>
      </c>
      <c r="M1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0" s="29">
        <f>INDEX(Curva_Temp[Temp],MATCH(Table12[[#This Row],[Windy Temp.
°C]],Curva_Temp[Temp]))</f>
        <v>15</v>
      </c>
      <c r="O130" s="29">
        <f>INDEX(Curva_Temp[Warranted Power Curve for 
1.194Kg/m3 air density '[kW']
SG 5.0-145 (AM+1, 5.2MW) AT 
90M],MATCH(Table12[[#This Row],[Windy Temp.
°C]],Curva_Temp[Temp]))</f>
        <v>5200</v>
      </c>
      <c r="P130" s="29" cm="1">
        <f t="array" ref="P130">INDEX(Curva_Temp[Temp],MATCH(Table12[[#This Row],[Windy Temp.
°C]],Curva_Temp[Temp])+1)</f>
        <v>20</v>
      </c>
      <c r="Q130" s="29" cm="1">
        <f t="array" ref="Q130">INDEX(Curva_Temp[Warranted Power Curve for 
1.194Kg/m3 air density '[kW']
SG 5.0-145 (AM+1, 5.2MW) AT 
90M],MATCH(Table12[[#This Row],[Windy Temp.
°C]],Curva_Temp[Temp])+1)</f>
        <v>5000</v>
      </c>
      <c r="R1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0" s="18"/>
      <c r="U130" s="18">
        <v>10</v>
      </c>
      <c r="V130" s="18">
        <v>12.4</v>
      </c>
      <c r="W130" s="18">
        <f>CEILING(Table12[[#This Row],[Darwin Gusts
m/s]],0.5)</f>
        <v>12.5</v>
      </c>
      <c r="X130" s="18">
        <v>18.3</v>
      </c>
    </row>
    <row r="131" spans="2:24" ht="12" x14ac:dyDescent="0.2">
      <c r="B131" s="16">
        <f t="shared" si="6"/>
        <v>45085.291666666359</v>
      </c>
      <c r="C131" s="17">
        <f t="shared" si="12"/>
        <v>5.2916666666666696</v>
      </c>
      <c r="D131" s="29">
        <f>Table12[[#This Row],[MW TOTAL BARRA A]]+Table12[[#This Row],[MW TOTAL BARRA B]]</f>
        <v>44.215000000000003</v>
      </c>
      <c r="E131" s="25">
        <f>Windy_web!$CY7</f>
        <v>4</v>
      </c>
      <c r="F131" s="25">
        <f>Windy_web!$CY8</f>
        <v>6</v>
      </c>
      <c r="G131" s="26" t="str">
        <f>Windy_web!$CY5</f>
        <v>15°</v>
      </c>
      <c r="H131" s="26">
        <f t="shared" si="5"/>
        <v>15</v>
      </c>
      <c r="I131" s="18">
        <v>25</v>
      </c>
      <c r="J131" s="18">
        <v>20</v>
      </c>
      <c r="K131" s="18">
        <f>Table12[[#This Row],[AEG E/S BARRA A]]*Table12[[#This Row],[AEG 5.2 MW]]</f>
        <v>24.574999999999999</v>
      </c>
      <c r="L131" s="18">
        <f>Table12[[#This Row],[AEG E/S BARRA B]]*Table12[[#This Row],[AEG 5.0 MW]]</f>
        <v>19.64</v>
      </c>
      <c r="M1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1" s="29">
        <f>INDEX(Curva_Temp[Temp],MATCH(Table12[[#This Row],[Windy Temp.
°C]],Curva_Temp[Temp]))</f>
        <v>15</v>
      </c>
      <c r="O131" s="29">
        <f>INDEX(Curva_Temp[Warranted Power Curve for 
1.194Kg/m3 air density '[kW']
SG 5.0-145 (AM+1, 5.2MW) AT 
90M],MATCH(Table12[[#This Row],[Windy Temp.
°C]],Curva_Temp[Temp]))</f>
        <v>5200</v>
      </c>
      <c r="P131" s="29" cm="1">
        <f t="array" ref="P131">INDEX(Curva_Temp[Temp],MATCH(Table12[[#This Row],[Windy Temp.
°C]],Curva_Temp[Temp])+1)</f>
        <v>20</v>
      </c>
      <c r="Q131" s="29" cm="1">
        <f t="array" ref="Q131">INDEX(Curva_Temp[Warranted Power Curve for 
1.194Kg/m3 air density '[kW']
SG 5.0-145 (AM+1, 5.2MW) AT 
90M],MATCH(Table12[[#This Row],[Windy Temp.
°C]],Curva_Temp[Temp])+1)</f>
        <v>5000</v>
      </c>
      <c r="R1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1" s="18"/>
      <c r="U131" s="18">
        <v>9.4</v>
      </c>
      <c r="V131" s="18">
        <v>11.7</v>
      </c>
      <c r="W131" s="18">
        <f>CEILING(Table12[[#This Row],[Darwin Gusts
m/s]],0.5)</f>
        <v>12</v>
      </c>
      <c r="X131" s="18">
        <v>18.2</v>
      </c>
    </row>
    <row r="132" spans="2:24" ht="12" x14ac:dyDescent="0.2">
      <c r="B132" s="16">
        <f t="shared" si="6"/>
        <v>45085.333333333023</v>
      </c>
      <c r="C132" s="17">
        <f t="shared" si="12"/>
        <v>5.3333333333333366</v>
      </c>
      <c r="D132" s="29">
        <f>Table12[[#This Row],[MW TOTAL BARRA A]]+Table12[[#This Row],[MW TOTAL BARRA B]]</f>
        <v>44.215000000000003</v>
      </c>
      <c r="E132" s="25">
        <f>Windy_web!$CY7</f>
        <v>4</v>
      </c>
      <c r="F132" s="25">
        <f>Windy_web!$CY8</f>
        <v>6</v>
      </c>
      <c r="G132" s="26" t="str">
        <f>Windy_web!$CY5</f>
        <v>15°</v>
      </c>
      <c r="H132" s="26">
        <f t="shared" si="5"/>
        <v>15</v>
      </c>
      <c r="I132" s="18">
        <v>25</v>
      </c>
      <c r="J132" s="18">
        <v>20</v>
      </c>
      <c r="K132" s="18">
        <f>Table12[[#This Row],[AEG E/S BARRA A]]*Table12[[#This Row],[AEG 5.2 MW]]</f>
        <v>24.574999999999999</v>
      </c>
      <c r="L132" s="18">
        <f>Table12[[#This Row],[AEG E/S BARRA B]]*Table12[[#This Row],[AEG 5.0 MW]]</f>
        <v>19.64</v>
      </c>
      <c r="M1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2" s="29">
        <f>INDEX(Curva_Temp[Temp],MATCH(Table12[[#This Row],[Windy Temp.
°C]],Curva_Temp[Temp]))</f>
        <v>15</v>
      </c>
      <c r="O132" s="29">
        <f>INDEX(Curva_Temp[Warranted Power Curve for 
1.194Kg/m3 air density '[kW']
SG 5.0-145 (AM+1, 5.2MW) AT 
90M],MATCH(Table12[[#This Row],[Windy Temp.
°C]],Curva_Temp[Temp]))</f>
        <v>5200</v>
      </c>
      <c r="P132" s="29" cm="1">
        <f t="array" ref="P132">INDEX(Curva_Temp[Temp],MATCH(Table12[[#This Row],[Windy Temp.
°C]],Curva_Temp[Temp])+1)</f>
        <v>20</v>
      </c>
      <c r="Q132" s="29" cm="1">
        <f t="array" ref="Q132">INDEX(Curva_Temp[Warranted Power Curve for 
1.194Kg/m3 air density '[kW']
SG 5.0-145 (AM+1, 5.2MW) AT 
90M],MATCH(Table12[[#This Row],[Windy Temp.
°C]],Curva_Temp[Temp])+1)</f>
        <v>5000</v>
      </c>
      <c r="R1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2" s="18"/>
      <c r="U132" s="18">
        <v>8.8000000000000007</v>
      </c>
      <c r="V132" s="18">
        <v>11</v>
      </c>
      <c r="W132" s="18">
        <f>CEILING(Table12[[#This Row],[Darwin Gusts
m/s]],0.5)</f>
        <v>11</v>
      </c>
      <c r="X132" s="18">
        <v>18.100000000000001</v>
      </c>
    </row>
    <row r="133" spans="2:24" ht="12" x14ac:dyDescent="0.2">
      <c r="B133" s="16">
        <f t="shared" si="6"/>
        <v>45085.374999999687</v>
      </c>
      <c r="C133" s="17">
        <f t="shared" si="12"/>
        <v>5.3750000000000036</v>
      </c>
      <c r="D133" s="29">
        <f>Table12[[#This Row],[MW TOTAL BARRA A]]+Table12[[#This Row],[MW TOTAL BARRA B]]</f>
        <v>44.215000000000003</v>
      </c>
      <c r="E133" s="25">
        <f>Windy_web!$CY7</f>
        <v>4</v>
      </c>
      <c r="F133" s="25">
        <f>Windy_web!$CY8</f>
        <v>6</v>
      </c>
      <c r="G133" s="26" t="str">
        <f>Windy_web!$CY5</f>
        <v>15°</v>
      </c>
      <c r="H133" s="26">
        <f t="shared" ref="H133:H196" si="13">MID(G133,1,2)*1</f>
        <v>15</v>
      </c>
      <c r="I133" s="18">
        <v>25</v>
      </c>
      <c r="J133" s="18">
        <v>20</v>
      </c>
      <c r="K133" s="18">
        <f>Table12[[#This Row],[AEG E/S BARRA A]]*Table12[[#This Row],[AEG 5.2 MW]]</f>
        <v>24.574999999999999</v>
      </c>
      <c r="L133" s="18">
        <f>Table12[[#This Row],[AEG E/S BARRA B]]*Table12[[#This Row],[AEG 5.0 MW]]</f>
        <v>19.64</v>
      </c>
      <c r="M13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3" s="29">
        <f>INDEX(Curva_Temp[Temp],MATCH(Table12[[#This Row],[Windy Temp.
°C]],Curva_Temp[Temp]))</f>
        <v>15</v>
      </c>
      <c r="O133" s="29">
        <f>INDEX(Curva_Temp[Warranted Power Curve for 
1.194Kg/m3 air density '[kW']
SG 5.0-145 (AM+1, 5.2MW) AT 
90M],MATCH(Table12[[#This Row],[Windy Temp.
°C]],Curva_Temp[Temp]))</f>
        <v>5200</v>
      </c>
      <c r="P133" s="29" cm="1">
        <f t="array" ref="P133">INDEX(Curva_Temp[Temp],MATCH(Table12[[#This Row],[Windy Temp.
°C]],Curva_Temp[Temp])+1)</f>
        <v>20</v>
      </c>
      <c r="Q133" s="29" cm="1">
        <f t="array" ref="Q133">INDEX(Curva_Temp[Warranted Power Curve for 
1.194Kg/m3 air density '[kW']
SG 5.0-145 (AM+1, 5.2MW) AT 
90M],MATCH(Table12[[#This Row],[Windy Temp.
°C]],Curva_Temp[Temp])+1)</f>
        <v>5000</v>
      </c>
      <c r="R1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3" s="18"/>
      <c r="U133" s="18">
        <v>8.3000000000000007</v>
      </c>
      <c r="V133" s="18">
        <v>10.3</v>
      </c>
      <c r="W133" s="18">
        <f>CEILING(Table12[[#This Row],[Darwin Gusts
m/s]],0.5)</f>
        <v>10.5</v>
      </c>
      <c r="X133" s="18">
        <v>18.100000000000001</v>
      </c>
    </row>
    <row r="134" spans="2:24" ht="12" x14ac:dyDescent="0.2">
      <c r="B134" s="16">
        <f t="shared" ref="B134:B197" si="14">B133+TIME(1,0,0)</f>
        <v>45085.416666666351</v>
      </c>
      <c r="C134" s="17">
        <f t="shared" si="12"/>
        <v>5.4166666666666705</v>
      </c>
      <c r="D134" s="29">
        <f>Table12[[#This Row],[MW TOTAL BARRA A]]+Table12[[#This Row],[MW TOTAL BARRA B]]</f>
        <v>108.185</v>
      </c>
      <c r="E134" s="25">
        <f>Windy_web!$CZ7</f>
        <v>5</v>
      </c>
      <c r="F134" s="25">
        <f>Windy_web!$CZ8</f>
        <v>8</v>
      </c>
      <c r="G134" s="26" t="str">
        <f>Windy_web!$CZ5</f>
        <v>18°</v>
      </c>
      <c r="H134" s="26">
        <f t="shared" si="13"/>
        <v>18</v>
      </c>
      <c r="I134" s="18">
        <v>25</v>
      </c>
      <c r="J134" s="18">
        <v>20</v>
      </c>
      <c r="K134" s="18">
        <f>Table12[[#This Row],[AEG E/S BARRA A]]*Table12[[#This Row],[AEG 5.2 MW]]</f>
        <v>60.224999999999994</v>
      </c>
      <c r="L134" s="18">
        <f>Table12[[#This Row],[AEG E/S BARRA B]]*Table12[[#This Row],[AEG 5.0 MW]]</f>
        <v>47.96</v>
      </c>
      <c r="M134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4" s="29">
        <f>INDEX(Curva_Temp[Temp],MATCH(Table12[[#This Row],[Windy Temp.
°C]],Curva_Temp[Temp]))</f>
        <v>15</v>
      </c>
      <c r="O134" s="29">
        <f>INDEX(Curva_Temp[Warranted Power Curve for 
1.194Kg/m3 air density '[kW']
SG 5.0-145 (AM+1, 5.2MW) AT 
90M],MATCH(Table12[[#This Row],[Windy Temp.
°C]],Curva_Temp[Temp]))</f>
        <v>5200</v>
      </c>
      <c r="P134" s="29" cm="1">
        <f t="array" ref="P134">INDEX(Curva_Temp[Temp],MATCH(Table12[[#This Row],[Windy Temp.
°C]],Curva_Temp[Temp])+1)</f>
        <v>20</v>
      </c>
      <c r="Q134" s="29" cm="1">
        <f t="array" ref="Q134">INDEX(Curva_Temp[Warranted Power Curve for 
1.194Kg/m3 air density '[kW']
SG 5.0-145 (AM+1, 5.2MW) AT 
90M],MATCH(Table12[[#This Row],[Windy Temp.
°C]],Curva_Temp[Temp])+1)</f>
        <v>5000</v>
      </c>
      <c r="R1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4" s="18"/>
      <c r="U134" s="18">
        <v>7.6</v>
      </c>
      <c r="V134" s="18">
        <v>9.6</v>
      </c>
      <c r="W134" s="18">
        <f>CEILING(Table12[[#This Row],[Darwin Gusts
m/s]],0.5)</f>
        <v>10</v>
      </c>
      <c r="X134" s="18">
        <v>18.100000000000001</v>
      </c>
    </row>
    <row r="135" spans="2:24" ht="12" x14ac:dyDescent="0.2">
      <c r="B135" s="16">
        <f t="shared" si="14"/>
        <v>45085.458333333016</v>
      </c>
      <c r="C135" s="24">
        <f t="shared" si="12"/>
        <v>5.4583333333333375</v>
      </c>
      <c r="D135" s="29">
        <f>Table12[[#This Row],[MW TOTAL BARRA A]]+Table12[[#This Row],[MW TOTAL BARRA B]]</f>
        <v>108.185</v>
      </c>
      <c r="E135" s="25">
        <f>Windy_web!$CZ7</f>
        <v>5</v>
      </c>
      <c r="F135" s="25">
        <f>Windy_web!$CZ8</f>
        <v>8</v>
      </c>
      <c r="G135" s="26" t="str">
        <f>Windy_web!$CZ5</f>
        <v>18°</v>
      </c>
      <c r="H135" s="26">
        <f t="shared" si="13"/>
        <v>18</v>
      </c>
      <c r="I135" s="18">
        <v>25</v>
      </c>
      <c r="J135" s="18">
        <v>20</v>
      </c>
      <c r="K135" s="18">
        <f>Table12[[#This Row],[AEG E/S BARRA A]]*Table12[[#This Row],[AEG 5.2 MW]]</f>
        <v>60.224999999999994</v>
      </c>
      <c r="L135" s="18">
        <f>Table12[[#This Row],[AEG E/S BARRA B]]*Table12[[#This Row],[AEG 5.0 MW]]</f>
        <v>47.96</v>
      </c>
      <c r="M13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5" s="29">
        <f>INDEX(Curva_Temp[Temp],MATCH(Table12[[#This Row],[Windy Temp.
°C]],Curva_Temp[Temp]))</f>
        <v>15</v>
      </c>
      <c r="O135" s="29">
        <f>INDEX(Curva_Temp[Warranted Power Curve for 
1.194Kg/m3 air density '[kW']
SG 5.0-145 (AM+1, 5.2MW) AT 
90M],MATCH(Table12[[#This Row],[Windy Temp.
°C]],Curva_Temp[Temp]))</f>
        <v>5200</v>
      </c>
      <c r="P135" s="29" cm="1">
        <f t="array" ref="P135">INDEX(Curva_Temp[Temp],MATCH(Table12[[#This Row],[Windy Temp.
°C]],Curva_Temp[Temp])+1)</f>
        <v>20</v>
      </c>
      <c r="Q135" s="29" cm="1">
        <f t="array" ref="Q135">INDEX(Curva_Temp[Warranted Power Curve for 
1.194Kg/m3 air density '[kW']
SG 5.0-145 (AM+1, 5.2MW) AT 
90M],MATCH(Table12[[#This Row],[Windy Temp.
°C]],Curva_Temp[Temp])+1)</f>
        <v>5000</v>
      </c>
      <c r="R1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5" s="18"/>
      <c r="U135" s="18">
        <v>7</v>
      </c>
      <c r="V135" s="18">
        <v>8.8000000000000007</v>
      </c>
      <c r="W135" s="18">
        <f>CEILING(Table12[[#This Row],[Darwin Gusts
m/s]],0.5)</f>
        <v>9</v>
      </c>
      <c r="X135" s="18">
        <v>18.7</v>
      </c>
    </row>
    <row r="136" spans="2:24" ht="12" x14ac:dyDescent="0.2">
      <c r="B136" s="16">
        <f t="shared" si="14"/>
        <v>45085.49999999968</v>
      </c>
      <c r="C136" s="24">
        <f t="shared" si="12"/>
        <v>5.5000000000000044</v>
      </c>
      <c r="D136" s="29">
        <f>Table12[[#This Row],[MW TOTAL BARRA A]]+Table12[[#This Row],[MW TOTAL BARRA B]]</f>
        <v>108.185</v>
      </c>
      <c r="E136" s="25">
        <f>Windy_web!$CZ7</f>
        <v>5</v>
      </c>
      <c r="F136" s="25">
        <f>Windy_web!$CZ8</f>
        <v>8</v>
      </c>
      <c r="G136" s="26" t="str">
        <f>Windy_web!$CZ5</f>
        <v>18°</v>
      </c>
      <c r="H136" s="26">
        <f t="shared" si="13"/>
        <v>18</v>
      </c>
      <c r="I136" s="18">
        <v>25</v>
      </c>
      <c r="J136" s="18">
        <v>20</v>
      </c>
      <c r="K136" s="18">
        <f>Table12[[#This Row],[AEG E/S BARRA A]]*Table12[[#This Row],[AEG 5.2 MW]]</f>
        <v>60.224999999999994</v>
      </c>
      <c r="L136" s="18">
        <f>Table12[[#This Row],[AEG E/S BARRA B]]*Table12[[#This Row],[AEG 5.0 MW]]</f>
        <v>47.96</v>
      </c>
      <c r="M13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6" s="29">
        <f>INDEX(Curva_Temp[Temp],MATCH(Table12[[#This Row],[Windy Temp.
°C]],Curva_Temp[Temp]))</f>
        <v>15</v>
      </c>
      <c r="O136" s="29">
        <f>INDEX(Curva_Temp[Warranted Power Curve for 
1.194Kg/m3 air density '[kW']
SG 5.0-145 (AM+1, 5.2MW) AT 
90M],MATCH(Table12[[#This Row],[Windy Temp.
°C]],Curva_Temp[Temp]))</f>
        <v>5200</v>
      </c>
      <c r="P136" s="29" cm="1">
        <f t="array" ref="P136">INDEX(Curva_Temp[Temp],MATCH(Table12[[#This Row],[Windy Temp.
°C]],Curva_Temp[Temp])+1)</f>
        <v>20</v>
      </c>
      <c r="Q136" s="29" cm="1">
        <f t="array" ref="Q136">INDEX(Curva_Temp[Warranted Power Curve for 
1.194Kg/m3 air density '[kW']
SG 5.0-145 (AM+1, 5.2MW) AT 
90M],MATCH(Table12[[#This Row],[Windy Temp.
°C]],Curva_Temp[Temp])+1)</f>
        <v>5000</v>
      </c>
      <c r="R1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6" s="18"/>
      <c r="U136" s="18">
        <v>6.4</v>
      </c>
      <c r="V136" s="18">
        <v>8.4</v>
      </c>
      <c r="W136" s="18">
        <f>CEILING(Table12[[#This Row],[Darwin Gusts
m/s]],0.5)</f>
        <v>8.5</v>
      </c>
      <c r="X136" s="18">
        <v>19.5</v>
      </c>
    </row>
    <row r="137" spans="2:24" ht="12" x14ac:dyDescent="0.2">
      <c r="B137" s="16">
        <f t="shared" si="14"/>
        <v>45085.541666666344</v>
      </c>
      <c r="C137" s="17">
        <f t="shared" si="12"/>
        <v>5.5416666666666714</v>
      </c>
      <c r="D137" s="29">
        <f>Table12[[#This Row],[MW TOTAL BARRA A]]+Table12[[#This Row],[MW TOTAL BARRA B]]</f>
        <v>191.33999999999997</v>
      </c>
      <c r="E137" s="25">
        <f>Windy_web!$DA7</f>
        <v>6</v>
      </c>
      <c r="F137" s="25">
        <f>Windy_web!$DA8</f>
        <v>10</v>
      </c>
      <c r="G137" s="26" t="str">
        <f>Windy_web!$DA5</f>
        <v>19°</v>
      </c>
      <c r="H137" s="26">
        <f t="shared" si="13"/>
        <v>19</v>
      </c>
      <c r="I137" s="18">
        <v>25</v>
      </c>
      <c r="J137" s="18">
        <v>20</v>
      </c>
      <c r="K137" s="18">
        <f>Table12[[#This Row],[AEG E/S BARRA A]]*Table12[[#This Row],[AEG 5.2 MW]]</f>
        <v>107.1</v>
      </c>
      <c r="L137" s="18">
        <f>Table12[[#This Row],[AEG E/S BARRA B]]*Table12[[#This Row],[AEG 5.0 MW]]</f>
        <v>84.24</v>
      </c>
      <c r="M137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7" s="29">
        <f>INDEX(Curva_Temp[Temp],MATCH(Table12[[#This Row],[Windy Temp.
°C]],Curva_Temp[Temp]))</f>
        <v>15</v>
      </c>
      <c r="O137" s="29">
        <f>INDEX(Curva_Temp[Warranted Power Curve for 
1.194Kg/m3 air density '[kW']
SG 5.0-145 (AM+1, 5.2MW) AT 
90M],MATCH(Table12[[#This Row],[Windy Temp.
°C]],Curva_Temp[Temp]))</f>
        <v>5200</v>
      </c>
      <c r="P137" s="29" cm="1">
        <f t="array" ref="P137">INDEX(Curva_Temp[Temp],MATCH(Table12[[#This Row],[Windy Temp.
°C]],Curva_Temp[Temp])+1)</f>
        <v>20</v>
      </c>
      <c r="Q137" s="29" cm="1">
        <f t="array" ref="Q137">INDEX(Curva_Temp[Warranted Power Curve for 
1.194Kg/m3 air density '[kW']
SG 5.0-145 (AM+1, 5.2MW) AT 
90M],MATCH(Table12[[#This Row],[Windy Temp.
°C]],Curva_Temp[Temp])+1)</f>
        <v>5000</v>
      </c>
      <c r="R1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7" s="18"/>
      <c r="U137" s="18">
        <v>6.2</v>
      </c>
      <c r="V137" s="18">
        <v>8.1</v>
      </c>
      <c r="W137" s="18">
        <f>CEILING(Table12[[#This Row],[Darwin Gusts
m/s]],0.5)</f>
        <v>8.5</v>
      </c>
      <c r="X137" s="18">
        <v>20.399999999999999</v>
      </c>
    </row>
    <row r="138" spans="2:24" ht="12" x14ac:dyDescent="0.2">
      <c r="B138" s="16">
        <f t="shared" si="14"/>
        <v>45085.583333333008</v>
      </c>
      <c r="C138" s="24">
        <f t="shared" si="12"/>
        <v>5.5833333333333384</v>
      </c>
      <c r="D138" s="29">
        <f>Table12[[#This Row],[MW TOTAL BARRA A]]+Table12[[#This Row],[MW TOTAL BARRA B]]</f>
        <v>191.33999999999997</v>
      </c>
      <c r="E138" s="25">
        <f>Windy_web!$DA7</f>
        <v>6</v>
      </c>
      <c r="F138" s="25">
        <f>Windy_web!$DA8</f>
        <v>10</v>
      </c>
      <c r="G138" s="26" t="str">
        <f>Windy_web!$DA5</f>
        <v>19°</v>
      </c>
      <c r="H138" s="26">
        <f t="shared" si="13"/>
        <v>19</v>
      </c>
      <c r="I138" s="18">
        <v>25</v>
      </c>
      <c r="J138" s="18">
        <v>20</v>
      </c>
      <c r="K138" s="18">
        <f>Table12[[#This Row],[AEG E/S BARRA A]]*Table12[[#This Row],[AEG 5.2 MW]]</f>
        <v>107.1</v>
      </c>
      <c r="L138" s="18">
        <f>Table12[[#This Row],[AEG E/S BARRA B]]*Table12[[#This Row],[AEG 5.0 MW]]</f>
        <v>84.24</v>
      </c>
      <c r="M1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8" s="29">
        <f>INDEX(Curva_Temp[Temp],MATCH(Table12[[#This Row],[Windy Temp.
°C]],Curva_Temp[Temp]))</f>
        <v>15</v>
      </c>
      <c r="O138" s="29">
        <f>INDEX(Curva_Temp[Warranted Power Curve for 
1.194Kg/m3 air density '[kW']
SG 5.0-145 (AM+1, 5.2MW) AT 
90M],MATCH(Table12[[#This Row],[Windy Temp.
°C]],Curva_Temp[Temp]))</f>
        <v>5200</v>
      </c>
      <c r="P138" s="29" cm="1">
        <f t="array" ref="P138">INDEX(Curva_Temp[Temp],MATCH(Table12[[#This Row],[Windy Temp.
°C]],Curva_Temp[Temp])+1)</f>
        <v>20</v>
      </c>
      <c r="Q138" s="29" cm="1">
        <f t="array" ref="Q138">INDEX(Curva_Temp[Warranted Power Curve for 
1.194Kg/m3 air density '[kW']
SG 5.0-145 (AM+1, 5.2MW) AT 
90M],MATCH(Table12[[#This Row],[Windy Temp.
°C]],Curva_Temp[Temp])+1)</f>
        <v>5000</v>
      </c>
      <c r="R1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8" s="18"/>
      <c r="U138" s="18">
        <v>6.1</v>
      </c>
      <c r="V138" s="18">
        <v>7.9</v>
      </c>
      <c r="W138" s="18">
        <f>CEILING(Table12[[#This Row],[Darwin Gusts
m/s]],0.5)</f>
        <v>8</v>
      </c>
      <c r="X138" s="18">
        <v>21.2</v>
      </c>
    </row>
    <row r="139" spans="2:24" ht="12" x14ac:dyDescent="0.2">
      <c r="B139" s="16">
        <f t="shared" si="14"/>
        <v>45085.624999999673</v>
      </c>
      <c r="C139" s="24">
        <f t="shared" si="12"/>
        <v>5.6250000000000053</v>
      </c>
      <c r="D139" s="29">
        <f>Table12[[#This Row],[MW TOTAL BARRA A]]+Table12[[#This Row],[MW TOTAL BARRA B]]</f>
        <v>191.33999999999997</v>
      </c>
      <c r="E139" s="25">
        <f>Windy_web!$DA7</f>
        <v>6</v>
      </c>
      <c r="F139" s="25">
        <f>Windy_web!$DA8</f>
        <v>10</v>
      </c>
      <c r="G139" s="26" t="str">
        <f>Windy_web!$DA5</f>
        <v>19°</v>
      </c>
      <c r="H139" s="26">
        <f t="shared" si="13"/>
        <v>19</v>
      </c>
      <c r="I139" s="18">
        <v>25</v>
      </c>
      <c r="J139" s="18">
        <v>20</v>
      </c>
      <c r="K139" s="18">
        <f>Table12[[#This Row],[AEG E/S BARRA A]]*Table12[[#This Row],[AEG 5.2 MW]]</f>
        <v>107.1</v>
      </c>
      <c r="L139" s="18">
        <f>Table12[[#This Row],[AEG E/S BARRA B]]*Table12[[#This Row],[AEG 5.0 MW]]</f>
        <v>84.24</v>
      </c>
      <c r="M139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9" s="29">
        <f>INDEX(Curva_Temp[Temp],MATCH(Table12[[#This Row],[Windy Temp.
°C]],Curva_Temp[Temp]))</f>
        <v>15</v>
      </c>
      <c r="O139" s="29">
        <f>INDEX(Curva_Temp[Warranted Power Curve for 
1.194Kg/m3 air density '[kW']
SG 5.0-145 (AM+1, 5.2MW) AT 
90M],MATCH(Table12[[#This Row],[Windy Temp.
°C]],Curva_Temp[Temp]))</f>
        <v>5200</v>
      </c>
      <c r="P139" s="29" cm="1">
        <f t="array" ref="P139">INDEX(Curva_Temp[Temp],MATCH(Table12[[#This Row],[Windy Temp.
°C]],Curva_Temp[Temp])+1)</f>
        <v>20</v>
      </c>
      <c r="Q139" s="29" cm="1">
        <f t="array" ref="Q139">INDEX(Curva_Temp[Warranted Power Curve for 
1.194Kg/m3 air density '[kW']
SG 5.0-145 (AM+1, 5.2MW) AT 
90M],MATCH(Table12[[#This Row],[Windy Temp.
°C]],Curva_Temp[Temp])+1)</f>
        <v>5000</v>
      </c>
      <c r="R1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9" s="18"/>
      <c r="U139" s="18">
        <v>5.9</v>
      </c>
      <c r="V139" s="18">
        <v>8.1999999999999993</v>
      </c>
      <c r="W139" s="18">
        <f>CEILING(Table12[[#This Row],[Darwin Gusts
m/s]],0.5)</f>
        <v>8.5</v>
      </c>
      <c r="X139" s="18">
        <v>21.9</v>
      </c>
    </row>
    <row r="140" spans="2:24" ht="12" x14ac:dyDescent="0.2">
      <c r="B140" s="16">
        <f t="shared" si="14"/>
        <v>45085.666666666337</v>
      </c>
      <c r="C140" s="17">
        <f t="shared" si="12"/>
        <v>5.6666666666666723</v>
      </c>
      <c r="D140" s="29">
        <f>Table12[[#This Row],[MW TOTAL BARRA A]]+Table12[[#This Row],[MW TOTAL BARRA B]]</f>
        <v>219.56</v>
      </c>
      <c r="E140" s="25">
        <f>Windy_web!$DB7</f>
        <v>6</v>
      </c>
      <c r="F140" s="25">
        <f>Windy_web!$DB8</f>
        <v>11</v>
      </c>
      <c r="G140" s="26" t="str">
        <f>Windy_web!$DB5</f>
        <v>18°</v>
      </c>
      <c r="H140" s="26">
        <f t="shared" si="13"/>
        <v>18</v>
      </c>
      <c r="I140" s="18">
        <v>25</v>
      </c>
      <c r="J140" s="18">
        <v>20</v>
      </c>
      <c r="K140" s="18">
        <f>Table12[[#This Row],[AEG E/S BARRA A]]*Table12[[#This Row],[AEG 5.2 MW]]</f>
        <v>123.9</v>
      </c>
      <c r="L140" s="18">
        <f>Table12[[#This Row],[AEG E/S BARRA B]]*Table12[[#This Row],[AEG 5.0 MW]]</f>
        <v>95.660000000000011</v>
      </c>
      <c r="M14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0" s="29">
        <f>INDEX(Curva_Temp[Temp],MATCH(Table12[[#This Row],[Windy Temp.
°C]],Curva_Temp[Temp]))</f>
        <v>15</v>
      </c>
      <c r="O140" s="29">
        <f>INDEX(Curva_Temp[Warranted Power Curve for 
1.194Kg/m3 air density '[kW']
SG 5.0-145 (AM+1, 5.2MW) AT 
90M],MATCH(Table12[[#This Row],[Windy Temp.
°C]],Curva_Temp[Temp]))</f>
        <v>5200</v>
      </c>
      <c r="P140" s="29" cm="1">
        <f t="array" ref="P140">INDEX(Curva_Temp[Temp],MATCH(Table12[[#This Row],[Windy Temp.
°C]],Curva_Temp[Temp])+1)</f>
        <v>20</v>
      </c>
      <c r="Q140" s="29" cm="1">
        <f t="array" ref="Q140">INDEX(Curva_Temp[Warranted Power Curve for 
1.194Kg/m3 air density '[kW']
SG 5.0-145 (AM+1, 5.2MW) AT 
90M],MATCH(Table12[[#This Row],[Windy Temp.
°C]],Curva_Temp[Temp])+1)</f>
        <v>5000</v>
      </c>
      <c r="R1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0" s="18"/>
      <c r="U140" s="18">
        <v>5.3</v>
      </c>
      <c r="V140" s="18">
        <v>7.7</v>
      </c>
      <c r="W140" s="18">
        <f>CEILING(Table12[[#This Row],[Darwin Gusts
m/s]],0.5)</f>
        <v>8</v>
      </c>
      <c r="X140" s="18">
        <v>22.5</v>
      </c>
    </row>
    <row r="141" spans="2:24" ht="12" x14ac:dyDescent="0.2">
      <c r="B141" s="16">
        <f t="shared" si="14"/>
        <v>45085.708333333001</v>
      </c>
      <c r="C141" s="24">
        <f t="shared" si="12"/>
        <v>5.7083333333333393</v>
      </c>
      <c r="D141" s="29">
        <f>Table12[[#This Row],[MW TOTAL BARRA A]]+Table12[[#This Row],[MW TOTAL BARRA B]]</f>
        <v>219.56</v>
      </c>
      <c r="E141" s="25">
        <f>Windy_web!$DB7</f>
        <v>6</v>
      </c>
      <c r="F141" s="25">
        <f>Windy_web!$DB8</f>
        <v>11</v>
      </c>
      <c r="G141" s="26" t="str">
        <f>Windy_web!$DB5</f>
        <v>18°</v>
      </c>
      <c r="H141" s="26">
        <f t="shared" si="13"/>
        <v>18</v>
      </c>
      <c r="I141" s="18">
        <v>25</v>
      </c>
      <c r="J141" s="18">
        <v>20</v>
      </c>
      <c r="K141" s="18">
        <f>Table12[[#This Row],[AEG E/S BARRA A]]*Table12[[#This Row],[AEG 5.2 MW]]</f>
        <v>123.9</v>
      </c>
      <c r="L141" s="18">
        <f>Table12[[#This Row],[AEG E/S BARRA B]]*Table12[[#This Row],[AEG 5.0 MW]]</f>
        <v>95.660000000000011</v>
      </c>
      <c r="M14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1" s="29">
        <f>INDEX(Curva_Temp[Temp],MATCH(Table12[[#This Row],[Windy Temp.
°C]],Curva_Temp[Temp]))</f>
        <v>15</v>
      </c>
      <c r="O141" s="29">
        <f>INDEX(Curva_Temp[Warranted Power Curve for 
1.194Kg/m3 air density '[kW']
SG 5.0-145 (AM+1, 5.2MW) AT 
90M],MATCH(Table12[[#This Row],[Windy Temp.
°C]],Curva_Temp[Temp]))</f>
        <v>5200</v>
      </c>
      <c r="P141" s="29" cm="1">
        <f t="array" ref="P141">INDEX(Curva_Temp[Temp],MATCH(Table12[[#This Row],[Windy Temp.
°C]],Curva_Temp[Temp])+1)</f>
        <v>20</v>
      </c>
      <c r="Q141" s="29" cm="1">
        <f t="array" ref="Q141">INDEX(Curva_Temp[Warranted Power Curve for 
1.194Kg/m3 air density '[kW']
SG 5.0-145 (AM+1, 5.2MW) AT 
90M],MATCH(Table12[[#This Row],[Windy Temp.
°C]],Curva_Temp[Temp])+1)</f>
        <v>5000</v>
      </c>
      <c r="R1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1" s="18"/>
      <c r="U141" s="18">
        <v>4.8</v>
      </c>
      <c r="V141" s="18">
        <v>7.2</v>
      </c>
      <c r="W141" s="18">
        <f>CEILING(Table12[[#This Row],[Darwin Gusts
m/s]],0.5)</f>
        <v>7.5</v>
      </c>
      <c r="X141" s="18">
        <v>22.8</v>
      </c>
    </row>
    <row r="142" spans="2:24" ht="12" x14ac:dyDescent="0.2">
      <c r="B142" s="16">
        <f t="shared" si="14"/>
        <v>45085.749999999665</v>
      </c>
      <c r="C142" s="24">
        <f t="shared" si="12"/>
        <v>5.7500000000000062</v>
      </c>
      <c r="D142" s="29">
        <f>Table12[[#This Row],[MW TOTAL BARRA A]]+Table12[[#This Row],[MW TOTAL BARRA B]]</f>
        <v>219.56</v>
      </c>
      <c r="E142" s="25">
        <f>Windy_web!$DB7</f>
        <v>6</v>
      </c>
      <c r="F142" s="25">
        <f>Windy_web!$DB8</f>
        <v>11</v>
      </c>
      <c r="G142" s="26" t="str">
        <f>Windy_web!$DB5</f>
        <v>18°</v>
      </c>
      <c r="H142" s="26">
        <f t="shared" si="13"/>
        <v>18</v>
      </c>
      <c r="I142" s="18">
        <v>25</v>
      </c>
      <c r="J142" s="18">
        <v>20</v>
      </c>
      <c r="K142" s="18">
        <f>Table12[[#This Row],[AEG E/S BARRA A]]*Table12[[#This Row],[AEG 5.2 MW]]</f>
        <v>123.9</v>
      </c>
      <c r="L142" s="18">
        <f>Table12[[#This Row],[AEG E/S BARRA B]]*Table12[[#This Row],[AEG 5.0 MW]]</f>
        <v>95.660000000000011</v>
      </c>
      <c r="M14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2" s="29">
        <f>INDEX(Curva_Temp[Temp],MATCH(Table12[[#This Row],[Windy Temp.
°C]],Curva_Temp[Temp]))</f>
        <v>15</v>
      </c>
      <c r="O142" s="29">
        <f>INDEX(Curva_Temp[Warranted Power Curve for 
1.194Kg/m3 air density '[kW']
SG 5.0-145 (AM+1, 5.2MW) AT 
90M],MATCH(Table12[[#This Row],[Windy Temp.
°C]],Curva_Temp[Temp]))</f>
        <v>5200</v>
      </c>
      <c r="P142" s="29" cm="1">
        <f t="array" ref="P142">INDEX(Curva_Temp[Temp],MATCH(Table12[[#This Row],[Windy Temp.
°C]],Curva_Temp[Temp])+1)</f>
        <v>20</v>
      </c>
      <c r="Q142" s="29" cm="1">
        <f t="array" ref="Q142">INDEX(Curva_Temp[Warranted Power Curve for 
1.194Kg/m3 air density '[kW']
SG 5.0-145 (AM+1, 5.2MW) AT 
90M],MATCH(Table12[[#This Row],[Windy Temp.
°C]],Curva_Temp[Temp])+1)</f>
        <v>5000</v>
      </c>
      <c r="R1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2" s="18"/>
      <c r="U142" s="18">
        <v>4.3</v>
      </c>
      <c r="V142" s="18">
        <v>6.7</v>
      </c>
      <c r="W142" s="18">
        <f>CEILING(Table12[[#This Row],[Darwin Gusts
m/s]],0.5)</f>
        <v>7</v>
      </c>
      <c r="X142" s="18">
        <v>22.9</v>
      </c>
    </row>
    <row r="143" spans="2:24" ht="12" x14ac:dyDescent="0.2">
      <c r="B143" s="16">
        <f t="shared" si="14"/>
        <v>45085.79166666633</v>
      </c>
      <c r="C143" s="17">
        <f>C142+TIME(1,0,0)</f>
        <v>5.7916666666666732</v>
      </c>
      <c r="D143" s="29">
        <f>Table12[[#This Row],[MW TOTAL BARRA A]]+Table12[[#This Row],[MW TOTAL BARRA B]]</f>
        <v>238.69200000000001</v>
      </c>
      <c r="E143" s="25">
        <f>Windy_web!$DC7</f>
        <v>6</v>
      </c>
      <c r="F143" s="25">
        <f>Windy_web!$DC8</f>
        <v>11</v>
      </c>
      <c r="G143" s="26" t="str">
        <f>Windy_web!$DC5</f>
        <v>16°</v>
      </c>
      <c r="H143" s="26">
        <f t="shared" si="13"/>
        <v>16</v>
      </c>
      <c r="I143" s="18">
        <v>25</v>
      </c>
      <c r="J143" s="18">
        <v>24</v>
      </c>
      <c r="K143" s="18">
        <f>Table12[[#This Row],[AEG E/S BARRA A]]*Table12[[#This Row],[AEG 5.2 MW]]</f>
        <v>123.9</v>
      </c>
      <c r="L143" s="18">
        <f>Table12[[#This Row],[AEG E/S BARRA B]]*Table12[[#This Row],[AEG 5.0 MW]]</f>
        <v>114.792</v>
      </c>
      <c r="M14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3" s="29">
        <f>INDEX(Curva_Temp[Temp],MATCH(Table12[[#This Row],[Windy Temp.
°C]],Curva_Temp[Temp]))</f>
        <v>15</v>
      </c>
      <c r="O143" s="29">
        <f>INDEX(Curva_Temp[Warranted Power Curve for 
1.194Kg/m3 air density '[kW']
SG 5.0-145 (AM+1, 5.2MW) AT 
90M],MATCH(Table12[[#This Row],[Windy Temp.
°C]],Curva_Temp[Temp]))</f>
        <v>5200</v>
      </c>
      <c r="P143" s="29" cm="1">
        <f t="array" ref="P143">INDEX(Curva_Temp[Temp],MATCH(Table12[[#This Row],[Windy Temp.
°C]],Curva_Temp[Temp])+1)</f>
        <v>20</v>
      </c>
      <c r="Q143" s="29" cm="1">
        <f t="array" ref="Q143">INDEX(Curva_Temp[Warranted Power Curve for 
1.194Kg/m3 air density '[kW']
SG 5.0-145 (AM+1, 5.2MW) AT 
90M],MATCH(Table12[[#This Row],[Windy Temp.
°C]],Curva_Temp[Temp])+1)</f>
        <v>5000</v>
      </c>
      <c r="R1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3" s="18"/>
      <c r="U143" s="18">
        <v>4.8</v>
      </c>
      <c r="V143" s="18">
        <v>6.8</v>
      </c>
      <c r="W143" s="18">
        <f>CEILING(Table12[[#This Row],[Darwin Gusts
m/s]],0.5)</f>
        <v>7</v>
      </c>
      <c r="X143" s="18">
        <v>22.2</v>
      </c>
    </row>
    <row r="144" spans="2:24" ht="12" x14ac:dyDescent="0.2">
      <c r="B144" s="16">
        <f t="shared" si="14"/>
        <v>45085.833333332994</v>
      </c>
      <c r="C144" s="24">
        <f t="shared" ref="C144:C148" si="15">C143+TIME(1,0,0)</f>
        <v>5.8333333333333401</v>
      </c>
      <c r="D144" s="29">
        <f>Table12[[#This Row],[MW TOTAL BARRA A]]+Table12[[#This Row],[MW TOTAL BARRA B]]</f>
        <v>238.69200000000001</v>
      </c>
      <c r="E144" s="25">
        <f>Windy_web!$DC7</f>
        <v>6</v>
      </c>
      <c r="F144" s="25">
        <f>Windy_web!$DC8</f>
        <v>11</v>
      </c>
      <c r="G144" s="26" t="str">
        <f>Windy_web!$DC5</f>
        <v>16°</v>
      </c>
      <c r="H144" s="26">
        <f t="shared" si="13"/>
        <v>16</v>
      </c>
      <c r="I144" s="18">
        <v>25</v>
      </c>
      <c r="J144" s="18">
        <v>24</v>
      </c>
      <c r="K144" s="18">
        <f>Table12[[#This Row],[AEG E/S BARRA A]]*Table12[[#This Row],[AEG 5.2 MW]]</f>
        <v>123.9</v>
      </c>
      <c r="L144" s="18">
        <f>Table12[[#This Row],[AEG E/S BARRA B]]*Table12[[#This Row],[AEG 5.0 MW]]</f>
        <v>114.792</v>
      </c>
      <c r="M14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4" s="29">
        <f>INDEX(Curva_Temp[Temp],MATCH(Table12[[#This Row],[Windy Temp.
°C]],Curva_Temp[Temp]))</f>
        <v>15</v>
      </c>
      <c r="O144" s="29">
        <f>INDEX(Curva_Temp[Warranted Power Curve for 
1.194Kg/m3 air density '[kW']
SG 5.0-145 (AM+1, 5.2MW) AT 
90M],MATCH(Table12[[#This Row],[Windy Temp.
°C]],Curva_Temp[Temp]))</f>
        <v>5200</v>
      </c>
      <c r="P144" s="29" cm="1">
        <f t="array" ref="P144">INDEX(Curva_Temp[Temp],MATCH(Table12[[#This Row],[Windy Temp.
°C]],Curva_Temp[Temp])+1)</f>
        <v>20</v>
      </c>
      <c r="Q144" s="29" cm="1">
        <f t="array" ref="Q144">INDEX(Curva_Temp[Warranted Power Curve for 
1.194Kg/m3 air density '[kW']
SG 5.0-145 (AM+1, 5.2MW) AT 
90M],MATCH(Table12[[#This Row],[Windy Temp.
°C]],Curva_Temp[Temp])+1)</f>
        <v>5000</v>
      </c>
      <c r="R1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4" s="18"/>
      <c r="U144" s="18">
        <v>5.4</v>
      </c>
      <c r="V144" s="18">
        <v>6.9</v>
      </c>
      <c r="W144" s="18">
        <f>CEILING(Table12[[#This Row],[Darwin Gusts
m/s]],0.5)</f>
        <v>7</v>
      </c>
      <c r="X144" s="18">
        <v>21.4</v>
      </c>
    </row>
    <row r="145" spans="2:24" ht="12" x14ac:dyDescent="0.2">
      <c r="B145" s="16">
        <f t="shared" si="14"/>
        <v>45085.874999999658</v>
      </c>
      <c r="C145" s="24">
        <f t="shared" si="15"/>
        <v>5.8750000000000071</v>
      </c>
      <c r="D145" s="29">
        <f>Table12[[#This Row],[MW TOTAL BARRA A]]+Table12[[#This Row],[MW TOTAL BARRA B]]</f>
        <v>238.69200000000001</v>
      </c>
      <c r="E145" s="25">
        <f>Windy_web!$DC7</f>
        <v>6</v>
      </c>
      <c r="F145" s="25">
        <f>Windy_web!$DC8</f>
        <v>11</v>
      </c>
      <c r="G145" s="26" t="str">
        <f>Windy_web!$DC5</f>
        <v>16°</v>
      </c>
      <c r="H145" s="26">
        <f t="shared" si="13"/>
        <v>16</v>
      </c>
      <c r="I145" s="18">
        <v>25</v>
      </c>
      <c r="J145" s="18">
        <v>24</v>
      </c>
      <c r="K145" s="18">
        <f>Table12[[#This Row],[AEG E/S BARRA A]]*Table12[[#This Row],[AEG 5.2 MW]]</f>
        <v>123.9</v>
      </c>
      <c r="L145" s="18">
        <f>Table12[[#This Row],[AEG E/S BARRA B]]*Table12[[#This Row],[AEG 5.0 MW]]</f>
        <v>114.792</v>
      </c>
      <c r="M14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5" s="29">
        <f>INDEX(Curva_Temp[Temp],MATCH(Table12[[#This Row],[Windy Temp.
°C]],Curva_Temp[Temp]))</f>
        <v>15</v>
      </c>
      <c r="O145" s="29">
        <f>INDEX(Curva_Temp[Warranted Power Curve for 
1.194Kg/m3 air density '[kW']
SG 5.0-145 (AM+1, 5.2MW) AT 
90M],MATCH(Table12[[#This Row],[Windy Temp.
°C]],Curva_Temp[Temp]))</f>
        <v>5200</v>
      </c>
      <c r="P145" s="29" cm="1">
        <f t="array" ref="P145">INDEX(Curva_Temp[Temp],MATCH(Table12[[#This Row],[Windy Temp.
°C]],Curva_Temp[Temp])+1)</f>
        <v>20</v>
      </c>
      <c r="Q145" s="29" cm="1">
        <f t="array" ref="Q145">INDEX(Curva_Temp[Warranted Power Curve for 
1.194Kg/m3 air density '[kW']
SG 5.0-145 (AM+1, 5.2MW) AT 
90M],MATCH(Table12[[#This Row],[Windy Temp.
°C]],Curva_Temp[Temp])+1)</f>
        <v>5000</v>
      </c>
      <c r="R1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5" s="18"/>
      <c r="U145" s="18">
        <v>6</v>
      </c>
      <c r="V145" s="18">
        <v>7.6</v>
      </c>
      <c r="W145" s="18">
        <f>CEILING(Table12[[#This Row],[Darwin Gusts
m/s]],0.5)</f>
        <v>8</v>
      </c>
      <c r="X145" s="18">
        <v>20.6</v>
      </c>
    </row>
    <row r="146" spans="2:24" ht="12" x14ac:dyDescent="0.2">
      <c r="B146" s="16">
        <f t="shared" si="14"/>
        <v>45085.916666666322</v>
      </c>
      <c r="C146" s="24">
        <f t="shared" si="15"/>
        <v>5.9166666666666741</v>
      </c>
      <c r="D146" s="29">
        <f>Table12[[#This Row],[MW TOTAL BARRA A]]+Table12[[#This Row],[MW TOTAL BARRA B]]</f>
        <v>238.69200000000001</v>
      </c>
      <c r="E146" s="25">
        <f>Windy_web!$DC7</f>
        <v>6</v>
      </c>
      <c r="F146" s="25">
        <f>Windy_web!$DC8</f>
        <v>11</v>
      </c>
      <c r="G146" s="26" t="str">
        <f>Windy_web!$DC5</f>
        <v>16°</v>
      </c>
      <c r="H146" s="26">
        <f t="shared" si="13"/>
        <v>16</v>
      </c>
      <c r="I146" s="18">
        <v>25</v>
      </c>
      <c r="J146" s="18">
        <v>24</v>
      </c>
      <c r="K146" s="18">
        <f>Table12[[#This Row],[AEG E/S BARRA A]]*Table12[[#This Row],[AEG 5.2 MW]]</f>
        <v>123.9</v>
      </c>
      <c r="L146" s="18">
        <f>Table12[[#This Row],[AEG E/S BARRA B]]*Table12[[#This Row],[AEG 5.0 MW]]</f>
        <v>114.792</v>
      </c>
      <c r="M14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6" s="29">
        <f>INDEX(Curva_Temp[Temp],MATCH(Table12[[#This Row],[Windy Temp.
°C]],Curva_Temp[Temp]))</f>
        <v>15</v>
      </c>
      <c r="O146" s="29">
        <f>INDEX(Curva_Temp[Warranted Power Curve for 
1.194Kg/m3 air density '[kW']
SG 5.0-145 (AM+1, 5.2MW) AT 
90M],MATCH(Table12[[#This Row],[Windy Temp.
°C]],Curva_Temp[Temp]))</f>
        <v>5200</v>
      </c>
      <c r="P146" s="29" cm="1">
        <f t="array" ref="P146">INDEX(Curva_Temp[Temp],MATCH(Table12[[#This Row],[Windy Temp.
°C]],Curva_Temp[Temp])+1)</f>
        <v>20</v>
      </c>
      <c r="Q146" s="29" cm="1">
        <f t="array" ref="Q146">INDEX(Curva_Temp[Warranted Power Curve for 
1.194Kg/m3 air density '[kW']
SG 5.0-145 (AM+1, 5.2MW) AT 
90M],MATCH(Table12[[#This Row],[Windy Temp.
°C]],Curva_Temp[Temp])+1)</f>
        <v>5000</v>
      </c>
      <c r="R1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6" s="18"/>
      <c r="U146" s="18">
        <v>6.9</v>
      </c>
      <c r="V146" s="18">
        <v>8.6999999999999993</v>
      </c>
      <c r="W146" s="18">
        <f>CEILING(Table12[[#This Row],[Darwin Gusts
m/s]],0.5)</f>
        <v>9</v>
      </c>
      <c r="X146" s="18">
        <v>20.100000000000001</v>
      </c>
    </row>
    <row r="147" spans="2:24" ht="12" x14ac:dyDescent="0.2">
      <c r="B147" s="16">
        <f t="shared" si="14"/>
        <v>45085.958333332987</v>
      </c>
      <c r="C147" s="24">
        <f t="shared" si="15"/>
        <v>5.958333333333341</v>
      </c>
      <c r="D147" s="29">
        <f>Table12[[#This Row],[MW TOTAL BARRA A]]+Table12[[#This Row],[MW TOTAL BARRA B]]</f>
        <v>238.69200000000001</v>
      </c>
      <c r="E147" s="25">
        <f>Windy_web!$DC7</f>
        <v>6</v>
      </c>
      <c r="F147" s="25">
        <f>Windy_web!$DC8</f>
        <v>11</v>
      </c>
      <c r="G147" s="26" t="str">
        <f>Windy_web!$DC5</f>
        <v>16°</v>
      </c>
      <c r="H147" s="26">
        <f t="shared" si="13"/>
        <v>16</v>
      </c>
      <c r="I147" s="18">
        <v>25</v>
      </c>
      <c r="J147" s="18">
        <v>24</v>
      </c>
      <c r="K147" s="18">
        <f>Table12[[#This Row],[AEG E/S BARRA A]]*Table12[[#This Row],[AEG 5.2 MW]]</f>
        <v>123.9</v>
      </c>
      <c r="L147" s="18">
        <f>Table12[[#This Row],[AEG E/S BARRA B]]*Table12[[#This Row],[AEG 5.0 MW]]</f>
        <v>114.792</v>
      </c>
      <c r="M14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7" s="29">
        <f>INDEX(Curva_Temp[Temp],MATCH(Table12[[#This Row],[Windy Temp.
°C]],Curva_Temp[Temp]))</f>
        <v>15</v>
      </c>
      <c r="O147" s="29">
        <f>INDEX(Curva_Temp[Warranted Power Curve for 
1.194Kg/m3 air density '[kW']
SG 5.0-145 (AM+1, 5.2MW) AT 
90M],MATCH(Table12[[#This Row],[Windy Temp.
°C]],Curva_Temp[Temp]))</f>
        <v>5200</v>
      </c>
      <c r="P147" s="29" cm="1">
        <f t="array" ref="P147">INDEX(Curva_Temp[Temp],MATCH(Table12[[#This Row],[Windy Temp.
°C]],Curva_Temp[Temp])+1)</f>
        <v>20</v>
      </c>
      <c r="Q147" s="29" cm="1">
        <f t="array" ref="Q147">INDEX(Curva_Temp[Warranted Power Curve for 
1.194Kg/m3 air density '[kW']
SG 5.0-145 (AM+1, 5.2MW) AT 
90M],MATCH(Table12[[#This Row],[Windy Temp.
°C]],Curva_Temp[Temp])+1)</f>
        <v>5000</v>
      </c>
      <c r="R1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7" s="18"/>
      <c r="U147" s="18">
        <v>7.7</v>
      </c>
      <c r="V147" s="18">
        <v>9.6999999999999993</v>
      </c>
      <c r="W147" s="18">
        <f>CEILING(Table12[[#This Row],[Darwin Gusts
m/s]],0.5)</f>
        <v>10</v>
      </c>
      <c r="X147" s="18">
        <v>19.3</v>
      </c>
    </row>
    <row r="148" spans="2:24" ht="12" x14ac:dyDescent="0.2">
      <c r="B148" s="16">
        <f t="shared" si="14"/>
        <v>45085.999999999651</v>
      </c>
      <c r="C148" s="24">
        <f t="shared" si="15"/>
        <v>6.000000000000008</v>
      </c>
      <c r="D148" s="29">
        <f>Table12[[#This Row],[MW TOTAL BARRA A]]+Table12[[#This Row],[MW TOTAL BARRA B]]</f>
        <v>238.69200000000001</v>
      </c>
      <c r="E148" s="25">
        <f>Windy_web!$DC7</f>
        <v>6</v>
      </c>
      <c r="F148" s="25">
        <f>Windy_web!$DC8</f>
        <v>11</v>
      </c>
      <c r="G148" s="26" t="str">
        <f>Windy_web!$DC5</f>
        <v>16°</v>
      </c>
      <c r="H148" s="26">
        <f t="shared" si="13"/>
        <v>16</v>
      </c>
      <c r="I148" s="18">
        <v>25</v>
      </c>
      <c r="J148" s="18">
        <v>24</v>
      </c>
      <c r="K148" s="18">
        <f>Table12[[#This Row],[AEG E/S BARRA A]]*Table12[[#This Row],[AEG 5.2 MW]]</f>
        <v>123.9</v>
      </c>
      <c r="L148" s="18">
        <f>Table12[[#This Row],[AEG E/S BARRA B]]*Table12[[#This Row],[AEG 5.0 MW]]</f>
        <v>114.792</v>
      </c>
      <c r="M14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8" s="29">
        <f>INDEX(Curva_Temp[Temp],MATCH(Table12[[#This Row],[Windy Temp.
°C]],Curva_Temp[Temp]))</f>
        <v>15</v>
      </c>
      <c r="O148" s="29">
        <f>INDEX(Curva_Temp[Warranted Power Curve for 
1.194Kg/m3 air density '[kW']
SG 5.0-145 (AM+1, 5.2MW) AT 
90M],MATCH(Table12[[#This Row],[Windy Temp.
°C]],Curva_Temp[Temp]))</f>
        <v>5200</v>
      </c>
      <c r="P148" s="29" cm="1">
        <f t="array" ref="P148">INDEX(Curva_Temp[Temp],MATCH(Table12[[#This Row],[Windy Temp.
°C]],Curva_Temp[Temp])+1)</f>
        <v>20</v>
      </c>
      <c r="Q148" s="29" cm="1">
        <f t="array" ref="Q148">INDEX(Curva_Temp[Warranted Power Curve for 
1.194Kg/m3 air density '[kW']
SG 5.0-145 (AM+1, 5.2MW) AT 
90M],MATCH(Table12[[#This Row],[Windy Temp.
°C]],Curva_Temp[Temp])+1)</f>
        <v>5000</v>
      </c>
      <c r="R1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8" s="18"/>
      <c r="U148" s="18">
        <v>8.6</v>
      </c>
      <c r="V148" s="18">
        <v>10.7</v>
      </c>
      <c r="W148" s="18">
        <f>CEILING(Table12[[#This Row],[Darwin Gusts
m/s]],0.5)</f>
        <v>11</v>
      </c>
      <c r="X148" s="18">
        <v>18.7</v>
      </c>
    </row>
    <row r="149" spans="2:24" ht="12" x14ac:dyDescent="0.2">
      <c r="B149" s="16">
        <f t="shared" si="14"/>
        <v>45086.041666666315</v>
      </c>
      <c r="C149" s="17">
        <f>C148+TIME(1,0,0)</f>
        <v>6.041666666666675</v>
      </c>
      <c r="D149" s="29">
        <f>Table12[[#This Row],[MW TOTAL BARRA A]]+Table12[[#This Row],[MW TOTAL BARRA B]]</f>
        <v>208.18799999999999</v>
      </c>
      <c r="E149" s="18">
        <f>Windy_web!$DD7</f>
        <v>5</v>
      </c>
      <c r="F149" s="18">
        <f>Windy_web!$DD8</f>
        <v>10</v>
      </c>
      <c r="G149" s="27" t="str">
        <f>Windy_web!$DD5</f>
        <v>15°</v>
      </c>
      <c r="H149" s="26">
        <f t="shared" si="13"/>
        <v>15</v>
      </c>
      <c r="I149" s="18">
        <v>25</v>
      </c>
      <c r="J149" s="18">
        <v>24</v>
      </c>
      <c r="K149" s="18">
        <f>Table12[[#This Row],[AEG E/S BARRA A]]*Table12[[#This Row],[AEG 5.2 MW]]</f>
        <v>107.1</v>
      </c>
      <c r="L149" s="18">
        <f>Table12[[#This Row],[AEG E/S BARRA B]]*Table12[[#This Row],[AEG 5.0 MW]]</f>
        <v>101.08799999999999</v>
      </c>
      <c r="M14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49" s="29">
        <f>INDEX(Curva_Temp[Temp],MATCH(Table12[[#This Row],[Windy Temp.
°C]],Curva_Temp[Temp]))</f>
        <v>15</v>
      </c>
      <c r="O149" s="29">
        <f>INDEX(Curva_Temp[Warranted Power Curve for 
1.194Kg/m3 air density '[kW']
SG 5.0-145 (AM+1, 5.2MW) AT 
90M],MATCH(Table12[[#This Row],[Windy Temp.
°C]],Curva_Temp[Temp]))</f>
        <v>5200</v>
      </c>
      <c r="P149" s="29" cm="1">
        <f t="array" ref="P149">INDEX(Curva_Temp[Temp],MATCH(Table12[[#This Row],[Windy Temp.
°C]],Curva_Temp[Temp])+1)</f>
        <v>20</v>
      </c>
      <c r="Q149" s="29" cm="1">
        <f t="array" ref="Q149">INDEX(Curva_Temp[Warranted Power Curve for 
1.194Kg/m3 air density '[kW']
SG 5.0-145 (AM+1, 5.2MW) AT 
90M],MATCH(Table12[[#This Row],[Windy Temp.
°C]],Curva_Temp[Temp])+1)</f>
        <v>5000</v>
      </c>
      <c r="R1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49" s="18"/>
      <c r="U149" s="18">
        <v>8.6999999999999993</v>
      </c>
      <c r="V149" s="18">
        <v>10.9</v>
      </c>
      <c r="W149" s="18">
        <f>CEILING(Table12[[#This Row],[Darwin Gusts
m/s]],0.5)</f>
        <v>11</v>
      </c>
      <c r="X149" s="18">
        <v>18.7</v>
      </c>
    </row>
    <row r="150" spans="2:24" ht="12" x14ac:dyDescent="0.2">
      <c r="B150" s="16">
        <f t="shared" si="14"/>
        <v>45086.083333332979</v>
      </c>
      <c r="C150" s="24">
        <f t="shared" ref="C150:C166" si="16">C149+TIME(1,0,0)</f>
        <v>6.0833333333333419</v>
      </c>
      <c r="D150" s="29">
        <f>Table12[[#This Row],[MW TOTAL BARRA A]]+Table12[[#This Row],[MW TOTAL BARRA B]]</f>
        <v>208.18799999999999</v>
      </c>
      <c r="E150" s="25">
        <f>Windy_web!$DD7</f>
        <v>5</v>
      </c>
      <c r="F150" s="25">
        <f>Windy_web!$DD8</f>
        <v>10</v>
      </c>
      <c r="G150" s="26" t="str">
        <f>Windy_web!$DD5</f>
        <v>15°</v>
      </c>
      <c r="H150" s="26">
        <f t="shared" si="13"/>
        <v>15</v>
      </c>
      <c r="I150" s="18">
        <v>25</v>
      </c>
      <c r="J150" s="18">
        <v>24</v>
      </c>
      <c r="K150" s="18">
        <f>Table12[[#This Row],[AEG E/S BARRA A]]*Table12[[#This Row],[AEG 5.2 MW]]</f>
        <v>107.1</v>
      </c>
      <c r="L150" s="18">
        <f>Table12[[#This Row],[AEG E/S BARRA B]]*Table12[[#This Row],[AEG 5.0 MW]]</f>
        <v>101.08799999999999</v>
      </c>
      <c r="M15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0" s="29">
        <f>INDEX(Curva_Temp[Temp],MATCH(Table12[[#This Row],[Windy Temp.
°C]],Curva_Temp[Temp]))</f>
        <v>15</v>
      </c>
      <c r="O150" s="29">
        <f>INDEX(Curva_Temp[Warranted Power Curve for 
1.194Kg/m3 air density '[kW']
SG 5.0-145 (AM+1, 5.2MW) AT 
90M],MATCH(Table12[[#This Row],[Windy Temp.
°C]],Curva_Temp[Temp]))</f>
        <v>5200</v>
      </c>
      <c r="P150" s="29" cm="1">
        <f t="array" ref="P150">INDEX(Curva_Temp[Temp],MATCH(Table12[[#This Row],[Windy Temp.
°C]],Curva_Temp[Temp])+1)</f>
        <v>20</v>
      </c>
      <c r="Q150" s="29" cm="1">
        <f t="array" ref="Q150">INDEX(Curva_Temp[Warranted Power Curve for 
1.194Kg/m3 air density '[kW']
SG 5.0-145 (AM+1, 5.2MW) AT 
90M],MATCH(Table12[[#This Row],[Windy Temp.
°C]],Curva_Temp[Temp])+1)</f>
        <v>5000</v>
      </c>
      <c r="R1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0" s="18"/>
      <c r="U150" s="18">
        <v>8.9</v>
      </c>
      <c r="V150" s="18">
        <v>11.1</v>
      </c>
      <c r="W150" s="18">
        <f>CEILING(Table12[[#This Row],[Darwin Gusts
m/s]],0.5)</f>
        <v>11.5</v>
      </c>
      <c r="X150" s="18">
        <v>18.600000000000001</v>
      </c>
    </row>
    <row r="151" spans="2:24" ht="12" x14ac:dyDescent="0.2">
      <c r="B151" s="16">
        <f t="shared" si="14"/>
        <v>45086.124999999643</v>
      </c>
      <c r="C151" s="24">
        <f t="shared" si="16"/>
        <v>6.1250000000000089</v>
      </c>
      <c r="D151" s="29">
        <f>Table12[[#This Row],[MW TOTAL BARRA A]]+Table12[[#This Row],[MW TOTAL BARRA B]]</f>
        <v>208.18799999999999</v>
      </c>
      <c r="E151" s="25">
        <f>Windy_web!$DD7</f>
        <v>5</v>
      </c>
      <c r="F151" s="25">
        <f>Windy_web!$DD8</f>
        <v>10</v>
      </c>
      <c r="G151" s="26" t="str">
        <f>Windy_web!$DD5</f>
        <v>15°</v>
      </c>
      <c r="H151" s="26">
        <f t="shared" si="13"/>
        <v>15</v>
      </c>
      <c r="I151" s="18">
        <v>25</v>
      </c>
      <c r="J151" s="18">
        <v>24</v>
      </c>
      <c r="K151" s="18">
        <f>Table12[[#This Row],[AEG E/S BARRA A]]*Table12[[#This Row],[AEG 5.2 MW]]</f>
        <v>107.1</v>
      </c>
      <c r="L151" s="18">
        <f>Table12[[#This Row],[AEG E/S BARRA B]]*Table12[[#This Row],[AEG 5.0 MW]]</f>
        <v>101.08799999999999</v>
      </c>
      <c r="M15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1" s="29">
        <f>INDEX(Curva_Temp[Temp],MATCH(Table12[[#This Row],[Windy Temp.
°C]],Curva_Temp[Temp]))</f>
        <v>15</v>
      </c>
      <c r="O151" s="29">
        <f>INDEX(Curva_Temp[Warranted Power Curve for 
1.194Kg/m3 air density '[kW']
SG 5.0-145 (AM+1, 5.2MW) AT 
90M],MATCH(Table12[[#This Row],[Windy Temp.
°C]],Curva_Temp[Temp]))</f>
        <v>5200</v>
      </c>
      <c r="P151" s="29" cm="1">
        <f t="array" ref="P151">INDEX(Curva_Temp[Temp],MATCH(Table12[[#This Row],[Windy Temp.
°C]],Curva_Temp[Temp])+1)</f>
        <v>20</v>
      </c>
      <c r="Q151" s="29" cm="1">
        <f t="array" ref="Q151">INDEX(Curva_Temp[Warranted Power Curve for 
1.194Kg/m3 air density '[kW']
SG 5.0-145 (AM+1, 5.2MW) AT 
90M],MATCH(Table12[[#This Row],[Windy Temp.
°C]],Curva_Temp[Temp])+1)</f>
        <v>5000</v>
      </c>
      <c r="R1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1" s="18"/>
      <c r="U151" s="18">
        <v>9.1</v>
      </c>
      <c r="V151" s="18">
        <v>11.3</v>
      </c>
      <c r="W151" s="18">
        <f>CEILING(Table12[[#This Row],[Darwin Gusts
m/s]],0.5)</f>
        <v>11.5</v>
      </c>
      <c r="X151" s="18">
        <v>18.5</v>
      </c>
    </row>
    <row r="152" spans="2:24" ht="12" x14ac:dyDescent="0.2">
      <c r="B152" s="16">
        <f t="shared" si="14"/>
        <v>45086.166666666308</v>
      </c>
      <c r="C152" s="24">
        <f t="shared" si="16"/>
        <v>6.1666666666666758</v>
      </c>
      <c r="D152" s="29">
        <f>Table12[[#This Row],[MW TOTAL BARRA A]]+Table12[[#This Row],[MW TOTAL BARRA B]]</f>
        <v>208.18799999999999</v>
      </c>
      <c r="E152" s="25">
        <f>Windy_web!$DD7</f>
        <v>5</v>
      </c>
      <c r="F152" s="25">
        <f>Windy_web!$DD8</f>
        <v>10</v>
      </c>
      <c r="G152" s="26" t="str">
        <f>Windy_web!$DD5</f>
        <v>15°</v>
      </c>
      <c r="H152" s="26">
        <f t="shared" si="13"/>
        <v>15</v>
      </c>
      <c r="I152" s="18">
        <v>25</v>
      </c>
      <c r="J152" s="18">
        <v>24</v>
      </c>
      <c r="K152" s="18">
        <f>Table12[[#This Row],[AEG E/S BARRA A]]*Table12[[#This Row],[AEG 5.2 MW]]</f>
        <v>107.1</v>
      </c>
      <c r="L152" s="18">
        <f>Table12[[#This Row],[AEG E/S BARRA B]]*Table12[[#This Row],[AEG 5.0 MW]]</f>
        <v>101.08799999999999</v>
      </c>
      <c r="M15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2" s="29">
        <f>INDEX(Curva_Temp[Temp],MATCH(Table12[[#This Row],[Windy Temp.
°C]],Curva_Temp[Temp]))</f>
        <v>15</v>
      </c>
      <c r="O152" s="29">
        <f>INDEX(Curva_Temp[Warranted Power Curve for 
1.194Kg/m3 air density '[kW']
SG 5.0-145 (AM+1, 5.2MW) AT 
90M],MATCH(Table12[[#This Row],[Windy Temp.
°C]],Curva_Temp[Temp]))</f>
        <v>5200</v>
      </c>
      <c r="P152" s="29" cm="1">
        <f t="array" ref="P152">INDEX(Curva_Temp[Temp],MATCH(Table12[[#This Row],[Windy Temp.
°C]],Curva_Temp[Temp])+1)</f>
        <v>20</v>
      </c>
      <c r="Q152" s="29" cm="1">
        <f t="array" ref="Q152">INDEX(Curva_Temp[Warranted Power Curve for 
1.194Kg/m3 air density '[kW']
SG 5.0-145 (AM+1, 5.2MW) AT 
90M],MATCH(Table12[[#This Row],[Windy Temp.
°C]],Curva_Temp[Temp])+1)</f>
        <v>5000</v>
      </c>
      <c r="R1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2" s="18"/>
      <c r="U152" s="18">
        <v>9.1999999999999993</v>
      </c>
      <c r="V152" s="18">
        <v>11.5</v>
      </c>
      <c r="W152" s="18">
        <f>CEILING(Table12[[#This Row],[Darwin Gusts
m/s]],0.5)</f>
        <v>11.5</v>
      </c>
      <c r="X152" s="18">
        <v>18.399999999999999</v>
      </c>
    </row>
    <row r="153" spans="2:24" ht="12" x14ac:dyDescent="0.2">
      <c r="B153" s="16">
        <f t="shared" si="14"/>
        <v>45086.208333332972</v>
      </c>
      <c r="C153" s="24">
        <f t="shared" si="16"/>
        <v>6.2083333333333428</v>
      </c>
      <c r="D153" s="29">
        <f>Table12[[#This Row],[MW TOTAL BARRA A]]+Table12[[#This Row],[MW TOTAL BARRA B]]</f>
        <v>208.18799999999999</v>
      </c>
      <c r="E153" s="25">
        <f>Windy_web!$DD7</f>
        <v>5</v>
      </c>
      <c r="F153" s="25">
        <f>Windy_web!$DD8</f>
        <v>10</v>
      </c>
      <c r="G153" s="26" t="str">
        <f>Windy_web!$DD5</f>
        <v>15°</v>
      </c>
      <c r="H153" s="26">
        <f t="shared" si="13"/>
        <v>15</v>
      </c>
      <c r="I153" s="18">
        <v>25</v>
      </c>
      <c r="J153" s="18">
        <v>24</v>
      </c>
      <c r="K153" s="18">
        <f>Table12[[#This Row],[AEG E/S BARRA A]]*Table12[[#This Row],[AEG 5.2 MW]]</f>
        <v>107.1</v>
      </c>
      <c r="L153" s="18">
        <f>Table12[[#This Row],[AEG E/S BARRA B]]*Table12[[#This Row],[AEG 5.0 MW]]</f>
        <v>101.08799999999999</v>
      </c>
      <c r="M15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3" s="29">
        <f>INDEX(Curva_Temp[Temp],MATCH(Table12[[#This Row],[Windy Temp.
°C]],Curva_Temp[Temp]))</f>
        <v>15</v>
      </c>
      <c r="O153" s="29">
        <f>INDEX(Curva_Temp[Warranted Power Curve for 
1.194Kg/m3 air density '[kW']
SG 5.0-145 (AM+1, 5.2MW) AT 
90M],MATCH(Table12[[#This Row],[Windy Temp.
°C]],Curva_Temp[Temp]))</f>
        <v>5200</v>
      </c>
      <c r="P153" s="29" cm="1">
        <f t="array" ref="P153">INDEX(Curva_Temp[Temp],MATCH(Table12[[#This Row],[Windy Temp.
°C]],Curva_Temp[Temp])+1)</f>
        <v>20</v>
      </c>
      <c r="Q153" s="29" cm="1">
        <f t="array" ref="Q153">INDEX(Curva_Temp[Warranted Power Curve for 
1.194Kg/m3 air density '[kW']
SG 5.0-145 (AM+1, 5.2MW) AT 
90M],MATCH(Table12[[#This Row],[Windy Temp.
°C]],Curva_Temp[Temp])+1)</f>
        <v>5000</v>
      </c>
      <c r="R1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3" s="18"/>
      <c r="U153" s="18">
        <v>9.3000000000000007</v>
      </c>
      <c r="V153" s="18">
        <v>11.6</v>
      </c>
      <c r="W153" s="18">
        <f>CEILING(Table12[[#This Row],[Darwin Gusts
m/s]],0.5)</f>
        <v>12</v>
      </c>
      <c r="X153" s="18">
        <v>18.399999999999999</v>
      </c>
    </row>
    <row r="154" spans="2:24" ht="12" x14ac:dyDescent="0.2">
      <c r="B154" s="16">
        <f t="shared" si="14"/>
        <v>45086.249999999636</v>
      </c>
      <c r="C154" s="24">
        <f t="shared" si="16"/>
        <v>6.2500000000000098</v>
      </c>
      <c r="D154" s="29">
        <f>Table12[[#This Row],[MW TOTAL BARRA A]]+Table12[[#This Row],[MW TOTAL BARRA B]]</f>
        <v>208.18799999999999</v>
      </c>
      <c r="E154" s="25">
        <f>Windy_web!$DD7</f>
        <v>5</v>
      </c>
      <c r="F154" s="25">
        <f>Windy_web!$DD8</f>
        <v>10</v>
      </c>
      <c r="G154" s="26" t="str">
        <f>Windy_web!$DD5</f>
        <v>15°</v>
      </c>
      <c r="H154" s="26">
        <f t="shared" si="13"/>
        <v>15</v>
      </c>
      <c r="I154" s="18">
        <v>25</v>
      </c>
      <c r="J154" s="18">
        <v>24</v>
      </c>
      <c r="K154" s="18">
        <f>Table12[[#This Row],[AEG E/S BARRA A]]*Table12[[#This Row],[AEG 5.2 MW]]</f>
        <v>107.1</v>
      </c>
      <c r="L154" s="18">
        <f>Table12[[#This Row],[AEG E/S BARRA B]]*Table12[[#This Row],[AEG 5.0 MW]]</f>
        <v>101.08799999999999</v>
      </c>
      <c r="M15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4" s="29">
        <f>INDEX(Curva_Temp[Temp],MATCH(Table12[[#This Row],[Windy Temp.
°C]],Curva_Temp[Temp]))</f>
        <v>15</v>
      </c>
      <c r="O154" s="29">
        <f>INDEX(Curva_Temp[Warranted Power Curve for 
1.194Kg/m3 air density '[kW']
SG 5.0-145 (AM+1, 5.2MW) AT 
90M],MATCH(Table12[[#This Row],[Windy Temp.
°C]],Curva_Temp[Temp]))</f>
        <v>5200</v>
      </c>
      <c r="P154" s="29" cm="1">
        <f t="array" ref="P154">INDEX(Curva_Temp[Temp],MATCH(Table12[[#This Row],[Windy Temp.
°C]],Curva_Temp[Temp])+1)</f>
        <v>20</v>
      </c>
      <c r="Q154" s="29" cm="1">
        <f t="array" ref="Q154">INDEX(Curva_Temp[Warranted Power Curve for 
1.194Kg/m3 air density '[kW']
SG 5.0-145 (AM+1, 5.2MW) AT 
90M],MATCH(Table12[[#This Row],[Windy Temp.
°C]],Curva_Temp[Temp])+1)</f>
        <v>5000</v>
      </c>
      <c r="R1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4" s="18"/>
      <c r="U154" s="18">
        <v>9.5</v>
      </c>
      <c r="V154" s="18">
        <v>11.8</v>
      </c>
      <c r="W154" s="18">
        <f>CEILING(Table12[[#This Row],[Darwin Gusts
m/s]],0.5)</f>
        <v>12</v>
      </c>
      <c r="X154" s="18">
        <v>18.3</v>
      </c>
    </row>
    <row r="155" spans="2:24" ht="12" x14ac:dyDescent="0.2">
      <c r="B155" s="16">
        <f t="shared" si="14"/>
        <v>45086.2916666663</v>
      </c>
      <c r="C155" s="17">
        <f t="shared" si="16"/>
        <v>6.2916666666666767</v>
      </c>
      <c r="D155" s="29">
        <f>Table12[[#This Row],[MW TOTAL BARRA A]]+Table12[[#This Row],[MW TOTAL BARRA B]]</f>
        <v>164.214</v>
      </c>
      <c r="E155" s="18">
        <f>Windy_web!$DE7</f>
        <v>5</v>
      </c>
      <c r="F155" s="18">
        <f>Windy_web!$DE8</f>
        <v>9</v>
      </c>
      <c r="G155" s="27" t="str">
        <f>Windy_web!$DE5</f>
        <v>15°</v>
      </c>
      <c r="H155" s="26">
        <f t="shared" si="13"/>
        <v>15</v>
      </c>
      <c r="I155" s="18">
        <v>25</v>
      </c>
      <c r="J155" s="18">
        <v>24</v>
      </c>
      <c r="K155" s="18">
        <f>Table12[[#This Row],[AEG E/S BARRA A]]*Table12[[#This Row],[AEG 5.2 MW]]</f>
        <v>84.15</v>
      </c>
      <c r="L155" s="18">
        <f>Table12[[#This Row],[AEG E/S BARRA B]]*Table12[[#This Row],[AEG 5.0 MW]]</f>
        <v>80.063999999999993</v>
      </c>
      <c r="M15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5" s="29">
        <f>INDEX(Curva_Temp[Temp],MATCH(Table12[[#This Row],[Windy Temp.
°C]],Curva_Temp[Temp]))</f>
        <v>15</v>
      </c>
      <c r="O155" s="29">
        <f>INDEX(Curva_Temp[Warranted Power Curve for 
1.194Kg/m3 air density '[kW']
SG 5.0-145 (AM+1, 5.2MW) AT 
90M],MATCH(Table12[[#This Row],[Windy Temp.
°C]],Curva_Temp[Temp]))</f>
        <v>5200</v>
      </c>
      <c r="P155" s="29" cm="1">
        <f t="array" ref="P155">INDEX(Curva_Temp[Temp],MATCH(Table12[[#This Row],[Windy Temp.
°C]],Curva_Temp[Temp])+1)</f>
        <v>20</v>
      </c>
      <c r="Q155" s="29" cm="1">
        <f t="array" ref="Q155">INDEX(Curva_Temp[Warranted Power Curve for 
1.194Kg/m3 air density '[kW']
SG 5.0-145 (AM+1, 5.2MW) AT 
90M],MATCH(Table12[[#This Row],[Windy Temp.
°C]],Curva_Temp[Temp])+1)</f>
        <v>5000</v>
      </c>
      <c r="R1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5" s="18"/>
      <c r="U155" s="18">
        <v>8.8000000000000007</v>
      </c>
      <c r="V155" s="18">
        <v>11</v>
      </c>
      <c r="W155" s="18">
        <f>CEILING(Table12[[#This Row],[Darwin Gusts
m/s]],0.5)</f>
        <v>11</v>
      </c>
      <c r="X155" s="18">
        <v>18.2</v>
      </c>
    </row>
    <row r="156" spans="2:24" ht="12" x14ac:dyDescent="0.2">
      <c r="B156" s="16">
        <f t="shared" si="14"/>
        <v>45086.333333332965</v>
      </c>
      <c r="C156" s="24">
        <f t="shared" si="16"/>
        <v>6.3333333333333437</v>
      </c>
      <c r="D156" s="29">
        <f>Table12[[#This Row],[MW TOTAL BARRA A]]+Table12[[#This Row],[MW TOTAL BARRA B]]</f>
        <v>164.214</v>
      </c>
      <c r="E156" s="25">
        <f>Windy_web!$DE7</f>
        <v>5</v>
      </c>
      <c r="F156" s="25">
        <f>Windy_web!$DE8</f>
        <v>9</v>
      </c>
      <c r="G156" s="26" t="str">
        <f>Windy_web!$DE5</f>
        <v>15°</v>
      </c>
      <c r="H156" s="26">
        <f t="shared" si="13"/>
        <v>15</v>
      </c>
      <c r="I156" s="18">
        <v>25</v>
      </c>
      <c r="J156" s="18">
        <v>24</v>
      </c>
      <c r="K156" s="18">
        <f>Table12[[#This Row],[AEG E/S BARRA A]]*Table12[[#This Row],[AEG 5.2 MW]]</f>
        <v>84.15</v>
      </c>
      <c r="L156" s="18">
        <f>Table12[[#This Row],[AEG E/S BARRA B]]*Table12[[#This Row],[AEG 5.0 MW]]</f>
        <v>80.063999999999993</v>
      </c>
      <c r="M15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6" s="29">
        <f>INDEX(Curva_Temp[Temp],MATCH(Table12[[#This Row],[Windy Temp.
°C]],Curva_Temp[Temp]))</f>
        <v>15</v>
      </c>
      <c r="O156" s="29">
        <f>INDEX(Curva_Temp[Warranted Power Curve for 
1.194Kg/m3 air density '[kW']
SG 5.0-145 (AM+1, 5.2MW) AT 
90M],MATCH(Table12[[#This Row],[Windy Temp.
°C]],Curva_Temp[Temp]))</f>
        <v>5200</v>
      </c>
      <c r="P156" s="29" cm="1">
        <f t="array" ref="P156">INDEX(Curva_Temp[Temp],MATCH(Table12[[#This Row],[Windy Temp.
°C]],Curva_Temp[Temp])+1)</f>
        <v>20</v>
      </c>
      <c r="Q156" s="29" cm="1">
        <f t="array" ref="Q156">INDEX(Curva_Temp[Warranted Power Curve for 
1.194Kg/m3 air density '[kW']
SG 5.0-145 (AM+1, 5.2MW) AT 
90M],MATCH(Table12[[#This Row],[Windy Temp.
°C]],Curva_Temp[Temp])+1)</f>
        <v>5000</v>
      </c>
      <c r="R1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6" s="18"/>
      <c r="U156" s="18">
        <v>8.1999999999999993</v>
      </c>
      <c r="V156" s="18">
        <v>10.3</v>
      </c>
      <c r="W156" s="18">
        <f>CEILING(Table12[[#This Row],[Darwin Gusts
m/s]],0.5)</f>
        <v>10.5</v>
      </c>
      <c r="X156" s="18">
        <v>18.100000000000001</v>
      </c>
    </row>
    <row r="157" spans="2:24" ht="12" x14ac:dyDescent="0.2">
      <c r="B157" s="16">
        <f t="shared" si="14"/>
        <v>45086.374999999629</v>
      </c>
      <c r="C157" s="24">
        <f t="shared" si="16"/>
        <v>6.3750000000000107</v>
      </c>
      <c r="D157" s="29">
        <f>Table12[[#This Row],[MW TOTAL BARRA A]]+Table12[[#This Row],[MW TOTAL BARRA B]]</f>
        <v>164.214</v>
      </c>
      <c r="E157" s="25">
        <f>Windy_web!$DE7</f>
        <v>5</v>
      </c>
      <c r="F157" s="25">
        <f>Windy_web!$DE8</f>
        <v>9</v>
      </c>
      <c r="G157" s="26" t="str">
        <f>Windy_web!$DE5</f>
        <v>15°</v>
      </c>
      <c r="H157" s="26">
        <f t="shared" si="13"/>
        <v>15</v>
      </c>
      <c r="I157" s="18">
        <v>25</v>
      </c>
      <c r="J157" s="18">
        <v>24</v>
      </c>
      <c r="K157" s="18">
        <f>Table12[[#This Row],[AEG E/S BARRA A]]*Table12[[#This Row],[AEG 5.2 MW]]</f>
        <v>84.15</v>
      </c>
      <c r="L157" s="18">
        <f>Table12[[#This Row],[AEG E/S BARRA B]]*Table12[[#This Row],[AEG 5.0 MW]]</f>
        <v>80.063999999999993</v>
      </c>
      <c r="M15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7" s="29">
        <f>INDEX(Curva_Temp[Temp],MATCH(Table12[[#This Row],[Windy Temp.
°C]],Curva_Temp[Temp]))</f>
        <v>15</v>
      </c>
      <c r="O157" s="29">
        <f>INDEX(Curva_Temp[Warranted Power Curve for 
1.194Kg/m3 air density '[kW']
SG 5.0-145 (AM+1, 5.2MW) AT 
90M],MATCH(Table12[[#This Row],[Windy Temp.
°C]],Curva_Temp[Temp]))</f>
        <v>5200</v>
      </c>
      <c r="P157" s="29" cm="1">
        <f t="array" ref="P157">INDEX(Curva_Temp[Temp],MATCH(Table12[[#This Row],[Windy Temp.
°C]],Curva_Temp[Temp])+1)</f>
        <v>20</v>
      </c>
      <c r="Q157" s="29" cm="1">
        <f t="array" ref="Q157">INDEX(Curva_Temp[Warranted Power Curve for 
1.194Kg/m3 air density '[kW']
SG 5.0-145 (AM+1, 5.2MW) AT 
90M],MATCH(Table12[[#This Row],[Windy Temp.
°C]],Curva_Temp[Temp])+1)</f>
        <v>5000</v>
      </c>
      <c r="R1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7" s="18"/>
      <c r="U157" s="18">
        <v>7.6</v>
      </c>
      <c r="V157" s="18">
        <v>9.5</v>
      </c>
      <c r="W157" s="18">
        <f>CEILING(Table12[[#This Row],[Darwin Gusts
m/s]],0.5)</f>
        <v>9.5</v>
      </c>
      <c r="X157" s="18">
        <v>18</v>
      </c>
    </row>
    <row r="158" spans="2:24" ht="12" x14ac:dyDescent="0.2">
      <c r="B158" s="16">
        <f t="shared" si="14"/>
        <v>45086.416666666293</v>
      </c>
      <c r="C158" s="24">
        <f t="shared" si="16"/>
        <v>6.4166666666666776</v>
      </c>
      <c r="D158" s="29">
        <f>Table12[[#This Row],[MW TOTAL BARRA A]]+Table12[[#This Row],[MW TOTAL BARRA B]]</f>
        <v>164.214</v>
      </c>
      <c r="E158" s="25">
        <f>Windy_web!$DE7</f>
        <v>5</v>
      </c>
      <c r="F158" s="25">
        <f>Windy_web!$DE8</f>
        <v>9</v>
      </c>
      <c r="G158" s="26" t="str">
        <f>Windy_web!$DE5</f>
        <v>15°</v>
      </c>
      <c r="H158" s="26">
        <f t="shared" si="13"/>
        <v>15</v>
      </c>
      <c r="I158" s="18">
        <v>25</v>
      </c>
      <c r="J158" s="18">
        <v>24</v>
      </c>
      <c r="K158" s="18">
        <f>Table12[[#This Row],[AEG E/S BARRA A]]*Table12[[#This Row],[AEG 5.2 MW]]</f>
        <v>84.15</v>
      </c>
      <c r="L158" s="18">
        <f>Table12[[#This Row],[AEG E/S BARRA B]]*Table12[[#This Row],[AEG 5.0 MW]]</f>
        <v>80.063999999999993</v>
      </c>
      <c r="M1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8" s="29">
        <f>INDEX(Curva_Temp[Temp],MATCH(Table12[[#This Row],[Windy Temp.
°C]],Curva_Temp[Temp]))</f>
        <v>15</v>
      </c>
      <c r="O158" s="29">
        <f>INDEX(Curva_Temp[Warranted Power Curve for 
1.194Kg/m3 air density '[kW']
SG 5.0-145 (AM+1, 5.2MW) AT 
90M],MATCH(Table12[[#This Row],[Windy Temp.
°C]],Curva_Temp[Temp]))</f>
        <v>5200</v>
      </c>
      <c r="P158" s="29" cm="1">
        <f t="array" ref="P158">INDEX(Curva_Temp[Temp],MATCH(Table12[[#This Row],[Windy Temp.
°C]],Curva_Temp[Temp])+1)</f>
        <v>20</v>
      </c>
      <c r="Q158" s="29" cm="1">
        <f t="array" ref="Q158">INDEX(Curva_Temp[Warranted Power Curve for 
1.194Kg/m3 air density '[kW']
SG 5.0-145 (AM+1, 5.2MW) AT 
90M],MATCH(Table12[[#This Row],[Windy Temp.
°C]],Curva_Temp[Temp])+1)</f>
        <v>5000</v>
      </c>
      <c r="R1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8" s="18"/>
      <c r="U158" s="18">
        <v>6.9</v>
      </c>
      <c r="V158" s="18">
        <v>8.6999999999999993</v>
      </c>
      <c r="W158" s="18">
        <f>CEILING(Table12[[#This Row],[Darwin Gusts
m/s]],0.5)</f>
        <v>9</v>
      </c>
      <c r="X158" s="18">
        <v>17.8</v>
      </c>
    </row>
    <row r="159" spans="2:24" ht="12" x14ac:dyDescent="0.2">
      <c r="B159" s="16">
        <f t="shared" si="14"/>
        <v>45086.458333332957</v>
      </c>
      <c r="C159" s="24">
        <f t="shared" si="16"/>
        <v>6.4583333333333446</v>
      </c>
      <c r="D159" s="29">
        <f>Table12[[#This Row],[MW TOTAL BARRA A]]+Table12[[#This Row],[MW TOTAL BARRA B]]</f>
        <v>164.214</v>
      </c>
      <c r="E159" s="25">
        <f>Windy_web!$DE7</f>
        <v>5</v>
      </c>
      <c r="F159" s="25">
        <f>Windy_web!$DE8</f>
        <v>9</v>
      </c>
      <c r="G159" s="26" t="str">
        <f>Windy_web!$DE5</f>
        <v>15°</v>
      </c>
      <c r="H159" s="26">
        <f t="shared" si="13"/>
        <v>15</v>
      </c>
      <c r="I159" s="18">
        <v>25</v>
      </c>
      <c r="J159" s="18">
        <v>24</v>
      </c>
      <c r="K159" s="18">
        <f>Table12[[#This Row],[AEG E/S BARRA A]]*Table12[[#This Row],[AEG 5.2 MW]]</f>
        <v>84.15</v>
      </c>
      <c r="L159" s="18">
        <f>Table12[[#This Row],[AEG E/S BARRA B]]*Table12[[#This Row],[AEG 5.0 MW]]</f>
        <v>80.063999999999993</v>
      </c>
      <c r="M15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9" s="29">
        <f>INDEX(Curva_Temp[Temp],MATCH(Table12[[#This Row],[Windy Temp.
°C]],Curva_Temp[Temp]))</f>
        <v>15</v>
      </c>
      <c r="O159" s="29">
        <f>INDEX(Curva_Temp[Warranted Power Curve for 
1.194Kg/m3 air density '[kW']
SG 5.0-145 (AM+1, 5.2MW) AT 
90M],MATCH(Table12[[#This Row],[Windy Temp.
°C]],Curva_Temp[Temp]))</f>
        <v>5200</v>
      </c>
      <c r="P159" s="29" cm="1">
        <f t="array" ref="P159">INDEX(Curva_Temp[Temp],MATCH(Table12[[#This Row],[Windy Temp.
°C]],Curva_Temp[Temp])+1)</f>
        <v>20</v>
      </c>
      <c r="Q159" s="29" cm="1">
        <f t="array" ref="Q159">INDEX(Curva_Temp[Warranted Power Curve for 
1.194Kg/m3 air density '[kW']
SG 5.0-145 (AM+1, 5.2MW) AT 
90M],MATCH(Table12[[#This Row],[Windy Temp.
°C]],Curva_Temp[Temp])+1)</f>
        <v>5000</v>
      </c>
      <c r="R1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9" s="18"/>
      <c r="U159" s="18">
        <v>6.3</v>
      </c>
      <c r="V159" s="18">
        <v>8</v>
      </c>
      <c r="W159" s="18">
        <f>CEILING(Table12[[#This Row],[Darwin Gusts
m/s]],0.5)</f>
        <v>8</v>
      </c>
      <c r="X159" s="18">
        <v>18.100000000000001</v>
      </c>
    </row>
    <row r="160" spans="2:24" ht="12" x14ac:dyDescent="0.2">
      <c r="B160" s="16">
        <f t="shared" si="14"/>
        <v>45086.499999999622</v>
      </c>
      <c r="C160" s="24">
        <f t="shared" si="16"/>
        <v>6.5000000000000115</v>
      </c>
      <c r="D160" s="29">
        <f>Table12[[#This Row],[MW TOTAL BARRA A]]+Table12[[#This Row],[MW TOTAL BARRA B]]</f>
        <v>164.214</v>
      </c>
      <c r="E160" s="25">
        <f>Windy_web!$DE7</f>
        <v>5</v>
      </c>
      <c r="F160" s="25">
        <f>Windy_web!$DE8</f>
        <v>9</v>
      </c>
      <c r="G160" s="26" t="str">
        <f>Windy_web!$DE5</f>
        <v>15°</v>
      </c>
      <c r="H160" s="26">
        <f t="shared" si="13"/>
        <v>15</v>
      </c>
      <c r="I160" s="18">
        <v>25</v>
      </c>
      <c r="J160" s="18">
        <v>24</v>
      </c>
      <c r="K160" s="18">
        <f>Table12[[#This Row],[AEG E/S BARRA A]]*Table12[[#This Row],[AEG 5.2 MW]]</f>
        <v>84.15</v>
      </c>
      <c r="L160" s="18">
        <f>Table12[[#This Row],[AEG E/S BARRA B]]*Table12[[#This Row],[AEG 5.0 MW]]</f>
        <v>80.063999999999993</v>
      </c>
      <c r="M16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60" s="29">
        <f>INDEX(Curva_Temp[Temp],MATCH(Table12[[#This Row],[Windy Temp.
°C]],Curva_Temp[Temp]))</f>
        <v>15</v>
      </c>
      <c r="O160" s="29">
        <f>INDEX(Curva_Temp[Warranted Power Curve for 
1.194Kg/m3 air density '[kW']
SG 5.0-145 (AM+1, 5.2MW) AT 
90M],MATCH(Table12[[#This Row],[Windy Temp.
°C]],Curva_Temp[Temp]))</f>
        <v>5200</v>
      </c>
      <c r="P160" s="29" cm="1">
        <f t="array" ref="P160">INDEX(Curva_Temp[Temp],MATCH(Table12[[#This Row],[Windy Temp.
°C]],Curva_Temp[Temp])+1)</f>
        <v>20</v>
      </c>
      <c r="Q160" s="29" cm="1">
        <f t="array" ref="Q160">INDEX(Curva_Temp[Warranted Power Curve for 
1.194Kg/m3 air density '[kW']
SG 5.0-145 (AM+1, 5.2MW) AT 
90M],MATCH(Table12[[#This Row],[Windy Temp.
°C]],Curva_Temp[Temp])+1)</f>
        <v>5000</v>
      </c>
      <c r="R1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0" s="18"/>
      <c r="U160" s="18">
        <v>5.7</v>
      </c>
      <c r="V160" s="18">
        <v>7.2</v>
      </c>
      <c r="W160" s="18">
        <f>CEILING(Table12[[#This Row],[Darwin Gusts
m/s]],0.5)</f>
        <v>7.5</v>
      </c>
      <c r="X160" s="18">
        <v>18.7</v>
      </c>
    </row>
    <row r="161" spans="2:24" ht="12" x14ac:dyDescent="0.2">
      <c r="B161" s="16">
        <f t="shared" si="14"/>
        <v>45086.541666666286</v>
      </c>
      <c r="C161" s="17">
        <f t="shared" si="16"/>
        <v>6.5416666666666785</v>
      </c>
      <c r="D161" s="29">
        <f>Table12[[#This Row],[MW TOTAL BARRA A]]+Table12[[#This Row],[MW TOTAL BARRA B]]</f>
        <v>164.214</v>
      </c>
      <c r="E161" s="18">
        <f>Windy_web!$DF7</f>
        <v>5</v>
      </c>
      <c r="F161" s="18">
        <f>Windy_web!$DF8</f>
        <v>9</v>
      </c>
      <c r="G161" s="27" t="str">
        <f>Windy_web!$DF5</f>
        <v>19°</v>
      </c>
      <c r="H161" s="26">
        <f t="shared" si="13"/>
        <v>19</v>
      </c>
      <c r="I161" s="18">
        <v>25</v>
      </c>
      <c r="J161" s="18">
        <v>24</v>
      </c>
      <c r="K161" s="18">
        <f>Table12[[#This Row],[AEG E/S BARRA A]]*Table12[[#This Row],[AEG 5.2 MW]]</f>
        <v>84.15</v>
      </c>
      <c r="L161" s="18">
        <f>Table12[[#This Row],[AEG E/S BARRA B]]*Table12[[#This Row],[AEG 5.0 MW]]</f>
        <v>80.063999999999993</v>
      </c>
      <c r="M16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1" s="29">
        <f>INDEX(Curva_Temp[Temp],MATCH(Table12[[#This Row],[Windy Temp.
°C]],Curva_Temp[Temp]))</f>
        <v>15</v>
      </c>
      <c r="O161" s="29">
        <f>INDEX(Curva_Temp[Warranted Power Curve for 
1.194Kg/m3 air density '[kW']
SG 5.0-145 (AM+1, 5.2MW) AT 
90M],MATCH(Table12[[#This Row],[Windy Temp.
°C]],Curva_Temp[Temp]))</f>
        <v>5200</v>
      </c>
      <c r="P161" s="29" cm="1">
        <f t="array" ref="P161">INDEX(Curva_Temp[Temp],MATCH(Table12[[#This Row],[Windy Temp.
°C]],Curva_Temp[Temp])+1)</f>
        <v>20</v>
      </c>
      <c r="Q161" s="29" cm="1">
        <f t="array" ref="Q161">INDEX(Curva_Temp[Warranted Power Curve for 
1.194Kg/m3 air density '[kW']
SG 5.0-145 (AM+1, 5.2MW) AT 
90M],MATCH(Table12[[#This Row],[Windy Temp.
°C]],Curva_Temp[Temp])+1)</f>
        <v>5000</v>
      </c>
      <c r="R1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1" s="18"/>
      <c r="U161" s="18">
        <v>5.8</v>
      </c>
      <c r="V161" s="18">
        <v>7.4</v>
      </c>
      <c r="W161" s="18">
        <f>CEILING(Table12[[#This Row],[Darwin Gusts
m/s]],0.5)</f>
        <v>7.5</v>
      </c>
      <c r="X161" s="18">
        <v>19.5</v>
      </c>
    </row>
    <row r="162" spans="2:24" ht="12" x14ac:dyDescent="0.2">
      <c r="B162" s="16">
        <f t="shared" si="14"/>
        <v>45086.58333333295</v>
      </c>
      <c r="C162" s="24">
        <f t="shared" si="16"/>
        <v>6.5833333333333455</v>
      </c>
      <c r="D162" s="29">
        <f>Table12[[#This Row],[MW TOTAL BARRA A]]+Table12[[#This Row],[MW TOTAL BARRA B]]</f>
        <v>164.214</v>
      </c>
      <c r="E162" s="25">
        <f>Windy_web!$DF7</f>
        <v>5</v>
      </c>
      <c r="F162" s="25">
        <f>Windy_web!$DF8</f>
        <v>9</v>
      </c>
      <c r="G162" s="26" t="str">
        <f>Windy_web!$DF5</f>
        <v>19°</v>
      </c>
      <c r="H162" s="26">
        <f t="shared" si="13"/>
        <v>19</v>
      </c>
      <c r="I162" s="18">
        <v>25</v>
      </c>
      <c r="J162" s="18">
        <v>24</v>
      </c>
      <c r="K162" s="18">
        <f>Table12[[#This Row],[AEG E/S BARRA A]]*Table12[[#This Row],[AEG 5.2 MW]]</f>
        <v>84.15</v>
      </c>
      <c r="L162" s="18">
        <f>Table12[[#This Row],[AEG E/S BARRA B]]*Table12[[#This Row],[AEG 5.0 MW]]</f>
        <v>80.063999999999993</v>
      </c>
      <c r="M1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2" s="29">
        <f>INDEX(Curva_Temp[Temp],MATCH(Table12[[#This Row],[Windy Temp.
°C]],Curva_Temp[Temp]))</f>
        <v>15</v>
      </c>
      <c r="O162" s="29">
        <f>INDEX(Curva_Temp[Warranted Power Curve for 
1.194Kg/m3 air density '[kW']
SG 5.0-145 (AM+1, 5.2MW) AT 
90M],MATCH(Table12[[#This Row],[Windy Temp.
°C]],Curva_Temp[Temp]))</f>
        <v>5200</v>
      </c>
      <c r="P162" s="29" cm="1">
        <f t="array" ref="P162">INDEX(Curva_Temp[Temp],MATCH(Table12[[#This Row],[Windy Temp.
°C]],Curva_Temp[Temp])+1)</f>
        <v>20</v>
      </c>
      <c r="Q162" s="29" cm="1">
        <f t="array" ref="Q162">INDEX(Curva_Temp[Warranted Power Curve for 
1.194Kg/m3 air density '[kW']
SG 5.0-145 (AM+1, 5.2MW) AT 
90M],MATCH(Table12[[#This Row],[Windy Temp.
°C]],Curva_Temp[Temp])+1)</f>
        <v>5000</v>
      </c>
      <c r="R1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2" s="18"/>
      <c r="U162" s="18">
        <v>5.9</v>
      </c>
      <c r="V162" s="18">
        <v>7.5</v>
      </c>
      <c r="W162" s="18">
        <f>CEILING(Table12[[#This Row],[Darwin Gusts
m/s]],0.5)</f>
        <v>7.5</v>
      </c>
      <c r="X162" s="18">
        <v>20.2</v>
      </c>
    </row>
    <row r="163" spans="2:24" ht="12" x14ac:dyDescent="0.2">
      <c r="B163" s="16">
        <f t="shared" si="14"/>
        <v>45086.624999999614</v>
      </c>
      <c r="C163" s="24">
        <f t="shared" si="16"/>
        <v>6.6250000000000124</v>
      </c>
      <c r="D163" s="29">
        <f>Table12[[#This Row],[MW TOTAL BARRA A]]+Table12[[#This Row],[MW TOTAL BARRA B]]</f>
        <v>164.214</v>
      </c>
      <c r="E163" s="25">
        <f>Windy_web!$DF7</f>
        <v>5</v>
      </c>
      <c r="F163" s="25">
        <f>Windy_web!$DF8</f>
        <v>9</v>
      </c>
      <c r="G163" s="26" t="str">
        <f>Windy_web!$DF5</f>
        <v>19°</v>
      </c>
      <c r="H163" s="26">
        <f t="shared" si="13"/>
        <v>19</v>
      </c>
      <c r="I163" s="18">
        <v>25</v>
      </c>
      <c r="J163" s="18">
        <v>24</v>
      </c>
      <c r="K163" s="18">
        <f>Table12[[#This Row],[AEG E/S BARRA A]]*Table12[[#This Row],[AEG 5.2 MW]]</f>
        <v>84.15</v>
      </c>
      <c r="L163" s="18">
        <f>Table12[[#This Row],[AEG E/S BARRA B]]*Table12[[#This Row],[AEG 5.0 MW]]</f>
        <v>80.063999999999993</v>
      </c>
      <c r="M16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3" s="29">
        <f>INDEX(Curva_Temp[Temp],MATCH(Table12[[#This Row],[Windy Temp.
°C]],Curva_Temp[Temp]))</f>
        <v>15</v>
      </c>
      <c r="O163" s="29">
        <f>INDEX(Curva_Temp[Warranted Power Curve for 
1.194Kg/m3 air density '[kW']
SG 5.0-145 (AM+1, 5.2MW) AT 
90M],MATCH(Table12[[#This Row],[Windy Temp.
°C]],Curva_Temp[Temp]))</f>
        <v>5200</v>
      </c>
      <c r="P163" s="29" cm="1">
        <f t="array" ref="P163">INDEX(Curva_Temp[Temp],MATCH(Table12[[#This Row],[Windy Temp.
°C]],Curva_Temp[Temp])+1)</f>
        <v>20</v>
      </c>
      <c r="Q163" s="29" cm="1">
        <f t="array" ref="Q163">INDEX(Curva_Temp[Warranted Power Curve for 
1.194Kg/m3 air density '[kW']
SG 5.0-145 (AM+1, 5.2MW) AT 
90M],MATCH(Table12[[#This Row],[Windy Temp.
°C]],Curva_Temp[Temp])+1)</f>
        <v>5000</v>
      </c>
      <c r="R1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3" s="18"/>
      <c r="U163" s="18">
        <v>6.1</v>
      </c>
      <c r="V163" s="18">
        <v>7.7</v>
      </c>
      <c r="W163" s="18">
        <f>CEILING(Table12[[#This Row],[Darwin Gusts
m/s]],0.5)</f>
        <v>8</v>
      </c>
      <c r="X163" s="18">
        <v>20.9</v>
      </c>
    </row>
    <row r="164" spans="2:24" ht="12" x14ac:dyDescent="0.2">
      <c r="B164" s="16">
        <f t="shared" si="14"/>
        <v>45086.666666666279</v>
      </c>
      <c r="C164" s="24">
        <f t="shared" si="16"/>
        <v>6.6666666666666794</v>
      </c>
      <c r="D164" s="29">
        <f>Table12[[#This Row],[MW TOTAL BARRA A]]+Table12[[#This Row],[MW TOTAL BARRA B]]</f>
        <v>164.214</v>
      </c>
      <c r="E164" s="25">
        <f>Windy_web!$DF7</f>
        <v>5</v>
      </c>
      <c r="F164" s="25">
        <f>Windy_web!$DF8</f>
        <v>9</v>
      </c>
      <c r="G164" s="26" t="str">
        <f>Windy_web!$DF5</f>
        <v>19°</v>
      </c>
      <c r="H164" s="26">
        <f t="shared" si="13"/>
        <v>19</v>
      </c>
      <c r="I164" s="18">
        <v>25</v>
      </c>
      <c r="J164" s="18">
        <v>24</v>
      </c>
      <c r="K164" s="18">
        <f>Table12[[#This Row],[AEG E/S BARRA A]]*Table12[[#This Row],[AEG 5.2 MW]]</f>
        <v>84.15</v>
      </c>
      <c r="L164" s="18">
        <f>Table12[[#This Row],[AEG E/S BARRA B]]*Table12[[#This Row],[AEG 5.0 MW]]</f>
        <v>80.063999999999993</v>
      </c>
      <c r="M16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4" s="29">
        <f>INDEX(Curva_Temp[Temp],MATCH(Table12[[#This Row],[Windy Temp.
°C]],Curva_Temp[Temp]))</f>
        <v>15</v>
      </c>
      <c r="O164" s="29">
        <f>INDEX(Curva_Temp[Warranted Power Curve for 
1.194Kg/m3 air density '[kW']
SG 5.0-145 (AM+1, 5.2MW) AT 
90M],MATCH(Table12[[#This Row],[Windy Temp.
°C]],Curva_Temp[Temp]))</f>
        <v>5200</v>
      </c>
      <c r="P164" s="29" cm="1">
        <f t="array" ref="P164">INDEX(Curva_Temp[Temp],MATCH(Table12[[#This Row],[Windy Temp.
°C]],Curva_Temp[Temp])+1)</f>
        <v>20</v>
      </c>
      <c r="Q164" s="29" cm="1">
        <f t="array" ref="Q164">INDEX(Curva_Temp[Warranted Power Curve for 
1.194Kg/m3 air density '[kW']
SG 5.0-145 (AM+1, 5.2MW) AT 
90M],MATCH(Table12[[#This Row],[Windy Temp.
°C]],Curva_Temp[Temp])+1)</f>
        <v>5000</v>
      </c>
      <c r="R1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4" s="18"/>
      <c r="U164" s="18">
        <v>6.2</v>
      </c>
      <c r="V164" s="18">
        <v>7.8</v>
      </c>
      <c r="W164" s="18">
        <f>CEILING(Table12[[#This Row],[Darwin Gusts
m/s]],0.5)</f>
        <v>8</v>
      </c>
      <c r="X164" s="18">
        <v>21.5</v>
      </c>
    </row>
    <row r="165" spans="2:24" ht="12" x14ac:dyDescent="0.2">
      <c r="B165" s="16">
        <f t="shared" si="14"/>
        <v>45086.708333332943</v>
      </c>
      <c r="C165" s="24">
        <f t="shared" si="16"/>
        <v>6.7083333333333464</v>
      </c>
      <c r="D165" s="29">
        <f>Table12[[#This Row],[MW TOTAL BARRA A]]+Table12[[#This Row],[MW TOTAL BARRA B]]</f>
        <v>164.214</v>
      </c>
      <c r="E165" s="25">
        <f>Windy_web!$DF7</f>
        <v>5</v>
      </c>
      <c r="F165" s="25">
        <f>Windy_web!$DF8</f>
        <v>9</v>
      </c>
      <c r="G165" s="26" t="str">
        <f>Windy_web!$DF5</f>
        <v>19°</v>
      </c>
      <c r="H165" s="26">
        <f t="shared" si="13"/>
        <v>19</v>
      </c>
      <c r="I165" s="18">
        <v>25</v>
      </c>
      <c r="J165" s="18">
        <v>24</v>
      </c>
      <c r="K165" s="18">
        <f>Table12[[#This Row],[AEG E/S BARRA A]]*Table12[[#This Row],[AEG 5.2 MW]]</f>
        <v>84.15</v>
      </c>
      <c r="L165" s="18">
        <f>Table12[[#This Row],[AEG E/S BARRA B]]*Table12[[#This Row],[AEG 5.0 MW]]</f>
        <v>80.063999999999993</v>
      </c>
      <c r="M165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5" s="29">
        <f>INDEX(Curva_Temp[Temp],MATCH(Table12[[#This Row],[Windy Temp.
°C]],Curva_Temp[Temp]))</f>
        <v>15</v>
      </c>
      <c r="O165" s="29">
        <f>INDEX(Curva_Temp[Warranted Power Curve for 
1.194Kg/m3 air density '[kW']
SG 5.0-145 (AM+1, 5.2MW) AT 
90M],MATCH(Table12[[#This Row],[Windy Temp.
°C]],Curva_Temp[Temp]))</f>
        <v>5200</v>
      </c>
      <c r="P165" s="29" cm="1">
        <f t="array" ref="P165">INDEX(Curva_Temp[Temp],MATCH(Table12[[#This Row],[Windy Temp.
°C]],Curva_Temp[Temp])+1)</f>
        <v>20</v>
      </c>
      <c r="Q165" s="29" cm="1">
        <f t="array" ref="Q165">INDEX(Curva_Temp[Warranted Power Curve for 
1.194Kg/m3 air density '[kW']
SG 5.0-145 (AM+1, 5.2MW) AT 
90M],MATCH(Table12[[#This Row],[Windy Temp.
°C]],Curva_Temp[Temp])+1)</f>
        <v>5000</v>
      </c>
      <c r="R1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5" s="18"/>
      <c r="U165" s="18">
        <v>6.3</v>
      </c>
      <c r="V165" s="18">
        <v>8.1</v>
      </c>
      <c r="W165" s="18">
        <f>CEILING(Table12[[#This Row],[Darwin Gusts
m/s]],0.5)</f>
        <v>8.5</v>
      </c>
      <c r="X165" s="18">
        <v>21.9</v>
      </c>
    </row>
    <row r="166" spans="2:24" ht="12" x14ac:dyDescent="0.2">
      <c r="B166" s="16">
        <f t="shared" si="14"/>
        <v>45086.749999999607</v>
      </c>
      <c r="C166" s="24">
        <f t="shared" si="16"/>
        <v>6.7500000000000133</v>
      </c>
      <c r="D166" s="29">
        <f>Table12[[#This Row],[MW TOTAL BARRA A]]+Table12[[#This Row],[MW TOTAL BARRA B]]</f>
        <v>164.214</v>
      </c>
      <c r="E166" s="25">
        <f>Windy_web!$DF7</f>
        <v>5</v>
      </c>
      <c r="F166" s="25">
        <f>Windy_web!$DF8</f>
        <v>9</v>
      </c>
      <c r="G166" s="26" t="str">
        <f>Windy_web!$DF5</f>
        <v>19°</v>
      </c>
      <c r="H166" s="26">
        <f t="shared" si="13"/>
        <v>19</v>
      </c>
      <c r="I166" s="18">
        <v>25</v>
      </c>
      <c r="J166" s="18">
        <v>24</v>
      </c>
      <c r="K166" s="18">
        <f>Table12[[#This Row],[AEG E/S BARRA A]]*Table12[[#This Row],[AEG 5.2 MW]]</f>
        <v>84.15</v>
      </c>
      <c r="L166" s="18">
        <f>Table12[[#This Row],[AEG E/S BARRA B]]*Table12[[#This Row],[AEG 5.0 MW]]</f>
        <v>80.063999999999993</v>
      </c>
      <c r="M16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6" s="29">
        <f>INDEX(Curva_Temp[Temp],MATCH(Table12[[#This Row],[Windy Temp.
°C]],Curva_Temp[Temp]))</f>
        <v>15</v>
      </c>
      <c r="O166" s="29">
        <f>INDEX(Curva_Temp[Warranted Power Curve for 
1.194Kg/m3 air density '[kW']
SG 5.0-145 (AM+1, 5.2MW) AT 
90M],MATCH(Table12[[#This Row],[Windy Temp.
°C]],Curva_Temp[Temp]))</f>
        <v>5200</v>
      </c>
      <c r="P166" s="29" cm="1">
        <f t="array" ref="P166">INDEX(Curva_Temp[Temp],MATCH(Table12[[#This Row],[Windy Temp.
°C]],Curva_Temp[Temp])+1)</f>
        <v>20</v>
      </c>
      <c r="Q166" s="29" cm="1">
        <f t="array" ref="Q166">INDEX(Curva_Temp[Warranted Power Curve for 
1.194Kg/m3 air density '[kW']
SG 5.0-145 (AM+1, 5.2MW) AT 
90M],MATCH(Table12[[#This Row],[Windy Temp.
°C]],Curva_Temp[Temp])+1)</f>
        <v>5000</v>
      </c>
      <c r="R1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6" s="18"/>
      <c r="U166" s="18">
        <v>6.4</v>
      </c>
      <c r="V166" s="18">
        <v>8.5</v>
      </c>
      <c r="W166" s="18">
        <f>CEILING(Table12[[#This Row],[Darwin Gusts
m/s]],0.5)</f>
        <v>8.5</v>
      </c>
      <c r="X166" s="18">
        <v>22.2</v>
      </c>
    </row>
    <row r="167" spans="2:24" ht="12" x14ac:dyDescent="0.2">
      <c r="B167" s="16">
        <f t="shared" si="14"/>
        <v>45086.791666666271</v>
      </c>
      <c r="C167" s="17">
        <f>C166+TIME(1,0,0)</f>
        <v>6.7916666666666803</v>
      </c>
      <c r="D167" s="29">
        <f>Table12[[#This Row],[MW TOTAL BARRA A]]+Table12[[#This Row],[MW TOTAL BARRA B]]</f>
        <v>208.18799999999999</v>
      </c>
      <c r="E167" s="18">
        <f>Windy_web!$DG7</f>
        <v>5</v>
      </c>
      <c r="F167" s="18">
        <f>Windy_web!$DG8</f>
        <v>10</v>
      </c>
      <c r="G167" s="27" t="str">
        <f>Windy_web!$DG5</f>
        <v>17°</v>
      </c>
      <c r="H167" s="26">
        <f t="shared" si="13"/>
        <v>17</v>
      </c>
      <c r="I167" s="18">
        <v>25</v>
      </c>
      <c r="J167" s="18">
        <v>24</v>
      </c>
      <c r="K167" s="18">
        <f>Table12[[#This Row],[AEG E/S BARRA A]]*Table12[[#This Row],[AEG 5.2 MW]]</f>
        <v>107.1</v>
      </c>
      <c r="L167" s="18">
        <f>Table12[[#This Row],[AEG E/S BARRA B]]*Table12[[#This Row],[AEG 5.0 MW]]</f>
        <v>101.08799999999999</v>
      </c>
      <c r="M16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7" s="29">
        <f>INDEX(Curva_Temp[Temp],MATCH(Table12[[#This Row],[Windy Temp.
°C]],Curva_Temp[Temp]))</f>
        <v>15</v>
      </c>
      <c r="O167" s="29">
        <f>INDEX(Curva_Temp[Warranted Power Curve for 
1.194Kg/m3 air density '[kW']
SG 5.0-145 (AM+1, 5.2MW) AT 
90M],MATCH(Table12[[#This Row],[Windy Temp.
°C]],Curva_Temp[Temp]))</f>
        <v>5200</v>
      </c>
      <c r="P167" s="29" cm="1">
        <f t="array" ref="P167">INDEX(Curva_Temp[Temp],MATCH(Table12[[#This Row],[Windy Temp.
°C]],Curva_Temp[Temp])+1)</f>
        <v>20</v>
      </c>
      <c r="Q167" s="29" cm="1">
        <f t="array" ref="Q167">INDEX(Curva_Temp[Warranted Power Curve for 
1.194Kg/m3 air density '[kW']
SG 5.0-145 (AM+1, 5.2MW) AT 
90M],MATCH(Table12[[#This Row],[Windy Temp.
°C]],Curva_Temp[Temp])+1)</f>
        <v>5000</v>
      </c>
      <c r="R1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7" s="18"/>
      <c r="U167" s="18">
        <v>7</v>
      </c>
      <c r="V167" s="18">
        <v>8.8000000000000007</v>
      </c>
      <c r="W167" s="18">
        <f>CEILING(Table12[[#This Row],[Darwin Gusts
m/s]],0.5)</f>
        <v>9</v>
      </c>
      <c r="X167" s="18">
        <v>21.6</v>
      </c>
    </row>
    <row r="168" spans="2:24" ht="12" x14ac:dyDescent="0.2">
      <c r="B168" s="16">
        <f t="shared" si="14"/>
        <v>45086.833333332936</v>
      </c>
      <c r="C168" s="24">
        <f t="shared" ref="C168:C172" si="17">C167+TIME(1,0,0)</f>
        <v>6.8333333333333472</v>
      </c>
      <c r="D168" s="29">
        <f>Table12[[#This Row],[MW TOTAL BARRA A]]+Table12[[#This Row],[MW TOTAL BARRA B]]</f>
        <v>208.18799999999999</v>
      </c>
      <c r="E168" s="25">
        <f>Windy_web!$DG7</f>
        <v>5</v>
      </c>
      <c r="F168" s="25">
        <f>Windy_web!$DG8</f>
        <v>10</v>
      </c>
      <c r="G168" s="26" t="str">
        <f>Windy_web!$DG5</f>
        <v>17°</v>
      </c>
      <c r="H168" s="26">
        <f t="shared" si="13"/>
        <v>17</v>
      </c>
      <c r="I168" s="18">
        <v>25</v>
      </c>
      <c r="J168" s="18">
        <v>24</v>
      </c>
      <c r="K168" s="18">
        <f>Table12[[#This Row],[AEG E/S BARRA A]]*Table12[[#This Row],[AEG 5.2 MW]]</f>
        <v>107.1</v>
      </c>
      <c r="L168" s="18">
        <f>Table12[[#This Row],[AEG E/S BARRA B]]*Table12[[#This Row],[AEG 5.0 MW]]</f>
        <v>101.08799999999999</v>
      </c>
      <c r="M16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8" s="29">
        <f>INDEX(Curva_Temp[Temp],MATCH(Table12[[#This Row],[Windy Temp.
°C]],Curva_Temp[Temp]))</f>
        <v>15</v>
      </c>
      <c r="O168" s="29">
        <f>INDEX(Curva_Temp[Warranted Power Curve for 
1.194Kg/m3 air density '[kW']
SG 5.0-145 (AM+1, 5.2MW) AT 
90M],MATCH(Table12[[#This Row],[Windy Temp.
°C]],Curva_Temp[Temp]))</f>
        <v>5200</v>
      </c>
      <c r="P168" s="29" cm="1">
        <f t="array" ref="P168">INDEX(Curva_Temp[Temp],MATCH(Table12[[#This Row],[Windy Temp.
°C]],Curva_Temp[Temp])+1)</f>
        <v>20</v>
      </c>
      <c r="Q168" s="29" cm="1">
        <f t="array" ref="Q168">INDEX(Curva_Temp[Warranted Power Curve for 
1.194Kg/m3 air density '[kW']
SG 5.0-145 (AM+1, 5.2MW) AT 
90M],MATCH(Table12[[#This Row],[Windy Temp.
°C]],Curva_Temp[Temp])+1)</f>
        <v>5000</v>
      </c>
      <c r="R1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8" s="18"/>
      <c r="U168" s="18">
        <v>7.5</v>
      </c>
      <c r="V168" s="18">
        <v>9.4</v>
      </c>
      <c r="W168" s="18">
        <f>CEILING(Table12[[#This Row],[Darwin Gusts
m/s]],0.5)</f>
        <v>9.5</v>
      </c>
      <c r="X168" s="18">
        <v>20.9</v>
      </c>
    </row>
    <row r="169" spans="2:24" ht="12" x14ac:dyDescent="0.2">
      <c r="B169" s="16">
        <f t="shared" si="14"/>
        <v>45086.8749999996</v>
      </c>
      <c r="C169" s="24">
        <f t="shared" si="17"/>
        <v>6.8750000000000142</v>
      </c>
      <c r="D169" s="29">
        <f>Table12[[#This Row],[MW TOTAL BARRA A]]+Table12[[#This Row],[MW TOTAL BARRA B]]</f>
        <v>208.18799999999999</v>
      </c>
      <c r="E169" s="25">
        <f>Windy_web!$DG7</f>
        <v>5</v>
      </c>
      <c r="F169" s="25">
        <f>Windy_web!$DG8</f>
        <v>10</v>
      </c>
      <c r="G169" s="26" t="str">
        <f>Windy_web!$DG5</f>
        <v>17°</v>
      </c>
      <c r="H169" s="26">
        <f t="shared" si="13"/>
        <v>17</v>
      </c>
      <c r="I169" s="18">
        <v>25</v>
      </c>
      <c r="J169" s="18">
        <v>24</v>
      </c>
      <c r="K169" s="18">
        <f>Table12[[#This Row],[AEG E/S BARRA A]]*Table12[[#This Row],[AEG 5.2 MW]]</f>
        <v>107.1</v>
      </c>
      <c r="L169" s="18">
        <f>Table12[[#This Row],[AEG E/S BARRA B]]*Table12[[#This Row],[AEG 5.0 MW]]</f>
        <v>101.08799999999999</v>
      </c>
      <c r="M16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9" s="29">
        <f>INDEX(Curva_Temp[Temp],MATCH(Table12[[#This Row],[Windy Temp.
°C]],Curva_Temp[Temp]))</f>
        <v>15</v>
      </c>
      <c r="O169" s="29">
        <f>INDEX(Curva_Temp[Warranted Power Curve for 
1.194Kg/m3 air density '[kW']
SG 5.0-145 (AM+1, 5.2MW) AT 
90M],MATCH(Table12[[#This Row],[Windy Temp.
°C]],Curva_Temp[Temp]))</f>
        <v>5200</v>
      </c>
      <c r="P169" s="29" cm="1">
        <f t="array" ref="P169">INDEX(Curva_Temp[Temp],MATCH(Table12[[#This Row],[Windy Temp.
°C]],Curva_Temp[Temp])+1)</f>
        <v>20</v>
      </c>
      <c r="Q169" s="29" cm="1">
        <f t="array" ref="Q169">INDEX(Curva_Temp[Warranted Power Curve for 
1.194Kg/m3 air density '[kW']
SG 5.0-145 (AM+1, 5.2MW) AT 
90M],MATCH(Table12[[#This Row],[Windy Temp.
°C]],Curva_Temp[Temp])+1)</f>
        <v>5000</v>
      </c>
      <c r="R1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9" s="18"/>
      <c r="U169" s="18">
        <v>8</v>
      </c>
      <c r="V169" s="18">
        <v>10</v>
      </c>
      <c r="W169" s="18">
        <f>CEILING(Table12[[#This Row],[Darwin Gusts
m/s]],0.5)</f>
        <v>10</v>
      </c>
      <c r="X169" s="18">
        <v>20.100000000000001</v>
      </c>
    </row>
    <row r="170" spans="2:24" ht="12" x14ac:dyDescent="0.2">
      <c r="B170" s="16">
        <f t="shared" si="14"/>
        <v>45086.916666666264</v>
      </c>
      <c r="C170" s="24">
        <f t="shared" si="17"/>
        <v>6.9166666666666812</v>
      </c>
      <c r="D170" s="29">
        <f>Table12[[#This Row],[MW TOTAL BARRA A]]+Table12[[#This Row],[MW TOTAL BARRA B]]</f>
        <v>208.18799999999999</v>
      </c>
      <c r="E170" s="25">
        <f>Windy_web!$DG7</f>
        <v>5</v>
      </c>
      <c r="F170" s="25">
        <f>Windy_web!$DG8</f>
        <v>10</v>
      </c>
      <c r="G170" s="26" t="str">
        <f>Windy_web!$DG5</f>
        <v>17°</v>
      </c>
      <c r="H170" s="26">
        <f t="shared" si="13"/>
        <v>17</v>
      </c>
      <c r="I170" s="18">
        <v>25</v>
      </c>
      <c r="J170" s="18">
        <v>24</v>
      </c>
      <c r="K170" s="18">
        <f>Table12[[#This Row],[AEG E/S BARRA A]]*Table12[[#This Row],[AEG 5.2 MW]]</f>
        <v>107.1</v>
      </c>
      <c r="L170" s="18">
        <f>Table12[[#This Row],[AEG E/S BARRA B]]*Table12[[#This Row],[AEG 5.0 MW]]</f>
        <v>101.08799999999999</v>
      </c>
      <c r="M17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0" s="29">
        <f>INDEX(Curva_Temp[Temp],MATCH(Table12[[#This Row],[Windy Temp.
°C]],Curva_Temp[Temp]))</f>
        <v>15</v>
      </c>
      <c r="O170" s="29">
        <f>INDEX(Curva_Temp[Warranted Power Curve for 
1.194Kg/m3 air density '[kW']
SG 5.0-145 (AM+1, 5.2MW) AT 
90M],MATCH(Table12[[#This Row],[Windy Temp.
°C]],Curva_Temp[Temp]))</f>
        <v>5200</v>
      </c>
      <c r="P170" s="29" cm="1">
        <f t="array" ref="P170">INDEX(Curva_Temp[Temp],MATCH(Table12[[#This Row],[Windy Temp.
°C]],Curva_Temp[Temp])+1)</f>
        <v>20</v>
      </c>
      <c r="Q170" s="29" cm="1">
        <f t="array" ref="Q170">INDEX(Curva_Temp[Warranted Power Curve for 
1.194Kg/m3 air density '[kW']
SG 5.0-145 (AM+1, 5.2MW) AT 
90M],MATCH(Table12[[#This Row],[Windy Temp.
°C]],Curva_Temp[Temp])+1)</f>
        <v>5000</v>
      </c>
      <c r="R1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0" s="18"/>
      <c r="U170" s="18">
        <v>8.5</v>
      </c>
      <c r="V170" s="18">
        <v>10.6</v>
      </c>
      <c r="W170" s="18">
        <f>CEILING(Table12[[#This Row],[Darwin Gusts
m/s]],0.5)</f>
        <v>11</v>
      </c>
      <c r="X170" s="18">
        <v>19.399999999999999</v>
      </c>
    </row>
    <row r="171" spans="2:24" ht="12" x14ac:dyDescent="0.2">
      <c r="B171" s="16">
        <f t="shared" si="14"/>
        <v>45086.958333332928</v>
      </c>
      <c r="C171" s="24">
        <f t="shared" si="17"/>
        <v>6.9583333333333481</v>
      </c>
      <c r="D171" s="29">
        <f>Table12[[#This Row],[MW TOTAL BARRA A]]+Table12[[#This Row],[MW TOTAL BARRA B]]</f>
        <v>208.18799999999999</v>
      </c>
      <c r="E171" s="25">
        <f>Windy_web!$DG7</f>
        <v>5</v>
      </c>
      <c r="F171" s="25">
        <f>Windy_web!$DG8</f>
        <v>10</v>
      </c>
      <c r="G171" s="26" t="str">
        <f>Windy_web!$DG5</f>
        <v>17°</v>
      </c>
      <c r="H171" s="26">
        <f t="shared" si="13"/>
        <v>17</v>
      </c>
      <c r="I171" s="18">
        <v>25</v>
      </c>
      <c r="J171" s="18">
        <v>24</v>
      </c>
      <c r="K171" s="18">
        <f>Table12[[#This Row],[AEG E/S BARRA A]]*Table12[[#This Row],[AEG 5.2 MW]]</f>
        <v>107.1</v>
      </c>
      <c r="L171" s="18">
        <f>Table12[[#This Row],[AEG E/S BARRA B]]*Table12[[#This Row],[AEG 5.0 MW]]</f>
        <v>101.08799999999999</v>
      </c>
      <c r="M1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1" s="29">
        <f>INDEX(Curva_Temp[Temp],MATCH(Table12[[#This Row],[Windy Temp.
°C]],Curva_Temp[Temp]))</f>
        <v>15</v>
      </c>
      <c r="O171" s="29">
        <f>INDEX(Curva_Temp[Warranted Power Curve for 
1.194Kg/m3 air density '[kW']
SG 5.0-145 (AM+1, 5.2MW) AT 
90M],MATCH(Table12[[#This Row],[Windy Temp.
°C]],Curva_Temp[Temp]))</f>
        <v>5200</v>
      </c>
      <c r="P171" s="29" cm="1">
        <f t="array" ref="P171">INDEX(Curva_Temp[Temp],MATCH(Table12[[#This Row],[Windy Temp.
°C]],Curva_Temp[Temp])+1)</f>
        <v>20</v>
      </c>
      <c r="Q171" s="29" cm="1">
        <f t="array" ref="Q171">INDEX(Curva_Temp[Warranted Power Curve for 
1.194Kg/m3 air density '[kW']
SG 5.0-145 (AM+1, 5.2MW) AT 
90M],MATCH(Table12[[#This Row],[Windy Temp.
°C]],Curva_Temp[Temp])+1)</f>
        <v>5000</v>
      </c>
      <c r="R1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1" s="18"/>
      <c r="U171" s="18">
        <v>9</v>
      </c>
      <c r="V171" s="18">
        <v>11.2</v>
      </c>
      <c r="W171" s="18">
        <f>CEILING(Table12[[#This Row],[Darwin Gusts
m/s]],0.5)</f>
        <v>11.5</v>
      </c>
      <c r="X171" s="18">
        <v>18.399999999999999</v>
      </c>
    </row>
    <row r="172" spans="2:24" ht="12" x14ac:dyDescent="0.2">
      <c r="B172" s="16">
        <f t="shared" si="14"/>
        <v>45086.999999999593</v>
      </c>
      <c r="C172" s="24">
        <f t="shared" si="17"/>
        <v>7.0000000000000151</v>
      </c>
      <c r="D172" s="29">
        <f>Table12[[#This Row],[MW TOTAL BARRA A]]+Table12[[#This Row],[MW TOTAL BARRA B]]</f>
        <v>208.18799999999999</v>
      </c>
      <c r="E172" s="25">
        <f>Windy_web!$DG7</f>
        <v>5</v>
      </c>
      <c r="F172" s="25">
        <f>Windy_web!$DG8</f>
        <v>10</v>
      </c>
      <c r="G172" s="26" t="str">
        <f>Windy_web!$DG5</f>
        <v>17°</v>
      </c>
      <c r="H172" s="26">
        <f t="shared" si="13"/>
        <v>17</v>
      </c>
      <c r="I172" s="18">
        <v>25</v>
      </c>
      <c r="J172" s="18">
        <v>24</v>
      </c>
      <c r="K172" s="18">
        <f>Table12[[#This Row],[AEG E/S BARRA A]]*Table12[[#This Row],[AEG 5.2 MW]]</f>
        <v>107.1</v>
      </c>
      <c r="L172" s="18">
        <f>Table12[[#This Row],[AEG E/S BARRA B]]*Table12[[#This Row],[AEG 5.0 MW]]</f>
        <v>101.08799999999999</v>
      </c>
      <c r="M1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2" s="29">
        <f>INDEX(Curva_Temp[Temp],MATCH(Table12[[#This Row],[Windy Temp.
°C]],Curva_Temp[Temp]))</f>
        <v>15</v>
      </c>
      <c r="O172" s="29">
        <f>INDEX(Curva_Temp[Warranted Power Curve for 
1.194Kg/m3 air density '[kW']
SG 5.0-145 (AM+1, 5.2MW) AT 
90M],MATCH(Table12[[#This Row],[Windy Temp.
°C]],Curva_Temp[Temp]))</f>
        <v>5200</v>
      </c>
      <c r="P172" s="29" cm="1">
        <f t="array" ref="P172">INDEX(Curva_Temp[Temp],MATCH(Table12[[#This Row],[Windy Temp.
°C]],Curva_Temp[Temp])+1)</f>
        <v>20</v>
      </c>
      <c r="Q172" s="29" cm="1">
        <f t="array" ref="Q172">INDEX(Curva_Temp[Warranted Power Curve for 
1.194Kg/m3 air density '[kW']
SG 5.0-145 (AM+1, 5.2MW) AT 
90M],MATCH(Table12[[#This Row],[Windy Temp.
°C]],Curva_Temp[Temp])+1)</f>
        <v>5000</v>
      </c>
      <c r="R1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2" s="18"/>
      <c r="U172" s="18">
        <v>9.5</v>
      </c>
      <c r="V172" s="18">
        <v>11.9</v>
      </c>
      <c r="W172" s="18">
        <f>CEILING(Table12[[#This Row],[Darwin Gusts
m/s]],0.5)</f>
        <v>12</v>
      </c>
      <c r="X172" s="18">
        <v>17.8</v>
      </c>
    </row>
    <row r="173" spans="2:24" ht="12" x14ac:dyDescent="0.2">
      <c r="B173" s="16">
        <f t="shared" si="14"/>
        <v>45087.041666666257</v>
      </c>
      <c r="C173" s="17">
        <f>C172+TIME(1,0,0)</f>
        <v>7.0416666666666821</v>
      </c>
      <c r="D173" s="29">
        <f>Table12[[#This Row],[MW TOTAL BARRA A]]+Table12[[#This Row],[MW TOTAL BARRA B]]</f>
        <v>117.777</v>
      </c>
      <c r="E173" s="18">
        <f>Windy_web!$DH7</f>
        <v>4</v>
      </c>
      <c r="F173" s="18">
        <f>Windy_web!$DH8</f>
        <v>8</v>
      </c>
      <c r="G173" s="27" t="str">
        <f>Windy_web!$DH5</f>
        <v>16°</v>
      </c>
      <c r="H173" s="26">
        <f t="shared" si="13"/>
        <v>16</v>
      </c>
      <c r="I173" s="18">
        <v>25</v>
      </c>
      <c r="J173" s="18">
        <v>24</v>
      </c>
      <c r="K173" s="18">
        <f>Table12[[#This Row],[AEG E/S BARRA A]]*Table12[[#This Row],[AEG 5.2 MW]]</f>
        <v>60.224999999999994</v>
      </c>
      <c r="L173" s="18">
        <f>Table12[[#This Row],[AEG E/S BARRA B]]*Table12[[#This Row],[AEG 5.0 MW]]</f>
        <v>57.552000000000007</v>
      </c>
      <c r="M1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3" s="29">
        <f>INDEX(Curva_Temp[Temp],MATCH(Table12[[#This Row],[Windy Temp.
°C]],Curva_Temp[Temp]))</f>
        <v>15</v>
      </c>
      <c r="O173" s="29">
        <f>INDEX(Curva_Temp[Warranted Power Curve for 
1.194Kg/m3 air density '[kW']
SG 5.0-145 (AM+1, 5.2MW) AT 
90M],MATCH(Table12[[#This Row],[Windy Temp.
°C]],Curva_Temp[Temp]))</f>
        <v>5200</v>
      </c>
      <c r="P173" s="29" cm="1">
        <f t="array" ref="P173">INDEX(Curva_Temp[Temp],MATCH(Table12[[#This Row],[Windy Temp.
°C]],Curva_Temp[Temp])+1)</f>
        <v>20</v>
      </c>
      <c r="Q173" s="29" cm="1">
        <f t="array" ref="Q173">INDEX(Curva_Temp[Warranted Power Curve for 
1.194Kg/m3 air density '[kW']
SG 5.0-145 (AM+1, 5.2MW) AT 
90M],MATCH(Table12[[#This Row],[Windy Temp.
°C]],Curva_Temp[Temp])+1)</f>
        <v>5000</v>
      </c>
      <c r="R1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3" s="18"/>
      <c r="U173" s="18">
        <v>9.6</v>
      </c>
      <c r="V173" s="18">
        <v>11.9</v>
      </c>
      <c r="W173" s="18">
        <f>CEILING(Table12[[#This Row],[Darwin Gusts
m/s]],0.5)</f>
        <v>12</v>
      </c>
      <c r="X173" s="18">
        <v>17.7</v>
      </c>
    </row>
    <row r="174" spans="2:24" ht="12" x14ac:dyDescent="0.2">
      <c r="B174" s="16">
        <f t="shared" si="14"/>
        <v>45087.083333332921</v>
      </c>
      <c r="C174" s="24">
        <f t="shared" ref="C174:C190" si="18">C173+TIME(1,0,0)</f>
        <v>7.083333333333349</v>
      </c>
      <c r="D174" s="29">
        <f>Table12[[#This Row],[MW TOTAL BARRA A]]+Table12[[#This Row],[MW TOTAL BARRA B]]</f>
        <v>117.777</v>
      </c>
      <c r="E174" s="25">
        <f>Windy_web!$DH7</f>
        <v>4</v>
      </c>
      <c r="F174" s="25">
        <f>Windy_web!$DH8</f>
        <v>8</v>
      </c>
      <c r="G174" s="26" t="str">
        <f>Windy_web!$DH5</f>
        <v>16°</v>
      </c>
      <c r="H174" s="26">
        <f t="shared" si="13"/>
        <v>16</v>
      </c>
      <c r="I174" s="18">
        <v>25</v>
      </c>
      <c r="J174" s="18">
        <v>24</v>
      </c>
      <c r="K174" s="18">
        <f>Table12[[#This Row],[AEG E/S BARRA A]]*Table12[[#This Row],[AEG 5.2 MW]]</f>
        <v>60.224999999999994</v>
      </c>
      <c r="L174" s="18">
        <f>Table12[[#This Row],[AEG E/S BARRA B]]*Table12[[#This Row],[AEG 5.0 MW]]</f>
        <v>57.552000000000007</v>
      </c>
      <c r="M1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4" s="29">
        <f>INDEX(Curva_Temp[Temp],MATCH(Table12[[#This Row],[Windy Temp.
°C]],Curva_Temp[Temp]))</f>
        <v>15</v>
      </c>
      <c r="O174" s="29">
        <f>INDEX(Curva_Temp[Warranted Power Curve for 
1.194Kg/m3 air density '[kW']
SG 5.0-145 (AM+1, 5.2MW) AT 
90M],MATCH(Table12[[#This Row],[Windy Temp.
°C]],Curva_Temp[Temp]))</f>
        <v>5200</v>
      </c>
      <c r="P174" s="29" cm="1">
        <f t="array" ref="P174">INDEX(Curva_Temp[Temp],MATCH(Table12[[#This Row],[Windy Temp.
°C]],Curva_Temp[Temp])+1)</f>
        <v>20</v>
      </c>
      <c r="Q174" s="29" cm="1">
        <f t="array" ref="Q174">INDEX(Curva_Temp[Warranted Power Curve for 
1.194Kg/m3 air density '[kW']
SG 5.0-145 (AM+1, 5.2MW) AT 
90M],MATCH(Table12[[#This Row],[Windy Temp.
°C]],Curva_Temp[Temp])+1)</f>
        <v>5000</v>
      </c>
      <c r="R1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4" s="18"/>
      <c r="U174" s="18">
        <v>9.6999999999999993</v>
      </c>
      <c r="V174" s="18">
        <v>12</v>
      </c>
      <c r="W174" s="18">
        <f>CEILING(Table12[[#This Row],[Darwin Gusts
m/s]],0.5)</f>
        <v>12</v>
      </c>
      <c r="X174" s="18">
        <v>17.600000000000001</v>
      </c>
    </row>
    <row r="175" spans="2:24" ht="12" x14ac:dyDescent="0.2">
      <c r="B175" s="16">
        <f t="shared" si="14"/>
        <v>45087.124999999585</v>
      </c>
      <c r="C175" s="24">
        <f t="shared" si="18"/>
        <v>7.125000000000016</v>
      </c>
      <c r="D175" s="29">
        <f>Table12[[#This Row],[MW TOTAL BARRA A]]+Table12[[#This Row],[MW TOTAL BARRA B]]</f>
        <v>117.777</v>
      </c>
      <c r="E175" s="25">
        <f>Windy_web!$DH7</f>
        <v>4</v>
      </c>
      <c r="F175" s="25">
        <f>Windy_web!$DH8</f>
        <v>8</v>
      </c>
      <c r="G175" s="26" t="str">
        <f>Windy_web!$DH5</f>
        <v>16°</v>
      </c>
      <c r="H175" s="26">
        <f t="shared" si="13"/>
        <v>16</v>
      </c>
      <c r="I175" s="18">
        <v>25</v>
      </c>
      <c r="J175" s="18">
        <v>24</v>
      </c>
      <c r="K175" s="18">
        <f>Table12[[#This Row],[AEG E/S BARRA A]]*Table12[[#This Row],[AEG 5.2 MW]]</f>
        <v>60.224999999999994</v>
      </c>
      <c r="L175" s="18">
        <f>Table12[[#This Row],[AEG E/S BARRA B]]*Table12[[#This Row],[AEG 5.0 MW]]</f>
        <v>57.552000000000007</v>
      </c>
      <c r="M1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5" s="29">
        <f>INDEX(Curva_Temp[Temp],MATCH(Table12[[#This Row],[Windy Temp.
°C]],Curva_Temp[Temp]))</f>
        <v>15</v>
      </c>
      <c r="O175" s="29">
        <f>INDEX(Curva_Temp[Warranted Power Curve for 
1.194Kg/m3 air density '[kW']
SG 5.0-145 (AM+1, 5.2MW) AT 
90M],MATCH(Table12[[#This Row],[Windy Temp.
°C]],Curva_Temp[Temp]))</f>
        <v>5200</v>
      </c>
      <c r="P175" s="29" cm="1">
        <f t="array" ref="P175">INDEX(Curva_Temp[Temp],MATCH(Table12[[#This Row],[Windy Temp.
°C]],Curva_Temp[Temp])+1)</f>
        <v>20</v>
      </c>
      <c r="Q175" s="29" cm="1">
        <f t="array" ref="Q175">INDEX(Curva_Temp[Warranted Power Curve for 
1.194Kg/m3 air density '[kW']
SG 5.0-145 (AM+1, 5.2MW) AT 
90M],MATCH(Table12[[#This Row],[Windy Temp.
°C]],Curva_Temp[Temp])+1)</f>
        <v>5000</v>
      </c>
      <c r="R1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5" s="18"/>
      <c r="U175" s="18">
        <v>9.6999999999999993</v>
      </c>
      <c r="V175" s="18">
        <v>12.1</v>
      </c>
      <c r="W175" s="18">
        <f>CEILING(Table12[[#This Row],[Darwin Gusts
m/s]],0.5)</f>
        <v>12.5</v>
      </c>
      <c r="X175" s="18">
        <v>17.5</v>
      </c>
    </row>
    <row r="176" spans="2:24" ht="12" x14ac:dyDescent="0.2">
      <c r="B176" s="16">
        <f t="shared" si="14"/>
        <v>45087.16666666625</v>
      </c>
      <c r="C176" s="24">
        <f t="shared" si="18"/>
        <v>7.1666666666666829</v>
      </c>
      <c r="D176" s="29">
        <f>Table12[[#This Row],[MW TOTAL BARRA A]]+Table12[[#This Row],[MW TOTAL BARRA B]]</f>
        <v>117.777</v>
      </c>
      <c r="E176" s="25">
        <f>Windy_web!$DH7</f>
        <v>4</v>
      </c>
      <c r="F176" s="25">
        <f>Windy_web!$DH8</f>
        <v>8</v>
      </c>
      <c r="G176" s="26" t="str">
        <f>Windy_web!$DH5</f>
        <v>16°</v>
      </c>
      <c r="H176" s="26">
        <f t="shared" si="13"/>
        <v>16</v>
      </c>
      <c r="I176" s="18">
        <v>25</v>
      </c>
      <c r="J176" s="18">
        <v>24</v>
      </c>
      <c r="K176" s="18">
        <f>Table12[[#This Row],[AEG E/S BARRA A]]*Table12[[#This Row],[AEG 5.2 MW]]</f>
        <v>60.224999999999994</v>
      </c>
      <c r="L176" s="18">
        <f>Table12[[#This Row],[AEG E/S BARRA B]]*Table12[[#This Row],[AEG 5.0 MW]]</f>
        <v>57.552000000000007</v>
      </c>
      <c r="M1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6" s="29">
        <f>INDEX(Curva_Temp[Temp],MATCH(Table12[[#This Row],[Windy Temp.
°C]],Curva_Temp[Temp]))</f>
        <v>15</v>
      </c>
      <c r="O176" s="29">
        <f>INDEX(Curva_Temp[Warranted Power Curve for 
1.194Kg/m3 air density '[kW']
SG 5.0-145 (AM+1, 5.2MW) AT 
90M],MATCH(Table12[[#This Row],[Windy Temp.
°C]],Curva_Temp[Temp]))</f>
        <v>5200</v>
      </c>
      <c r="P176" s="29" cm="1">
        <f t="array" ref="P176">INDEX(Curva_Temp[Temp],MATCH(Table12[[#This Row],[Windy Temp.
°C]],Curva_Temp[Temp])+1)</f>
        <v>20</v>
      </c>
      <c r="Q176" s="29" cm="1">
        <f t="array" ref="Q176">INDEX(Curva_Temp[Warranted Power Curve for 
1.194Kg/m3 air density '[kW']
SG 5.0-145 (AM+1, 5.2MW) AT 
90M],MATCH(Table12[[#This Row],[Windy Temp.
°C]],Curva_Temp[Temp])+1)</f>
        <v>5000</v>
      </c>
      <c r="R1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6" s="18"/>
      <c r="U176" s="18">
        <v>9.8000000000000007</v>
      </c>
      <c r="V176" s="18">
        <v>12.1</v>
      </c>
      <c r="W176" s="18">
        <f>CEILING(Table12[[#This Row],[Darwin Gusts
m/s]],0.5)</f>
        <v>12.5</v>
      </c>
      <c r="X176" s="18">
        <v>17.399999999999999</v>
      </c>
    </row>
    <row r="177" spans="2:24" ht="12" x14ac:dyDescent="0.2">
      <c r="B177" s="16">
        <f t="shared" si="14"/>
        <v>45087.208333332914</v>
      </c>
      <c r="C177" s="24">
        <f t="shared" si="18"/>
        <v>7.2083333333333499</v>
      </c>
      <c r="D177" s="29">
        <f>Table12[[#This Row],[MW TOTAL BARRA A]]+Table12[[#This Row],[MW TOTAL BARRA B]]</f>
        <v>117.777</v>
      </c>
      <c r="E177" s="25">
        <f>Windy_web!$DH7</f>
        <v>4</v>
      </c>
      <c r="F177" s="25">
        <f>Windy_web!$DH8</f>
        <v>8</v>
      </c>
      <c r="G177" s="26" t="str">
        <f>Windy_web!$DH5</f>
        <v>16°</v>
      </c>
      <c r="H177" s="26">
        <f t="shared" si="13"/>
        <v>16</v>
      </c>
      <c r="I177" s="18">
        <v>25</v>
      </c>
      <c r="J177" s="18">
        <v>24</v>
      </c>
      <c r="K177" s="18">
        <f>Table12[[#This Row],[AEG E/S BARRA A]]*Table12[[#This Row],[AEG 5.2 MW]]</f>
        <v>60.224999999999994</v>
      </c>
      <c r="L177" s="18">
        <f>Table12[[#This Row],[AEG E/S BARRA B]]*Table12[[#This Row],[AEG 5.0 MW]]</f>
        <v>57.552000000000007</v>
      </c>
      <c r="M1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7" s="29">
        <f>INDEX(Curva_Temp[Temp],MATCH(Table12[[#This Row],[Windy Temp.
°C]],Curva_Temp[Temp]))</f>
        <v>15</v>
      </c>
      <c r="O177" s="29">
        <f>INDEX(Curva_Temp[Warranted Power Curve for 
1.194Kg/m3 air density '[kW']
SG 5.0-145 (AM+1, 5.2MW) AT 
90M],MATCH(Table12[[#This Row],[Windy Temp.
°C]],Curva_Temp[Temp]))</f>
        <v>5200</v>
      </c>
      <c r="P177" s="29" cm="1">
        <f t="array" ref="P177">INDEX(Curva_Temp[Temp],MATCH(Table12[[#This Row],[Windy Temp.
°C]],Curva_Temp[Temp])+1)</f>
        <v>20</v>
      </c>
      <c r="Q177" s="29" cm="1">
        <f t="array" ref="Q177">INDEX(Curva_Temp[Warranted Power Curve for 
1.194Kg/m3 air density '[kW']
SG 5.0-145 (AM+1, 5.2MW) AT 
90M],MATCH(Table12[[#This Row],[Windy Temp.
°C]],Curva_Temp[Temp])+1)</f>
        <v>5000</v>
      </c>
      <c r="R1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7" s="18"/>
      <c r="U177" s="18">
        <v>9.8000000000000007</v>
      </c>
      <c r="V177" s="18">
        <v>12.2</v>
      </c>
      <c r="W177" s="18">
        <f>CEILING(Table12[[#This Row],[Darwin Gusts
m/s]],0.5)</f>
        <v>12.5</v>
      </c>
      <c r="X177" s="18">
        <v>17.3</v>
      </c>
    </row>
    <row r="178" spans="2:24" ht="12" x14ac:dyDescent="0.2">
      <c r="B178" s="16">
        <f t="shared" si="14"/>
        <v>45087.249999999578</v>
      </c>
      <c r="C178" s="24">
        <f t="shared" si="18"/>
        <v>7.2500000000000169</v>
      </c>
      <c r="D178" s="29">
        <f>Table12[[#This Row],[MW TOTAL BARRA A]]+Table12[[#This Row],[MW TOTAL BARRA B]]</f>
        <v>117.777</v>
      </c>
      <c r="E178" s="25">
        <f>Windy_web!$DH7</f>
        <v>4</v>
      </c>
      <c r="F178" s="25">
        <f>Windy_web!$DH8</f>
        <v>8</v>
      </c>
      <c r="G178" s="26" t="str">
        <f>Windy_web!$DH5</f>
        <v>16°</v>
      </c>
      <c r="H178" s="26">
        <f t="shared" si="13"/>
        <v>16</v>
      </c>
      <c r="I178" s="18">
        <v>25</v>
      </c>
      <c r="J178" s="18">
        <v>24</v>
      </c>
      <c r="K178" s="18">
        <f>Table12[[#This Row],[AEG E/S BARRA A]]*Table12[[#This Row],[AEG 5.2 MW]]</f>
        <v>60.224999999999994</v>
      </c>
      <c r="L178" s="18">
        <f>Table12[[#This Row],[AEG E/S BARRA B]]*Table12[[#This Row],[AEG 5.0 MW]]</f>
        <v>57.552000000000007</v>
      </c>
      <c r="M1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8" s="29">
        <f>INDEX(Curva_Temp[Temp],MATCH(Table12[[#This Row],[Windy Temp.
°C]],Curva_Temp[Temp]))</f>
        <v>15</v>
      </c>
      <c r="O178" s="29">
        <f>INDEX(Curva_Temp[Warranted Power Curve for 
1.194Kg/m3 air density '[kW']
SG 5.0-145 (AM+1, 5.2MW) AT 
90M],MATCH(Table12[[#This Row],[Windy Temp.
°C]],Curva_Temp[Temp]))</f>
        <v>5200</v>
      </c>
      <c r="P178" s="29" cm="1">
        <f t="array" ref="P178">INDEX(Curva_Temp[Temp],MATCH(Table12[[#This Row],[Windy Temp.
°C]],Curva_Temp[Temp])+1)</f>
        <v>20</v>
      </c>
      <c r="Q178" s="29" cm="1">
        <f t="array" ref="Q178">INDEX(Curva_Temp[Warranted Power Curve for 
1.194Kg/m3 air density '[kW']
SG 5.0-145 (AM+1, 5.2MW) AT 
90M],MATCH(Table12[[#This Row],[Windy Temp.
°C]],Curva_Temp[Temp])+1)</f>
        <v>5000</v>
      </c>
      <c r="R1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8" s="18"/>
      <c r="U178" s="18">
        <v>9.9</v>
      </c>
      <c r="V178" s="18">
        <v>12.3</v>
      </c>
      <c r="W178" s="18">
        <f>CEILING(Table12[[#This Row],[Darwin Gusts
m/s]],0.5)</f>
        <v>12.5</v>
      </c>
      <c r="X178" s="18">
        <v>17.2</v>
      </c>
    </row>
    <row r="179" spans="2:24" ht="12" x14ac:dyDescent="0.2">
      <c r="B179" s="16">
        <f t="shared" si="14"/>
        <v>45087.291666666242</v>
      </c>
      <c r="C179" s="17">
        <f t="shared" si="18"/>
        <v>7.2916666666666838</v>
      </c>
      <c r="D179" s="29">
        <f>Table12[[#This Row],[MW TOTAL BARRA A]]+Table12[[#This Row],[MW TOTAL BARRA B]]</f>
        <v>48.143000000000001</v>
      </c>
      <c r="E179" s="18">
        <f>Windy_web!$DI7</f>
        <v>3</v>
      </c>
      <c r="F179" s="18">
        <f>Windy_web!$DI8</f>
        <v>6</v>
      </c>
      <c r="G179" s="27" t="str">
        <f>Windy_web!$DI5</f>
        <v>15°</v>
      </c>
      <c r="H179" s="26">
        <f t="shared" si="13"/>
        <v>15</v>
      </c>
      <c r="I179" s="18">
        <v>25</v>
      </c>
      <c r="J179" s="18">
        <v>24</v>
      </c>
      <c r="K179" s="18">
        <f>Table12[[#This Row],[AEG E/S BARRA A]]*Table12[[#This Row],[AEG 5.2 MW]]</f>
        <v>24.574999999999999</v>
      </c>
      <c r="L179" s="18">
        <f>Table12[[#This Row],[AEG E/S BARRA B]]*Table12[[#This Row],[AEG 5.0 MW]]</f>
        <v>23.567999999999998</v>
      </c>
      <c r="M17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79" s="29">
        <f>INDEX(Curva_Temp[Temp],MATCH(Table12[[#This Row],[Windy Temp.
°C]],Curva_Temp[Temp]))</f>
        <v>15</v>
      </c>
      <c r="O179" s="29">
        <f>INDEX(Curva_Temp[Warranted Power Curve for 
1.194Kg/m3 air density '[kW']
SG 5.0-145 (AM+1, 5.2MW) AT 
90M],MATCH(Table12[[#This Row],[Windy Temp.
°C]],Curva_Temp[Temp]))</f>
        <v>5200</v>
      </c>
      <c r="P179" s="29" cm="1">
        <f t="array" ref="P179">INDEX(Curva_Temp[Temp],MATCH(Table12[[#This Row],[Windy Temp.
°C]],Curva_Temp[Temp])+1)</f>
        <v>20</v>
      </c>
      <c r="Q179" s="29" cm="1">
        <f t="array" ref="Q179">INDEX(Curva_Temp[Warranted Power Curve for 
1.194Kg/m3 air density '[kW']
SG 5.0-145 (AM+1, 5.2MW) AT 
90M],MATCH(Table12[[#This Row],[Windy Temp.
°C]],Curva_Temp[Temp])+1)</f>
        <v>5000</v>
      </c>
      <c r="R1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79" s="18"/>
      <c r="U179" s="18">
        <v>9.3000000000000007</v>
      </c>
      <c r="V179" s="18">
        <v>11.6</v>
      </c>
      <c r="W179" s="18">
        <f>CEILING(Table12[[#This Row],[Darwin Gusts
m/s]],0.5)</f>
        <v>12</v>
      </c>
      <c r="X179" s="18">
        <v>17.2</v>
      </c>
    </row>
    <row r="180" spans="2:24" ht="12" x14ac:dyDescent="0.2">
      <c r="B180" s="16">
        <f t="shared" si="14"/>
        <v>45087.333333332906</v>
      </c>
      <c r="C180" s="17">
        <f t="shared" si="18"/>
        <v>7.3333333333333508</v>
      </c>
      <c r="D180" s="29">
        <f>Table12[[#This Row],[MW TOTAL BARRA A]]+Table12[[#This Row],[MW TOTAL BARRA B]]</f>
        <v>48.143000000000001</v>
      </c>
      <c r="E180" s="25">
        <f>Windy_web!$DI7</f>
        <v>3</v>
      </c>
      <c r="F180" s="25">
        <f>Windy_web!$DI8</f>
        <v>6</v>
      </c>
      <c r="G180" s="26" t="str">
        <f>Windy_web!$DI5</f>
        <v>15°</v>
      </c>
      <c r="H180" s="26">
        <f t="shared" si="13"/>
        <v>15</v>
      </c>
      <c r="I180" s="18">
        <v>25</v>
      </c>
      <c r="J180" s="18">
        <v>24</v>
      </c>
      <c r="K180" s="18">
        <f>Table12[[#This Row],[AEG E/S BARRA A]]*Table12[[#This Row],[AEG 5.2 MW]]</f>
        <v>24.574999999999999</v>
      </c>
      <c r="L180" s="18">
        <f>Table12[[#This Row],[AEG E/S BARRA B]]*Table12[[#This Row],[AEG 5.0 MW]]</f>
        <v>23.567999999999998</v>
      </c>
      <c r="M18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0" s="29">
        <f>INDEX(Curva_Temp[Temp],MATCH(Table12[[#This Row],[Windy Temp.
°C]],Curva_Temp[Temp]))</f>
        <v>15</v>
      </c>
      <c r="O180" s="29">
        <f>INDEX(Curva_Temp[Warranted Power Curve for 
1.194Kg/m3 air density '[kW']
SG 5.0-145 (AM+1, 5.2MW) AT 
90M],MATCH(Table12[[#This Row],[Windy Temp.
°C]],Curva_Temp[Temp]))</f>
        <v>5200</v>
      </c>
      <c r="P180" s="29" cm="1">
        <f t="array" ref="P180">INDEX(Curva_Temp[Temp],MATCH(Table12[[#This Row],[Windy Temp.
°C]],Curva_Temp[Temp])+1)</f>
        <v>20</v>
      </c>
      <c r="Q180" s="29" cm="1">
        <f t="array" ref="Q180">INDEX(Curva_Temp[Warranted Power Curve for 
1.194Kg/m3 air density '[kW']
SG 5.0-145 (AM+1, 5.2MW) AT 
90M],MATCH(Table12[[#This Row],[Windy Temp.
°C]],Curva_Temp[Temp])+1)</f>
        <v>5000</v>
      </c>
      <c r="R1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0" s="18"/>
      <c r="U180" s="18">
        <v>8.8000000000000007</v>
      </c>
      <c r="V180" s="18">
        <v>11</v>
      </c>
      <c r="W180" s="18">
        <f>CEILING(Table12[[#This Row],[Darwin Gusts
m/s]],0.5)</f>
        <v>11</v>
      </c>
      <c r="X180" s="18">
        <v>17.2</v>
      </c>
    </row>
    <row r="181" spans="2:24" ht="12" x14ac:dyDescent="0.2">
      <c r="B181" s="16">
        <f t="shared" si="14"/>
        <v>45087.374999999571</v>
      </c>
      <c r="C181" s="17">
        <f t="shared" si="18"/>
        <v>7.3750000000000178</v>
      </c>
      <c r="D181" s="29">
        <f>Table12[[#This Row],[MW TOTAL BARRA A]]+Table12[[#This Row],[MW TOTAL BARRA B]]</f>
        <v>48.143000000000001</v>
      </c>
      <c r="E181" s="25">
        <f>Windy_web!$DI7</f>
        <v>3</v>
      </c>
      <c r="F181" s="25">
        <f>Windy_web!$DI8</f>
        <v>6</v>
      </c>
      <c r="G181" s="26" t="str">
        <f>Windy_web!$DI5</f>
        <v>15°</v>
      </c>
      <c r="H181" s="26">
        <f t="shared" si="13"/>
        <v>15</v>
      </c>
      <c r="I181" s="18">
        <v>25</v>
      </c>
      <c r="J181" s="18">
        <v>24</v>
      </c>
      <c r="K181" s="18">
        <f>Table12[[#This Row],[AEG E/S BARRA A]]*Table12[[#This Row],[AEG 5.2 MW]]</f>
        <v>24.574999999999999</v>
      </c>
      <c r="L181" s="18">
        <f>Table12[[#This Row],[AEG E/S BARRA B]]*Table12[[#This Row],[AEG 5.0 MW]]</f>
        <v>23.567999999999998</v>
      </c>
      <c r="M1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1" s="29">
        <f>INDEX(Curva_Temp[Temp],MATCH(Table12[[#This Row],[Windy Temp.
°C]],Curva_Temp[Temp]))</f>
        <v>15</v>
      </c>
      <c r="O181" s="29">
        <f>INDEX(Curva_Temp[Warranted Power Curve for 
1.194Kg/m3 air density '[kW']
SG 5.0-145 (AM+1, 5.2MW) AT 
90M],MATCH(Table12[[#This Row],[Windy Temp.
°C]],Curva_Temp[Temp]))</f>
        <v>5200</v>
      </c>
      <c r="P181" s="29" cm="1">
        <f t="array" ref="P181">INDEX(Curva_Temp[Temp],MATCH(Table12[[#This Row],[Windy Temp.
°C]],Curva_Temp[Temp])+1)</f>
        <v>20</v>
      </c>
      <c r="Q181" s="29" cm="1">
        <f t="array" ref="Q181">INDEX(Curva_Temp[Warranted Power Curve for 
1.194Kg/m3 air density '[kW']
SG 5.0-145 (AM+1, 5.2MW) AT 
90M],MATCH(Table12[[#This Row],[Windy Temp.
°C]],Curva_Temp[Temp])+1)</f>
        <v>5000</v>
      </c>
      <c r="R1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1" s="18"/>
      <c r="U181" s="18">
        <v>8.3000000000000007</v>
      </c>
      <c r="V181" s="18">
        <v>10.4</v>
      </c>
      <c r="W181" s="18">
        <f>CEILING(Table12[[#This Row],[Darwin Gusts
m/s]],0.5)</f>
        <v>10.5</v>
      </c>
      <c r="X181" s="18">
        <v>17.2</v>
      </c>
    </row>
    <row r="182" spans="2:24" ht="12" x14ac:dyDescent="0.2">
      <c r="B182" s="16">
        <f t="shared" si="14"/>
        <v>45087.416666666235</v>
      </c>
      <c r="C182" s="17">
        <f t="shared" si="18"/>
        <v>7.4166666666666847</v>
      </c>
      <c r="D182" s="29">
        <f>Table12[[#This Row],[MW TOTAL BARRA A]]+Table12[[#This Row],[MW TOTAL BARRA B]]</f>
        <v>48.143000000000001</v>
      </c>
      <c r="E182" s="25">
        <f>Windy_web!$DI7</f>
        <v>3</v>
      </c>
      <c r="F182" s="25">
        <f>Windy_web!$DI8</f>
        <v>6</v>
      </c>
      <c r="G182" s="26" t="str">
        <f>Windy_web!$DI5</f>
        <v>15°</v>
      </c>
      <c r="H182" s="26">
        <f t="shared" si="13"/>
        <v>15</v>
      </c>
      <c r="I182" s="18">
        <v>25</v>
      </c>
      <c r="J182" s="18">
        <v>24</v>
      </c>
      <c r="K182" s="18">
        <f>Table12[[#This Row],[AEG E/S BARRA A]]*Table12[[#This Row],[AEG 5.2 MW]]</f>
        <v>24.574999999999999</v>
      </c>
      <c r="L182" s="18">
        <f>Table12[[#This Row],[AEG E/S BARRA B]]*Table12[[#This Row],[AEG 5.0 MW]]</f>
        <v>23.567999999999998</v>
      </c>
      <c r="M1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2" s="29">
        <f>INDEX(Curva_Temp[Temp],MATCH(Table12[[#This Row],[Windy Temp.
°C]],Curva_Temp[Temp]))</f>
        <v>15</v>
      </c>
      <c r="O182" s="29">
        <f>INDEX(Curva_Temp[Warranted Power Curve for 
1.194Kg/m3 air density '[kW']
SG 5.0-145 (AM+1, 5.2MW) AT 
90M],MATCH(Table12[[#This Row],[Windy Temp.
°C]],Curva_Temp[Temp]))</f>
        <v>5200</v>
      </c>
      <c r="P182" s="29" cm="1">
        <f t="array" ref="P182">INDEX(Curva_Temp[Temp],MATCH(Table12[[#This Row],[Windy Temp.
°C]],Curva_Temp[Temp])+1)</f>
        <v>20</v>
      </c>
      <c r="Q182" s="29" cm="1">
        <f t="array" ref="Q182">INDEX(Curva_Temp[Warranted Power Curve for 
1.194Kg/m3 air density '[kW']
SG 5.0-145 (AM+1, 5.2MW) AT 
90M],MATCH(Table12[[#This Row],[Windy Temp.
°C]],Curva_Temp[Temp])+1)</f>
        <v>5000</v>
      </c>
      <c r="R1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2" s="18"/>
      <c r="U182" s="18">
        <v>7.8</v>
      </c>
      <c r="V182" s="18">
        <v>9.6999999999999993</v>
      </c>
      <c r="W182" s="18">
        <f>CEILING(Table12[[#This Row],[Darwin Gusts
m/s]],0.5)</f>
        <v>10</v>
      </c>
      <c r="X182" s="18">
        <v>17.2</v>
      </c>
    </row>
    <row r="183" spans="2:24" ht="12" x14ac:dyDescent="0.2">
      <c r="B183" s="16">
        <f t="shared" si="14"/>
        <v>45087.458333332899</v>
      </c>
      <c r="C183" s="17">
        <f t="shared" si="18"/>
        <v>7.4583333333333517</v>
      </c>
      <c r="D183" s="29">
        <f>Table12[[#This Row],[MW TOTAL BARRA A]]+Table12[[#This Row],[MW TOTAL BARRA B]]</f>
        <v>48.143000000000001</v>
      </c>
      <c r="E183" s="25">
        <f>Windy_web!$DI7</f>
        <v>3</v>
      </c>
      <c r="F183" s="25">
        <f>Windy_web!$DI8</f>
        <v>6</v>
      </c>
      <c r="G183" s="26" t="str">
        <f>Windy_web!$DI5</f>
        <v>15°</v>
      </c>
      <c r="H183" s="26">
        <f t="shared" si="13"/>
        <v>15</v>
      </c>
      <c r="I183" s="18">
        <v>25</v>
      </c>
      <c r="J183" s="18">
        <v>24</v>
      </c>
      <c r="K183" s="18">
        <f>Table12[[#This Row],[AEG E/S BARRA A]]*Table12[[#This Row],[AEG 5.2 MW]]</f>
        <v>24.574999999999999</v>
      </c>
      <c r="L183" s="18">
        <f>Table12[[#This Row],[AEG E/S BARRA B]]*Table12[[#This Row],[AEG 5.0 MW]]</f>
        <v>23.567999999999998</v>
      </c>
      <c r="M1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3" s="29">
        <f>INDEX(Curva_Temp[Temp],MATCH(Table12[[#This Row],[Windy Temp.
°C]],Curva_Temp[Temp]))</f>
        <v>15</v>
      </c>
      <c r="O183" s="29">
        <f>INDEX(Curva_Temp[Warranted Power Curve for 
1.194Kg/m3 air density '[kW']
SG 5.0-145 (AM+1, 5.2MW) AT 
90M],MATCH(Table12[[#This Row],[Windy Temp.
°C]],Curva_Temp[Temp]))</f>
        <v>5200</v>
      </c>
      <c r="P183" s="29" cm="1">
        <f t="array" ref="P183">INDEX(Curva_Temp[Temp],MATCH(Table12[[#This Row],[Windy Temp.
°C]],Curva_Temp[Temp])+1)</f>
        <v>20</v>
      </c>
      <c r="Q183" s="29" cm="1">
        <f t="array" ref="Q183">INDEX(Curva_Temp[Warranted Power Curve for 
1.194Kg/m3 air density '[kW']
SG 5.0-145 (AM+1, 5.2MW) AT 
90M],MATCH(Table12[[#This Row],[Windy Temp.
°C]],Curva_Temp[Temp])+1)</f>
        <v>5000</v>
      </c>
      <c r="R1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3" s="18"/>
      <c r="U183" s="18">
        <v>7.2</v>
      </c>
      <c r="V183" s="18">
        <v>9.1</v>
      </c>
      <c r="W183" s="18">
        <f>CEILING(Table12[[#This Row],[Darwin Gusts
m/s]],0.5)</f>
        <v>9.5</v>
      </c>
      <c r="X183" s="18">
        <v>17.5</v>
      </c>
    </row>
    <row r="184" spans="2:24" ht="12" x14ac:dyDescent="0.2">
      <c r="B184" s="16">
        <f t="shared" si="14"/>
        <v>45087.499999999563</v>
      </c>
      <c r="C184" s="17">
        <f t="shared" si="18"/>
        <v>7.5000000000000187</v>
      </c>
      <c r="D184" s="29">
        <f>Table12[[#This Row],[MW TOTAL BARRA A]]+Table12[[#This Row],[MW TOTAL BARRA B]]</f>
        <v>48.143000000000001</v>
      </c>
      <c r="E184" s="25">
        <f>Windy_web!$DI7</f>
        <v>3</v>
      </c>
      <c r="F184" s="25">
        <f>Windy_web!$DI8</f>
        <v>6</v>
      </c>
      <c r="G184" s="26" t="str">
        <f>Windy_web!$DI5</f>
        <v>15°</v>
      </c>
      <c r="H184" s="26">
        <f t="shared" si="13"/>
        <v>15</v>
      </c>
      <c r="I184" s="18">
        <v>25</v>
      </c>
      <c r="J184" s="18">
        <v>24</v>
      </c>
      <c r="K184" s="18">
        <f>Table12[[#This Row],[AEG E/S BARRA A]]*Table12[[#This Row],[AEG 5.2 MW]]</f>
        <v>24.574999999999999</v>
      </c>
      <c r="L184" s="18">
        <f>Table12[[#This Row],[AEG E/S BARRA B]]*Table12[[#This Row],[AEG 5.0 MW]]</f>
        <v>23.567999999999998</v>
      </c>
      <c r="M18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4" s="29">
        <f>INDEX(Curva_Temp[Temp],MATCH(Table12[[#This Row],[Windy Temp.
°C]],Curva_Temp[Temp]))</f>
        <v>15</v>
      </c>
      <c r="O184" s="29">
        <f>INDEX(Curva_Temp[Warranted Power Curve for 
1.194Kg/m3 air density '[kW']
SG 5.0-145 (AM+1, 5.2MW) AT 
90M],MATCH(Table12[[#This Row],[Windy Temp.
°C]],Curva_Temp[Temp]))</f>
        <v>5200</v>
      </c>
      <c r="P184" s="29" cm="1">
        <f t="array" ref="P184">INDEX(Curva_Temp[Temp],MATCH(Table12[[#This Row],[Windy Temp.
°C]],Curva_Temp[Temp])+1)</f>
        <v>20</v>
      </c>
      <c r="Q184" s="29" cm="1">
        <f t="array" ref="Q184">INDEX(Curva_Temp[Warranted Power Curve for 
1.194Kg/m3 air density '[kW']
SG 5.0-145 (AM+1, 5.2MW) AT 
90M],MATCH(Table12[[#This Row],[Windy Temp.
°C]],Curva_Temp[Temp])+1)</f>
        <v>5000</v>
      </c>
      <c r="R1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4" s="18"/>
      <c r="U184" s="18">
        <v>6.7</v>
      </c>
      <c r="V184" s="18">
        <v>8.5</v>
      </c>
      <c r="W184" s="18">
        <f>CEILING(Table12[[#This Row],[Darwin Gusts
m/s]],0.5)</f>
        <v>8.5</v>
      </c>
      <c r="X184" s="18">
        <v>18.100000000000001</v>
      </c>
    </row>
    <row r="185" spans="2:24" ht="12" x14ac:dyDescent="0.2">
      <c r="B185" s="16">
        <f t="shared" si="14"/>
        <v>45087.541666666228</v>
      </c>
      <c r="C185" s="17">
        <f t="shared" si="18"/>
        <v>7.5416666666666856</v>
      </c>
      <c r="D185" s="29">
        <f>Table12[[#This Row],[MW TOTAL BARRA A]]+Table12[[#This Row],[MW TOTAL BARRA B]]</f>
        <v>164.214</v>
      </c>
      <c r="E185" s="18">
        <f>Windy_web!$DJ7</f>
        <v>5</v>
      </c>
      <c r="F185" s="18">
        <f>Windy_web!$DJ8</f>
        <v>9</v>
      </c>
      <c r="G185" s="27" t="str">
        <f>Windy_web!$DJ5</f>
        <v>20°</v>
      </c>
      <c r="H185" s="26">
        <f t="shared" si="13"/>
        <v>20</v>
      </c>
      <c r="I185" s="18">
        <v>25</v>
      </c>
      <c r="J185" s="18">
        <v>24</v>
      </c>
      <c r="K185" s="18">
        <f>Table12[[#This Row],[AEG E/S BARRA A]]*Table12[[#This Row],[AEG 5.2 MW]]</f>
        <v>84.15</v>
      </c>
      <c r="L185" s="18">
        <f>Table12[[#This Row],[AEG E/S BARRA B]]*Table12[[#This Row],[AEG 5.0 MW]]</f>
        <v>80.063999999999993</v>
      </c>
      <c r="M18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5" s="29">
        <f>INDEX(Curva_Temp[Temp],MATCH(Table12[[#This Row],[Windy Temp.
°C]],Curva_Temp[Temp]))</f>
        <v>20</v>
      </c>
      <c r="O185" s="29">
        <f>INDEX(Curva_Temp[Warranted Power Curve for 
1.194Kg/m3 air density '[kW']
SG 5.0-145 (AM+1, 5.2MW) AT 
90M],MATCH(Table12[[#This Row],[Windy Temp.
°C]],Curva_Temp[Temp]))</f>
        <v>5000</v>
      </c>
      <c r="P185" s="29" cm="1">
        <f t="array" ref="P185">INDEX(Curva_Temp[Temp],MATCH(Table12[[#This Row],[Windy Temp.
°C]],Curva_Temp[Temp])+1)</f>
        <v>25</v>
      </c>
      <c r="Q185" s="29" cm="1">
        <f t="array" ref="Q185">INDEX(Curva_Temp[Warranted Power Curve for 
1.194Kg/m3 air density '[kW']
SG 5.0-145 (AM+1, 5.2MW) AT 
90M],MATCH(Table12[[#This Row],[Windy Temp.
°C]],Curva_Temp[Temp])+1)</f>
        <v>4900</v>
      </c>
      <c r="R1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5" s="18"/>
      <c r="U185" s="18">
        <v>6.2</v>
      </c>
      <c r="V185" s="18">
        <v>7.9</v>
      </c>
      <c r="W185" s="18">
        <f>CEILING(Table12[[#This Row],[Darwin Gusts
m/s]],0.5)</f>
        <v>8</v>
      </c>
      <c r="X185" s="18">
        <v>18.8</v>
      </c>
    </row>
    <row r="186" spans="2:24" ht="12" x14ac:dyDescent="0.2">
      <c r="B186" s="16">
        <f t="shared" si="14"/>
        <v>45087.583333332892</v>
      </c>
      <c r="C186" s="24">
        <f t="shared" si="18"/>
        <v>7.5833333333333526</v>
      </c>
      <c r="D186" s="29">
        <f>Table12[[#This Row],[MW TOTAL BARRA A]]+Table12[[#This Row],[MW TOTAL BARRA B]]</f>
        <v>164.214</v>
      </c>
      <c r="E186" s="25">
        <f>Windy_web!$DJ7</f>
        <v>5</v>
      </c>
      <c r="F186" s="25">
        <f>Windy_web!$DJ8</f>
        <v>9</v>
      </c>
      <c r="G186" s="26" t="str">
        <f>Windy_web!$DJ5</f>
        <v>20°</v>
      </c>
      <c r="H186" s="26">
        <f t="shared" si="13"/>
        <v>20</v>
      </c>
      <c r="I186" s="18">
        <v>25</v>
      </c>
      <c r="J186" s="18">
        <v>24</v>
      </c>
      <c r="K186" s="18">
        <f>Table12[[#This Row],[AEG E/S BARRA A]]*Table12[[#This Row],[AEG 5.2 MW]]</f>
        <v>84.15</v>
      </c>
      <c r="L186" s="18">
        <f>Table12[[#This Row],[AEG E/S BARRA B]]*Table12[[#This Row],[AEG 5.0 MW]]</f>
        <v>80.063999999999993</v>
      </c>
      <c r="M18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6" s="29">
        <f>INDEX(Curva_Temp[Temp],MATCH(Table12[[#This Row],[Windy Temp.
°C]],Curva_Temp[Temp]))</f>
        <v>20</v>
      </c>
      <c r="O186" s="29">
        <f>INDEX(Curva_Temp[Warranted Power Curve for 
1.194Kg/m3 air density '[kW']
SG 5.0-145 (AM+1, 5.2MW) AT 
90M],MATCH(Table12[[#This Row],[Windy Temp.
°C]],Curva_Temp[Temp]))</f>
        <v>5000</v>
      </c>
      <c r="P186" s="29" cm="1">
        <f t="array" ref="P186">INDEX(Curva_Temp[Temp],MATCH(Table12[[#This Row],[Windy Temp.
°C]],Curva_Temp[Temp])+1)</f>
        <v>25</v>
      </c>
      <c r="Q186" s="29" cm="1">
        <f t="array" ref="Q186">INDEX(Curva_Temp[Warranted Power Curve for 
1.194Kg/m3 air density '[kW']
SG 5.0-145 (AM+1, 5.2MW) AT 
90M],MATCH(Table12[[#This Row],[Windy Temp.
°C]],Curva_Temp[Temp])+1)</f>
        <v>4900</v>
      </c>
      <c r="R1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6" s="18"/>
      <c r="U186" s="18">
        <v>5.8</v>
      </c>
      <c r="V186" s="18">
        <v>7.3</v>
      </c>
      <c r="W186" s="18">
        <f>CEILING(Table12[[#This Row],[Darwin Gusts
m/s]],0.5)</f>
        <v>7.5</v>
      </c>
      <c r="X186" s="18">
        <v>19.5</v>
      </c>
    </row>
    <row r="187" spans="2:24" ht="12" x14ac:dyDescent="0.2">
      <c r="B187" s="16">
        <f t="shared" si="14"/>
        <v>45087.624999999556</v>
      </c>
      <c r="C187" s="24">
        <f t="shared" si="18"/>
        <v>7.6250000000000195</v>
      </c>
      <c r="D187" s="29">
        <f>Table12[[#This Row],[MW TOTAL BARRA A]]+Table12[[#This Row],[MW TOTAL BARRA B]]</f>
        <v>164.214</v>
      </c>
      <c r="E187" s="25">
        <f>Windy_web!$DJ7</f>
        <v>5</v>
      </c>
      <c r="F187" s="25">
        <f>Windy_web!$DJ8</f>
        <v>9</v>
      </c>
      <c r="G187" s="26" t="str">
        <f>Windy_web!$DJ5</f>
        <v>20°</v>
      </c>
      <c r="H187" s="26">
        <f t="shared" si="13"/>
        <v>20</v>
      </c>
      <c r="I187" s="18">
        <v>25</v>
      </c>
      <c r="J187" s="18">
        <v>24</v>
      </c>
      <c r="K187" s="18">
        <f>Table12[[#This Row],[AEG E/S BARRA A]]*Table12[[#This Row],[AEG 5.2 MW]]</f>
        <v>84.15</v>
      </c>
      <c r="L187" s="18">
        <f>Table12[[#This Row],[AEG E/S BARRA B]]*Table12[[#This Row],[AEG 5.0 MW]]</f>
        <v>80.063999999999993</v>
      </c>
      <c r="M1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7" s="29">
        <f>INDEX(Curva_Temp[Temp],MATCH(Table12[[#This Row],[Windy Temp.
°C]],Curva_Temp[Temp]))</f>
        <v>20</v>
      </c>
      <c r="O187" s="29">
        <f>INDEX(Curva_Temp[Warranted Power Curve for 
1.194Kg/m3 air density '[kW']
SG 5.0-145 (AM+1, 5.2MW) AT 
90M],MATCH(Table12[[#This Row],[Windy Temp.
°C]],Curva_Temp[Temp]))</f>
        <v>5000</v>
      </c>
      <c r="P187" s="29" cm="1">
        <f t="array" ref="P187">INDEX(Curva_Temp[Temp],MATCH(Table12[[#This Row],[Windy Temp.
°C]],Curva_Temp[Temp])+1)</f>
        <v>25</v>
      </c>
      <c r="Q187" s="29" cm="1">
        <f t="array" ref="Q187">INDEX(Curva_Temp[Warranted Power Curve for 
1.194Kg/m3 air density '[kW']
SG 5.0-145 (AM+1, 5.2MW) AT 
90M],MATCH(Table12[[#This Row],[Windy Temp.
°C]],Curva_Temp[Temp])+1)</f>
        <v>4900</v>
      </c>
      <c r="R1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7" s="18"/>
      <c r="U187" s="18">
        <v>5.3</v>
      </c>
      <c r="V187" s="18">
        <v>6.8</v>
      </c>
      <c r="W187" s="18">
        <f>CEILING(Table12[[#This Row],[Darwin Gusts
m/s]],0.5)</f>
        <v>7</v>
      </c>
      <c r="X187" s="18">
        <v>20.2</v>
      </c>
    </row>
    <row r="188" spans="2:24" ht="12" x14ac:dyDescent="0.2">
      <c r="B188" s="16">
        <f t="shared" si="14"/>
        <v>45087.66666666622</v>
      </c>
      <c r="C188" s="24">
        <f t="shared" si="18"/>
        <v>7.6666666666666865</v>
      </c>
      <c r="D188" s="29">
        <f>Table12[[#This Row],[MW TOTAL BARRA A]]+Table12[[#This Row],[MW TOTAL BARRA B]]</f>
        <v>164.214</v>
      </c>
      <c r="E188" s="25">
        <f>Windy_web!$DJ7</f>
        <v>5</v>
      </c>
      <c r="F188" s="25">
        <f>Windy_web!$DJ8</f>
        <v>9</v>
      </c>
      <c r="G188" s="26" t="str">
        <f>Windy_web!$DJ5</f>
        <v>20°</v>
      </c>
      <c r="H188" s="26">
        <f t="shared" si="13"/>
        <v>20</v>
      </c>
      <c r="I188" s="18">
        <v>25</v>
      </c>
      <c r="J188" s="18">
        <v>24</v>
      </c>
      <c r="K188" s="18">
        <f>Table12[[#This Row],[AEG E/S BARRA A]]*Table12[[#This Row],[AEG 5.2 MW]]</f>
        <v>84.15</v>
      </c>
      <c r="L188" s="18">
        <f>Table12[[#This Row],[AEG E/S BARRA B]]*Table12[[#This Row],[AEG 5.0 MW]]</f>
        <v>80.063999999999993</v>
      </c>
      <c r="M1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8" s="29">
        <f>INDEX(Curva_Temp[Temp],MATCH(Table12[[#This Row],[Windy Temp.
°C]],Curva_Temp[Temp]))</f>
        <v>20</v>
      </c>
      <c r="O188" s="29">
        <f>INDEX(Curva_Temp[Warranted Power Curve for 
1.194Kg/m3 air density '[kW']
SG 5.0-145 (AM+1, 5.2MW) AT 
90M],MATCH(Table12[[#This Row],[Windy Temp.
°C]],Curva_Temp[Temp]))</f>
        <v>5000</v>
      </c>
      <c r="P188" s="29" cm="1">
        <f t="array" ref="P188">INDEX(Curva_Temp[Temp],MATCH(Table12[[#This Row],[Windy Temp.
°C]],Curva_Temp[Temp])+1)</f>
        <v>25</v>
      </c>
      <c r="Q188" s="29" cm="1">
        <f t="array" ref="Q188">INDEX(Curva_Temp[Warranted Power Curve for 
1.194Kg/m3 air density '[kW']
SG 5.0-145 (AM+1, 5.2MW) AT 
90M],MATCH(Table12[[#This Row],[Windy Temp.
°C]],Curva_Temp[Temp])+1)</f>
        <v>4900</v>
      </c>
      <c r="R1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8" s="18"/>
      <c r="U188" s="18">
        <v>4.8</v>
      </c>
      <c r="V188" s="18">
        <v>6.3</v>
      </c>
      <c r="W188" s="18">
        <f>CEILING(Table12[[#This Row],[Darwin Gusts
m/s]],0.5)</f>
        <v>6.5</v>
      </c>
      <c r="X188" s="18">
        <v>20.8</v>
      </c>
    </row>
    <row r="189" spans="2:24" ht="12" x14ac:dyDescent="0.2">
      <c r="B189" s="16">
        <f t="shared" si="14"/>
        <v>45087.708333332885</v>
      </c>
      <c r="C189" s="24">
        <f t="shared" si="18"/>
        <v>7.7083333333333535</v>
      </c>
      <c r="D189" s="29">
        <f>Table12[[#This Row],[MW TOTAL BARRA A]]+Table12[[#This Row],[MW TOTAL BARRA B]]</f>
        <v>164.214</v>
      </c>
      <c r="E189" s="25">
        <f>Windy_web!$DJ7</f>
        <v>5</v>
      </c>
      <c r="F189" s="25">
        <f>Windy_web!$DJ8</f>
        <v>9</v>
      </c>
      <c r="G189" s="26" t="str">
        <f>Windy_web!$DJ5</f>
        <v>20°</v>
      </c>
      <c r="H189" s="26">
        <f t="shared" si="13"/>
        <v>20</v>
      </c>
      <c r="I189" s="18">
        <v>25</v>
      </c>
      <c r="J189" s="18">
        <v>24</v>
      </c>
      <c r="K189" s="18">
        <f>Table12[[#This Row],[AEG E/S BARRA A]]*Table12[[#This Row],[AEG 5.2 MW]]</f>
        <v>84.15</v>
      </c>
      <c r="L189" s="18">
        <f>Table12[[#This Row],[AEG E/S BARRA B]]*Table12[[#This Row],[AEG 5.0 MW]]</f>
        <v>80.063999999999993</v>
      </c>
      <c r="M1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9" s="29">
        <f>INDEX(Curva_Temp[Temp],MATCH(Table12[[#This Row],[Windy Temp.
°C]],Curva_Temp[Temp]))</f>
        <v>20</v>
      </c>
      <c r="O189" s="29">
        <f>INDEX(Curva_Temp[Warranted Power Curve for 
1.194Kg/m3 air density '[kW']
SG 5.0-145 (AM+1, 5.2MW) AT 
90M],MATCH(Table12[[#This Row],[Windy Temp.
°C]],Curva_Temp[Temp]))</f>
        <v>5000</v>
      </c>
      <c r="P189" s="29" cm="1">
        <f t="array" ref="P189">INDEX(Curva_Temp[Temp],MATCH(Table12[[#This Row],[Windy Temp.
°C]],Curva_Temp[Temp])+1)</f>
        <v>25</v>
      </c>
      <c r="Q189" s="29" cm="1">
        <f t="array" ref="Q189">INDEX(Curva_Temp[Warranted Power Curve for 
1.194Kg/m3 air density '[kW']
SG 5.0-145 (AM+1, 5.2MW) AT 
90M],MATCH(Table12[[#This Row],[Windy Temp.
°C]],Curva_Temp[Temp])+1)</f>
        <v>4900</v>
      </c>
      <c r="R1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9" s="18"/>
      <c r="U189" s="18">
        <v>4.4000000000000004</v>
      </c>
      <c r="V189" s="18">
        <v>5.9</v>
      </c>
      <c r="W189" s="18">
        <f>CEILING(Table12[[#This Row],[Darwin Gusts
m/s]],0.5)</f>
        <v>6</v>
      </c>
      <c r="X189" s="18">
        <v>21.2</v>
      </c>
    </row>
    <row r="190" spans="2:24" ht="12" x14ac:dyDescent="0.2">
      <c r="B190" s="16">
        <f t="shared" si="14"/>
        <v>45087.749999999549</v>
      </c>
      <c r="C190" s="24">
        <f t="shared" si="18"/>
        <v>7.7500000000000204</v>
      </c>
      <c r="D190" s="29">
        <f>Table12[[#This Row],[MW TOTAL BARRA A]]+Table12[[#This Row],[MW TOTAL BARRA B]]</f>
        <v>164.214</v>
      </c>
      <c r="E190" s="25">
        <f>Windy_web!$DJ7</f>
        <v>5</v>
      </c>
      <c r="F190" s="25">
        <f>Windy_web!$DJ8</f>
        <v>9</v>
      </c>
      <c r="G190" s="26" t="str">
        <f>Windy_web!$DJ5</f>
        <v>20°</v>
      </c>
      <c r="H190" s="26">
        <f t="shared" si="13"/>
        <v>20</v>
      </c>
      <c r="I190" s="18">
        <v>25</v>
      </c>
      <c r="J190" s="18">
        <v>24</v>
      </c>
      <c r="K190" s="18">
        <f>Table12[[#This Row],[AEG E/S BARRA A]]*Table12[[#This Row],[AEG 5.2 MW]]</f>
        <v>84.15</v>
      </c>
      <c r="L190" s="18">
        <f>Table12[[#This Row],[AEG E/S BARRA B]]*Table12[[#This Row],[AEG 5.0 MW]]</f>
        <v>80.063999999999993</v>
      </c>
      <c r="M1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0" s="29">
        <f>INDEX(Curva_Temp[Temp],MATCH(Table12[[#This Row],[Windy Temp.
°C]],Curva_Temp[Temp]))</f>
        <v>20</v>
      </c>
      <c r="O190" s="29">
        <f>INDEX(Curva_Temp[Warranted Power Curve for 
1.194Kg/m3 air density '[kW']
SG 5.0-145 (AM+1, 5.2MW) AT 
90M],MATCH(Table12[[#This Row],[Windy Temp.
°C]],Curva_Temp[Temp]))</f>
        <v>5000</v>
      </c>
      <c r="P190" s="29" cm="1">
        <f t="array" ref="P190">INDEX(Curva_Temp[Temp],MATCH(Table12[[#This Row],[Windy Temp.
°C]],Curva_Temp[Temp])+1)</f>
        <v>25</v>
      </c>
      <c r="Q190" s="29" cm="1">
        <f t="array" ref="Q190">INDEX(Curva_Temp[Warranted Power Curve for 
1.194Kg/m3 air density '[kW']
SG 5.0-145 (AM+1, 5.2MW) AT 
90M],MATCH(Table12[[#This Row],[Windy Temp.
°C]],Curva_Temp[Temp])+1)</f>
        <v>4900</v>
      </c>
      <c r="R1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0" s="18"/>
      <c r="U190" s="18">
        <v>3.9</v>
      </c>
      <c r="V190" s="18">
        <v>5.5</v>
      </c>
      <c r="W190" s="18">
        <f>CEILING(Table12[[#This Row],[Darwin Gusts
m/s]],0.5)</f>
        <v>5.5</v>
      </c>
      <c r="X190" s="18">
        <v>21.4</v>
      </c>
    </row>
    <row r="191" spans="2:24" ht="12" x14ac:dyDescent="0.2">
      <c r="B191" s="16">
        <f t="shared" si="14"/>
        <v>45087.791666666213</v>
      </c>
      <c r="C191" s="17">
        <f>C190+TIME(1,0,0)</f>
        <v>7.7916666666666874</v>
      </c>
      <c r="D191" s="29">
        <f>Table12[[#This Row],[MW TOTAL BARRA A]]+Table12[[#This Row],[MW TOTAL BARRA B]]</f>
        <v>208.18799999999999</v>
      </c>
      <c r="E191" s="18">
        <f>Windy_web!$DK7</f>
        <v>5</v>
      </c>
      <c r="F191" s="18">
        <f>Windy_web!$DK8</f>
        <v>10</v>
      </c>
      <c r="G191" s="27" t="str">
        <f>Windy_web!$DK5</f>
        <v>17°</v>
      </c>
      <c r="H191" s="26">
        <f t="shared" si="13"/>
        <v>17</v>
      </c>
      <c r="I191" s="18">
        <v>25</v>
      </c>
      <c r="J191" s="18">
        <v>24</v>
      </c>
      <c r="K191" s="18">
        <f>Table12[[#This Row],[AEG E/S BARRA A]]*Table12[[#This Row],[AEG 5.2 MW]]</f>
        <v>107.1</v>
      </c>
      <c r="L191" s="18">
        <f>Table12[[#This Row],[AEG E/S BARRA B]]*Table12[[#This Row],[AEG 5.0 MW]]</f>
        <v>101.08799999999999</v>
      </c>
      <c r="M19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1" s="29">
        <f>INDEX(Curva_Temp[Temp],MATCH(Table12[[#This Row],[Windy Temp.
°C]],Curva_Temp[Temp]))</f>
        <v>15</v>
      </c>
      <c r="O191" s="29">
        <f>INDEX(Curva_Temp[Warranted Power Curve for 
1.194Kg/m3 air density '[kW']
SG 5.0-145 (AM+1, 5.2MW) AT 
90M],MATCH(Table12[[#This Row],[Windy Temp.
°C]],Curva_Temp[Temp]))</f>
        <v>5200</v>
      </c>
      <c r="P191" s="29" cm="1">
        <f t="array" ref="P191">INDEX(Curva_Temp[Temp],MATCH(Table12[[#This Row],[Windy Temp.
°C]],Curva_Temp[Temp])+1)</f>
        <v>20</v>
      </c>
      <c r="Q191" s="29" cm="1">
        <f t="array" ref="Q191">INDEX(Curva_Temp[Warranted Power Curve for 
1.194Kg/m3 air density '[kW']
SG 5.0-145 (AM+1, 5.2MW) AT 
90M],MATCH(Table12[[#This Row],[Windy Temp.
°C]],Curva_Temp[Temp])+1)</f>
        <v>5000</v>
      </c>
      <c r="R1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1" s="18"/>
      <c r="U191" s="18">
        <v>4.4000000000000004</v>
      </c>
      <c r="V191" s="18">
        <v>5.8</v>
      </c>
      <c r="W191" s="18">
        <f>CEILING(Table12[[#This Row],[Darwin Gusts
m/s]],0.5)</f>
        <v>6</v>
      </c>
      <c r="X191" s="18">
        <v>20.9</v>
      </c>
    </row>
    <row r="192" spans="2:24" ht="12" x14ac:dyDescent="0.2">
      <c r="B192" s="16">
        <f t="shared" si="14"/>
        <v>45087.833333332877</v>
      </c>
      <c r="C192" s="24">
        <f t="shared" ref="C192:C196" si="19">C191+TIME(1,0,0)</f>
        <v>7.8333333333333544</v>
      </c>
      <c r="D192" s="29">
        <f>Table12[[#This Row],[MW TOTAL BARRA A]]+Table12[[#This Row],[MW TOTAL BARRA B]]</f>
        <v>208.18799999999999</v>
      </c>
      <c r="E192" s="25">
        <f>Windy_web!$DK7</f>
        <v>5</v>
      </c>
      <c r="F192" s="25">
        <f>Windy_web!$DK8</f>
        <v>10</v>
      </c>
      <c r="G192" s="26" t="str">
        <f>Windy_web!$DK5</f>
        <v>17°</v>
      </c>
      <c r="H192" s="26">
        <f t="shared" si="13"/>
        <v>17</v>
      </c>
      <c r="I192" s="18">
        <v>25</v>
      </c>
      <c r="J192" s="18">
        <v>24</v>
      </c>
      <c r="K192" s="18">
        <f>Table12[[#This Row],[AEG E/S BARRA A]]*Table12[[#This Row],[AEG 5.2 MW]]</f>
        <v>107.1</v>
      </c>
      <c r="L192" s="18">
        <f>Table12[[#This Row],[AEG E/S BARRA B]]*Table12[[#This Row],[AEG 5.0 MW]]</f>
        <v>101.08799999999999</v>
      </c>
      <c r="M19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2" s="29">
        <f>INDEX(Curva_Temp[Temp],MATCH(Table12[[#This Row],[Windy Temp.
°C]],Curva_Temp[Temp]))</f>
        <v>15</v>
      </c>
      <c r="O192" s="29">
        <f>INDEX(Curva_Temp[Warranted Power Curve for 
1.194Kg/m3 air density '[kW']
SG 5.0-145 (AM+1, 5.2MW) AT 
90M],MATCH(Table12[[#This Row],[Windy Temp.
°C]],Curva_Temp[Temp]))</f>
        <v>5200</v>
      </c>
      <c r="P192" s="29" cm="1">
        <f t="array" ref="P192">INDEX(Curva_Temp[Temp],MATCH(Table12[[#This Row],[Windy Temp.
°C]],Curva_Temp[Temp])+1)</f>
        <v>20</v>
      </c>
      <c r="Q192" s="29" cm="1">
        <f t="array" ref="Q192">INDEX(Curva_Temp[Warranted Power Curve for 
1.194Kg/m3 air density '[kW']
SG 5.0-145 (AM+1, 5.2MW) AT 
90M],MATCH(Table12[[#This Row],[Windy Temp.
°C]],Curva_Temp[Temp])+1)</f>
        <v>5000</v>
      </c>
      <c r="R1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2" s="18"/>
      <c r="U192" s="18">
        <v>5</v>
      </c>
      <c r="V192" s="18">
        <v>6.4</v>
      </c>
      <c r="W192" s="18">
        <f>CEILING(Table12[[#This Row],[Darwin Gusts
m/s]],0.5)</f>
        <v>6.5</v>
      </c>
      <c r="X192" s="18">
        <v>20.3</v>
      </c>
    </row>
    <row r="193" spans="2:24" ht="12" x14ac:dyDescent="0.2">
      <c r="B193" s="16">
        <f t="shared" si="14"/>
        <v>45087.874999999542</v>
      </c>
      <c r="C193" s="24">
        <f t="shared" si="19"/>
        <v>7.8750000000000213</v>
      </c>
      <c r="D193" s="29">
        <f>Table12[[#This Row],[MW TOTAL BARRA A]]+Table12[[#This Row],[MW TOTAL BARRA B]]</f>
        <v>208.18799999999999</v>
      </c>
      <c r="E193" s="25">
        <f>Windy_web!$DK7</f>
        <v>5</v>
      </c>
      <c r="F193" s="25">
        <f>Windy_web!$DK8</f>
        <v>10</v>
      </c>
      <c r="G193" s="26" t="str">
        <f>Windy_web!$DK5</f>
        <v>17°</v>
      </c>
      <c r="H193" s="26">
        <f t="shared" si="13"/>
        <v>17</v>
      </c>
      <c r="I193" s="18">
        <v>25</v>
      </c>
      <c r="J193" s="18">
        <v>24</v>
      </c>
      <c r="K193" s="18">
        <f>Table12[[#This Row],[AEG E/S BARRA A]]*Table12[[#This Row],[AEG 5.2 MW]]</f>
        <v>107.1</v>
      </c>
      <c r="L193" s="18">
        <f>Table12[[#This Row],[AEG E/S BARRA B]]*Table12[[#This Row],[AEG 5.0 MW]]</f>
        <v>101.08799999999999</v>
      </c>
      <c r="M19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3" s="29">
        <f>INDEX(Curva_Temp[Temp],MATCH(Table12[[#This Row],[Windy Temp.
°C]],Curva_Temp[Temp]))</f>
        <v>15</v>
      </c>
      <c r="O193" s="29">
        <f>INDEX(Curva_Temp[Warranted Power Curve for 
1.194Kg/m3 air density '[kW']
SG 5.0-145 (AM+1, 5.2MW) AT 
90M],MATCH(Table12[[#This Row],[Windy Temp.
°C]],Curva_Temp[Temp]))</f>
        <v>5200</v>
      </c>
      <c r="P193" s="29" cm="1">
        <f t="array" ref="P193">INDEX(Curva_Temp[Temp],MATCH(Table12[[#This Row],[Windy Temp.
°C]],Curva_Temp[Temp])+1)</f>
        <v>20</v>
      </c>
      <c r="Q193" s="29" cm="1">
        <f t="array" ref="Q193">INDEX(Curva_Temp[Warranted Power Curve for 
1.194Kg/m3 air density '[kW']
SG 5.0-145 (AM+1, 5.2MW) AT 
90M],MATCH(Table12[[#This Row],[Windy Temp.
°C]],Curva_Temp[Temp])+1)</f>
        <v>5000</v>
      </c>
      <c r="R1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3" s="18"/>
      <c r="U193" s="18">
        <v>5.5</v>
      </c>
      <c r="V193" s="18">
        <v>7</v>
      </c>
      <c r="W193" s="18">
        <f>CEILING(Table12[[#This Row],[Darwin Gusts
m/s]],0.5)</f>
        <v>7</v>
      </c>
      <c r="X193" s="18">
        <v>19.7</v>
      </c>
    </row>
    <row r="194" spans="2:24" ht="12" x14ac:dyDescent="0.2">
      <c r="B194" s="16">
        <f t="shared" si="14"/>
        <v>45087.916666666206</v>
      </c>
      <c r="C194" s="24">
        <f t="shared" si="19"/>
        <v>7.9166666666666883</v>
      </c>
      <c r="D194" s="29">
        <f>Table12[[#This Row],[MW TOTAL BARRA A]]+Table12[[#This Row],[MW TOTAL BARRA B]]</f>
        <v>208.18799999999999</v>
      </c>
      <c r="E194" s="25">
        <f>Windy_web!$DK7</f>
        <v>5</v>
      </c>
      <c r="F194" s="25">
        <f>Windy_web!$DK8</f>
        <v>10</v>
      </c>
      <c r="G194" s="26" t="str">
        <f>Windy_web!$DK5</f>
        <v>17°</v>
      </c>
      <c r="H194" s="26">
        <f t="shared" si="13"/>
        <v>17</v>
      </c>
      <c r="I194" s="18">
        <v>25</v>
      </c>
      <c r="J194" s="18">
        <v>24</v>
      </c>
      <c r="K194" s="18">
        <f>Table12[[#This Row],[AEG E/S BARRA A]]*Table12[[#This Row],[AEG 5.2 MW]]</f>
        <v>107.1</v>
      </c>
      <c r="L194" s="18">
        <f>Table12[[#This Row],[AEG E/S BARRA B]]*Table12[[#This Row],[AEG 5.0 MW]]</f>
        <v>101.08799999999999</v>
      </c>
      <c r="M1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4" s="29">
        <f>INDEX(Curva_Temp[Temp],MATCH(Table12[[#This Row],[Windy Temp.
°C]],Curva_Temp[Temp]))</f>
        <v>15</v>
      </c>
      <c r="O194" s="29">
        <f>INDEX(Curva_Temp[Warranted Power Curve for 
1.194Kg/m3 air density '[kW']
SG 5.0-145 (AM+1, 5.2MW) AT 
90M],MATCH(Table12[[#This Row],[Windy Temp.
°C]],Curva_Temp[Temp]))</f>
        <v>5200</v>
      </c>
      <c r="P194" s="29" cm="1">
        <f t="array" ref="P194">INDEX(Curva_Temp[Temp],MATCH(Table12[[#This Row],[Windy Temp.
°C]],Curva_Temp[Temp])+1)</f>
        <v>20</v>
      </c>
      <c r="Q194" s="29" cm="1">
        <f t="array" ref="Q194">INDEX(Curva_Temp[Warranted Power Curve for 
1.194Kg/m3 air density '[kW']
SG 5.0-145 (AM+1, 5.2MW) AT 
90M],MATCH(Table12[[#This Row],[Windy Temp.
°C]],Curva_Temp[Temp])+1)</f>
        <v>5000</v>
      </c>
      <c r="R1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4" s="18"/>
      <c r="U194" s="18">
        <v>6</v>
      </c>
      <c r="V194" s="18">
        <v>7.7</v>
      </c>
      <c r="W194" s="18">
        <f>CEILING(Table12[[#This Row],[Darwin Gusts
m/s]],0.5)</f>
        <v>8</v>
      </c>
      <c r="X194" s="18">
        <v>19</v>
      </c>
    </row>
    <row r="195" spans="2:24" ht="12" x14ac:dyDescent="0.2">
      <c r="B195" s="16">
        <f t="shared" si="14"/>
        <v>45087.95833333287</v>
      </c>
      <c r="C195" s="24">
        <f t="shared" si="19"/>
        <v>7.9583333333333552</v>
      </c>
      <c r="D195" s="29">
        <f>Table12[[#This Row],[MW TOTAL BARRA A]]+Table12[[#This Row],[MW TOTAL BARRA B]]</f>
        <v>208.18799999999999</v>
      </c>
      <c r="E195" s="25">
        <f>Windy_web!$DK7</f>
        <v>5</v>
      </c>
      <c r="F195" s="25">
        <f>Windy_web!$DK8</f>
        <v>10</v>
      </c>
      <c r="G195" s="26" t="str">
        <f>Windy_web!$DK5</f>
        <v>17°</v>
      </c>
      <c r="H195" s="26">
        <f t="shared" si="13"/>
        <v>17</v>
      </c>
      <c r="I195" s="18">
        <v>25</v>
      </c>
      <c r="J195" s="18">
        <v>24</v>
      </c>
      <c r="K195" s="18">
        <f>Table12[[#This Row],[AEG E/S BARRA A]]*Table12[[#This Row],[AEG 5.2 MW]]</f>
        <v>107.1</v>
      </c>
      <c r="L195" s="18">
        <f>Table12[[#This Row],[AEG E/S BARRA B]]*Table12[[#This Row],[AEG 5.0 MW]]</f>
        <v>101.08799999999999</v>
      </c>
      <c r="M1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5" s="29">
        <f>INDEX(Curva_Temp[Temp],MATCH(Table12[[#This Row],[Windy Temp.
°C]],Curva_Temp[Temp]))</f>
        <v>15</v>
      </c>
      <c r="O195" s="29">
        <f>INDEX(Curva_Temp[Warranted Power Curve for 
1.194Kg/m3 air density '[kW']
SG 5.0-145 (AM+1, 5.2MW) AT 
90M],MATCH(Table12[[#This Row],[Windy Temp.
°C]],Curva_Temp[Temp]))</f>
        <v>5200</v>
      </c>
      <c r="P195" s="29" cm="1">
        <f t="array" ref="P195">INDEX(Curva_Temp[Temp],MATCH(Table12[[#This Row],[Windy Temp.
°C]],Curva_Temp[Temp])+1)</f>
        <v>20</v>
      </c>
      <c r="Q195" s="29" cm="1">
        <f t="array" ref="Q195">INDEX(Curva_Temp[Warranted Power Curve for 
1.194Kg/m3 air density '[kW']
SG 5.0-145 (AM+1, 5.2MW) AT 
90M],MATCH(Table12[[#This Row],[Windy Temp.
°C]],Curva_Temp[Temp])+1)</f>
        <v>5000</v>
      </c>
      <c r="R1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5" s="18"/>
      <c r="U195" s="18">
        <v>6.6</v>
      </c>
      <c r="V195" s="18">
        <v>8.3000000000000007</v>
      </c>
      <c r="W195" s="18">
        <f>CEILING(Table12[[#This Row],[Darwin Gusts
m/s]],0.5)</f>
        <v>8.5</v>
      </c>
      <c r="X195" s="18">
        <v>18.100000000000001</v>
      </c>
    </row>
    <row r="196" spans="2:24" ht="12" x14ac:dyDescent="0.2">
      <c r="B196" s="16">
        <f t="shared" si="14"/>
        <v>45087.999999999534</v>
      </c>
      <c r="C196" s="24">
        <f t="shared" si="19"/>
        <v>8.0000000000000213</v>
      </c>
      <c r="D196" s="29">
        <f>Table12[[#This Row],[MW TOTAL BARRA A]]+Table12[[#This Row],[MW TOTAL BARRA B]]</f>
        <v>208.18799999999999</v>
      </c>
      <c r="E196" s="25">
        <f>Windy_web!$DK7</f>
        <v>5</v>
      </c>
      <c r="F196" s="25">
        <f>Windy_web!$DK8</f>
        <v>10</v>
      </c>
      <c r="G196" s="26" t="str">
        <f>Windy_web!$DK5</f>
        <v>17°</v>
      </c>
      <c r="H196" s="26">
        <f t="shared" si="13"/>
        <v>17</v>
      </c>
      <c r="I196" s="18">
        <v>25</v>
      </c>
      <c r="J196" s="18">
        <v>24</v>
      </c>
      <c r="K196" s="18">
        <f>Table12[[#This Row],[AEG E/S BARRA A]]*Table12[[#This Row],[AEG 5.2 MW]]</f>
        <v>107.1</v>
      </c>
      <c r="L196" s="18">
        <f>Table12[[#This Row],[AEG E/S BARRA B]]*Table12[[#This Row],[AEG 5.0 MW]]</f>
        <v>101.08799999999999</v>
      </c>
      <c r="M1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6" s="29">
        <f>INDEX(Curva_Temp[Temp],MATCH(Table12[[#This Row],[Windy Temp.
°C]],Curva_Temp[Temp]))</f>
        <v>15</v>
      </c>
      <c r="O196" s="29">
        <f>INDEX(Curva_Temp[Warranted Power Curve for 
1.194Kg/m3 air density '[kW']
SG 5.0-145 (AM+1, 5.2MW) AT 
90M],MATCH(Table12[[#This Row],[Windy Temp.
°C]],Curva_Temp[Temp]))</f>
        <v>5200</v>
      </c>
      <c r="P196" s="29" cm="1">
        <f t="array" ref="P196">INDEX(Curva_Temp[Temp],MATCH(Table12[[#This Row],[Windy Temp.
°C]],Curva_Temp[Temp])+1)</f>
        <v>20</v>
      </c>
      <c r="Q196" s="29" cm="1">
        <f t="array" ref="Q196">INDEX(Curva_Temp[Warranted Power Curve for 
1.194Kg/m3 air density '[kW']
SG 5.0-145 (AM+1, 5.2MW) AT 
90M],MATCH(Table12[[#This Row],[Windy Temp.
°C]],Curva_Temp[Temp])+1)</f>
        <v>5000</v>
      </c>
      <c r="R1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6" s="18"/>
      <c r="U196" s="18">
        <v>7.1</v>
      </c>
      <c r="V196" s="18">
        <v>9</v>
      </c>
      <c r="W196" s="18">
        <f>CEILING(Table12[[#This Row],[Darwin Gusts
m/s]],0.5)</f>
        <v>9</v>
      </c>
      <c r="X196" s="18">
        <v>17.600000000000001</v>
      </c>
    </row>
    <row r="197" spans="2:24" ht="12" x14ac:dyDescent="0.2">
      <c r="B197" s="16">
        <f t="shared" si="14"/>
        <v>45088.041666666199</v>
      </c>
      <c r="C197" s="17">
        <f>C196+TIME(1,0,0)</f>
        <v>8.0416666666666874</v>
      </c>
      <c r="D197" s="29">
        <f>Table12[[#This Row],[MW TOTAL BARRA A]]+Table12[[#This Row],[MW TOTAL BARRA B]]</f>
        <v>164.214</v>
      </c>
      <c r="E197" s="18">
        <f>Windy_web!$DL7</f>
        <v>5</v>
      </c>
      <c r="F197" s="18">
        <f>Windy_web!$DL8</f>
        <v>9</v>
      </c>
      <c r="G197" s="27" t="str">
        <f>Windy_web!$DL5</f>
        <v>16°</v>
      </c>
      <c r="H197" s="26">
        <f t="shared" ref="H197:H244" si="20">MID(G197,1,2)*1</f>
        <v>16</v>
      </c>
      <c r="I197" s="18">
        <v>25</v>
      </c>
      <c r="J197" s="18">
        <v>24</v>
      </c>
      <c r="K197" s="18">
        <f>Table12[[#This Row],[AEG E/S BARRA A]]*Table12[[#This Row],[AEG 5.2 MW]]</f>
        <v>84.15</v>
      </c>
      <c r="L197" s="18">
        <f>Table12[[#This Row],[AEG E/S BARRA B]]*Table12[[#This Row],[AEG 5.0 MW]]</f>
        <v>80.063999999999993</v>
      </c>
      <c r="M19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7" s="29">
        <f>INDEX(Curva_Temp[Temp],MATCH(Table12[[#This Row],[Windy Temp.
°C]],Curva_Temp[Temp]))</f>
        <v>15</v>
      </c>
      <c r="O197" s="29">
        <f>INDEX(Curva_Temp[Warranted Power Curve for 
1.194Kg/m3 air density '[kW']
SG 5.0-145 (AM+1, 5.2MW) AT 
90M],MATCH(Table12[[#This Row],[Windy Temp.
°C]],Curva_Temp[Temp]))</f>
        <v>5200</v>
      </c>
      <c r="P197" s="29" cm="1">
        <f t="array" ref="P197">INDEX(Curva_Temp[Temp],MATCH(Table12[[#This Row],[Windy Temp.
°C]],Curva_Temp[Temp])+1)</f>
        <v>20</v>
      </c>
      <c r="Q197" s="29" cm="1">
        <f t="array" ref="Q197">INDEX(Curva_Temp[Warranted Power Curve for 
1.194Kg/m3 air density '[kW']
SG 5.0-145 (AM+1, 5.2MW) AT 
90M],MATCH(Table12[[#This Row],[Windy Temp.
°C]],Curva_Temp[Temp])+1)</f>
        <v>5000</v>
      </c>
      <c r="R1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7" s="18"/>
      <c r="U197" s="18">
        <v>7.4</v>
      </c>
      <c r="V197" s="18">
        <v>9.3000000000000007</v>
      </c>
      <c r="W197" s="18">
        <f>CEILING(Table12[[#This Row],[Darwin Gusts
m/s]],0.5)</f>
        <v>9.5</v>
      </c>
      <c r="X197" s="18">
        <v>17.5</v>
      </c>
    </row>
    <row r="198" spans="2:24" ht="12" x14ac:dyDescent="0.2">
      <c r="B198" s="16">
        <f t="shared" ref="B198:B244" si="21">B197+TIME(1,0,0)</f>
        <v>45088.083333332863</v>
      </c>
      <c r="C198" s="24">
        <f t="shared" ref="C198:C214" si="22">C197+TIME(1,0,0)</f>
        <v>8.0833333333333535</v>
      </c>
      <c r="D198" s="29">
        <f>Table12[[#This Row],[MW TOTAL BARRA A]]+Table12[[#This Row],[MW TOTAL BARRA B]]</f>
        <v>164.214</v>
      </c>
      <c r="E198" s="25">
        <f>Windy_web!$DL7</f>
        <v>5</v>
      </c>
      <c r="F198" s="25">
        <f>Windy_web!$DL8</f>
        <v>9</v>
      </c>
      <c r="G198" s="26" t="str">
        <f>Windy_web!$DL5</f>
        <v>16°</v>
      </c>
      <c r="H198" s="26">
        <f t="shared" si="20"/>
        <v>16</v>
      </c>
      <c r="I198" s="18">
        <v>25</v>
      </c>
      <c r="J198" s="18">
        <v>24</v>
      </c>
      <c r="K198" s="18">
        <f>Table12[[#This Row],[AEG E/S BARRA A]]*Table12[[#This Row],[AEG 5.2 MW]]</f>
        <v>84.15</v>
      </c>
      <c r="L198" s="18">
        <f>Table12[[#This Row],[AEG E/S BARRA B]]*Table12[[#This Row],[AEG 5.0 MW]]</f>
        <v>80.063999999999993</v>
      </c>
      <c r="M1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8" s="29">
        <f>INDEX(Curva_Temp[Temp],MATCH(Table12[[#This Row],[Windy Temp.
°C]],Curva_Temp[Temp]))</f>
        <v>15</v>
      </c>
      <c r="O198" s="29">
        <f>INDEX(Curva_Temp[Warranted Power Curve for 
1.194Kg/m3 air density '[kW']
SG 5.0-145 (AM+1, 5.2MW) AT 
90M],MATCH(Table12[[#This Row],[Windy Temp.
°C]],Curva_Temp[Temp]))</f>
        <v>5200</v>
      </c>
      <c r="P198" s="29" cm="1">
        <f t="array" ref="P198">INDEX(Curva_Temp[Temp],MATCH(Table12[[#This Row],[Windy Temp.
°C]],Curva_Temp[Temp])+1)</f>
        <v>20</v>
      </c>
      <c r="Q198" s="29" cm="1">
        <f t="array" ref="Q198">INDEX(Curva_Temp[Warranted Power Curve for 
1.194Kg/m3 air density '[kW']
SG 5.0-145 (AM+1, 5.2MW) AT 
90M],MATCH(Table12[[#This Row],[Windy Temp.
°C]],Curva_Temp[Temp])+1)</f>
        <v>5000</v>
      </c>
      <c r="R1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8" s="18"/>
      <c r="U198" s="18">
        <v>7.8</v>
      </c>
      <c r="V198" s="18">
        <v>9.6999999999999993</v>
      </c>
      <c r="W198" s="18">
        <f>CEILING(Table12[[#This Row],[Darwin Gusts
m/s]],0.5)</f>
        <v>10</v>
      </c>
      <c r="X198" s="18">
        <v>17.5</v>
      </c>
    </row>
    <row r="199" spans="2:24" ht="12" x14ac:dyDescent="0.2">
      <c r="B199" s="16">
        <f t="shared" si="21"/>
        <v>45088.124999999527</v>
      </c>
      <c r="C199" s="24">
        <f t="shared" si="22"/>
        <v>8.1250000000000195</v>
      </c>
      <c r="D199" s="29">
        <f>Table12[[#This Row],[MW TOTAL BARRA A]]+Table12[[#This Row],[MW TOTAL BARRA B]]</f>
        <v>164.214</v>
      </c>
      <c r="E199" s="25">
        <f>Windy_web!$DL7</f>
        <v>5</v>
      </c>
      <c r="F199" s="25">
        <f>Windy_web!$DL8</f>
        <v>9</v>
      </c>
      <c r="G199" s="26" t="str">
        <f>Windy_web!$DL5</f>
        <v>16°</v>
      </c>
      <c r="H199" s="26">
        <f t="shared" si="20"/>
        <v>16</v>
      </c>
      <c r="I199" s="18">
        <v>25</v>
      </c>
      <c r="J199" s="18">
        <v>24</v>
      </c>
      <c r="K199" s="18">
        <f>Table12[[#This Row],[AEG E/S BARRA A]]*Table12[[#This Row],[AEG 5.2 MW]]</f>
        <v>84.15</v>
      </c>
      <c r="L199" s="18">
        <f>Table12[[#This Row],[AEG E/S BARRA B]]*Table12[[#This Row],[AEG 5.0 MW]]</f>
        <v>80.063999999999993</v>
      </c>
      <c r="M1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9" s="29">
        <f>INDEX(Curva_Temp[Temp],MATCH(Table12[[#This Row],[Windy Temp.
°C]],Curva_Temp[Temp]))</f>
        <v>15</v>
      </c>
      <c r="O199" s="29">
        <f>INDEX(Curva_Temp[Warranted Power Curve for 
1.194Kg/m3 air density '[kW']
SG 5.0-145 (AM+1, 5.2MW) AT 
90M],MATCH(Table12[[#This Row],[Windy Temp.
°C]],Curva_Temp[Temp]))</f>
        <v>5200</v>
      </c>
      <c r="P199" s="29" cm="1">
        <f t="array" ref="P199">INDEX(Curva_Temp[Temp],MATCH(Table12[[#This Row],[Windy Temp.
°C]],Curva_Temp[Temp])+1)</f>
        <v>20</v>
      </c>
      <c r="Q199" s="29" cm="1">
        <f t="array" ref="Q199">INDEX(Curva_Temp[Warranted Power Curve for 
1.194Kg/m3 air density '[kW']
SG 5.0-145 (AM+1, 5.2MW) AT 
90M],MATCH(Table12[[#This Row],[Windy Temp.
°C]],Curva_Temp[Temp])+1)</f>
        <v>5000</v>
      </c>
      <c r="R1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9" s="18"/>
      <c r="U199" s="18">
        <v>8.1</v>
      </c>
      <c r="V199" s="18">
        <v>10.1</v>
      </c>
      <c r="W199" s="18">
        <f>CEILING(Table12[[#This Row],[Darwin Gusts
m/s]],0.5)</f>
        <v>10.5</v>
      </c>
      <c r="X199" s="18">
        <v>17.399999999999999</v>
      </c>
    </row>
    <row r="200" spans="2:24" ht="12" x14ac:dyDescent="0.2">
      <c r="B200" s="16">
        <f t="shared" si="21"/>
        <v>45088.166666666191</v>
      </c>
      <c r="C200" s="24">
        <f t="shared" si="22"/>
        <v>8.1666666666666856</v>
      </c>
      <c r="D200" s="29">
        <f>Table12[[#This Row],[MW TOTAL BARRA A]]+Table12[[#This Row],[MW TOTAL BARRA B]]</f>
        <v>164.214</v>
      </c>
      <c r="E200" s="25">
        <f>Windy_web!$DL7</f>
        <v>5</v>
      </c>
      <c r="F200" s="25">
        <f>Windy_web!$DL8</f>
        <v>9</v>
      </c>
      <c r="G200" s="26" t="str">
        <f>Windy_web!$DL5</f>
        <v>16°</v>
      </c>
      <c r="H200" s="26">
        <f t="shared" si="20"/>
        <v>16</v>
      </c>
      <c r="I200" s="18">
        <v>25</v>
      </c>
      <c r="J200" s="18">
        <v>24</v>
      </c>
      <c r="K200" s="18">
        <f>Table12[[#This Row],[AEG E/S BARRA A]]*Table12[[#This Row],[AEG 5.2 MW]]</f>
        <v>84.15</v>
      </c>
      <c r="L200" s="18">
        <f>Table12[[#This Row],[AEG E/S BARRA B]]*Table12[[#This Row],[AEG 5.0 MW]]</f>
        <v>80.063999999999993</v>
      </c>
      <c r="M2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0" s="29">
        <f>INDEX(Curva_Temp[Temp],MATCH(Table12[[#This Row],[Windy Temp.
°C]],Curva_Temp[Temp]))</f>
        <v>15</v>
      </c>
      <c r="O200" s="29">
        <f>INDEX(Curva_Temp[Warranted Power Curve for 
1.194Kg/m3 air density '[kW']
SG 5.0-145 (AM+1, 5.2MW) AT 
90M],MATCH(Table12[[#This Row],[Windy Temp.
°C]],Curva_Temp[Temp]))</f>
        <v>5200</v>
      </c>
      <c r="P200" s="29" cm="1">
        <f t="array" ref="P200">INDEX(Curva_Temp[Temp],MATCH(Table12[[#This Row],[Windy Temp.
°C]],Curva_Temp[Temp])+1)</f>
        <v>20</v>
      </c>
      <c r="Q200" s="29" cm="1">
        <f t="array" ref="Q200">INDEX(Curva_Temp[Warranted Power Curve for 
1.194Kg/m3 air density '[kW']
SG 5.0-145 (AM+1, 5.2MW) AT 
90M],MATCH(Table12[[#This Row],[Windy Temp.
°C]],Curva_Temp[Temp])+1)</f>
        <v>5000</v>
      </c>
      <c r="R2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0" s="18"/>
      <c r="U200" s="18">
        <v>8.4</v>
      </c>
      <c r="V200" s="18">
        <v>10.5</v>
      </c>
      <c r="W200" s="18">
        <f>CEILING(Table12[[#This Row],[Darwin Gusts
m/s]],0.5)</f>
        <v>10.5</v>
      </c>
      <c r="X200" s="18">
        <v>17.399999999999999</v>
      </c>
    </row>
    <row r="201" spans="2:24" ht="12" x14ac:dyDescent="0.2">
      <c r="B201" s="16">
        <f t="shared" si="21"/>
        <v>45088.208333332856</v>
      </c>
      <c r="C201" s="24">
        <f t="shared" si="22"/>
        <v>8.2083333333333517</v>
      </c>
      <c r="D201" s="29">
        <f>Table12[[#This Row],[MW TOTAL BARRA A]]+Table12[[#This Row],[MW TOTAL BARRA B]]</f>
        <v>164.214</v>
      </c>
      <c r="E201" s="25">
        <f>Windy_web!$DL7</f>
        <v>5</v>
      </c>
      <c r="F201" s="25">
        <f>Windy_web!$DL8</f>
        <v>9</v>
      </c>
      <c r="G201" s="26" t="str">
        <f>Windy_web!$DL5</f>
        <v>16°</v>
      </c>
      <c r="H201" s="26">
        <f t="shared" si="20"/>
        <v>16</v>
      </c>
      <c r="I201" s="18">
        <v>25</v>
      </c>
      <c r="J201" s="18">
        <v>24</v>
      </c>
      <c r="K201" s="18">
        <f>Table12[[#This Row],[AEG E/S BARRA A]]*Table12[[#This Row],[AEG 5.2 MW]]</f>
        <v>84.15</v>
      </c>
      <c r="L201" s="18">
        <f>Table12[[#This Row],[AEG E/S BARRA B]]*Table12[[#This Row],[AEG 5.0 MW]]</f>
        <v>80.063999999999993</v>
      </c>
      <c r="M2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1" s="29">
        <f>INDEX(Curva_Temp[Temp],MATCH(Table12[[#This Row],[Windy Temp.
°C]],Curva_Temp[Temp]))</f>
        <v>15</v>
      </c>
      <c r="O201" s="29">
        <f>INDEX(Curva_Temp[Warranted Power Curve for 
1.194Kg/m3 air density '[kW']
SG 5.0-145 (AM+1, 5.2MW) AT 
90M],MATCH(Table12[[#This Row],[Windy Temp.
°C]],Curva_Temp[Temp]))</f>
        <v>5200</v>
      </c>
      <c r="P201" s="29" cm="1">
        <f t="array" ref="P201">INDEX(Curva_Temp[Temp],MATCH(Table12[[#This Row],[Windy Temp.
°C]],Curva_Temp[Temp])+1)</f>
        <v>20</v>
      </c>
      <c r="Q201" s="29" cm="1">
        <f t="array" ref="Q201">INDEX(Curva_Temp[Warranted Power Curve for 
1.194Kg/m3 air density '[kW']
SG 5.0-145 (AM+1, 5.2MW) AT 
90M],MATCH(Table12[[#This Row],[Windy Temp.
°C]],Curva_Temp[Temp])+1)</f>
        <v>5000</v>
      </c>
      <c r="R2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1" s="18"/>
      <c r="U201" s="18">
        <v>8.6999999999999993</v>
      </c>
      <c r="V201" s="18">
        <v>10.9</v>
      </c>
      <c r="W201" s="18">
        <f>CEILING(Table12[[#This Row],[Darwin Gusts
m/s]],0.5)</f>
        <v>11</v>
      </c>
      <c r="X201" s="18">
        <v>17.3</v>
      </c>
    </row>
    <row r="202" spans="2:24" ht="12" x14ac:dyDescent="0.2">
      <c r="B202" s="16">
        <f t="shared" si="21"/>
        <v>45088.24999999952</v>
      </c>
      <c r="C202" s="24">
        <f t="shared" si="22"/>
        <v>8.2500000000000178</v>
      </c>
      <c r="D202" s="29">
        <f>Table12[[#This Row],[MW TOTAL BARRA A]]+Table12[[#This Row],[MW TOTAL BARRA B]]</f>
        <v>164.214</v>
      </c>
      <c r="E202" s="25">
        <f>Windy_web!$DL7</f>
        <v>5</v>
      </c>
      <c r="F202" s="25">
        <f>Windy_web!$DL8</f>
        <v>9</v>
      </c>
      <c r="G202" s="26" t="str">
        <f>Windy_web!$DL5</f>
        <v>16°</v>
      </c>
      <c r="H202" s="26">
        <f t="shared" si="20"/>
        <v>16</v>
      </c>
      <c r="I202" s="18">
        <v>25</v>
      </c>
      <c r="J202" s="18">
        <v>24</v>
      </c>
      <c r="K202" s="18">
        <f>Table12[[#This Row],[AEG E/S BARRA A]]*Table12[[#This Row],[AEG 5.2 MW]]</f>
        <v>84.15</v>
      </c>
      <c r="L202" s="18">
        <f>Table12[[#This Row],[AEG E/S BARRA B]]*Table12[[#This Row],[AEG 5.0 MW]]</f>
        <v>80.063999999999993</v>
      </c>
      <c r="M2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2" s="29">
        <f>INDEX(Curva_Temp[Temp],MATCH(Table12[[#This Row],[Windy Temp.
°C]],Curva_Temp[Temp]))</f>
        <v>15</v>
      </c>
      <c r="O202" s="29">
        <f>INDEX(Curva_Temp[Warranted Power Curve for 
1.194Kg/m3 air density '[kW']
SG 5.0-145 (AM+1, 5.2MW) AT 
90M],MATCH(Table12[[#This Row],[Windy Temp.
°C]],Curva_Temp[Temp]))</f>
        <v>5200</v>
      </c>
      <c r="P202" s="29" cm="1">
        <f t="array" ref="P202">INDEX(Curva_Temp[Temp],MATCH(Table12[[#This Row],[Windy Temp.
°C]],Curva_Temp[Temp])+1)</f>
        <v>20</v>
      </c>
      <c r="Q202" s="29" cm="1">
        <f t="array" ref="Q202">INDEX(Curva_Temp[Warranted Power Curve for 
1.194Kg/m3 air density '[kW']
SG 5.0-145 (AM+1, 5.2MW) AT 
90M],MATCH(Table12[[#This Row],[Windy Temp.
°C]],Curva_Temp[Temp])+1)</f>
        <v>5000</v>
      </c>
      <c r="R2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2" s="18"/>
      <c r="U202" s="18">
        <v>9</v>
      </c>
      <c r="V202" s="18">
        <v>11.3</v>
      </c>
      <c r="W202" s="18">
        <f>CEILING(Table12[[#This Row],[Darwin Gusts
m/s]],0.5)</f>
        <v>11.5</v>
      </c>
      <c r="X202" s="18">
        <v>17.3</v>
      </c>
    </row>
    <row r="203" spans="2:24" ht="12" x14ac:dyDescent="0.2">
      <c r="B203" s="16">
        <f t="shared" si="21"/>
        <v>45088.291666666184</v>
      </c>
      <c r="C203" s="17">
        <f t="shared" si="22"/>
        <v>8.2916666666666838</v>
      </c>
      <c r="D203" s="29">
        <f>Table12[[#This Row],[MW TOTAL BARRA A]]+Table12[[#This Row],[MW TOTAL BARRA B]]</f>
        <v>117.777</v>
      </c>
      <c r="E203" s="18">
        <f>Windy_web!$DM7</f>
        <v>4</v>
      </c>
      <c r="F203" s="18">
        <f>Windy_web!$DM8</f>
        <v>8</v>
      </c>
      <c r="G203" s="27" t="str">
        <f>Windy_web!$DM5</f>
        <v>15°</v>
      </c>
      <c r="H203" s="26">
        <f t="shared" si="20"/>
        <v>15</v>
      </c>
      <c r="I203" s="18">
        <v>25</v>
      </c>
      <c r="J203" s="18">
        <v>24</v>
      </c>
      <c r="K203" s="18">
        <f>Table12[[#This Row],[AEG E/S BARRA A]]*Table12[[#This Row],[AEG 5.2 MW]]</f>
        <v>60.224999999999994</v>
      </c>
      <c r="L203" s="18">
        <f>Table12[[#This Row],[AEG E/S BARRA B]]*Table12[[#This Row],[AEG 5.0 MW]]</f>
        <v>57.552000000000007</v>
      </c>
      <c r="M20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3" s="29">
        <f>INDEX(Curva_Temp[Temp],MATCH(Table12[[#This Row],[Windy Temp.
°C]],Curva_Temp[Temp]))</f>
        <v>15</v>
      </c>
      <c r="O203" s="29">
        <f>INDEX(Curva_Temp[Warranted Power Curve for 
1.194Kg/m3 air density '[kW']
SG 5.0-145 (AM+1, 5.2MW) AT 
90M],MATCH(Table12[[#This Row],[Windy Temp.
°C]],Curva_Temp[Temp]))</f>
        <v>5200</v>
      </c>
      <c r="P203" s="29" cm="1">
        <f t="array" ref="P203">INDEX(Curva_Temp[Temp],MATCH(Table12[[#This Row],[Windy Temp.
°C]],Curva_Temp[Temp])+1)</f>
        <v>20</v>
      </c>
      <c r="Q203" s="29" cm="1">
        <f t="array" ref="Q203">INDEX(Curva_Temp[Warranted Power Curve for 
1.194Kg/m3 air density '[kW']
SG 5.0-145 (AM+1, 5.2MW) AT 
90M],MATCH(Table12[[#This Row],[Windy Temp.
°C]],Curva_Temp[Temp])+1)</f>
        <v>5000</v>
      </c>
      <c r="R2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3" s="18"/>
      <c r="U203" s="18">
        <v>8.6</v>
      </c>
      <c r="V203" s="18">
        <v>10.8</v>
      </c>
      <c r="W203" s="18">
        <f>CEILING(Table12[[#This Row],[Darwin Gusts
m/s]],0.5)</f>
        <v>11</v>
      </c>
      <c r="X203" s="18">
        <v>17.2</v>
      </c>
    </row>
    <row r="204" spans="2:24" ht="12" x14ac:dyDescent="0.2">
      <c r="B204" s="16">
        <f t="shared" si="21"/>
        <v>45088.333333332848</v>
      </c>
      <c r="C204" s="24">
        <f t="shared" si="22"/>
        <v>8.3333333333333499</v>
      </c>
      <c r="D204" s="29">
        <f>Table12[[#This Row],[MW TOTAL BARRA A]]+Table12[[#This Row],[MW TOTAL BARRA B]]</f>
        <v>117.777</v>
      </c>
      <c r="E204" s="25">
        <f>Windy_web!$DM7</f>
        <v>4</v>
      </c>
      <c r="F204" s="25">
        <f>Windy_web!$DM8</f>
        <v>8</v>
      </c>
      <c r="G204" s="26" t="str">
        <f>Windy_web!$DM5</f>
        <v>15°</v>
      </c>
      <c r="H204" s="26">
        <f t="shared" si="20"/>
        <v>15</v>
      </c>
      <c r="I204" s="18">
        <v>25</v>
      </c>
      <c r="J204" s="18">
        <v>24</v>
      </c>
      <c r="K204" s="18">
        <f>Table12[[#This Row],[AEG E/S BARRA A]]*Table12[[#This Row],[AEG 5.2 MW]]</f>
        <v>60.224999999999994</v>
      </c>
      <c r="L204" s="18">
        <f>Table12[[#This Row],[AEG E/S BARRA B]]*Table12[[#This Row],[AEG 5.0 MW]]</f>
        <v>57.552000000000007</v>
      </c>
      <c r="M2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4" s="29">
        <f>INDEX(Curva_Temp[Temp],MATCH(Table12[[#This Row],[Windy Temp.
°C]],Curva_Temp[Temp]))</f>
        <v>15</v>
      </c>
      <c r="O204" s="29">
        <f>INDEX(Curva_Temp[Warranted Power Curve for 
1.194Kg/m3 air density '[kW']
SG 5.0-145 (AM+1, 5.2MW) AT 
90M],MATCH(Table12[[#This Row],[Windy Temp.
°C]],Curva_Temp[Temp]))</f>
        <v>5200</v>
      </c>
      <c r="P204" s="29" cm="1">
        <f t="array" ref="P204">INDEX(Curva_Temp[Temp],MATCH(Table12[[#This Row],[Windy Temp.
°C]],Curva_Temp[Temp])+1)</f>
        <v>20</v>
      </c>
      <c r="Q204" s="29" cm="1">
        <f t="array" ref="Q204">INDEX(Curva_Temp[Warranted Power Curve for 
1.194Kg/m3 air density '[kW']
SG 5.0-145 (AM+1, 5.2MW) AT 
90M],MATCH(Table12[[#This Row],[Windy Temp.
°C]],Curva_Temp[Temp])+1)</f>
        <v>5000</v>
      </c>
      <c r="R2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4" s="18"/>
      <c r="U204" s="18">
        <v>8.1999999999999993</v>
      </c>
      <c r="V204" s="18">
        <v>10.3</v>
      </c>
      <c r="W204" s="18">
        <f>CEILING(Table12[[#This Row],[Darwin Gusts
m/s]],0.5)</f>
        <v>10.5</v>
      </c>
      <c r="X204" s="18">
        <v>17.100000000000001</v>
      </c>
    </row>
    <row r="205" spans="2:24" ht="12" x14ac:dyDescent="0.2">
      <c r="B205" s="16">
        <f t="shared" si="21"/>
        <v>45088.374999999513</v>
      </c>
      <c r="C205" s="24">
        <f t="shared" si="22"/>
        <v>8.375000000000016</v>
      </c>
      <c r="D205" s="29">
        <f>Table12[[#This Row],[MW TOTAL BARRA A]]+Table12[[#This Row],[MW TOTAL BARRA B]]</f>
        <v>108.185</v>
      </c>
      <c r="E205" s="25">
        <f>Windy_web!$DM7</f>
        <v>4</v>
      </c>
      <c r="F205" s="25">
        <f>Windy_web!$DM8</f>
        <v>8</v>
      </c>
      <c r="G205" s="26" t="str">
        <f>Windy_web!$DM5</f>
        <v>15°</v>
      </c>
      <c r="H205" s="26">
        <f t="shared" si="20"/>
        <v>15</v>
      </c>
      <c r="I205" s="18">
        <v>25</v>
      </c>
      <c r="J205" s="18">
        <v>20</v>
      </c>
      <c r="K205" s="18">
        <f>Table12[[#This Row],[AEG E/S BARRA A]]*Table12[[#This Row],[AEG 5.2 MW]]</f>
        <v>60.224999999999994</v>
      </c>
      <c r="L205" s="18">
        <f>Table12[[#This Row],[AEG E/S BARRA B]]*Table12[[#This Row],[AEG 5.0 MW]]</f>
        <v>47.96</v>
      </c>
      <c r="M2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5" s="29">
        <f>INDEX(Curva_Temp[Temp],MATCH(Table12[[#This Row],[Windy Temp.
°C]],Curva_Temp[Temp]))</f>
        <v>15</v>
      </c>
      <c r="O205" s="29">
        <f>INDEX(Curva_Temp[Warranted Power Curve for 
1.194Kg/m3 air density '[kW']
SG 5.0-145 (AM+1, 5.2MW) AT 
90M],MATCH(Table12[[#This Row],[Windy Temp.
°C]],Curva_Temp[Temp]))</f>
        <v>5200</v>
      </c>
      <c r="P205" s="29" cm="1">
        <f t="array" ref="P205">INDEX(Curva_Temp[Temp],MATCH(Table12[[#This Row],[Windy Temp.
°C]],Curva_Temp[Temp])+1)</f>
        <v>20</v>
      </c>
      <c r="Q205" s="29" cm="1">
        <f t="array" ref="Q205">INDEX(Curva_Temp[Warranted Power Curve for 
1.194Kg/m3 air density '[kW']
SG 5.0-145 (AM+1, 5.2MW) AT 
90M],MATCH(Table12[[#This Row],[Windy Temp.
°C]],Curva_Temp[Temp])+1)</f>
        <v>5000</v>
      </c>
      <c r="R2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5" s="18"/>
      <c r="U205" s="18">
        <v>7.8</v>
      </c>
      <c r="V205" s="18">
        <v>9.8000000000000007</v>
      </c>
      <c r="W205" s="18">
        <f>CEILING(Table12[[#This Row],[Darwin Gusts
m/s]],0.5)</f>
        <v>10</v>
      </c>
      <c r="X205" s="18">
        <v>17.100000000000001</v>
      </c>
    </row>
    <row r="206" spans="2:24" ht="12" x14ac:dyDescent="0.2">
      <c r="B206" s="16">
        <f t="shared" si="21"/>
        <v>45088.416666666177</v>
      </c>
      <c r="C206" s="24">
        <f t="shared" si="22"/>
        <v>8.4166666666666821</v>
      </c>
      <c r="D206" s="29">
        <f>Table12[[#This Row],[MW TOTAL BARRA A]]+Table12[[#This Row],[MW TOTAL BARRA B]]</f>
        <v>108.185</v>
      </c>
      <c r="E206" s="25">
        <f>Windy_web!$DM7</f>
        <v>4</v>
      </c>
      <c r="F206" s="25">
        <f>Windy_web!$DM8</f>
        <v>8</v>
      </c>
      <c r="G206" s="26" t="str">
        <f>Windy_web!$DM5</f>
        <v>15°</v>
      </c>
      <c r="H206" s="26">
        <f t="shared" si="20"/>
        <v>15</v>
      </c>
      <c r="I206" s="18">
        <v>25</v>
      </c>
      <c r="J206" s="18">
        <v>20</v>
      </c>
      <c r="K206" s="18">
        <f>Table12[[#This Row],[AEG E/S BARRA A]]*Table12[[#This Row],[AEG 5.2 MW]]</f>
        <v>60.224999999999994</v>
      </c>
      <c r="L206" s="18">
        <f>Table12[[#This Row],[AEG E/S BARRA B]]*Table12[[#This Row],[AEG 5.0 MW]]</f>
        <v>47.96</v>
      </c>
      <c r="M2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6" s="29">
        <f>INDEX(Curva_Temp[Temp],MATCH(Table12[[#This Row],[Windy Temp.
°C]],Curva_Temp[Temp]))</f>
        <v>15</v>
      </c>
      <c r="O206" s="29">
        <f>INDEX(Curva_Temp[Warranted Power Curve for 
1.194Kg/m3 air density '[kW']
SG 5.0-145 (AM+1, 5.2MW) AT 
90M],MATCH(Table12[[#This Row],[Windy Temp.
°C]],Curva_Temp[Temp]))</f>
        <v>5200</v>
      </c>
      <c r="P206" s="29" cm="1">
        <f t="array" ref="P206">INDEX(Curva_Temp[Temp],MATCH(Table12[[#This Row],[Windy Temp.
°C]],Curva_Temp[Temp])+1)</f>
        <v>20</v>
      </c>
      <c r="Q206" s="29" cm="1">
        <f t="array" ref="Q206">INDEX(Curva_Temp[Warranted Power Curve for 
1.194Kg/m3 air density '[kW']
SG 5.0-145 (AM+1, 5.2MW) AT 
90M],MATCH(Table12[[#This Row],[Windy Temp.
°C]],Curva_Temp[Temp])+1)</f>
        <v>5000</v>
      </c>
      <c r="R2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6" s="18"/>
      <c r="U206" s="18">
        <v>7.4</v>
      </c>
      <c r="V206" s="18">
        <v>9.4</v>
      </c>
      <c r="W206" s="18">
        <f>CEILING(Table12[[#This Row],[Darwin Gusts
m/s]],0.5)</f>
        <v>9.5</v>
      </c>
      <c r="X206" s="18">
        <v>17</v>
      </c>
    </row>
    <row r="207" spans="2:24" ht="12" x14ac:dyDescent="0.2">
      <c r="B207" s="16">
        <f t="shared" si="21"/>
        <v>45088.458333332841</v>
      </c>
      <c r="C207" s="24">
        <f t="shared" si="22"/>
        <v>8.4583333333333481</v>
      </c>
      <c r="D207" s="29">
        <f>Table12[[#This Row],[MW TOTAL BARRA A]]+Table12[[#This Row],[MW TOTAL BARRA B]]</f>
        <v>108.185</v>
      </c>
      <c r="E207" s="25">
        <f>Windy_web!$DM7</f>
        <v>4</v>
      </c>
      <c r="F207" s="25">
        <f>Windy_web!$DM8</f>
        <v>8</v>
      </c>
      <c r="G207" s="26" t="str">
        <f>Windy_web!$DM5</f>
        <v>15°</v>
      </c>
      <c r="H207" s="26">
        <f t="shared" si="20"/>
        <v>15</v>
      </c>
      <c r="I207" s="18">
        <v>25</v>
      </c>
      <c r="J207" s="18">
        <v>20</v>
      </c>
      <c r="K207" s="18">
        <f>Table12[[#This Row],[AEG E/S BARRA A]]*Table12[[#This Row],[AEG 5.2 MW]]</f>
        <v>60.224999999999994</v>
      </c>
      <c r="L207" s="18">
        <f>Table12[[#This Row],[AEG E/S BARRA B]]*Table12[[#This Row],[AEG 5.0 MW]]</f>
        <v>47.96</v>
      </c>
      <c r="M2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7" s="29">
        <f>INDEX(Curva_Temp[Temp],MATCH(Table12[[#This Row],[Windy Temp.
°C]],Curva_Temp[Temp]))</f>
        <v>15</v>
      </c>
      <c r="O207" s="29">
        <f>INDEX(Curva_Temp[Warranted Power Curve for 
1.194Kg/m3 air density '[kW']
SG 5.0-145 (AM+1, 5.2MW) AT 
90M],MATCH(Table12[[#This Row],[Windy Temp.
°C]],Curva_Temp[Temp]))</f>
        <v>5200</v>
      </c>
      <c r="P207" s="29" cm="1">
        <f t="array" ref="P207">INDEX(Curva_Temp[Temp],MATCH(Table12[[#This Row],[Windy Temp.
°C]],Curva_Temp[Temp])+1)</f>
        <v>20</v>
      </c>
      <c r="Q207" s="29" cm="1">
        <f t="array" ref="Q207">INDEX(Curva_Temp[Warranted Power Curve for 
1.194Kg/m3 air density '[kW']
SG 5.0-145 (AM+1, 5.2MW) AT 
90M],MATCH(Table12[[#This Row],[Windy Temp.
°C]],Curva_Temp[Temp])+1)</f>
        <v>5000</v>
      </c>
      <c r="R2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7" s="18"/>
      <c r="U207" s="18">
        <v>7</v>
      </c>
      <c r="V207" s="18">
        <v>8.9</v>
      </c>
      <c r="W207" s="18">
        <f>CEILING(Table12[[#This Row],[Darwin Gusts
m/s]],0.5)</f>
        <v>9</v>
      </c>
      <c r="X207" s="18">
        <v>17.2</v>
      </c>
    </row>
    <row r="208" spans="2:24" ht="12" x14ac:dyDescent="0.2">
      <c r="B208" s="16">
        <f t="shared" si="21"/>
        <v>45088.499999999505</v>
      </c>
      <c r="C208" s="24">
        <f t="shared" si="22"/>
        <v>8.5000000000000142</v>
      </c>
      <c r="D208" s="29">
        <f>Table12[[#This Row],[MW TOTAL BARRA A]]+Table12[[#This Row],[MW TOTAL BARRA B]]</f>
        <v>108.185</v>
      </c>
      <c r="E208" s="25">
        <f>Windy_web!$DM7</f>
        <v>4</v>
      </c>
      <c r="F208" s="25">
        <f>Windy_web!$DM8</f>
        <v>8</v>
      </c>
      <c r="G208" s="26" t="str">
        <f>Windy_web!$DM5</f>
        <v>15°</v>
      </c>
      <c r="H208" s="26">
        <f t="shared" si="20"/>
        <v>15</v>
      </c>
      <c r="I208" s="18">
        <v>25</v>
      </c>
      <c r="J208" s="18">
        <v>20</v>
      </c>
      <c r="K208" s="18">
        <f>Table12[[#This Row],[AEG E/S BARRA A]]*Table12[[#This Row],[AEG 5.2 MW]]</f>
        <v>60.224999999999994</v>
      </c>
      <c r="L208" s="18">
        <f>Table12[[#This Row],[AEG E/S BARRA B]]*Table12[[#This Row],[AEG 5.0 MW]]</f>
        <v>47.96</v>
      </c>
      <c r="M2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8" s="29">
        <f>INDEX(Curva_Temp[Temp],MATCH(Table12[[#This Row],[Windy Temp.
°C]],Curva_Temp[Temp]))</f>
        <v>15</v>
      </c>
      <c r="O208" s="29">
        <f>INDEX(Curva_Temp[Warranted Power Curve for 
1.194Kg/m3 air density '[kW']
SG 5.0-145 (AM+1, 5.2MW) AT 
90M],MATCH(Table12[[#This Row],[Windy Temp.
°C]],Curva_Temp[Temp]))</f>
        <v>5200</v>
      </c>
      <c r="P208" s="29" cm="1">
        <f t="array" ref="P208">INDEX(Curva_Temp[Temp],MATCH(Table12[[#This Row],[Windy Temp.
°C]],Curva_Temp[Temp])+1)</f>
        <v>20</v>
      </c>
      <c r="Q208" s="29" cm="1">
        <f t="array" ref="Q208">INDEX(Curva_Temp[Warranted Power Curve for 
1.194Kg/m3 air density '[kW']
SG 5.0-145 (AM+1, 5.2MW) AT 
90M],MATCH(Table12[[#This Row],[Windy Temp.
°C]],Curva_Temp[Temp])+1)</f>
        <v>5000</v>
      </c>
      <c r="R2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8" s="18"/>
      <c r="U208" s="18">
        <v>6.7</v>
      </c>
      <c r="V208" s="18">
        <v>8.4</v>
      </c>
      <c r="W208" s="18">
        <f>CEILING(Table12[[#This Row],[Darwin Gusts
m/s]],0.5)</f>
        <v>8.5</v>
      </c>
      <c r="X208" s="18">
        <v>17.399999999999999</v>
      </c>
    </row>
    <row r="209" spans="2:24" ht="12" x14ac:dyDescent="0.2">
      <c r="B209" s="16">
        <f t="shared" si="21"/>
        <v>45088.541666666169</v>
      </c>
      <c r="C209" s="17">
        <f t="shared" si="22"/>
        <v>8.5416666666666803</v>
      </c>
      <c r="D209" s="29">
        <f>Table12[[#This Row],[MW TOTAL BARRA A]]+Table12[[#This Row],[MW TOTAL BARRA B]]</f>
        <v>219.56</v>
      </c>
      <c r="E209" s="18">
        <f>Windy_web!$DN7</f>
        <v>7</v>
      </c>
      <c r="F209" s="18">
        <f>Windy_web!$DN8</f>
        <v>11</v>
      </c>
      <c r="G209" s="27" t="str">
        <f>Windy_web!$DN5</f>
        <v>20°</v>
      </c>
      <c r="H209" s="26">
        <f t="shared" si="20"/>
        <v>20</v>
      </c>
      <c r="I209" s="18">
        <v>25</v>
      </c>
      <c r="J209" s="18">
        <v>20</v>
      </c>
      <c r="K209" s="18">
        <f>Table12[[#This Row],[AEG E/S BARRA A]]*Table12[[#This Row],[AEG 5.2 MW]]</f>
        <v>123.9</v>
      </c>
      <c r="L209" s="18">
        <f>Table12[[#This Row],[AEG E/S BARRA B]]*Table12[[#This Row],[AEG 5.0 MW]]</f>
        <v>95.660000000000011</v>
      </c>
      <c r="M20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09" s="29">
        <f>INDEX(Curva_Temp[Temp],MATCH(Table12[[#This Row],[Windy Temp.
°C]],Curva_Temp[Temp]))</f>
        <v>20</v>
      </c>
      <c r="O209" s="29">
        <f>INDEX(Curva_Temp[Warranted Power Curve for 
1.194Kg/m3 air density '[kW']
SG 5.0-145 (AM+1, 5.2MW) AT 
90M],MATCH(Table12[[#This Row],[Windy Temp.
°C]],Curva_Temp[Temp]))</f>
        <v>5000</v>
      </c>
      <c r="P209" s="29" cm="1">
        <f t="array" ref="P209">INDEX(Curva_Temp[Temp],MATCH(Table12[[#This Row],[Windy Temp.
°C]],Curva_Temp[Temp])+1)</f>
        <v>25</v>
      </c>
      <c r="Q209" s="29" cm="1">
        <f t="array" ref="Q209">INDEX(Curva_Temp[Warranted Power Curve for 
1.194Kg/m3 air density '[kW']
SG 5.0-145 (AM+1, 5.2MW) AT 
90M],MATCH(Table12[[#This Row],[Windy Temp.
°C]],Curva_Temp[Temp])+1)</f>
        <v>4900</v>
      </c>
      <c r="R2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9" s="18"/>
      <c r="U209" s="18">
        <v>6.1</v>
      </c>
      <c r="V209" s="18">
        <v>7.7</v>
      </c>
      <c r="W209" s="18">
        <f>CEILING(Table12[[#This Row],[Darwin Gusts
m/s]],0.5)</f>
        <v>8</v>
      </c>
      <c r="X209" s="18">
        <v>18.2</v>
      </c>
    </row>
    <row r="210" spans="2:24" ht="12" x14ac:dyDescent="0.2">
      <c r="B210" s="16">
        <f t="shared" si="21"/>
        <v>45088.583333332834</v>
      </c>
      <c r="C210" s="24">
        <f t="shared" si="22"/>
        <v>8.5833333333333464</v>
      </c>
      <c r="D210" s="29">
        <f>Table12[[#This Row],[MW TOTAL BARRA A]]+Table12[[#This Row],[MW TOTAL BARRA B]]</f>
        <v>219.56</v>
      </c>
      <c r="E210" s="25">
        <f>Windy_web!$DN7</f>
        <v>7</v>
      </c>
      <c r="F210" s="25">
        <f>Windy_web!$DN8</f>
        <v>11</v>
      </c>
      <c r="G210" s="26" t="str">
        <f>Windy_web!$DN5</f>
        <v>20°</v>
      </c>
      <c r="H210" s="26">
        <f t="shared" si="20"/>
        <v>20</v>
      </c>
      <c r="I210" s="18">
        <v>25</v>
      </c>
      <c r="J210" s="18">
        <v>20</v>
      </c>
      <c r="K210" s="18">
        <f>Table12[[#This Row],[AEG E/S BARRA A]]*Table12[[#This Row],[AEG 5.2 MW]]</f>
        <v>123.9</v>
      </c>
      <c r="L210" s="18">
        <f>Table12[[#This Row],[AEG E/S BARRA B]]*Table12[[#This Row],[AEG 5.0 MW]]</f>
        <v>95.660000000000011</v>
      </c>
      <c r="M21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0" s="29">
        <f>INDEX(Curva_Temp[Temp],MATCH(Table12[[#This Row],[Windy Temp.
°C]],Curva_Temp[Temp]))</f>
        <v>20</v>
      </c>
      <c r="O210" s="29">
        <f>INDEX(Curva_Temp[Warranted Power Curve for 
1.194Kg/m3 air density '[kW']
SG 5.0-145 (AM+1, 5.2MW) AT 
90M],MATCH(Table12[[#This Row],[Windy Temp.
°C]],Curva_Temp[Temp]))</f>
        <v>5000</v>
      </c>
      <c r="P210" s="29" cm="1">
        <f t="array" ref="P210">INDEX(Curva_Temp[Temp],MATCH(Table12[[#This Row],[Windy Temp.
°C]],Curva_Temp[Temp])+1)</f>
        <v>25</v>
      </c>
      <c r="Q210" s="29" cm="1">
        <f t="array" ref="Q210">INDEX(Curva_Temp[Warranted Power Curve for 
1.194Kg/m3 air density '[kW']
SG 5.0-145 (AM+1, 5.2MW) AT 
90M],MATCH(Table12[[#This Row],[Windy Temp.
°C]],Curva_Temp[Temp])+1)</f>
        <v>4900</v>
      </c>
      <c r="R2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0" s="18"/>
      <c r="U210" s="18">
        <v>5.5</v>
      </c>
      <c r="V210" s="18">
        <v>7</v>
      </c>
      <c r="W210" s="18">
        <f>CEILING(Table12[[#This Row],[Darwin Gusts
m/s]],0.5)</f>
        <v>7</v>
      </c>
      <c r="X210" s="18">
        <v>19</v>
      </c>
    </row>
    <row r="211" spans="2:24" ht="12" x14ac:dyDescent="0.2">
      <c r="B211" s="16">
        <f t="shared" si="21"/>
        <v>45088.624999999498</v>
      </c>
      <c r="C211" s="24">
        <f t="shared" si="22"/>
        <v>8.6250000000000124</v>
      </c>
      <c r="D211" s="29">
        <f>Table12[[#This Row],[MW TOTAL BARRA A]]+Table12[[#This Row],[MW TOTAL BARRA B]]</f>
        <v>219.56</v>
      </c>
      <c r="E211" s="25">
        <f>Windy_web!$DN7</f>
        <v>7</v>
      </c>
      <c r="F211" s="25">
        <f>Windy_web!$DN8</f>
        <v>11</v>
      </c>
      <c r="G211" s="26" t="str">
        <f>Windy_web!$DN5</f>
        <v>20°</v>
      </c>
      <c r="H211" s="26">
        <f t="shared" si="20"/>
        <v>20</v>
      </c>
      <c r="I211" s="18">
        <v>25</v>
      </c>
      <c r="J211" s="18">
        <v>20</v>
      </c>
      <c r="K211" s="18">
        <f>Table12[[#This Row],[AEG E/S BARRA A]]*Table12[[#This Row],[AEG 5.2 MW]]</f>
        <v>123.9</v>
      </c>
      <c r="L211" s="18">
        <f>Table12[[#This Row],[AEG E/S BARRA B]]*Table12[[#This Row],[AEG 5.0 MW]]</f>
        <v>95.660000000000011</v>
      </c>
      <c r="M21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1" s="29">
        <f>INDEX(Curva_Temp[Temp],MATCH(Table12[[#This Row],[Windy Temp.
°C]],Curva_Temp[Temp]))</f>
        <v>20</v>
      </c>
      <c r="O211" s="29">
        <f>INDEX(Curva_Temp[Warranted Power Curve for 
1.194Kg/m3 air density '[kW']
SG 5.0-145 (AM+1, 5.2MW) AT 
90M],MATCH(Table12[[#This Row],[Windy Temp.
°C]],Curva_Temp[Temp]))</f>
        <v>5000</v>
      </c>
      <c r="P211" s="29" cm="1">
        <f t="array" ref="P211">INDEX(Curva_Temp[Temp],MATCH(Table12[[#This Row],[Windy Temp.
°C]],Curva_Temp[Temp])+1)</f>
        <v>25</v>
      </c>
      <c r="Q211" s="29" cm="1">
        <f t="array" ref="Q211">INDEX(Curva_Temp[Warranted Power Curve for 
1.194Kg/m3 air density '[kW']
SG 5.0-145 (AM+1, 5.2MW) AT 
90M],MATCH(Table12[[#This Row],[Windy Temp.
°C]],Curva_Temp[Temp])+1)</f>
        <v>4900</v>
      </c>
      <c r="R2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1" s="18"/>
      <c r="U211" s="18">
        <v>4.9000000000000004</v>
      </c>
      <c r="V211" s="18">
        <v>6.4</v>
      </c>
      <c r="W211" s="18">
        <f>CEILING(Table12[[#This Row],[Darwin Gusts
m/s]],0.5)</f>
        <v>6.5</v>
      </c>
      <c r="X211" s="18">
        <v>19.8</v>
      </c>
    </row>
    <row r="212" spans="2:24" ht="12" x14ac:dyDescent="0.2">
      <c r="B212" s="16">
        <f t="shared" si="21"/>
        <v>45088.666666666162</v>
      </c>
      <c r="C212" s="24">
        <f t="shared" si="22"/>
        <v>8.6666666666666785</v>
      </c>
      <c r="D212" s="29">
        <f>Table12[[#This Row],[MW TOTAL BARRA A]]+Table12[[#This Row],[MW TOTAL BARRA B]]</f>
        <v>219.56</v>
      </c>
      <c r="E212" s="25">
        <f>Windy_web!$DN7</f>
        <v>7</v>
      </c>
      <c r="F212" s="25">
        <f>Windy_web!$DN8</f>
        <v>11</v>
      </c>
      <c r="G212" s="26" t="str">
        <f>Windy_web!$DN5</f>
        <v>20°</v>
      </c>
      <c r="H212" s="26">
        <f t="shared" si="20"/>
        <v>20</v>
      </c>
      <c r="I212" s="18">
        <v>25</v>
      </c>
      <c r="J212" s="18">
        <v>20</v>
      </c>
      <c r="K212" s="18">
        <f>Table12[[#This Row],[AEG E/S BARRA A]]*Table12[[#This Row],[AEG 5.2 MW]]</f>
        <v>123.9</v>
      </c>
      <c r="L212" s="18">
        <f>Table12[[#This Row],[AEG E/S BARRA B]]*Table12[[#This Row],[AEG 5.0 MW]]</f>
        <v>95.660000000000011</v>
      </c>
      <c r="M21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2" s="29">
        <f>INDEX(Curva_Temp[Temp],MATCH(Table12[[#This Row],[Windy Temp.
°C]],Curva_Temp[Temp]))</f>
        <v>20</v>
      </c>
      <c r="O212" s="29">
        <f>INDEX(Curva_Temp[Warranted Power Curve for 
1.194Kg/m3 air density '[kW']
SG 5.0-145 (AM+1, 5.2MW) AT 
90M],MATCH(Table12[[#This Row],[Windy Temp.
°C]],Curva_Temp[Temp]))</f>
        <v>5000</v>
      </c>
      <c r="P212" s="29" cm="1">
        <f t="array" ref="P212">INDEX(Curva_Temp[Temp],MATCH(Table12[[#This Row],[Windy Temp.
°C]],Curva_Temp[Temp])+1)</f>
        <v>25</v>
      </c>
      <c r="Q212" s="29" cm="1">
        <f t="array" ref="Q212">INDEX(Curva_Temp[Warranted Power Curve for 
1.194Kg/m3 air density '[kW']
SG 5.0-145 (AM+1, 5.2MW) AT 
90M],MATCH(Table12[[#This Row],[Windy Temp.
°C]],Curva_Temp[Temp])+1)</f>
        <v>4900</v>
      </c>
      <c r="R2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2" s="18"/>
      <c r="U212" s="18">
        <v>4.3</v>
      </c>
      <c r="V212" s="18">
        <v>5.9</v>
      </c>
      <c r="W212" s="18">
        <f>CEILING(Table12[[#This Row],[Darwin Gusts
m/s]],0.5)</f>
        <v>6</v>
      </c>
      <c r="X212" s="18">
        <v>20.7</v>
      </c>
    </row>
    <row r="213" spans="2:24" ht="12" x14ac:dyDescent="0.2">
      <c r="B213" s="16">
        <f t="shared" si="21"/>
        <v>45088.708333332826</v>
      </c>
      <c r="C213" s="24">
        <f t="shared" si="22"/>
        <v>8.7083333333333446</v>
      </c>
      <c r="D213" s="29">
        <f>Table12[[#This Row],[MW TOTAL BARRA A]]+Table12[[#This Row],[MW TOTAL BARRA B]]</f>
        <v>219.56</v>
      </c>
      <c r="E213" s="25">
        <f>Windy_web!$DN7</f>
        <v>7</v>
      </c>
      <c r="F213" s="25">
        <f>Windy_web!$DN8</f>
        <v>11</v>
      </c>
      <c r="G213" s="26" t="str">
        <f>Windy_web!$DN5</f>
        <v>20°</v>
      </c>
      <c r="H213" s="26">
        <f t="shared" si="20"/>
        <v>20</v>
      </c>
      <c r="I213" s="18">
        <v>25</v>
      </c>
      <c r="J213" s="18">
        <v>20</v>
      </c>
      <c r="K213" s="18">
        <f>Table12[[#This Row],[AEG E/S BARRA A]]*Table12[[#This Row],[AEG 5.2 MW]]</f>
        <v>123.9</v>
      </c>
      <c r="L213" s="18">
        <f>Table12[[#This Row],[AEG E/S BARRA B]]*Table12[[#This Row],[AEG 5.0 MW]]</f>
        <v>95.660000000000011</v>
      </c>
      <c r="M2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3" s="29">
        <f>INDEX(Curva_Temp[Temp],MATCH(Table12[[#This Row],[Windy Temp.
°C]],Curva_Temp[Temp]))</f>
        <v>20</v>
      </c>
      <c r="O213" s="29">
        <f>INDEX(Curva_Temp[Warranted Power Curve for 
1.194Kg/m3 air density '[kW']
SG 5.0-145 (AM+1, 5.2MW) AT 
90M],MATCH(Table12[[#This Row],[Windy Temp.
°C]],Curva_Temp[Temp]))</f>
        <v>5000</v>
      </c>
      <c r="P213" s="29" cm="1">
        <f t="array" ref="P213">INDEX(Curva_Temp[Temp],MATCH(Table12[[#This Row],[Windy Temp.
°C]],Curva_Temp[Temp])+1)</f>
        <v>25</v>
      </c>
      <c r="Q213" s="29" cm="1">
        <f t="array" ref="Q213">INDEX(Curva_Temp[Warranted Power Curve for 
1.194Kg/m3 air density '[kW']
SG 5.0-145 (AM+1, 5.2MW) AT 
90M],MATCH(Table12[[#This Row],[Windy Temp.
°C]],Curva_Temp[Temp])+1)</f>
        <v>4900</v>
      </c>
      <c r="R2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3" s="18"/>
      <c r="U213" s="18">
        <v>3.7</v>
      </c>
      <c r="V213" s="18">
        <v>5.5</v>
      </c>
      <c r="W213" s="18">
        <f>CEILING(Table12[[#This Row],[Darwin Gusts
m/s]],0.5)</f>
        <v>5.5</v>
      </c>
      <c r="X213" s="18">
        <v>21.4</v>
      </c>
    </row>
    <row r="214" spans="2:24" ht="12" x14ac:dyDescent="0.2">
      <c r="B214" s="16">
        <f t="shared" si="21"/>
        <v>45088.749999999491</v>
      </c>
      <c r="C214" s="24">
        <f t="shared" si="22"/>
        <v>8.7500000000000107</v>
      </c>
      <c r="D214" s="29">
        <f>Table12[[#This Row],[MW TOTAL BARRA A]]+Table12[[#This Row],[MW TOTAL BARRA B]]</f>
        <v>219.56</v>
      </c>
      <c r="E214" s="25">
        <f>Windy_web!$DN7</f>
        <v>7</v>
      </c>
      <c r="F214" s="25">
        <f>Windy_web!$DN8</f>
        <v>11</v>
      </c>
      <c r="G214" s="26" t="str">
        <f>Windy_web!$DN5</f>
        <v>20°</v>
      </c>
      <c r="H214" s="26">
        <f t="shared" si="20"/>
        <v>20</v>
      </c>
      <c r="I214" s="18">
        <v>25</v>
      </c>
      <c r="J214" s="18">
        <v>20</v>
      </c>
      <c r="K214" s="18">
        <f>Table12[[#This Row],[AEG E/S BARRA A]]*Table12[[#This Row],[AEG 5.2 MW]]</f>
        <v>123.9</v>
      </c>
      <c r="L214" s="18">
        <f>Table12[[#This Row],[AEG E/S BARRA B]]*Table12[[#This Row],[AEG 5.0 MW]]</f>
        <v>95.660000000000011</v>
      </c>
      <c r="M2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4" s="29">
        <f>INDEX(Curva_Temp[Temp],MATCH(Table12[[#This Row],[Windy Temp.
°C]],Curva_Temp[Temp]))</f>
        <v>20</v>
      </c>
      <c r="O214" s="29">
        <f>INDEX(Curva_Temp[Warranted Power Curve for 
1.194Kg/m3 air density '[kW']
SG 5.0-145 (AM+1, 5.2MW) AT 
90M],MATCH(Table12[[#This Row],[Windy Temp.
°C]],Curva_Temp[Temp]))</f>
        <v>5000</v>
      </c>
      <c r="P214" s="29" cm="1">
        <f t="array" ref="P214">INDEX(Curva_Temp[Temp],MATCH(Table12[[#This Row],[Windy Temp.
°C]],Curva_Temp[Temp])+1)</f>
        <v>25</v>
      </c>
      <c r="Q214" s="29" cm="1">
        <f t="array" ref="Q214">INDEX(Curva_Temp[Warranted Power Curve for 
1.194Kg/m3 air density '[kW']
SG 5.0-145 (AM+1, 5.2MW) AT 
90M],MATCH(Table12[[#This Row],[Windy Temp.
°C]],Curva_Temp[Temp])+1)</f>
        <v>4900</v>
      </c>
      <c r="R2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4" s="18"/>
      <c r="U214" s="18">
        <v>3.1</v>
      </c>
      <c r="V214" s="18">
        <v>5.0999999999999996</v>
      </c>
      <c r="W214" s="18">
        <f>CEILING(Table12[[#This Row],[Darwin Gusts
m/s]],0.5)</f>
        <v>5.5</v>
      </c>
      <c r="X214" s="18">
        <v>22</v>
      </c>
    </row>
    <row r="215" spans="2:24" ht="12" x14ac:dyDescent="0.2">
      <c r="B215" s="16">
        <f t="shared" si="21"/>
        <v>45088.791666666155</v>
      </c>
      <c r="C215" s="17">
        <f>C214+TIME(1,0,0)</f>
        <v>8.7916666666666767</v>
      </c>
      <c r="D215" s="29">
        <f>Table12[[#This Row],[MW TOTAL BARRA A]]+Table12[[#This Row],[MW TOTAL BARRA B]]</f>
        <v>228.44</v>
      </c>
      <c r="E215" s="25">
        <f>Windy_web!$DO7</f>
        <v>7</v>
      </c>
      <c r="F215" s="25">
        <f>Windy_web!$DO8</f>
        <v>12</v>
      </c>
      <c r="G215" s="26" t="str">
        <f>Windy_web!$DO5</f>
        <v>16°</v>
      </c>
      <c r="H215" s="26">
        <f t="shared" si="20"/>
        <v>16</v>
      </c>
      <c r="I215" s="18">
        <v>25</v>
      </c>
      <c r="J215" s="18">
        <v>20</v>
      </c>
      <c r="K215" s="18">
        <f>Table12[[#This Row],[AEG E/S BARRA A]]*Table12[[#This Row],[AEG 5.2 MW]]</f>
        <v>129</v>
      </c>
      <c r="L215" s="18">
        <f>Table12[[#This Row],[AEG E/S BARRA B]]*Table12[[#This Row],[AEG 5.0 MW]]</f>
        <v>99.440000000000012</v>
      </c>
      <c r="M21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5" s="29">
        <f>INDEX(Curva_Temp[Temp],MATCH(Table12[[#This Row],[Windy Temp.
°C]],Curva_Temp[Temp]))</f>
        <v>15</v>
      </c>
      <c r="O215" s="29">
        <f>INDEX(Curva_Temp[Warranted Power Curve for 
1.194Kg/m3 air density '[kW']
SG 5.0-145 (AM+1, 5.2MW) AT 
90M],MATCH(Table12[[#This Row],[Windy Temp.
°C]],Curva_Temp[Temp]))</f>
        <v>5200</v>
      </c>
      <c r="P215" s="29" cm="1">
        <f t="array" ref="P215">INDEX(Curva_Temp[Temp],MATCH(Table12[[#This Row],[Windy Temp.
°C]],Curva_Temp[Temp])+1)</f>
        <v>20</v>
      </c>
      <c r="Q215" s="29" cm="1">
        <f t="array" ref="Q215">INDEX(Curva_Temp[Warranted Power Curve for 
1.194Kg/m3 air density '[kW']
SG 5.0-145 (AM+1, 5.2MW) AT 
90M],MATCH(Table12[[#This Row],[Windy Temp.
°C]],Curva_Temp[Temp])+1)</f>
        <v>5000</v>
      </c>
      <c r="R2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5" s="18"/>
      <c r="U215" s="18">
        <v>3.7</v>
      </c>
      <c r="V215" s="18">
        <v>5.2</v>
      </c>
      <c r="W215" s="18">
        <f>CEILING(Table12[[#This Row],[Darwin Gusts
m/s]],0.5)</f>
        <v>5.5</v>
      </c>
      <c r="X215" s="18">
        <v>21.5</v>
      </c>
    </row>
    <row r="216" spans="2:24" ht="12" x14ac:dyDescent="0.2">
      <c r="B216" s="16">
        <f t="shared" si="21"/>
        <v>45088.833333332819</v>
      </c>
      <c r="C216" s="24">
        <f t="shared" ref="C216:C220" si="23">C215+TIME(1,0,0)</f>
        <v>8.8333333333333428</v>
      </c>
      <c r="D216" s="29">
        <f>Table12[[#This Row],[MW TOTAL BARRA A]]+Table12[[#This Row],[MW TOTAL BARRA B]]</f>
        <v>228.44</v>
      </c>
      <c r="E216" s="25">
        <f>Windy_web!$DO7</f>
        <v>7</v>
      </c>
      <c r="F216" s="25">
        <f>Windy_web!$DO8</f>
        <v>12</v>
      </c>
      <c r="G216" s="26" t="str">
        <f>Windy_web!$DO5</f>
        <v>16°</v>
      </c>
      <c r="H216" s="26">
        <f t="shared" si="20"/>
        <v>16</v>
      </c>
      <c r="I216" s="18">
        <v>25</v>
      </c>
      <c r="J216" s="18">
        <v>20</v>
      </c>
      <c r="K216" s="18">
        <f>Table12[[#This Row],[AEG E/S BARRA A]]*Table12[[#This Row],[AEG 5.2 MW]]</f>
        <v>129</v>
      </c>
      <c r="L216" s="18">
        <f>Table12[[#This Row],[AEG E/S BARRA B]]*Table12[[#This Row],[AEG 5.0 MW]]</f>
        <v>99.440000000000012</v>
      </c>
      <c r="M21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6" s="29">
        <f>INDEX(Curva_Temp[Temp],MATCH(Table12[[#This Row],[Windy Temp.
°C]],Curva_Temp[Temp]))</f>
        <v>15</v>
      </c>
      <c r="O216" s="29">
        <f>INDEX(Curva_Temp[Warranted Power Curve for 
1.194Kg/m3 air density '[kW']
SG 5.0-145 (AM+1, 5.2MW) AT 
90M],MATCH(Table12[[#This Row],[Windy Temp.
°C]],Curva_Temp[Temp]))</f>
        <v>5200</v>
      </c>
      <c r="P216" s="29" cm="1">
        <f t="array" ref="P216">INDEX(Curva_Temp[Temp],MATCH(Table12[[#This Row],[Windy Temp.
°C]],Curva_Temp[Temp])+1)</f>
        <v>20</v>
      </c>
      <c r="Q216" s="29" cm="1">
        <f t="array" ref="Q216">INDEX(Curva_Temp[Warranted Power Curve for 
1.194Kg/m3 air density '[kW']
SG 5.0-145 (AM+1, 5.2MW) AT 
90M],MATCH(Table12[[#This Row],[Windy Temp.
°C]],Curva_Temp[Temp])+1)</f>
        <v>5000</v>
      </c>
      <c r="R2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6" s="18"/>
      <c r="U216" s="18">
        <v>4.3</v>
      </c>
      <c r="V216" s="18">
        <v>5.5</v>
      </c>
      <c r="W216" s="18">
        <f>CEILING(Table12[[#This Row],[Darwin Gusts
m/s]],0.5)</f>
        <v>5.5</v>
      </c>
      <c r="X216" s="18">
        <v>20.8</v>
      </c>
    </row>
    <row r="217" spans="2:24" ht="12" x14ac:dyDescent="0.2">
      <c r="B217" s="16">
        <f t="shared" si="21"/>
        <v>45088.874999999483</v>
      </c>
      <c r="C217" s="24">
        <f t="shared" si="23"/>
        <v>8.8750000000000089</v>
      </c>
      <c r="D217" s="29">
        <f>Table12[[#This Row],[MW TOTAL BARRA A]]+Table12[[#This Row],[MW TOTAL BARRA B]]</f>
        <v>228.44</v>
      </c>
      <c r="E217" s="25">
        <f>Windy_web!$DO7</f>
        <v>7</v>
      </c>
      <c r="F217" s="25">
        <f>Windy_web!$DO8</f>
        <v>12</v>
      </c>
      <c r="G217" s="26" t="str">
        <f>Windy_web!$DO5</f>
        <v>16°</v>
      </c>
      <c r="H217" s="26">
        <f t="shared" si="20"/>
        <v>16</v>
      </c>
      <c r="I217" s="18">
        <v>25</v>
      </c>
      <c r="J217" s="18">
        <v>20</v>
      </c>
      <c r="K217" s="18">
        <f>Table12[[#This Row],[AEG E/S BARRA A]]*Table12[[#This Row],[AEG 5.2 MW]]</f>
        <v>129</v>
      </c>
      <c r="L217" s="18">
        <f>Table12[[#This Row],[AEG E/S BARRA B]]*Table12[[#This Row],[AEG 5.0 MW]]</f>
        <v>99.440000000000012</v>
      </c>
      <c r="M21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7" s="29">
        <f>INDEX(Curva_Temp[Temp],MATCH(Table12[[#This Row],[Windy Temp.
°C]],Curva_Temp[Temp]))</f>
        <v>15</v>
      </c>
      <c r="O217" s="29">
        <f>INDEX(Curva_Temp[Warranted Power Curve for 
1.194Kg/m3 air density '[kW']
SG 5.0-145 (AM+1, 5.2MW) AT 
90M],MATCH(Table12[[#This Row],[Windy Temp.
°C]],Curva_Temp[Temp]))</f>
        <v>5200</v>
      </c>
      <c r="P217" s="29" cm="1">
        <f t="array" ref="P217">INDEX(Curva_Temp[Temp],MATCH(Table12[[#This Row],[Windy Temp.
°C]],Curva_Temp[Temp])+1)</f>
        <v>20</v>
      </c>
      <c r="Q217" s="29" cm="1">
        <f t="array" ref="Q217">INDEX(Curva_Temp[Warranted Power Curve for 
1.194Kg/m3 air density '[kW']
SG 5.0-145 (AM+1, 5.2MW) AT 
90M],MATCH(Table12[[#This Row],[Windy Temp.
°C]],Curva_Temp[Temp])+1)</f>
        <v>5000</v>
      </c>
      <c r="R2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7" s="18"/>
      <c r="U217" s="18">
        <v>4.9000000000000004</v>
      </c>
      <c r="V217" s="18">
        <v>6.3</v>
      </c>
      <c r="W217" s="18">
        <f>CEILING(Table12[[#This Row],[Darwin Gusts
m/s]],0.5)</f>
        <v>6.5</v>
      </c>
      <c r="X217" s="18">
        <v>20.100000000000001</v>
      </c>
    </row>
    <row r="218" spans="2:24" ht="12" x14ac:dyDescent="0.2">
      <c r="B218" s="16">
        <f t="shared" si="21"/>
        <v>45088.916666666148</v>
      </c>
      <c r="C218" s="24">
        <f t="shared" si="23"/>
        <v>8.916666666666675</v>
      </c>
      <c r="D218" s="29">
        <f>Table12[[#This Row],[MW TOTAL BARRA A]]+Table12[[#This Row],[MW TOTAL BARRA B]]</f>
        <v>228.44</v>
      </c>
      <c r="E218" s="25">
        <f>Windy_web!$DO7</f>
        <v>7</v>
      </c>
      <c r="F218" s="25">
        <f>Windy_web!$DO8</f>
        <v>12</v>
      </c>
      <c r="G218" s="26" t="str">
        <f>Windy_web!$DO5</f>
        <v>16°</v>
      </c>
      <c r="H218" s="26">
        <f t="shared" si="20"/>
        <v>16</v>
      </c>
      <c r="I218" s="18">
        <v>25</v>
      </c>
      <c r="J218" s="18">
        <v>20</v>
      </c>
      <c r="K218" s="18">
        <f>Table12[[#This Row],[AEG E/S BARRA A]]*Table12[[#This Row],[AEG 5.2 MW]]</f>
        <v>129</v>
      </c>
      <c r="L218" s="18">
        <f>Table12[[#This Row],[AEG E/S BARRA B]]*Table12[[#This Row],[AEG 5.0 MW]]</f>
        <v>99.440000000000012</v>
      </c>
      <c r="M21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8" s="29">
        <f>INDEX(Curva_Temp[Temp],MATCH(Table12[[#This Row],[Windy Temp.
°C]],Curva_Temp[Temp]))</f>
        <v>15</v>
      </c>
      <c r="O218" s="29">
        <f>INDEX(Curva_Temp[Warranted Power Curve for 
1.194Kg/m3 air density '[kW']
SG 5.0-145 (AM+1, 5.2MW) AT 
90M],MATCH(Table12[[#This Row],[Windy Temp.
°C]],Curva_Temp[Temp]))</f>
        <v>5200</v>
      </c>
      <c r="P218" s="29" cm="1">
        <f t="array" ref="P218">INDEX(Curva_Temp[Temp],MATCH(Table12[[#This Row],[Windy Temp.
°C]],Curva_Temp[Temp])+1)</f>
        <v>20</v>
      </c>
      <c r="Q218" s="29" cm="1">
        <f t="array" ref="Q218">INDEX(Curva_Temp[Warranted Power Curve for 
1.194Kg/m3 air density '[kW']
SG 5.0-145 (AM+1, 5.2MW) AT 
90M],MATCH(Table12[[#This Row],[Windy Temp.
°C]],Curva_Temp[Temp])+1)</f>
        <v>5000</v>
      </c>
      <c r="R2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8" s="18"/>
      <c r="U218" s="18">
        <v>5.5</v>
      </c>
      <c r="V218" s="18">
        <v>7</v>
      </c>
      <c r="W218" s="18">
        <f>CEILING(Table12[[#This Row],[Darwin Gusts
m/s]],0.5)</f>
        <v>7</v>
      </c>
      <c r="X218" s="18">
        <v>19.3</v>
      </c>
    </row>
    <row r="219" spans="2:24" ht="12" x14ac:dyDescent="0.2">
      <c r="B219" s="16">
        <f t="shared" si="21"/>
        <v>45088.958333332812</v>
      </c>
      <c r="C219" s="24">
        <f t="shared" si="23"/>
        <v>8.958333333333341</v>
      </c>
      <c r="D219" s="29">
        <f>Table12[[#This Row],[MW TOTAL BARRA A]]+Table12[[#This Row],[MW TOTAL BARRA B]]</f>
        <v>228.44</v>
      </c>
      <c r="E219" s="25">
        <f>Windy_web!$DO7</f>
        <v>7</v>
      </c>
      <c r="F219" s="25">
        <f>Windy_web!$DO8</f>
        <v>12</v>
      </c>
      <c r="G219" s="26" t="str">
        <f>Windy_web!$DO5</f>
        <v>16°</v>
      </c>
      <c r="H219" s="26">
        <f t="shared" si="20"/>
        <v>16</v>
      </c>
      <c r="I219" s="18">
        <v>25</v>
      </c>
      <c r="J219" s="18">
        <v>20</v>
      </c>
      <c r="K219" s="18">
        <f>Table12[[#This Row],[AEG E/S BARRA A]]*Table12[[#This Row],[AEG 5.2 MW]]</f>
        <v>129</v>
      </c>
      <c r="L219" s="18">
        <f>Table12[[#This Row],[AEG E/S BARRA B]]*Table12[[#This Row],[AEG 5.0 MW]]</f>
        <v>99.440000000000012</v>
      </c>
      <c r="M21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9" s="29">
        <f>INDEX(Curva_Temp[Temp],MATCH(Table12[[#This Row],[Windy Temp.
°C]],Curva_Temp[Temp]))</f>
        <v>15</v>
      </c>
      <c r="O219" s="29">
        <f>INDEX(Curva_Temp[Warranted Power Curve for 
1.194Kg/m3 air density '[kW']
SG 5.0-145 (AM+1, 5.2MW) AT 
90M],MATCH(Table12[[#This Row],[Windy Temp.
°C]],Curva_Temp[Temp]))</f>
        <v>5200</v>
      </c>
      <c r="P219" s="29" cm="1">
        <f t="array" ref="P219">INDEX(Curva_Temp[Temp],MATCH(Table12[[#This Row],[Windy Temp.
°C]],Curva_Temp[Temp])+1)</f>
        <v>20</v>
      </c>
      <c r="Q219" s="29" cm="1">
        <f t="array" ref="Q219">INDEX(Curva_Temp[Warranted Power Curve for 
1.194Kg/m3 air density '[kW']
SG 5.0-145 (AM+1, 5.2MW) AT 
90M],MATCH(Table12[[#This Row],[Windy Temp.
°C]],Curva_Temp[Temp])+1)</f>
        <v>5000</v>
      </c>
      <c r="R2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9" s="18"/>
      <c r="U219" s="18">
        <v>6.1</v>
      </c>
      <c r="V219" s="18">
        <v>7.7</v>
      </c>
      <c r="W219" s="18">
        <f>CEILING(Table12[[#This Row],[Darwin Gusts
m/s]],0.5)</f>
        <v>8</v>
      </c>
      <c r="X219" s="18">
        <v>18.3</v>
      </c>
    </row>
    <row r="220" spans="2:24" ht="12" x14ac:dyDescent="0.2">
      <c r="B220" s="16">
        <f t="shared" si="21"/>
        <v>45088.999999999476</v>
      </c>
      <c r="C220" s="24">
        <f t="shared" si="23"/>
        <v>9.0000000000000071</v>
      </c>
      <c r="D220" s="29">
        <f>Table12[[#This Row],[MW TOTAL BARRA A]]+Table12[[#This Row],[MW TOTAL BARRA B]]</f>
        <v>228.44</v>
      </c>
      <c r="E220" s="25">
        <f>Windy_web!$DO7</f>
        <v>7</v>
      </c>
      <c r="F220" s="25">
        <f>Windy_web!$DO8</f>
        <v>12</v>
      </c>
      <c r="G220" s="26" t="str">
        <f>Windy_web!$DO5</f>
        <v>16°</v>
      </c>
      <c r="H220" s="26">
        <f t="shared" si="20"/>
        <v>16</v>
      </c>
      <c r="I220" s="18">
        <v>25</v>
      </c>
      <c r="J220" s="18">
        <v>20</v>
      </c>
      <c r="K220" s="18">
        <f>Table12[[#This Row],[AEG E/S BARRA A]]*Table12[[#This Row],[AEG 5.2 MW]]</f>
        <v>129</v>
      </c>
      <c r="L220" s="18">
        <f>Table12[[#This Row],[AEG E/S BARRA B]]*Table12[[#This Row],[AEG 5.0 MW]]</f>
        <v>99.440000000000012</v>
      </c>
      <c r="M22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20" s="29">
        <f>INDEX(Curva_Temp[Temp],MATCH(Table12[[#This Row],[Windy Temp.
°C]],Curva_Temp[Temp]))</f>
        <v>15</v>
      </c>
      <c r="O220" s="29">
        <f>INDEX(Curva_Temp[Warranted Power Curve for 
1.194Kg/m3 air density '[kW']
SG 5.0-145 (AM+1, 5.2MW) AT 
90M],MATCH(Table12[[#This Row],[Windy Temp.
°C]],Curva_Temp[Temp]))</f>
        <v>5200</v>
      </c>
      <c r="P220" s="29" cm="1">
        <f t="array" ref="P220">INDEX(Curva_Temp[Temp],MATCH(Table12[[#This Row],[Windy Temp.
°C]],Curva_Temp[Temp])+1)</f>
        <v>20</v>
      </c>
      <c r="Q220" s="29" cm="1">
        <f t="array" ref="Q220">INDEX(Curva_Temp[Warranted Power Curve for 
1.194Kg/m3 air density '[kW']
SG 5.0-145 (AM+1, 5.2MW) AT 
90M],MATCH(Table12[[#This Row],[Windy Temp.
°C]],Curva_Temp[Temp])+1)</f>
        <v>5000</v>
      </c>
      <c r="R2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20" s="18"/>
      <c r="U220" s="18">
        <v>6.6</v>
      </c>
      <c r="V220" s="18">
        <v>8.4</v>
      </c>
      <c r="W220" s="18">
        <f>CEILING(Table12[[#This Row],[Darwin Gusts
m/s]],0.5)</f>
        <v>8.5</v>
      </c>
      <c r="X220" s="18">
        <v>17.600000000000001</v>
      </c>
    </row>
    <row r="221" spans="2:24" ht="12" x14ac:dyDescent="0.2">
      <c r="B221" s="16">
        <f t="shared" si="21"/>
        <v>45089.04166666614</v>
      </c>
      <c r="C221" s="17">
        <f>C220+TIME(1,0,0)</f>
        <v>9.0416666666666732</v>
      </c>
      <c r="D221" s="29">
        <f>Table12[[#This Row],[MW TOTAL BARRA A]]+Table12[[#This Row],[MW TOTAL BARRA B]]</f>
        <v>219.56</v>
      </c>
      <c r="E221" s="18">
        <f>Windy_web!$DP7</f>
        <v>3</v>
      </c>
      <c r="F221" s="18">
        <f>Windy_web!$DP8</f>
        <v>11</v>
      </c>
      <c r="G221" s="27" t="str">
        <f>Windy_web!$DP5</f>
        <v>15°</v>
      </c>
      <c r="H221" s="26">
        <f t="shared" si="20"/>
        <v>15</v>
      </c>
      <c r="I221" s="18">
        <v>25</v>
      </c>
      <c r="J221" s="18">
        <v>20</v>
      </c>
      <c r="K221" s="18">
        <f>Table12[[#This Row],[AEG E/S BARRA A]]*Table12[[#This Row],[AEG 5.2 MW]]</f>
        <v>123.9</v>
      </c>
      <c r="L221" s="18">
        <f>Table12[[#This Row],[AEG E/S BARRA B]]*Table12[[#This Row],[AEG 5.0 MW]]</f>
        <v>95.660000000000011</v>
      </c>
      <c r="M22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1" s="29">
        <f>INDEX(Curva_Temp[Temp],MATCH(Table12[[#This Row],[Windy Temp.
°C]],Curva_Temp[Temp]))</f>
        <v>15</v>
      </c>
      <c r="O221" s="29">
        <f>INDEX(Curva_Temp[Warranted Power Curve for 
1.194Kg/m3 air density '[kW']
SG 5.0-145 (AM+1, 5.2MW) AT 
90M],MATCH(Table12[[#This Row],[Windy Temp.
°C]],Curva_Temp[Temp]))</f>
        <v>5200</v>
      </c>
      <c r="P221" s="29" cm="1">
        <f t="array" ref="P221">INDEX(Curva_Temp[Temp],MATCH(Table12[[#This Row],[Windy Temp.
°C]],Curva_Temp[Temp])+1)</f>
        <v>20</v>
      </c>
      <c r="Q221" s="29" cm="1">
        <f t="array" ref="Q221">INDEX(Curva_Temp[Warranted Power Curve for 
1.194Kg/m3 air density '[kW']
SG 5.0-145 (AM+1, 5.2MW) AT 
90M],MATCH(Table12[[#This Row],[Windy Temp.
°C]],Curva_Temp[Temp])+1)</f>
        <v>5000</v>
      </c>
      <c r="R2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1" s="18"/>
      <c r="U221" s="18">
        <v>6.8</v>
      </c>
      <c r="V221" s="18">
        <v>8.6</v>
      </c>
      <c r="W221" s="18">
        <f>CEILING(Table12[[#This Row],[Darwin Gusts
m/s]],0.5)</f>
        <v>9</v>
      </c>
      <c r="X221" s="18">
        <v>17.600000000000001</v>
      </c>
    </row>
    <row r="222" spans="2:24" ht="12" x14ac:dyDescent="0.2">
      <c r="B222" s="16">
        <f t="shared" si="21"/>
        <v>45089.083333332805</v>
      </c>
      <c r="C222" s="24">
        <f t="shared" ref="C222:C238" si="24">C221+TIME(1,0,0)</f>
        <v>9.0833333333333393</v>
      </c>
      <c r="D222" s="29">
        <f>Table12[[#This Row],[MW TOTAL BARRA A]]+Table12[[#This Row],[MW TOTAL BARRA B]]</f>
        <v>219.56</v>
      </c>
      <c r="E222" s="25">
        <f>Windy_web!$DP7</f>
        <v>3</v>
      </c>
      <c r="F222" s="25">
        <f>Windy_web!$DP8</f>
        <v>11</v>
      </c>
      <c r="G222" s="26" t="str">
        <f>Windy_web!$DP5</f>
        <v>15°</v>
      </c>
      <c r="H222" s="26">
        <f t="shared" si="20"/>
        <v>15</v>
      </c>
      <c r="I222" s="18">
        <v>25</v>
      </c>
      <c r="J222" s="18">
        <v>20</v>
      </c>
      <c r="K222" s="18">
        <f>Table12[[#This Row],[AEG E/S BARRA A]]*Table12[[#This Row],[AEG 5.2 MW]]</f>
        <v>123.9</v>
      </c>
      <c r="L222" s="18">
        <f>Table12[[#This Row],[AEG E/S BARRA B]]*Table12[[#This Row],[AEG 5.0 MW]]</f>
        <v>95.660000000000011</v>
      </c>
      <c r="M22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2" s="29">
        <f>INDEX(Curva_Temp[Temp],MATCH(Table12[[#This Row],[Windy Temp.
°C]],Curva_Temp[Temp]))</f>
        <v>15</v>
      </c>
      <c r="O222" s="29">
        <f>INDEX(Curva_Temp[Warranted Power Curve for 
1.194Kg/m3 air density '[kW']
SG 5.0-145 (AM+1, 5.2MW) AT 
90M],MATCH(Table12[[#This Row],[Windy Temp.
°C]],Curva_Temp[Temp]))</f>
        <v>5200</v>
      </c>
      <c r="P222" s="29" cm="1">
        <f t="array" ref="P222">INDEX(Curva_Temp[Temp],MATCH(Table12[[#This Row],[Windy Temp.
°C]],Curva_Temp[Temp])+1)</f>
        <v>20</v>
      </c>
      <c r="Q222" s="29" cm="1">
        <f t="array" ref="Q222">INDEX(Curva_Temp[Warranted Power Curve for 
1.194Kg/m3 air density '[kW']
SG 5.0-145 (AM+1, 5.2MW) AT 
90M],MATCH(Table12[[#This Row],[Windy Temp.
°C]],Curva_Temp[Temp])+1)</f>
        <v>5000</v>
      </c>
      <c r="R2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2" s="18"/>
      <c r="U222" s="18">
        <v>7.1</v>
      </c>
      <c r="V222" s="18">
        <v>8.9</v>
      </c>
      <c r="W222" s="18">
        <f>CEILING(Table12[[#This Row],[Darwin Gusts
m/s]],0.5)</f>
        <v>9</v>
      </c>
      <c r="X222" s="18">
        <v>17.7</v>
      </c>
    </row>
    <row r="223" spans="2:24" ht="12" x14ac:dyDescent="0.2">
      <c r="B223" s="16">
        <f t="shared" si="21"/>
        <v>45089.124999999469</v>
      </c>
      <c r="C223" s="24">
        <f t="shared" si="24"/>
        <v>9.1250000000000053</v>
      </c>
      <c r="D223" s="29">
        <f>Table12[[#This Row],[MW TOTAL BARRA A]]+Table12[[#This Row],[MW TOTAL BARRA B]]</f>
        <v>219.56</v>
      </c>
      <c r="E223" s="25">
        <f>Windy_web!$DP7</f>
        <v>3</v>
      </c>
      <c r="F223" s="25">
        <f>Windy_web!$DP8</f>
        <v>11</v>
      </c>
      <c r="G223" s="26" t="str">
        <f>Windy_web!$DP5</f>
        <v>15°</v>
      </c>
      <c r="H223" s="26">
        <f t="shared" si="20"/>
        <v>15</v>
      </c>
      <c r="I223" s="18">
        <v>25</v>
      </c>
      <c r="J223" s="18">
        <v>20</v>
      </c>
      <c r="K223" s="18">
        <f>Table12[[#This Row],[AEG E/S BARRA A]]*Table12[[#This Row],[AEG 5.2 MW]]</f>
        <v>123.9</v>
      </c>
      <c r="L223" s="18">
        <f>Table12[[#This Row],[AEG E/S BARRA B]]*Table12[[#This Row],[AEG 5.0 MW]]</f>
        <v>95.660000000000011</v>
      </c>
      <c r="M22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3" s="29">
        <f>INDEX(Curva_Temp[Temp],MATCH(Table12[[#This Row],[Windy Temp.
°C]],Curva_Temp[Temp]))</f>
        <v>15</v>
      </c>
      <c r="O223" s="29">
        <f>INDEX(Curva_Temp[Warranted Power Curve for 
1.194Kg/m3 air density '[kW']
SG 5.0-145 (AM+1, 5.2MW) AT 
90M],MATCH(Table12[[#This Row],[Windy Temp.
°C]],Curva_Temp[Temp]))</f>
        <v>5200</v>
      </c>
      <c r="P223" s="29" cm="1">
        <f t="array" ref="P223">INDEX(Curva_Temp[Temp],MATCH(Table12[[#This Row],[Windy Temp.
°C]],Curva_Temp[Temp])+1)</f>
        <v>20</v>
      </c>
      <c r="Q223" s="29" cm="1">
        <f t="array" ref="Q223">INDEX(Curva_Temp[Warranted Power Curve for 
1.194Kg/m3 air density '[kW']
SG 5.0-145 (AM+1, 5.2MW) AT 
90M],MATCH(Table12[[#This Row],[Windy Temp.
°C]],Curva_Temp[Temp])+1)</f>
        <v>5000</v>
      </c>
      <c r="R2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3" s="18"/>
      <c r="U223" s="18">
        <v>7.3</v>
      </c>
      <c r="V223" s="18">
        <v>9.1</v>
      </c>
      <c r="W223" s="18">
        <f>CEILING(Table12[[#This Row],[Darwin Gusts
m/s]],0.5)</f>
        <v>9.5</v>
      </c>
      <c r="X223" s="18">
        <v>17.8</v>
      </c>
    </row>
    <row r="224" spans="2:24" ht="12" x14ac:dyDescent="0.2">
      <c r="B224" s="16">
        <f t="shared" si="21"/>
        <v>45089.166666666133</v>
      </c>
      <c r="C224" s="24">
        <f t="shared" si="24"/>
        <v>9.1666666666666714</v>
      </c>
      <c r="D224" s="29">
        <f>Table12[[#This Row],[MW TOTAL BARRA A]]+Table12[[#This Row],[MW TOTAL BARRA B]]</f>
        <v>219.56</v>
      </c>
      <c r="E224" s="25">
        <f>Windy_web!$DP7</f>
        <v>3</v>
      </c>
      <c r="F224" s="25">
        <f>Windy_web!$DP8</f>
        <v>11</v>
      </c>
      <c r="G224" s="26" t="str">
        <f>Windy_web!$DP5</f>
        <v>15°</v>
      </c>
      <c r="H224" s="26">
        <f t="shared" si="20"/>
        <v>15</v>
      </c>
      <c r="I224" s="18">
        <v>25</v>
      </c>
      <c r="J224" s="18">
        <v>20</v>
      </c>
      <c r="K224" s="18">
        <f>Table12[[#This Row],[AEG E/S BARRA A]]*Table12[[#This Row],[AEG 5.2 MW]]</f>
        <v>123.9</v>
      </c>
      <c r="L224" s="18">
        <f>Table12[[#This Row],[AEG E/S BARRA B]]*Table12[[#This Row],[AEG 5.0 MW]]</f>
        <v>95.660000000000011</v>
      </c>
      <c r="M22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4" s="29">
        <f>INDEX(Curva_Temp[Temp],MATCH(Table12[[#This Row],[Windy Temp.
°C]],Curva_Temp[Temp]))</f>
        <v>15</v>
      </c>
      <c r="O224" s="29">
        <f>INDEX(Curva_Temp[Warranted Power Curve for 
1.194Kg/m3 air density '[kW']
SG 5.0-145 (AM+1, 5.2MW) AT 
90M],MATCH(Table12[[#This Row],[Windy Temp.
°C]],Curva_Temp[Temp]))</f>
        <v>5200</v>
      </c>
      <c r="P224" s="29" cm="1">
        <f t="array" ref="P224">INDEX(Curva_Temp[Temp],MATCH(Table12[[#This Row],[Windy Temp.
°C]],Curva_Temp[Temp])+1)</f>
        <v>20</v>
      </c>
      <c r="Q224" s="29" cm="1">
        <f t="array" ref="Q224">INDEX(Curva_Temp[Warranted Power Curve for 
1.194Kg/m3 air density '[kW']
SG 5.0-145 (AM+1, 5.2MW) AT 
90M],MATCH(Table12[[#This Row],[Windy Temp.
°C]],Curva_Temp[Temp])+1)</f>
        <v>5000</v>
      </c>
      <c r="R2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4" s="18"/>
      <c r="U224" s="18">
        <v>7.5</v>
      </c>
      <c r="V224" s="18">
        <v>9.4</v>
      </c>
      <c r="W224" s="18">
        <f>CEILING(Table12[[#This Row],[Darwin Gusts
m/s]],0.5)</f>
        <v>9.5</v>
      </c>
      <c r="X224" s="18">
        <v>17.8</v>
      </c>
    </row>
    <row r="225" spans="2:24" ht="12" x14ac:dyDescent="0.2">
      <c r="B225" s="16">
        <f t="shared" si="21"/>
        <v>45089.208333332797</v>
      </c>
      <c r="C225" s="24">
        <f t="shared" si="24"/>
        <v>9.2083333333333375</v>
      </c>
      <c r="D225" s="29">
        <f>Table12[[#This Row],[MW TOTAL BARRA A]]+Table12[[#This Row],[MW TOTAL BARRA B]]</f>
        <v>219.56</v>
      </c>
      <c r="E225" s="25">
        <f>Windy_web!$DP7</f>
        <v>3</v>
      </c>
      <c r="F225" s="25">
        <f>Windy_web!$DP8</f>
        <v>11</v>
      </c>
      <c r="G225" s="26" t="str">
        <f>Windy_web!$DP5</f>
        <v>15°</v>
      </c>
      <c r="H225" s="26">
        <f t="shared" si="20"/>
        <v>15</v>
      </c>
      <c r="I225" s="18">
        <v>25</v>
      </c>
      <c r="J225" s="18">
        <v>20</v>
      </c>
      <c r="K225" s="18">
        <f>Table12[[#This Row],[AEG E/S BARRA A]]*Table12[[#This Row],[AEG 5.2 MW]]</f>
        <v>123.9</v>
      </c>
      <c r="L225" s="18">
        <f>Table12[[#This Row],[AEG E/S BARRA B]]*Table12[[#This Row],[AEG 5.0 MW]]</f>
        <v>95.660000000000011</v>
      </c>
      <c r="M2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5" s="29">
        <f>INDEX(Curva_Temp[Temp],MATCH(Table12[[#This Row],[Windy Temp.
°C]],Curva_Temp[Temp]))</f>
        <v>15</v>
      </c>
      <c r="O225" s="29">
        <f>INDEX(Curva_Temp[Warranted Power Curve for 
1.194Kg/m3 air density '[kW']
SG 5.0-145 (AM+1, 5.2MW) AT 
90M],MATCH(Table12[[#This Row],[Windy Temp.
°C]],Curva_Temp[Temp]))</f>
        <v>5200</v>
      </c>
      <c r="P225" s="29" cm="1">
        <f t="array" ref="P225">INDEX(Curva_Temp[Temp],MATCH(Table12[[#This Row],[Windy Temp.
°C]],Curva_Temp[Temp])+1)</f>
        <v>20</v>
      </c>
      <c r="Q225" s="29" cm="1">
        <f t="array" ref="Q225">INDEX(Curva_Temp[Warranted Power Curve for 
1.194Kg/m3 air density '[kW']
SG 5.0-145 (AM+1, 5.2MW) AT 
90M],MATCH(Table12[[#This Row],[Windy Temp.
°C]],Curva_Temp[Temp])+1)</f>
        <v>5000</v>
      </c>
      <c r="R2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5" s="18"/>
      <c r="U225" s="18">
        <v>7.7</v>
      </c>
      <c r="V225" s="18">
        <v>9.6</v>
      </c>
      <c r="W225" s="18">
        <f>CEILING(Table12[[#This Row],[Darwin Gusts
m/s]],0.5)</f>
        <v>10</v>
      </c>
      <c r="X225" s="18">
        <v>17.899999999999999</v>
      </c>
    </row>
    <row r="226" spans="2:24" ht="12" x14ac:dyDescent="0.2">
      <c r="B226" s="16">
        <f t="shared" si="21"/>
        <v>45089.249999999462</v>
      </c>
      <c r="C226" s="24">
        <f t="shared" si="24"/>
        <v>9.2500000000000036</v>
      </c>
      <c r="D226" s="29">
        <f>Table12[[#This Row],[MW TOTAL BARRA A]]+Table12[[#This Row],[MW TOTAL BARRA B]]</f>
        <v>219.56</v>
      </c>
      <c r="E226" s="25">
        <f>Windy_web!$DP7</f>
        <v>3</v>
      </c>
      <c r="F226" s="25">
        <f>Windy_web!$DP8</f>
        <v>11</v>
      </c>
      <c r="G226" s="26" t="str">
        <f>Windy_web!$DP5</f>
        <v>15°</v>
      </c>
      <c r="H226" s="26">
        <f t="shared" si="20"/>
        <v>15</v>
      </c>
      <c r="I226" s="18">
        <v>25</v>
      </c>
      <c r="J226" s="18">
        <v>20</v>
      </c>
      <c r="K226" s="18">
        <f>Table12[[#This Row],[AEG E/S BARRA A]]*Table12[[#This Row],[AEG 5.2 MW]]</f>
        <v>123.9</v>
      </c>
      <c r="L226" s="18">
        <f>Table12[[#This Row],[AEG E/S BARRA B]]*Table12[[#This Row],[AEG 5.0 MW]]</f>
        <v>95.660000000000011</v>
      </c>
      <c r="M2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6" s="29">
        <f>INDEX(Curva_Temp[Temp],MATCH(Table12[[#This Row],[Windy Temp.
°C]],Curva_Temp[Temp]))</f>
        <v>15</v>
      </c>
      <c r="O226" s="29">
        <f>INDEX(Curva_Temp[Warranted Power Curve for 
1.194Kg/m3 air density '[kW']
SG 5.0-145 (AM+1, 5.2MW) AT 
90M],MATCH(Table12[[#This Row],[Windy Temp.
°C]],Curva_Temp[Temp]))</f>
        <v>5200</v>
      </c>
      <c r="P226" s="29" cm="1">
        <f t="array" ref="P226">INDEX(Curva_Temp[Temp],MATCH(Table12[[#This Row],[Windy Temp.
°C]],Curva_Temp[Temp])+1)</f>
        <v>20</v>
      </c>
      <c r="Q226" s="29" cm="1">
        <f t="array" ref="Q226">INDEX(Curva_Temp[Warranted Power Curve for 
1.194Kg/m3 air density '[kW']
SG 5.0-145 (AM+1, 5.2MW) AT 
90M],MATCH(Table12[[#This Row],[Windy Temp.
°C]],Curva_Temp[Temp])+1)</f>
        <v>5000</v>
      </c>
      <c r="R2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6" s="18"/>
      <c r="U226" s="18">
        <v>7.9</v>
      </c>
      <c r="V226" s="18">
        <v>9.8000000000000007</v>
      </c>
      <c r="W226" s="18">
        <f>CEILING(Table12[[#This Row],[Darwin Gusts
m/s]],0.5)</f>
        <v>10</v>
      </c>
      <c r="X226" s="18">
        <v>18</v>
      </c>
    </row>
    <row r="227" spans="2:24" ht="12" x14ac:dyDescent="0.2">
      <c r="B227" s="16">
        <f t="shared" si="21"/>
        <v>45089.291666666126</v>
      </c>
      <c r="C227" s="17">
        <f t="shared" si="24"/>
        <v>9.2916666666666696</v>
      </c>
      <c r="D227" s="29">
        <f>Table12[[#This Row],[MW TOTAL BARRA A]]+Table12[[#This Row],[MW TOTAL BARRA B]]</f>
        <v>71.824999999999989</v>
      </c>
      <c r="E227" s="18">
        <f>Windy_web!$DQ7</f>
        <v>4</v>
      </c>
      <c r="F227" s="18">
        <f>Windy_web!$DQ8</f>
        <v>7</v>
      </c>
      <c r="G227" s="27" t="str">
        <f>Windy_web!$DQ5</f>
        <v>15°</v>
      </c>
      <c r="H227" s="26">
        <f t="shared" si="20"/>
        <v>15</v>
      </c>
      <c r="I227" s="18">
        <v>25</v>
      </c>
      <c r="J227" s="18">
        <v>20</v>
      </c>
      <c r="K227" s="18">
        <f>Table12[[#This Row],[AEG E/S BARRA A]]*Table12[[#This Row],[AEG 5.2 MW]]</f>
        <v>39.924999999999997</v>
      </c>
      <c r="L227" s="18">
        <f>Table12[[#This Row],[AEG E/S BARRA B]]*Table12[[#This Row],[AEG 5.0 MW]]</f>
        <v>31.9</v>
      </c>
      <c r="M2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7" s="29">
        <f>INDEX(Curva_Temp[Temp],MATCH(Table12[[#This Row],[Windy Temp.
°C]],Curva_Temp[Temp]))</f>
        <v>15</v>
      </c>
      <c r="O227" s="29">
        <f>INDEX(Curva_Temp[Warranted Power Curve for 
1.194Kg/m3 air density '[kW']
SG 5.0-145 (AM+1, 5.2MW) AT 
90M],MATCH(Table12[[#This Row],[Windy Temp.
°C]],Curva_Temp[Temp]))</f>
        <v>5200</v>
      </c>
      <c r="P227" s="29" cm="1">
        <f t="array" ref="P227">INDEX(Curva_Temp[Temp],MATCH(Table12[[#This Row],[Windy Temp.
°C]],Curva_Temp[Temp])+1)</f>
        <v>20</v>
      </c>
      <c r="Q227" s="29" cm="1">
        <f t="array" ref="Q227">INDEX(Curva_Temp[Warranted Power Curve for 
1.194Kg/m3 air density '[kW']
SG 5.0-145 (AM+1, 5.2MW) AT 
90M],MATCH(Table12[[#This Row],[Windy Temp.
°C]],Curva_Temp[Temp])+1)</f>
        <v>5000</v>
      </c>
      <c r="R2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7" s="18"/>
      <c r="U227" s="18">
        <v>7.4</v>
      </c>
      <c r="V227" s="18">
        <v>9.3000000000000007</v>
      </c>
      <c r="W227" s="18">
        <f>CEILING(Table12[[#This Row],[Darwin Gusts
m/s]],0.5)</f>
        <v>9.5</v>
      </c>
      <c r="X227" s="18">
        <v>17.899999999999999</v>
      </c>
    </row>
    <row r="228" spans="2:24" ht="12" x14ac:dyDescent="0.2">
      <c r="B228" s="16">
        <f t="shared" si="21"/>
        <v>45089.33333333279</v>
      </c>
      <c r="C228" s="24">
        <f t="shared" si="24"/>
        <v>9.3333333333333357</v>
      </c>
      <c r="D228" s="29">
        <f>Table12[[#This Row],[MW TOTAL BARRA A]]+Table12[[#This Row],[MW TOTAL BARRA B]]</f>
        <v>71.824999999999989</v>
      </c>
      <c r="E228" s="25">
        <f>Windy_web!$DQ7</f>
        <v>4</v>
      </c>
      <c r="F228" s="25">
        <f>Windy_web!$DQ8</f>
        <v>7</v>
      </c>
      <c r="G228" s="26" t="str">
        <f>Windy_web!$DQ5</f>
        <v>15°</v>
      </c>
      <c r="H228" s="26">
        <f t="shared" si="20"/>
        <v>15</v>
      </c>
      <c r="I228" s="18">
        <v>25</v>
      </c>
      <c r="J228" s="18">
        <v>20</v>
      </c>
      <c r="K228" s="18">
        <f>Table12[[#This Row],[AEG E/S BARRA A]]*Table12[[#This Row],[AEG 5.2 MW]]</f>
        <v>39.924999999999997</v>
      </c>
      <c r="L228" s="18">
        <f>Table12[[#This Row],[AEG E/S BARRA B]]*Table12[[#This Row],[AEG 5.0 MW]]</f>
        <v>31.9</v>
      </c>
      <c r="M2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8" s="29">
        <f>INDEX(Curva_Temp[Temp],MATCH(Table12[[#This Row],[Windy Temp.
°C]],Curva_Temp[Temp]))</f>
        <v>15</v>
      </c>
      <c r="O228" s="29">
        <f>INDEX(Curva_Temp[Warranted Power Curve for 
1.194Kg/m3 air density '[kW']
SG 5.0-145 (AM+1, 5.2MW) AT 
90M],MATCH(Table12[[#This Row],[Windy Temp.
°C]],Curva_Temp[Temp]))</f>
        <v>5200</v>
      </c>
      <c r="P228" s="29" cm="1">
        <f t="array" ref="P228">INDEX(Curva_Temp[Temp],MATCH(Table12[[#This Row],[Windy Temp.
°C]],Curva_Temp[Temp])+1)</f>
        <v>20</v>
      </c>
      <c r="Q228" s="29" cm="1">
        <f t="array" ref="Q228">INDEX(Curva_Temp[Warranted Power Curve for 
1.194Kg/m3 air density '[kW']
SG 5.0-145 (AM+1, 5.2MW) AT 
90M],MATCH(Table12[[#This Row],[Windy Temp.
°C]],Curva_Temp[Temp])+1)</f>
        <v>5000</v>
      </c>
      <c r="R2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8" s="18"/>
      <c r="U228" s="18">
        <v>6.9</v>
      </c>
      <c r="V228" s="18">
        <v>8.6999999999999993</v>
      </c>
      <c r="W228" s="18">
        <f>CEILING(Table12[[#This Row],[Darwin Gusts
m/s]],0.5)</f>
        <v>9</v>
      </c>
      <c r="X228" s="18">
        <v>17.899999999999999</v>
      </c>
    </row>
    <row r="229" spans="2:24" ht="12" x14ac:dyDescent="0.2">
      <c r="B229" s="16">
        <f t="shared" si="21"/>
        <v>45089.374999999454</v>
      </c>
      <c r="C229" s="24">
        <f t="shared" si="24"/>
        <v>9.3750000000000018</v>
      </c>
      <c r="D229" s="29">
        <f>Table12[[#This Row],[MW TOTAL BARRA A]]+Table12[[#This Row],[MW TOTAL BARRA B]]</f>
        <v>71.824999999999989</v>
      </c>
      <c r="E229" s="25">
        <f>Windy_web!$DQ7</f>
        <v>4</v>
      </c>
      <c r="F229" s="25">
        <f>Windy_web!$DQ8</f>
        <v>7</v>
      </c>
      <c r="G229" s="26" t="str">
        <f>Windy_web!$DQ5</f>
        <v>15°</v>
      </c>
      <c r="H229" s="26">
        <f t="shared" si="20"/>
        <v>15</v>
      </c>
      <c r="I229" s="18">
        <v>25</v>
      </c>
      <c r="J229" s="18">
        <v>20</v>
      </c>
      <c r="K229" s="18">
        <f>Table12[[#This Row],[AEG E/S BARRA A]]*Table12[[#This Row],[AEG 5.2 MW]]</f>
        <v>39.924999999999997</v>
      </c>
      <c r="L229" s="18">
        <f>Table12[[#This Row],[AEG E/S BARRA B]]*Table12[[#This Row],[AEG 5.0 MW]]</f>
        <v>31.9</v>
      </c>
      <c r="M2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9" s="29">
        <f>INDEX(Curva_Temp[Temp],MATCH(Table12[[#This Row],[Windy Temp.
°C]],Curva_Temp[Temp]))</f>
        <v>15</v>
      </c>
      <c r="O229" s="29">
        <f>INDEX(Curva_Temp[Warranted Power Curve for 
1.194Kg/m3 air density '[kW']
SG 5.0-145 (AM+1, 5.2MW) AT 
90M],MATCH(Table12[[#This Row],[Windy Temp.
°C]],Curva_Temp[Temp]))</f>
        <v>5200</v>
      </c>
      <c r="P229" s="29" cm="1">
        <f t="array" ref="P229">INDEX(Curva_Temp[Temp],MATCH(Table12[[#This Row],[Windy Temp.
°C]],Curva_Temp[Temp])+1)</f>
        <v>20</v>
      </c>
      <c r="Q229" s="29" cm="1">
        <f t="array" ref="Q229">INDEX(Curva_Temp[Warranted Power Curve for 
1.194Kg/m3 air density '[kW']
SG 5.0-145 (AM+1, 5.2MW) AT 
90M],MATCH(Table12[[#This Row],[Windy Temp.
°C]],Curva_Temp[Temp])+1)</f>
        <v>5000</v>
      </c>
      <c r="R2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9" s="18"/>
      <c r="U229" s="18">
        <v>6.5</v>
      </c>
      <c r="V229" s="18">
        <v>8.1999999999999993</v>
      </c>
      <c r="W229" s="18">
        <f>CEILING(Table12[[#This Row],[Darwin Gusts
m/s]],0.5)</f>
        <v>8.5</v>
      </c>
      <c r="X229" s="18">
        <v>17.8</v>
      </c>
    </row>
    <row r="230" spans="2:24" ht="12" x14ac:dyDescent="0.2">
      <c r="B230" s="16">
        <f t="shared" si="21"/>
        <v>45089.416666666119</v>
      </c>
      <c r="C230" s="24">
        <f t="shared" si="24"/>
        <v>9.4166666666666679</v>
      </c>
      <c r="D230" s="29">
        <f>Table12[[#This Row],[MW TOTAL BARRA A]]+Table12[[#This Row],[MW TOTAL BARRA B]]</f>
        <v>71.824999999999989</v>
      </c>
      <c r="E230" s="25">
        <f>Windy_web!$DQ7</f>
        <v>4</v>
      </c>
      <c r="F230" s="25">
        <f>Windy_web!$DQ8</f>
        <v>7</v>
      </c>
      <c r="G230" s="26" t="str">
        <f>Windy_web!$DQ5</f>
        <v>15°</v>
      </c>
      <c r="H230" s="26">
        <f t="shared" si="20"/>
        <v>15</v>
      </c>
      <c r="I230" s="18">
        <v>25</v>
      </c>
      <c r="J230" s="18">
        <v>20</v>
      </c>
      <c r="K230" s="18">
        <f>Table12[[#This Row],[AEG E/S BARRA A]]*Table12[[#This Row],[AEG 5.2 MW]]</f>
        <v>39.924999999999997</v>
      </c>
      <c r="L230" s="18">
        <f>Table12[[#This Row],[AEG E/S BARRA B]]*Table12[[#This Row],[AEG 5.0 MW]]</f>
        <v>31.9</v>
      </c>
      <c r="M2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0" s="29">
        <f>INDEX(Curva_Temp[Temp],MATCH(Table12[[#This Row],[Windy Temp.
°C]],Curva_Temp[Temp]))</f>
        <v>15</v>
      </c>
      <c r="O230" s="29">
        <f>INDEX(Curva_Temp[Warranted Power Curve for 
1.194Kg/m3 air density '[kW']
SG 5.0-145 (AM+1, 5.2MW) AT 
90M],MATCH(Table12[[#This Row],[Windy Temp.
°C]],Curva_Temp[Temp]))</f>
        <v>5200</v>
      </c>
      <c r="P230" s="29" cm="1">
        <f t="array" ref="P230">INDEX(Curva_Temp[Temp],MATCH(Table12[[#This Row],[Windy Temp.
°C]],Curva_Temp[Temp])+1)</f>
        <v>20</v>
      </c>
      <c r="Q230" s="29" cm="1">
        <f t="array" ref="Q230">INDEX(Curva_Temp[Warranted Power Curve for 
1.194Kg/m3 air density '[kW']
SG 5.0-145 (AM+1, 5.2MW) AT 
90M],MATCH(Table12[[#This Row],[Windy Temp.
°C]],Curva_Temp[Temp])+1)</f>
        <v>5000</v>
      </c>
      <c r="R2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0" s="18"/>
      <c r="U230" s="18">
        <v>6</v>
      </c>
      <c r="V230" s="18">
        <v>7.6</v>
      </c>
      <c r="W230" s="18">
        <f>CEILING(Table12[[#This Row],[Darwin Gusts
m/s]],0.5)</f>
        <v>8</v>
      </c>
      <c r="X230" s="18">
        <v>17.7</v>
      </c>
    </row>
    <row r="231" spans="2:24" ht="12" x14ac:dyDescent="0.2">
      <c r="B231" s="16">
        <f t="shared" si="21"/>
        <v>45089.458333332783</v>
      </c>
      <c r="C231" s="24">
        <f t="shared" si="24"/>
        <v>9.4583333333333339</v>
      </c>
      <c r="D231" s="29">
        <f>Table12[[#This Row],[MW TOTAL BARRA A]]+Table12[[#This Row],[MW TOTAL BARRA B]]</f>
        <v>71.824999999999989</v>
      </c>
      <c r="E231" s="25">
        <f>Windy_web!$DQ7</f>
        <v>4</v>
      </c>
      <c r="F231" s="25">
        <f>Windy_web!$DQ8</f>
        <v>7</v>
      </c>
      <c r="G231" s="26" t="str">
        <f>Windy_web!$DQ5</f>
        <v>15°</v>
      </c>
      <c r="H231" s="26">
        <f t="shared" si="20"/>
        <v>15</v>
      </c>
      <c r="I231" s="18">
        <v>25</v>
      </c>
      <c r="J231" s="18">
        <v>20</v>
      </c>
      <c r="K231" s="18">
        <f>Table12[[#This Row],[AEG E/S BARRA A]]*Table12[[#This Row],[AEG 5.2 MW]]</f>
        <v>39.924999999999997</v>
      </c>
      <c r="L231" s="18">
        <f>Table12[[#This Row],[AEG E/S BARRA B]]*Table12[[#This Row],[AEG 5.0 MW]]</f>
        <v>31.9</v>
      </c>
      <c r="M2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1" s="29">
        <f>INDEX(Curva_Temp[Temp],MATCH(Table12[[#This Row],[Windy Temp.
°C]],Curva_Temp[Temp]))</f>
        <v>15</v>
      </c>
      <c r="O231" s="29">
        <f>INDEX(Curva_Temp[Warranted Power Curve for 
1.194Kg/m3 air density '[kW']
SG 5.0-145 (AM+1, 5.2MW) AT 
90M],MATCH(Table12[[#This Row],[Windy Temp.
°C]],Curva_Temp[Temp]))</f>
        <v>5200</v>
      </c>
      <c r="P231" s="29" cm="1">
        <f t="array" ref="P231">INDEX(Curva_Temp[Temp],MATCH(Table12[[#This Row],[Windy Temp.
°C]],Curva_Temp[Temp])+1)</f>
        <v>20</v>
      </c>
      <c r="Q231" s="29" cm="1">
        <f t="array" ref="Q231">INDEX(Curva_Temp[Warranted Power Curve for 
1.194Kg/m3 air density '[kW']
SG 5.0-145 (AM+1, 5.2MW) AT 
90M],MATCH(Table12[[#This Row],[Windy Temp.
°C]],Curva_Temp[Temp])+1)</f>
        <v>5000</v>
      </c>
      <c r="R2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1" s="18"/>
      <c r="U231" s="18">
        <v>5.5</v>
      </c>
      <c r="V231" s="18">
        <v>7.1</v>
      </c>
      <c r="W231" s="18">
        <f>CEILING(Table12[[#This Row],[Darwin Gusts
m/s]],0.5)</f>
        <v>7.5</v>
      </c>
      <c r="X231" s="18">
        <v>18</v>
      </c>
    </row>
    <row r="232" spans="2:24" ht="12" x14ac:dyDescent="0.2">
      <c r="B232" s="16">
        <f t="shared" si="21"/>
        <v>45089.499999999447</v>
      </c>
      <c r="C232" s="17">
        <f t="shared" si="24"/>
        <v>9.5</v>
      </c>
      <c r="D232" s="29">
        <f>Table12[[#This Row],[MW TOTAL BARRA A]]+Table12[[#This Row],[MW TOTAL BARRA B]]</f>
        <v>71.824999999999989</v>
      </c>
      <c r="E232" s="18">
        <f>Windy_web!$DQ7</f>
        <v>4</v>
      </c>
      <c r="F232" s="18">
        <f>Windy_web!$DQ8</f>
        <v>7</v>
      </c>
      <c r="G232" s="27" t="str">
        <f>Windy_web!$DQ5</f>
        <v>15°</v>
      </c>
      <c r="H232" s="26">
        <f t="shared" si="20"/>
        <v>15</v>
      </c>
      <c r="I232" s="18">
        <v>25</v>
      </c>
      <c r="J232" s="18">
        <v>20</v>
      </c>
      <c r="K232" s="18">
        <f>Table12[[#This Row],[AEG E/S BARRA A]]*Table12[[#This Row],[AEG 5.2 MW]]</f>
        <v>39.924999999999997</v>
      </c>
      <c r="L232" s="18">
        <f>Table12[[#This Row],[AEG E/S BARRA B]]*Table12[[#This Row],[AEG 5.0 MW]]</f>
        <v>31.9</v>
      </c>
      <c r="M2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2" s="29">
        <f>INDEX(Curva_Temp[Temp],MATCH(Table12[[#This Row],[Windy Temp.
°C]],Curva_Temp[Temp]))</f>
        <v>15</v>
      </c>
      <c r="O232" s="29">
        <f>INDEX(Curva_Temp[Warranted Power Curve for 
1.194Kg/m3 air density '[kW']
SG 5.0-145 (AM+1, 5.2MW) AT 
90M],MATCH(Table12[[#This Row],[Windy Temp.
°C]],Curva_Temp[Temp]))</f>
        <v>5200</v>
      </c>
      <c r="P232" s="29" cm="1">
        <f t="array" ref="P232">INDEX(Curva_Temp[Temp],MATCH(Table12[[#This Row],[Windy Temp.
°C]],Curva_Temp[Temp])+1)</f>
        <v>20</v>
      </c>
      <c r="Q232" s="29" cm="1">
        <f t="array" ref="Q232">INDEX(Curva_Temp[Warranted Power Curve for 
1.194Kg/m3 air density '[kW']
SG 5.0-145 (AM+1, 5.2MW) AT 
90M],MATCH(Table12[[#This Row],[Windy Temp.
°C]],Curva_Temp[Temp])+1)</f>
        <v>5000</v>
      </c>
      <c r="R2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2" s="18"/>
      <c r="U232" s="18">
        <v>5.0999999999999996</v>
      </c>
      <c r="V232" s="18">
        <v>6.5</v>
      </c>
      <c r="W232" s="18">
        <f>CEILING(Table12[[#This Row],[Darwin Gusts
m/s]],0.5)</f>
        <v>6.5</v>
      </c>
      <c r="X232" s="18">
        <v>18.5</v>
      </c>
    </row>
    <row r="233" spans="2:24" ht="12" x14ac:dyDescent="0.2">
      <c r="B233" s="16">
        <f t="shared" si="21"/>
        <v>45089.541666666111</v>
      </c>
      <c r="C233" s="17">
        <f t="shared" si="24"/>
        <v>9.5416666666666661</v>
      </c>
      <c r="D233" s="29">
        <f>Table12[[#This Row],[MW TOTAL BARRA A]]+Table12[[#This Row],[MW TOTAL BARRA B]]</f>
        <v>191.33999999999997</v>
      </c>
      <c r="E233" s="18">
        <f>Windy_web!$DR7</f>
        <v>6</v>
      </c>
      <c r="F233" s="18">
        <f>Windy_web!$DR8</f>
        <v>10</v>
      </c>
      <c r="G233" s="27" t="str">
        <f>Windy_web!$DR5</f>
        <v>20°</v>
      </c>
      <c r="H233" s="26">
        <f t="shared" si="20"/>
        <v>20</v>
      </c>
      <c r="I233" s="18">
        <v>25</v>
      </c>
      <c r="J233" s="18">
        <v>20</v>
      </c>
      <c r="K233" s="18">
        <f>Table12[[#This Row],[AEG E/S BARRA A]]*Table12[[#This Row],[AEG 5.2 MW]]</f>
        <v>107.1</v>
      </c>
      <c r="L233" s="18">
        <f>Table12[[#This Row],[AEG E/S BARRA B]]*Table12[[#This Row],[AEG 5.0 MW]]</f>
        <v>84.24</v>
      </c>
      <c r="M23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3" s="29">
        <f>INDEX(Curva_Temp[Temp],MATCH(Table12[[#This Row],[Windy Temp.
°C]],Curva_Temp[Temp]))</f>
        <v>20</v>
      </c>
      <c r="O233" s="29">
        <f>INDEX(Curva_Temp[Warranted Power Curve for 
1.194Kg/m3 air density '[kW']
SG 5.0-145 (AM+1, 5.2MW) AT 
90M],MATCH(Table12[[#This Row],[Windy Temp.
°C]],Curva_Temp[Temp]))</f>
        <v>5000</v>
      </c>
      <c r="P233" s="29" cm="1">
        <f t="array" ref="P233">INDEX(Curva_Temp[Temp],MATCH(Table12[[#This Row],[Windy Temp.
°C]],Curva_Temp[Temp])+1)</f>
        <v>25</v>
      </c>
      <c r="Q233" s="29" cm="1">
        <f t="array" ref="Q233">INDEX(Curva_Temp[Warranted Power Curve for 
1.194Kg/m3 air density '[kW']
SG 5.0-145 (AM+1, 5.2MW) AT 
90M],MATCH(Table12[[#This Row],[Windy Temp.
°C]],Curva_Temp[Temp])+1)</f>
        <v>4900</v>
      </c>
      <c r="R2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3" s="18"/>
      <c r="U233" s="18">
        <v>4.5</v>
      </c>
      <c r="V233" s="18">
        <v>5.8</v>
      </c>
      <c r="W233" s="18">
        <f>CEILING(Table12[[#This Row],[Darwin Gusts
m/s]],0.5)</f>
        <v>6</v>
      </c>
      <c r="X233" s="18">
        <v>19.3</v>
      </c>
    </row>
    <row r="234" spans="2:24" ht="12" x14ac:dyDescent="0.2">
      <c r="B234" s="16">
        <f t="shared" si="21"/>
        <v>45089.583333332776</v>
      </c>
      <c r="C234" s="24">
        <f t="shared" si="24"/>
        <v>9.5833333333333321</v>
      </c>
      <c r="D234" s="29">
        <f>Table12[[#This Row],[MW TOTAL BARRA A]]+Table12[[#This Row],[MW TOTAL BARRA B]]</f>
        <v>191.33999999999997</v>
      </c>
      <c r="E234" s="25">
        <f>Windy_web!$DR7</f>
        <v>6</v>
      </c>
      <c r="F234" s="25">
        <f>Windy_web!$DR8</f>
        <v>10</v>
      </c>
      <c r="G234" s="26" t="str">
        <f>Windy_web!$DR5</f>
        <v>20°</v>
      </c>
      <c r="H234" s="26">
        <f t="shared" si="20"/>
        <v>20</v>
      </c>
      <c r="I234" s="18">
        <v>25</v>
      </c>
      <c r="J234" s="18">
        <v>20</v>
      </c>
      <c r="K234" s="18">
        <f>Table12[[#This Row],[AEG E/S BARRA A]]*Table12[[#This Row],[AEG 5.2 MW]]</f>
        <v>107.1</v>
      </c>
      <c r="L234" s="18">
        <f>Table12[[#This Row],[AEG E/S BARRA B]]*Table12[[#This Row],[AEG 5.0 MW]]</f>
        <v>84.24</v>
      </c>
      <c r="M23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4" s="29">
        <f>INDEX(Curva_Temp[Temp],MATCH(Table12[[#This Row],[Windy Temp.
°C]],Curva_Temp[Temp]))</f>
        <v>20</v>
      </c>
      <c r="O234" s="29">
        <f>INDEX(Curva_Temp[Warranted Power Curve for 
1.194Kg/m3 air density '[kW']
SG 5.0-145 (AM+1, 5.2MW) AT 
90M],MATCH(Table12[[#This Row],[Windy Temp.
°C]],Curva_Temp[Temp]))</f>
        <v>5000</v>
      </c>
      <c r="P234" s="29" cm="1">
        <f t="array" ref="P234">INDEX(Curva_Temp[Temp],MATCH(Table12[[#This Row],[Windy Temp.
°C]],Curva_Temp[Temp])+1)</f>
        <v>25</v>
      </c>
      <c r="Q234" s="29" cm="1">
        <f t="array" ref="Q234">INDEX(Curva_Temp[Warranted Power Curve for 
1.194Kg/m3 air density '[kW']
SG 5.0-145 (AM+1, 5.2MW) AT 
90M],MATCH(Table12[[#This Row],[Windy Temp.
°C]],Curva_Temp[Temp])+1)</f>
        <v>4900</v>
      </c>
      <c r="R2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4" s="18"/>
      <c r="U234" s="18">
        <v>3.9</v>
      </c>
      <c r="V234" s="18">
        <v>5.2</v>
      </c>
      <c r="W234" s="18">
        <f>CEILING(Table12[[#This Row],[Darwin Gusts
m/s]],0.5)</f>
        <v>5.5</v>
      </c>
      <c r="X234" s="18">
        <v>20.100000000000001</v>
      </c>
    </row>
    <row r="235" spans="2:24" ht="12" x14ac:dyDescent="0.2">
      <c r="B235" s="16">
        <f t="shared" si="21"/>
        <v>45089.62499999944</v>
      </c>
      <c r="C235" s="24">
        <f t="shared" si="24"/>
        <v>9.6249999999999982</v>
      </c>
      <c r="D235" s="29">
        <f>Table12[[#This Row],[MW TOTAL BARRA A]]+Table12[[#This Row],[MW TOTAL BARRA B]]</f>
        <v>191.33999999999997</v>
      </c>
      <c r="E235" s="25">
        <f>Windy_web!$DR7</f>
        <v>6</v>
      </c>
      <c r="F235" s="25">
        <f>Windy_web!$DR8</f>
        <v>10</v>
      </c>
      <c r="G235" s="26" t="str">
        <f>Windy_web!$DR5</f>
        <v>20°</v>
      </c>
      <c r="H235" s="26">
        <f t="shared" si="20"/>
        <v>20</v>
      </c>
      <c r="I235" s="18">
        <v>25</v>
      </c>
      <c r="J235" s="18">
        <v>20</v>
      </c>
      <c r="K235" s="18">
        <f>Table12[[#This Row],[AEG E/S BARRA A]]*Table12[[#This Row],[AEG 5.2 MW]]</f>
        <v>107.1</v>
      </c>
      <c r="L235" s="18">
        <f>Table12[[#This Row],[AEG E/S BARRA B]]*Table12[[#This Row],[AEG 5.0 MW]]</f>
        <v>84.24</v>
      </c>
      <c r="M23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5" s="29">
        <f>INDEX(Curva_Temp[Temp],MATCH(Table12[[#This Row],[Windy Temp.
°C]],Curva_Temp[Temp]))</f>
        <v>20</v>
      </c>
      <c r="O235" s="29">
        <f>INDEX(Curva_Temp[Warranted Power Curve for 
1.194Kg/m3 air density '[kW']
SG 5.0-145 (AM+1, 5.2MW) AT 
90M],MATCH(Table12[[#This Row],[Windy Temp.
°C]],Curva_Temp[Temp]))</f>
        <v>5000</v>
      </c>
      <c r="P235" s="29" cm="1">
        <f t="array" ref="P235">INDEX(Curva_Temp[Temp],MATCH(Table12[[#This Row],[Windy Temp.
°C]],Curva_Temp[Temp])+1)</f>
        <v>25</v>
      </c>
      <c r="Q235" s="29" cm="1">
        <f t="array" ref="Q235">INDEX(Curva_Temp[Warranted Power Curve for 
1.194Kg/m3 air density '[kW']
SG 5.0-145 (AM+1, 5.2MW) AT 
90M],MATCH(Table12[[#This Row],[Windy Temp.
°C]],Curva_Temp[Temp])+1)</f>
        <v>4900</v>
      </c>
      <c r="R2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5" s="18"/>
      <c r="U235" s="18">
        <v>3.3</v>
      </c>
      <c r="V235" s="18">
        <v>4.8</v>
      </c>
      <c r="W235" s="18">
        <f>CEILING(Table12[[#This Row],[Darwin Gusts
m/s]],0.5)</f>
        <v>5</v>
      </c>
      <c r="X235" s="18">
        <v>20.9</v>
      </c>
    </row>
    <row r="236" spans="2:24" ht="12" x14ac:dyDescent="0.2">
      <c r="B236" s="16">
        <f t="shared" si="21"/>
        <v>45089.666666666104</v>
      </c>
      <c r="C236" s="24">
        <f t="shared" si="24"/>
        <v>9.6666666666666643</v>
      </c>
      <c r="D236" s="29">
        <f>Table12[[#This Row],[MW TOTAL BARRA A]]+Table12[[#This Row],[MW TOTAL BARRA B]]</f>
        <v>191.33999999999997</v>
      </c>
      <c r="E236" s="25">
        <f>Windy_web!$DR7</f>
        <v>6</v>
      </c>
      <c r="F236" s="25">
        <f>Windy_web!$DR8</f>
        <v>10</v>
      </c>
      <c r="G236" s="26" t="str">
        <f>Windy_web!$DR5</f>
        <v>20°</v>
      </c>
      <c r="H236" s="26">
        <f t="shared" si="20"/>
        <v>20</v>
      </c>
      <c r="I236" s="18">
        <v>25</v>
      </c>
      <c r="J236" s="18">
        <v>20</v>
      </c>
      <c r="K236" s="18">
        <f>Table12[[#This Row],[AEG E/S BARRA A]]*Table12[[#This Row],[AEG 5.2 MW]]</f>
        <v>107.1</v>
      </c>
      <c r="L236" s="18">
        <f>Table12[[#This Row],[AEG E/S BARRA B]]*Table12[[#This Row],[AEG 5.0 MW]]</f>
        <v>84.24</v>
      </c>
      <c r="M23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6" s="29">
        <f>INDEX(Curva_Temp[Temp],MATCH(Table12[[#This Row],[Windy Temp.
°C]],Curva_Temp[Temp]))</f>
        <v>20</v>
      </c>
      <c r="O236" s="29">
        <f>INDEX(Curva_Temp[Warranted Power Curve for 
1.194Kg/m3 air density '[kW']
SG 5.0-145 (AM+1, 5.2MW) AT 
90M],MATCH(Table12[[#This Row],[Windy Temp.
°C]],Curva_Temp[Temp]))</f>
        <v>5000</v>
      </c>
      <c r="P236" s="29" cm="1">
        <f t="array" ref="P236">INDEX(Curva_Temp[Temp],MATCH(Table12[[#This Row],[Windy Temp.
°C]],Curva_Temp[Temp])+1)</f>
        <v>25</v>
      </c>
      <c r="Q236" s="29" cm="1">
        <f t="array" ref="Q236">INDEX(Curva_Temp[Warranted Power Curve for 
1.194Kg/m3 air density '[kW']
SG 5.0-145 (AM+1, 5.2MW) AT 
90M],MATCH(Table12[[#This Row],[Windy Temp.
°C]],Curva_Temp[Temp])+1)</f>
        <v>4900</v>
      </c>
      <c r="R2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6" s="18"/>
      <c r="U236" s="18">
        <v>2.7</v>
      </c>
      <c r="V236" s="18">
        <v>4.3</v>
      </c>
      <c r="W236" s="18">
        <f>CEILING(Table12[[#This Row],[Darwin Gusts
m/s]],0.5)</f>
        <v>4.5</v>
      </c>
      <c r="X236" s="18">
        <v>21.7</v>
      </c>
    </row>
    <row r="237" spans="2:24" ht="12" x14ac:dyDescent="0.2">
      <c r="B237" s="16">
        <f t="shared" si="21"/>
        <v>45089.708333332768</v>
      </c>
      <c r="C237" s="24">
        <f t="shared" si="24"/>
        <v>9.7083333333333304</v>
      </c>
      <c r="D237" s="29">
        <f>Table12[[#This Row],[MW TOTAL BARRA A]]+Table12[[#This Row],[MW TOTAL BARRA B]]</f>
        <v>191.33999999999997</v>
      </c>
      <c r="E237" s="25">
        <f>Windy_web!$DR7</f>
        <v>6</v>
      </c>
      <c r="F237" s="25">
        <f>Windy_web!$DR8</f>
        <v>10</v>
      </c>
      <c r="G237" s="26" t="str">
        <f>Windy_web!$DR5</f>
        <v>20°</v>
      </c>
      <c r="H237" s="26">
        <f t="shared" si="20"/>
        <v>20</v>
      </c>
      <c r="I237" s="18">
        <v>25</v>
      </c>
      <c r="J237" s="18">
        <v>20</v>
      </c>
      <c r="K237" s="18">
        <f>Table12[[#This Row],[AEG E/S BARRA A]]*Table12[[#This Row],[AEG 5.2 MW]]</f>
        <v>107.1</v>
      </c>
      <c r="L237" s="18">
        <f>Table12[[#This Row],[AEG E/S BARRA B]]*Table12[[#This Row],[AEG 5.0 MW]]</f>
        <v>84.24</v>
      </c>
      <c r="M23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7" s="29">
        <f>INDEX(Curva_Temp[Temp],MATCH(Table12[[#This Row],[Windy Temp.
°C]],Curva_Temp[Temp]))</f>
        <v>20</v>
      </c>
      <c r="O237" s="29">
        <f>INDEX(Curva_Temp[Warranted Power Curve for 
1.194Kg/m3 air density '[kW']
SG 5.0-145 (AM+1, 5.2MW) AT 
90M],MATCH(Table12[[#This Row],[Windy Temp.
°C]],Curva_Temp[Temp]))</f>
        <v>5000</v>
      </c>
      <c r="P237" s="29" cm="1">
        <f t="array" ref="P237">INDEX(Curva_Temp[Temp],MATCH(Table12[[#This Row],[Windy Temp.
°C]],Curva_Temp[Temp])+1)</f>
        <v>25</v>
      </c>
      <c r="Q237" s="29" cm="1">
        <f t="array" ref="Q237">INDEX(Curva_Temp[Warranted Power Curve for 
1.194Kg/m3 air density '[kW']
SG 5.0-145 (AM+1, 5.2MW) AT 
90M],MATCH(Table12[[#This Row],[Windy Temp.
°C]],Curva_Temp[Temp])+1)</f>
        <v>4900</v>
      </c>
      <c r="R2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7" s="18"/>
      <c r="U237" s="18">
        <v>2.1</v>
      </c>
      <c r="V237" s="18">
        <v>3.9</v>
      </c>
      <c r="W237" s="18">
        <f>CEILING(Table12[[#This Row],[Darwin Gusts
m/s]],0.5)</f>
        <v>4</v>
      </c>
      <c r="X237" s="18">
        <v>22.3</v>
      </c>
    </row>
    <row r="238" spans="2:24" ht="12" x14ac:dyDescent="0.2">
      <c r="B238" s="16">
        <f t="shared" si="21"/>
        <v>45089.749999999432</v>
      </c>
      <c r="C238" s="24">
        <f t="shared" si="24"/>
        <v>9.7499999999999964</v>
      </c>
      <c r="D238" s="29">
        <f>Table12[[#This Row],[MW TOTAL BARRA A]]+Table12[[#This Row],[MW TOTAL BARRA B]]</f>
        <v>191.33999999999997</v>
      </c>
      <c r="E238" s="25">
        <f>Windy_web!$DR7</f>
        <v>6</v>
      </c>
      <c r="F238" s="25">
        <f>Windy_web!$DR8</f>
        <v>10</v>
      </c>
      <c r="G238" s="26" t="str">
        <f>Windy_web!$DR5</f>
        <v>20°</v>
      </c>
      <c r="H238" s="26">
        <f t="shared" si="20"/>
        <v>20</v>
      </c>
      <c r="I238" s="18">
        <v>25</v>
      </c>
      <c r="J238" s="18">
        <v>20</v>
      </c>
      <c r="K238" s="18">
        <f>Table12[[#This Row],[AEG E/S BARRA A]]*Table12[[#This Row],[AEG 5.2 MW]]</f>
        <v>107.1</v>
      </c>
      <c r="L238" s="18">
        <f>Table12[[#This Row],[AEG E/S BARRA B]]*Table12[[#This Row],[AEG 5.0 MW]]</f>
        <v>84.24</v>
      </c>
      <c r="M23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8" s="29">
        <f>INDEX(Curva_Temp[Temp],MATCH(Table12[[#This Row],[Windy Temp.
°C]],Curva_Temp[Temp]))</f>
        <v>20</v>
      </c>
      <c r="O238" s="29">
        <f>INDEX(Curva_Temp[Warranted Power Curve for 
1.194Kg/m3 air density '[kW']
SG 5.0-145 (AM+1, 5.2MW) AT 
90M],MATCH(Table12[[#This Row],[Windy Temp.
°C]],Curva_Temp[Temp]))</f>
        <v>5000</v>
      </c>
      <c r="P238" s="29" cm="1">
        <f t="array" ref="P238">INDEX(Curva_Temp[Temp],MATCH(Table12[[#This Row],[Windy Temp.
°C]],Curva_Temp[Temp])+1)</f>
        <v>25</v>
      </c>
      <c r="Q238" s="29" cm="1">
        <f t="array" ref="Q238">INDEX(Curva_Temp[Warranted Power Curve for 
1.194Kg/m3 air density '[kW']
SG 5.0-145 (AM+1, 5.2MW) AT 
90M],MATCH(Table12[[#This Row],[Windy Temp.
°C]],Curva_Temp[Temp])+1)</f>
        <v>4900</v>
      </c>
      <c r="R2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8" s="18"/>
      <c r="U238" s="18">
        <v>1.5</v>
      </c>
      <c r="V238" s="18">
        <v>3.4</v>
      </c>
      <c r="W238" s="18">
        <f>CEILING(Table12[[#This Row],[Darwin Gusts
m/s]],0.5)</f>
        <v>3.5</v>
      </c>
      <c r="X238" s="18">
        <v>22.6</v>
      </c>
    </row>
    <row r="239" spans="2:24" ht="12" x14ac:dyDescent="0.2">
      <c r="B239" s="16">
        <f t="shared" si="21"/>
        <v>45089.791666666097</v>
      </c>
      <c r="C239" s="17">
        <f>C238+TIME(1,0,0)</f>
        <v>9.7916666666666625</v>
      </c>
      <c r="D239" s="29">
        <f>Table12[[#This Row],[MW TOTAL BARRA A]]+Table12[[#This Row],[MW TOTAL BARRA B]]</f>
        <v>219.56</v>
      </c>
      <c r="E239" s="18">
        <f>Windy_web!$DS7</f>
        <v>6</v>
      </c>
      <c r="F239" s="18">
        <f>Windy_web!$DS8</f>
        <v>11</v>
      </c>
      <c r="G239" s="27" t="str">
        <f>Windy_web!$DS5</f>
        <v>17°</v>
      </c>
      <c r="H239" s="26">
        <f t="shared" si="20"/>
        <v>17</v>
      </c>
      <c r="I239" s="18">
        <v>25</v>
      </c>
      <c r="J239" s="18">
        <v>20</v>
      </c>
      <c r="K239" s="18">
        <f>Table12[[#This Row],[AEG E/S BARRA A]]*Table12[[#This Row],[AEG 5.2 MW]]</f>
        <v>123.9</v>
      </c>
      <c r="L239" s="18">
        <f>Table12[[#This Row],[AEG E/S BARRA B]]*Table12[[#This Row],[AEG 5.0 MW]]</f>
        <v>95.660000000000011</v>
      </c>
      <c r="M23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9" s="29">
        <f>INDEX(Curva_Temp[Temp],MATCH(Table12[[#This Row],[Windy Temp.
°C]],Curva_Temp[Temp]))</f>
        <v>15</v>
      </c>
      <c r="O239" s="29">
        <f>INDEX(Curva_Temp[Warranted Power Curve for 
1.194Kg/m3 air density '[kW']
SG 5.0-145 (AM+1, 5.2MW) AT 
90M],MATCH(Table12[[#This Row],[Windy Temp.
°C]],Curva_Temp[Temp]))</f>
        <v>5200</v>
      </c>
      <c r="P239" s="29" cm="1">
        <f t="array" ref="P239">INDEX(Curva_Temp[Temp],MATCH(Table12[[#This Row],[Windy Temp.
°C]],Curva_Temp[Temp])+1)</f>
        <v>20</v>
      </c>
      <c r="Q239" s="29" cm="1">
        <f t="array" ref="Q239">INDEX(Curva_Temp[Warranted Power Curve for 
1.194Kg/m3 air density '[kW']
SG 5.0-145 (AM+1, 5.2MW) AT 
90M],MATCH(Table12[[#This Row],[Windy Temp.
°C]],Curva_Temp[Temp])+1)</f>
        <v>5000</v>
      </c>
      <c r="R2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9" s="18"/>
      <c r="U239" s="18">
        <v>2.5</v>
      </c>
      <c r="V239" s="18">
        <v>4.0999999999999996</v>
      </c>
      <c r="W239" s="18">
        <f>CEILING(Table12[[#This Row],[Darwin Gusts
m/s]],0.5)</f>
        <v>4.5</v>
      </c>
      <c r="X239" s="18">
        <v>21.9</v>
      </c>
    </row>
    <row r="240" spans="2:24" ht="12" x14ac:dyDescent="0.2">
      <c r="B240" s="16">
        <f t="shared" si="21"/>
        <v>45089.833333332761</v>
      </c>
      <c r="C240" s="24">
        <f t="shared" ref="C240:C244" si="25">C239+TIME(1,0,0)</f>
        <v>9.8333333333333286</v>
      </c>
      <c r="D240" s="29">
        <f>Table12[[#This Row],[MW TOTAL BARRA A]]+Table12[[#This Row],[MW TOTAL BARRA B]]</f>
        <v>219.56</v>
      </c>
      <c r="E240" s="25">
        <f>Windy_web!$DS7</f>
        <v>6</v>
      </c>
      <c r="F240" s="25">
        <f>Windy_web!$DS8</f>
        <v>11</v>
      </c>
      <c r="G240" s="26" t="str">
        <f>Windy_web!$DS5</f>
        <v>17°</v>
      </c>
      <c r="H240" s="26">
        <f t="shared" si="20"/>
        <v>17</v>
      </c>
      <c r="I240" s="18">
        <v>25</v>
      </c>
      <c r="J240" s="18">
        <v>20</v>
      </c>
      <c r="K240" s="18">
        <f>Table12[[#This Row],[AEG E/S BARRA A]]*Table12[[#This Row],[AEG 5.2 MW]]</f>
        <v>123.9</v>
      </c>
      <c r="L240" s="18">
        <f>Table12[[#This Row],[AEG E/S BARRA B]]*Table12[[#This Row],[AEG 5.0 MW]]</f>
        <v>95.660000000000011</v>
      </c>
      <c r="M24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0" s="29">
        <f>INDEX(Curva_Temp[Temp],MATCH(Table12[[#This Row],[Windy Temp.
°C]],Curva_Temp[Temp]))</f>
        <v>15</v>
      </c>
      <c r="O240" s="29">
        <f>INDEX(Curva_Temp[Warranted Power Curve for 
1.194Kg/m3 air density '[kW']
SG 5.0-145 (AM+1, 5.2MW) AT 
90M],MATCH(Table12[[#This Row],[Windy Temp.
°C]],Curva_Temp[Temp]))</f>
        <v>5200</v>
      </c>
      <c r="P240" s="29" cm="1">
        <f t="array" ref="P240">INDEX(Curva_Temp[Temp],MATCH(Table12[[#This Row],[Windy Temp.
°C]],Curva_Temp[Temp])+1)</f>
        <v>20</v>
      </c>
      <c r="Q240" s="29" cm="1">
        <f t="array" ref="Q240">INDEX(Curva_Temp[Warranted Power Curve for 
1.194Kg/m3 air density '[kW']
SG 5.0-145 (AM+1, 5.2MW) AT 
90M],MATCH(Table12[[#This Row],[Windy Temp.
°C]],Curva_Temp[Temp])+1)</f>
        <v>5000</v>
      </c>
      <c r="R2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0" s="18"/>
      <c r="U240" s="18">
        <v>3.5</v>
      </c>
      <c r="V240" s="18">
        <v>4.8</v>
      </c>
      <c r="W240" s="18">
        <f>CEILING(Table12[[#This Row],[Darwin Gusts
m/s]],0.5)</f>
        <v>5</v>
      </c>
      <c r="X240" s="18">
        <v>21</v>
      </c>
    </row>
    <row r="241" spans="2:24" ht="12" x14ac:dyDescent="0.2">
      <c r="B241" s="16">
        <f t="shared" si="21"/>
        <v>45089.874999999425</v>
      </c>
      <c r="C241" s="24">
        <f t="shared" si="25"/>
        <v>9.8749999999999947</v>
      </c>
      <c r="D241" s="29">
        <f>Table12[[#This Row],[MW TOTAL BARRA A]]+Table12[[#This Row],[MW TOTAL BARRA B]]</f>
        <v>219.56</v>
      </c>
      <c r="E241" s="25">
        <f>Windy_web!$DS7</f>
        <v>6</v>
      </c>
      <c r="F241" s="25">
        <f>Windy_web!$DS8</f>
        <v>11</v>
      </c>
      <c r="G241" s="26" t="str">
        <f>Windy_web!$DS5</f>
        <v>17°</v>
      </c>
      <c r="H241" s="26">
        <f t="shared" si="20"/>
        <v>17</v>
      </c>
      <c r="I241" s="18">
        <v>25</v>
      </c>
      <c r="J241" s="18">
        <v>20</v>
      </c>
      <c r="K241" s="18">
        <f>Table12[[#This Row],[AEG E/S BARRA A]]*Table12[[#This Row],[AEG 5.2 MW]]</f>
        <v>123.9</v>
      </c>
      <c r="L241" s="18">
        <f>Table12[[#This Row],[AEG E/S BARRA B]]*Table12[[#This Row],[AEG 5.0 MW]]</f>
        <v>95.660000000000011</v>
      </c>
      <c r="M24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1" s="29">
        <f>INDEX(Curva_Temp[Temp],MATCH(Table12[[#This Row],[Windy Temp.
°C]],Curva_Temp[Temp]))</f>
        <v>15</v>
      </c>
      <c r="O241" s="29">
        <f>INDEX(Curva_Temp[Warranted Power Curve for 
1.194Kg/m3 air density '[kW']
SG 5.0-145 (AM+1, 5.2MW) AT 
90M],MATCH(Table12[[#This Row],[Windy Temp.
°C]],Curva_Temp[Temp]))</f>
        <v>5200</v>
      </c>
      <c r="P241" s="29" cm="1">
        <f t="array" ref="P241">INDEX(Curva_Temp[Temp],MATCH(Table12[[#This Row],[Windy Temp.
°C]],Curva_Temp[Temp])+1)</f>
        <v>20</v>
      </c>
      <c r="Q241" s="29" cm="1">
        <f t="array" ref="Q241">INDEX(Curva_Temp[Warranted Power Curve for 
1.194Kg/m3 air density '[kW']
SG 5.0-145 (AM+1, 5.2MW) AT 
90M],MATCH(Table12[[#This Row],[Windy Temp.
°C]],Curva_Temp[Temp])+1)</f>
        <v>5000</v>
      </c>
      <c r="R2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1" s="18"/>
      <c r="U241" s="18">
        <v>4.5</v>
      </c>
      <c r="V241" s="18">
        <v>5.8</v>
      </c>
      <c r="W241" s="18">
        <f>CEILING(Table12[[#This Row],[Darwin Gusts
m/s]],0.5)</f>
        <v>6</v>
      </c>
      <c r="X241" s="18">
        <v>20.2</v>
      </c>
    </row>
    <row r="242" spans="2:24" ht="12" x14ac:dyDescent="0.2">
      <c r="B242" s="16">
        <f t="shared" si="21"/>
        <v>45089.916666666089</v>
      </c>
      <c r="C242" s="24">
        <f t="shared" si="25"/>
        <v>9.9166666666666607</v>
      </c>
      <c r="D242" s="29">
        <f>Table12[[#This Row],[MW TOTAL BARRA A]]+Table12[[#This Row],[MW TOTAL BARRA B]]</f>
        <v>219.56</v>
      </c>
      <c r="E242" s="25">
        <f>Windy_web!$DS7</f>
        <v>6</v>
      </c>
      <c r="F242" s="25">
        <f>Windy_web!$DS8</f>
        <v>11</v>
      </c>
      <c r="G242" s="26" t="str">
        <f>Windy_web!$DS5</f>
        <v>17°</v>
      </c>
      <c r="H242" s="26">
        <f t="shared" si="20"/>
        <v>17</v>
      </c>
      <c r="I242" s="18">
        <v>25</v>
      </c>
      <c r="J242" s="18">
        <v>20</v>
      </c>
      <c r="K242" s="18">
        <f>Table12[[#This Row],[AEG E/S BARRA A]]*Table12[[#This Row],[AEG 5.2 MW]]</f>
        <v>123.9</v>
      </c>
      <c r="L242" s="18">
        <f>Table12[[#This Row],[AEG E/S BARRA B]]*Table12[[#This Row],[AEG 5.0 MW]]</f>
        <v>95.660000000000011</v>
      </c>
      <c r="M24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2" s="29">
        <f>INDEX(Curva_Temp[Temp],MATCH(Table12[[#This Row],[Windy Temp.
°C]],Curva_Temp[Temp]))</f>
        <v>15</v>
      </c>
      <c r="O242" s="29">
        <f>INDEX(Curva_Temp[Warranted Power Curve for 
1.194Kg/m3 air density '[kW']
SG 5.0-145 (AM+1, 5.2MW) AT 
90M],MATCH(Table12[[#This Row],[Windy Temp.
°C]],Curva_Temp[Temp]))</f>
        <v>5200</v>
      </c>
      <c r="P242" s="29" cm="1">
        <f t="array" ref="P242">INDEX(Curva_Temp[Temp],MATCH(Table12[[#This Row],[Windy Temp.
°C]],Curva_Temp[Temp])+1)</f>
        <v>20</v>
      </c>
      <c r="Q242" s="29" cm="1">
        <f t="array" ref="Q242">INDEX(Curva_Temp[Warranted Power Curve for 
1.194Kg/m3 air density '[kW']
SG 5.0-145 (AM+1, 5.2MW) AT 
90M],MATCH(Table12[[#This Row],[Windy Temp.
°C]],Curva_Temp[Temp])+1)</f>
        <v>5000</v>
      </c>
      <c r="R2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2" s="18"/>
      <c r="U242" s="18">
        <v>5.4</v>
      </c>
      <c r="V242" s="18">
        <v>6.9</v>
      </c>
      <c r="W242" s="18">
        <f>CEILING(Table12[[#This Row],[Darwin Gusts
m/s]],0.5)</f>
        <v>7</v>
      </c>
      <c r="X242" s="18">
        <v>19.399999999999999</v>
      </c>
    </row>
    <row r="243" spans="2:24" ht="12" x14ac:dyDescent="0.2">
      <c r="B243" s="16">
        <f t="shared" si="21"/>
        <v>45089.958333332754</v>
      </c>
      <c r="C243" s="24">
        <f t="shared" si="25"/>
        <v>9.9583333333333268</v>
      </c>
      <c r="D243" s="29">
        <f>Table12[[#This Row],[MW TOTAL BARRA A]]+Table12[[#This Row],[MW TOTAL BARRA B]]</f>
        <v>219.56</v>
      </c>
      <c r="E243" s="25">
        <f>Windy_web!$DS7</f>
        <v>6</v>
      </c>
      <c r="F243" s="25">
        <f>Windy_web!$DS8</f>
        <v>11</v>
      </c>
      <c r="G243" s="26" t="str">
        <f>Windy_web!$DS5</f>
        <v>17°</v>
      </c>
      <c r="H243" s="26">
        <f t="shared" si="20"/>
        <v>17</v>
      </c>
      <c r="I243" s="18">
        <v>25</v>
      </c>
      <c r="J243" s="18">
        <v>20</v>
      </c>
      <c r="K243" s="18">
        <f>Table12[[#This Row],[AEG E/S BARRA A]]*Table12[[#This Row],[AEG 5.2 MW]]</f>
        <v>123.9</v>
      </c>
      <c r="L243" s="18">
        <f>Table12[[#This Row],[AEG E/S BARRA B]]*Table12[[#This Row],[AEG 5.0 MW]]</f>
        <v>95.660000000000011</v>
      </c>
      <c r="M24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3" s="29">
        <f>INDEX(Curva_Temp[Temp],MATCH(Table12[[#This Row],[Windy Temp.
°C]],Curva_Temp[Temp]))</f>
        <v>15</v>
      </c>
      <c r="O243" s="29">
        <f>INDEX(Curva_Temp[Warranted Power Curve for 
1.194Kg/m3 air density '[kW']
SG 5.0-145 (AM+1, 5.2MW) AT 
90M],MATCH(Table12[[#This Row],[Windy Temp.
°C]],Curva_Temp[Temp]))</f>
        <v>5200</v>
      </c>
      <c r="P243" s="29" cm="1">
        <f t="array" ref="P243">INDEX(Curva_Temp[Temp],MATCH(Table12[[#This Row],[Windy Temp.
°C]],Curva_Temp[Temp])+1)</f>
        <v>20</v>
      </c>
      <c r="Q243" s="29" cm="1">
        <f t="array" ref="Q243">INDEX(Curva_Temp[Warranted Power Curve for 
1.194Kg/m3 air density '[kW']
SG 5.0-145 (AM+1, 5.2MW) AT 
90M],MATCH(Table12[[#This Row],[Windy Temp.
°C]],Curva_Temp[Temp])+1)</f>
        <v>5000</v>
      </c>
      <c r="R2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3" s="18"/>
      <c r="U243" s="18">
        <v>6.4</v>
      </c>
      <c r="V243" s="18">
        <v>8.1</v>
      </c>
      <c r="W243" s="18">
        <f>CEILING(Table12[[#This Row],[Darwin Gusts
m/s]],0.5)</f>
        <v>8.5</v>
      </c>
      <c r="X243" s="18">
        <v>18.3</v>
      </c>
    </row>
    <row r="244" spans="2:24" ht="12" x14ac:dyDescent="0.2">
      <c r="B244" s="16">
        <f t="shared" si="21"/>
        <v>45089.999999999418</v>
      </c>
      <c r="C244" s="24">
        <f t="shared" si="25"/>
        <v>9.9999999999999929</v>
      </c>
      <c r="D244" s="29">
        <f>Table12[[#This Row],[MW TOTAL BARRA A]]+Table12[[#This Row],[MW TOTAL BARRA B]]</f>
        <v>219.56</v>
      </c>
      <c r="E244" s="25">
        <f>Windy_web!$DS7</f>
        <v>6</v>
      </c>
      <c r="F244" s="25">
        <f>Windy_web!$DS8</f>
        <v>11</v>
      </c>
      <c r="G244" s="26" t="str">
        <f>Windy_web!$DS5</f>
        <v>17°</v>
      </c>
      <c r="H244" s="26">
        <f t="shared" si="20"/>
        <v>17</v>
      </c>
      <c r="I244" s="18">
        <v>25</v>
      </c>
      <c r="J244" s="18">
        <v>20</v>
      </c>
      <c r="K244" s="18">
        <f>Table12[[#This Row],[AEG E/S BARRA A]]*Table12[[#This Row],[AEG 5.2 MW]]</f>
        <v>123.9</v>
      </c>
      <c r="L244" s="18">
        <f>Table12[[#This Row],[AEG E/S BARRA B]]*Table12[[#This Row],[AEG 5.0 MW]]</f>
        <v>95.660000000000011</v>
      </c>
      <c r="M24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4" s="29">
        <f>INDEX(Curva_Temp[Temp],MATCH(Table12[[#This Row],[Windy Temp.
°C]],Curva_Temp[Temp]))</f>
        <v>15</v>
      </c>
      <c r="O244" s="29">
        <f>INDEX(Curva_Temp[Warranted Power Curve for 
1.194Kg/m3 air density '[kW']
SG 5.0-145 (AM+1, 5.2MW) AT 
90M],MATCH(Table12[[#This Row],[Windy Temp.
°C]],Curva_Temp[Temp]))</f>
        <v>5200</v>
      </c>
      <c r="P244" s="29" cm="1">
        <f t="array" ref="P244">INDEX(Curva_Temp[Temp],MATCH(Table12[[#This Row],[Windy Temp.
°C]],Curva_Temp[Temp])+1)</f>
        <v>20</v>
      </c>
      <c r="Q244" s="29" cm="1">
        <f t="array" ref="Q244">INDEX(Curva_Temp[Warranted Power Curve for 
1.194Kg/m3 air density '[kW']
SG 5.0-145 (AM+1, 5.2MW) AT 
90M],MATCH(Table12[[#This Row],[Windy Temp.
°C]],Curva_Temp[Temp])+1)</f>
        <v>5000</v>
      </c>
      <c r="R2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4" s="18"/>
      <c r="U244" s="18">
        <v>7.4</v>
      </c>
      <c r="V244" s="18">
        <v>9.3000000000000007</v>
      </c>
      <c r="W244" s="18">
        <f>CEILING(Table12[[#This Row],[Darwin Gusts
m/s]],0.5)</f>
        <v>9.5</v>
      </c>
      <c r="X244" s="18">
        <v>17.600000000000001</v>
      </c>
    </row>
    <row r="245" spans="2:24" x14ac:dyDescent="0.25">
      <c r="B245" s="16"/>
      <c r="C245" s="17"/>
      <c r="V245" s="18"/>
    </row>
    <row r="246" spans="2:24" x14ac:dyDescent="0.25">
      <c r="B246" s="16"/>
      <c r="C246" s="17"/>
      <c r="V246" s="18"/>
    </row>
    <row r="247" spans="2:24" x14ac:dyDescent="0.25">
      <c r="B247" s="16"/>
      <c r="C247" s="17"/>
      <c r="V247" s="18"/>
    </row>
    <row r="248" spans="2:24" x14ac:dyDescent="0.25">
      <c r="B248" s="16"/>
      <c r="C248" s="17"/>
      <c r="V248" s="18"/>
    </row>
    <row r="249" spans="2:24" x14ac:dyDescent="0.25">
      <c r="B249" s="16"/>
      <c r="C249" s="17"/>
      <c r="V24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9A181-6674-44A6-BBD4-02C767A204B8}">
  <sheetPr codeName="Sheet4">
    <tabColor theme="0" tint="-0.14999847407452621"/>
  </sheetPr>
  <dimension ref="B1:CB229"/>
  <sheetViews>
    <sheetView zoomScaleNormal="100" workbookViewId="0">
      <pane ySplit="3" topLeftCell="A4" activePane="bottomLeft" state="frozen"/>
      <selection pane="bottomLeft" activeCell="AP5" sqref="AP5"/>
    </sheetView>
  </sheetViews>
  <sheetFormatPr defaultColWidth="8.85546875" defaultRowHeight="15" x14ac:dyDescent="0.25"/>
  <cols>
    <col min="1" max="1" width="9.28515625" style="18" bestFit="1" customWidth="1"/>
    <col min="2" max="2" width="16.28515625" style="18" bestFit="1" customWidth="1"/>
    <col min="3" max="3" width="6.28515625" style="18" bestFit="1" customWidth="1"/>
    <col min="4" max="6" width="9.7109375" style="18" customWidth="1"/>
    <col min="7" max="9" width="8.7109375" style="18" customWidth="1"/>
    <col min="10" max="12" width="8.85546875" style="18" customWidth="1"/>
    <col min="13" max="13" width="9.140625"/>
    <col min="14" max="14" width="9.85546875" style="18" bestFit="1" customWidth="1"/>
    <col min="15" max="16" width="7.7109375" style="18" customWidth="1"/>
    <col min="17" max="17" width="7.7109375" style="18" hidden="1" customWidth="1"/>
    <col min="18" max="20" width="12.7109375" style="18" hidden="1" customWidth="1"/>
    <col min="21" max="21" width="8.85546875" style="18" customWidth="1"/>
    <col min="22" max="24" width="9.140625" style="18" customWidth="1"/>
    <col min="25" max="25" width="0" hidden="1" customWidth="1"/>
    <col min="26" max="28" width="12.7109375" style="18" hidden="1" customWidth="1"/>
    <col min="29" max="29" width="6.85546875" style="18" customWidth="1"/>
    <col min="30" max="30" width="6.7109375" style="18" customWidth="1"/>
    <col min="31" max="40" width="6.28515625" style="18" customWidth="1"/>
    <col min="41" max="41" width="9.7109375" style="18" customWidth="1"/>
    <col min="42" max="42" width="9.7109375" customWidth="1"/>
    <col min="43" max="44" width="9.7109375" style="18" customWidth="1"/>
    <col min="45" max="51" width="10.28515625" style="18" customWidth="1"/>
    <col min="52" max="58" width="9.140625"/>
    <col min="59" max="59" width="16.7109375" style="18" customWidth="1"/>
    <col min="60" max="60" width="8.85546875" style="18"/>
    <col min="61" max="62" width="16.7109375" style="18" customWidth="1"/>
    <col min="63" max="63" width="12.7109375" style="18" bestFit="1" customWidth="1"/>
    <col min="64" max="65" width="8.85546875" style="18"/>
    <col min="66" max="67" width="12.28515625" style="18" customWidth="1"/>
    <col min="68" max="68" width="14.42578125" style="18" customWidth="1"/>
    <col min="69" max="69" width="16.7109375" style="18" customWidth="1"/>
    <col min="70" max="76" width="5.7109375" style="18" customWidth="1"/>
    <col min="77" max="77" width="8.140625" style="18" bestFit="1" customWidth="1"/>
    <col min="78" max="78" width="6" style="18" bestFit="1" customWidth="1"/>
    <col min="79" max="89" width="4" style="18" customWidth="1"/>
    <col min="90" max="90" width="6" style="18" bestFit="1" customWidth="1"/>
    <col min="91" max="96" width="4" style="18" customWidth="1"/>
    <col min="97" max="97" width="7" style="18" bestFit="1" customWidth="1"/>
    <col min="98" max="99" width="4" style="18" customWidth="1"/>
    <col min="100" max="100" width="8" style="18" bestFit="1" customWidth="1"/>
    <col min="101" max="101" width="6" style="18" bestFit="1" customWidth="1"/>
    <col min="102" max="123" width="4" style="18" customWidth="1"/>
    <col min="124" max="176" width="3.42578125" style="18" customWidth="1"/>
    <col min="177" max="16384" width="8.85546875" style="18"/>
  </cols>
  <sheetData>
    <row r="1" spans="2:58" ht="12" x14ac:dyDescent="0.2">
      <c r="H1" s="18">
        <v>2.2999999999999998</v>
      </c>
      <c r="M1" s="18"/>
      <c r="Y1" s="18"/>
      <c r="AP1" s="18"/>
      <c r="AZ1" s="18"/>
      <c r="BA1" s="18"/>
      <c r="BB1" s="18"/>
      <c r="BC1" s="18"/>
      <c r="BD1" s="18"/>
      <c r="BE1" s="18"/>
      <c r="BF1" s="18"/>
    </row>
    <row r="2" spans="2:58" ht="12" x14ac:dyDescent="0.2">
      <c r="B2" s="16">
        <f>'Plantilla Datos'!E3</f>
        <v>45612</v>
      </c>
      <c r="C2" s="17">
        <f>'Plantilla Datos'!E4</f>
        <v>8.3333333333333329E-2</v>
      </c>
      <c r="D2" s="17"/>
      <c r="M2" s="18"/>
      <c r="Y2" s="18"/>
      <c r="AP2" s="18"/>
      <c r="AZ2" s="18"/>
      <c r="BA2" s="18"/>
      <c r="BB2" s="18"/>
      <c r="BC2" s="18"/>
      <c r="BD2" s="18"/>
      <c r="BE2" s="18"/>
      <c r="BF2" s="18"/>
    </row>
    <row r="3" spans="2:58" ht="60" x14ac:dyDescent="0.2">
      <c r="B3" s="20" t="s">
        <v>0</v>
      </c>
      <c r="C3" s="22" t="s">
        <v>1</v>
      </c>
      <c r="D3" s="20" t="s">
        <v>49</v>
      </c>
      <c r="E3" s="32" t="s">
        <v>22</v>
      </c>
      <c r="F3" s="33" t="s">
        <v>48</v>
      </c>
      <c r="G3" s="38" t="s">
        <v>17</v>
      </c>
      <c r="H3" s="38" t="s">
        <v>18</v>
      </c>
      <c r="I3" s="38" t="s">
        <v>19</v>
      </c>
      <c r="J3" s="39" t="s">
        <v>166</v>
      </c>
      <c r="K3" s="39" t="s">
        <v>167</v>
      </c>
      <c r="L3" s="39" t="s">
        <v>168</v>
      </c>
      <c r="M3" s="44" t="s">
        <v>143</v>
      </c>
      <c r="N3" s="44" t="s">
        <v>163</v>
      </c>
      <c r="O3" s="44" t="s">
        <v>164</v>
      </c>
      <c r="P3" s="44" t="s">
        <v>165</v>
      </c>
      <c r="Q3" s="20" t="s">
        <v>144</v>
      </c>
      <c r="R3" s="20" t="s">
        <v>145</v>
      </c>
      <c r="S3" s="20" t="s">
        <v>146</v>
      </c>
      <c r="T3" s="20" t="s">
        <v>147</v>
      </c>
      <c r="U3" s="43" t="s">
        <v>148</v>
      </c>
      <c r="V3" s="43" t="s">
        <v>171</v>
      </c>
      <c r="W3" s="43" t="s">
        <v>170</v>
      </c>
      <c r="X3" s="43" t="s">
        <v>169</v>
      </c>
      <c r="Y3" s="20" t="s">
        <v>149</v>
      </c>
      <c r="Z3" s="20" t="s">
        <v>150</v>
      </c>
      <c r="AA3" s="20" t="s">
        <v>151</v>
      </c>
      <c r="AB3" s="20" t="s">
        <v>152</v>
      </c>
      <c r="AC3" s="32" t="s">
        <v>141</v>
      </c>
      <c r="AD3" s="32" t="s">
        <v>142</v>
      </c>
      <c r="AE3" s="32" t="s">
        <v>153</v>
      </c>
      <c r="AF3" s="33" t="s">
        <v>154</v>
      </c>
      <c r="AG3" s="33" t="s">
        <v>155</v>
      </c>
      <c r="AH3" s="33" t="s">
        <v>156</v>
      </c>
      <c r="AI3" s="32" t="s">
        <v>157</v>
      </c>
      <c r="AJ3" s="32" t="s">
        <v>158</v>
      </c>
      <c r="AK3" s="32" t="s">
        <v>159</v>
      </c>
      <c r="AL3" s="32" t="s">
        <v>160</v>
      </c>
      <c r="AM3" s="32" t="s">
        <v>161</v>
      </c>
      <c r="AN3" s="32" t="s">
        <v>162</v>
      </c>
      <c r="AO3" s="32" t="s">
        <v>40</v>
      </c>
      <c r="AP3" s="32" t="s">
        <v>41</v>
      </c>
      <c r="AQ3" s="32" t="s">
        <v>42</v>
      </c>
      <c r="AR3" s="32" t="s">
        <v>43</v>
      </c>
      <c r="AS3" s="33" t="s">
        <v>44</v>
      </c>
      <c r="AT3" s="33" t="s">
        <v>45</v>
      </c>
      <c r="AU3" s="33" t="s">
        <v>46</v>
      </c>
      <c r="AV3" s="33" t="s">
        <v>47</v>
      </c>
      <c r="AW3" s="23"/>
      <c r="AX3" s="23"/>
      <c r="AY3" s="23"/>
      <c r="AZ3" s="23"/>
      <c r="BA3" s="23"/>
      <c r="BB3" s="23"/>
      <c r="BC3" s="23"/>
      <c r="BD3" s="18"/>
      <c r="BE3" s="18"/>
      <c r="BF3" s="18"/>
    </row>
    <row r="4" spans="2:58" ht="12" x14ac:dyDescent="0.2">
      <c r="B4" s="55">
        <f>B2+1+C2</f>
        <v>45613.083333333336</v>
      </c>
      <c r="C4" s="17">
        <f>C2</f>
        <v>8.3333333333333329E-2</v>
      </c>
      <c r="D4" s="34">
        <f>TBL_CalcDarwin[[#This Row],[Darwin PLOM
MW]]+TBL_CalcDarwin[[#This Row],[Darwin PLOME
MW]]</f>
        <v>91.951999999999998</v>
      </c>
      <c r="E4" s="34">
        <f>TBL_CalcDarwin[[#This Row],[PLOM MW TOTAL BARRA A]]+TBL_CalcDarwin[[#This Row],[PLOM MW TOTAL BARRA B]]</f>
        <v>85.44</v>
      </c>
      <c r="F4" s="34">
        <f>TBL_CalcDarwin[[#This Row],[PLOME MW TOTAL BARRA A]]+TBL_CalcDarwin[[#This Row],[PLOME MW TOTAL BARRA B]]</f>
        <v>6.5119999999999996</v>
      </c>
      <c r="G4" s="48">
        <f>'Plantilla Datos'!D9</f>
        <v>6.1</v>
      </c>
      <c r="H4" s="48">
        <f>'Plantilla Datos'!E9</f>
        <v>7.7</v>
      </c>
      <c r="I4" s="49">
        <f>'Plantilla Datos'!F9</f>
        <v>16.600000000000001</v>
      </c>
      <c r="J4" s="47">
        <f>CEILING('Plantilla Datos'!$L$3*TBL_CalcDarwin[[#This Row],[Darwin Gusts
m/s]],0.5)</f>
        <v>6</v>
      </c>
      <c r="K4" s="47">
        <f>CEILING('Plantilla Datos'!$L$4*TBL_CalcDarwin[[#This Row],[Darwin Gusts
m/s]],0.5)</f>
        <v>7</v>
      </c>
      <c r="L4" s="47">
        <f>CEILING(TBL_CalcDarwin[[#This Row],[Darwin Gusts
m/s]],0.5)</f>
        <v>8</v>
      </c>
      <c r="M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4" s="41">
        <f>INDEX(Curva_Temp[Temp],MATCH(TBL_CalcDarwin[[#This Row],[Darwin Temp.
°C]],Curva_Temp[Temp]))</f>
        <v>15</v>
      </c>
      <c r="R4" s="41">
        <f>INDEX(Curva_Temp[Warranted Power Curve for 
1.194Kg/m3 air density '[kW']
SG 5.0-145 (AM+1, 5.2MW) AT 
90M],MATCH(TBL_CalcDarwin[[#This Row],[Darwin Temp.
°C]],Curva_Temp[Temp]))</f>
        <v>5200</v>
      </c>
      <c r="S4" s="41" cm="1">
        <f t="array" ref="S4">INDEX(Curva_Temp[Temp],MATCH(TBL_CalcDarwin[[#This Row],[Darwin Temp.
°C]],Curva_Temp[Temp])+1)</f>
        <v>20</v>
      </c>
      <c r="T4" s="41" cm="1">
        <f t="array" ref="T4">INDEX(Curva_Temp[Warranted Power Curve for 
1.194Kg/m3 air density '[kW']
SG 5.0-145 (AM+1, 5.2MW) AT 
90M],MATCH(TBL_CalcDarwin[[#This Row],[Darwin Temp.
°C]],Curva_Temp[Temp])+1)</f>
        <v>5000</v>
      </c>
      <c r="U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4" s="41">
        <f>INDEX(Curva_Temp[Temp],MATCH(TBL_CalcDarwin[[#This Row],[Darwin Temp.
°C]],Curva_Temp[Temp]))</f>
        <v>15</v>
      </c>
      <c r="Z4" s="41">
        <f>INDEX(Curva_Temp[Warranted Power Curve for 
1.194Kg/m3 air density '[kW']
SG 5.0-145 (AM 0, 5.0MW) AT 
90M],MATCH(TBL_CalcDarwin[[#This Row],[Darwin Temp.
°C]],Curva_Temp[Temp]))</f>
        <v>5000</v>
      </c>
      <c r="AA4" s="41" cm="1">
        <f t="array" ref="AA4">INDEX(Curva_Temp[Temp],MATCH(TBL_CalcDarwin[[#This Row],[Darwin Temp.
°C]],Curva_Temp[Temp])+1)</f>
        <v>20</v>
      </c>
      <c r="AB4" s="41" cm="1">
        <f t="array" ref="AB4">INDEX(Curva_Temp[Warranted Power Curve for 
1.194Kg/m3 air density '[kW']
SG 5.0-145 (AM 0, 5.0MW) AT 
90M],MATCH(TBL_CalcDarwin[[#This Row],[Darwin Temp.
°C]],Curva_Temp[Temp])+1)</f>
        <v>5000</v>
      </c>
      <c r="AC4" s="45">
        <f>HLOOKUP(TBL_CalcDarwin[[#This Row],[Fecha]],'Plantilla AEG ES'!$E$1:$HX$13,2,FALSE)</f>
        <v>6</v>
      </c>
      <c r="AD4" s="45">
        <f>HLOOKUP(TBL_CalcDarwin[[#This Row],[Fecha]],'Plantilla AEG ES'!$E$1:$HX$13,3,FALSE)</f>
        <v>7</v>
      </c>
      <c r="AE4" s="45">
        <f>HLOOKUP(TBL_CalcDarwin[[#This Row],[Fecha]],'Plantilla AEG ES'!$E$1:$HX$13,4,FALSE)</f>
        <v>10</v>
      </c>
      <c r="AF4" s="45">
        <f>HLOOKUP(TBL_CalcDarwin[[#This Row],[Fecha]],'Plantilla AEG ES'!$E$1:$HX$13,5,FALSE)</f>
        <v>2</v>
      </c>
      <c r="AG4" s="45">
        <f>HLOOKUP(TBL_CalcDarwin[[#This Row],[Fecha]],'Plantilla AEG ES'!$E$1:$HX$13,6,FALSE)</f>
        <v>1</v>
      </c>
      <c r="AH4" s="45">
        <f>HLOOKUP(TBL_CalcDarwin[[#This Row],[Fecha]],'Plantilla AEG ES'!$E$1:$HX$13,7,FALSE)</f>
        <v>0</v>
      </c>
      <c r="AI4" s="46">
        <f>HLOOKUP(TBL_CalcDarwin[[#This Row],[Fecha]],'Plantilla AEG ES'!$E$1:$HX$13,8,FALSE)</f>
        <v>0</v>
      </c>
      <c r="AJ4" s="46">
        <f>HLOOKUP(TBL_CalcDarwin[[#This Row],[Fecha]],'Plantilla AEG ES'!$E$1:$HX$13,9,FALSE)</f>
        <v>3</v>
      </c>
      <c r="AK4" s="46">
        <f>HLOOKUP(TBL_CalcDarwin[[#This Row],[Fecha]],'Plantilla AEG ES'!$E$1:$HX$13,10,FALSE)</f>
        <v>12</v>
      </c>
      <c r="AL4" s="46">
        <f>HLOOKUP(TBL_CalcDarwin[[#This Row],[Fecha]],'Plantilla AEG ES'!$E$1:$HX$13,11,FALSE)</f>
        <v>1</v>
      </c>
      <c r="AM4" s="46">
        <f>HLOOKUP(TBL_CalcDarwin[[#This Row],[Fecha]],'Plantilla AEG ES'!$E$1:$HX$13,12,FALSE)</f>
        <v>4</v>
      </c>
      <c r="AN4" s="46">
        <f>HLOOKUP(TBL_CalcDarwin[[#This Row],[Fecha]],'Plantilla AEG ES'!$E$1:$HX$13,13,FALSE)</f>
        <v>3</v>
      </c>
      <c r="AO4" s="37">
        <f>TBL_CalcDarwin[[#This Row],[Lomitas - Barra A - 5.2 - Cerro]]+TBL_CalcDarwin[[#This Row],[Lomitas - Barra A - 5.2 - Medio]]+TBL_CalcDarwin[[#This Row],[Lomitas - Barra A - 5.2 - Mar]]</f>
        <v>23</v>
      </c>
      <c r="AP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41.166999999999994</v>
      </c>
      <c r="AR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44.272999999999996</v>
      </c>
      <c r="AS4" s="37">
        <f>TBL_CalcDarwin[[#This Row],[Expansión - Barra A - 5.2 - Cerro]]+TBL_CalcDarwin[[#This Row],[Expansión - Barra A - 5.2 - Medio]]+TBL_CalcDarwin[[#This Row],[Expansión - Barra A - 5.2 - Mar]]</f>
        <v>3</v>
      </c>
      <c r="AT4" s="37">
        <f>TBL_CalcDarwin[[#This Row],[Expansión - Barra B - 5.2 - Cerro]]</f>
        <v>3</v>
      </c>
      <c r="AU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4" s="29">
        <f>TBL_CalcDarwin[[#This Row],[Expansión - Barra B - 5.2 - Cerro]]*TBL_CalcDarwin[[#This Row],[AEG 5.2 MW Cerro]]</f>
        <v>2.9489999999999998</v>
      </c>
      <c r="AZ4" s="18"/>
      <c r="BA4" s="18"/>
      <c r="BB4" s="18"/>
      <c r="BC4" s="18"/>
      <c r="BD4" s="18"/>
      <c r="BE4" s="18"/>
      <c r="BF4" s="18"/>
    </row>
    <row r="5" spans="2:58" ht="12" x14ac:dyDescent="0.2">
      <c r="B5" s="55">
        <f>B4+TIME(1,0,0)</f>
        <v>45613.125</v>
      </c>
      <c r="C5" s="17">
        <f>C4+TIME(1,0,0)</f>
        <v>0.125</v>
      </c>
      <c r="D5" s="34">
        <f>TBL_CalcDarwin[[#This Row],[Darwin PLOM
MW]]+TBL_CalcDarwin[[#This Row],[Darwin PLOME
MW]]</f>
        <v>74.27</v>
      </c>
      <c r="E5" s="34">
        <f>TBL_CalcDarwin[[#This Row],[PLOM MW TOTAL BARRA A]]+TBL_CalcDarwin[[#This Row],[PLOM MW TOTAL BARRA B]]</f>
        <v>69.278999999999996</v>
      </c>
      <c r="F5" s="34">
        <f>TBL_CalcDarwin[[#This Row],[PLOME MW TOTAL BARRA A]]+TBL_CalcDarwin[[#This Row],[PLOME MW TOTAL BARRA B]]</f>
        <v>4.9909999999999997</v>
      </c>
      <c r="G5" s="48">
        <f>'Plantilla Datos'!D10</f>
        <v>5.6</v>
      </c>
      <c r="H5" s="48">
        <f>'Plantilla Datos'!E10</f>
        <v>7.1</v>
      </c>
      <c r="I5" s="49">
        <f>'Plantilla Datos'!F10</f>
        <v>16.7</v>
      </c>
      <c r="J5" s="47">
        <f>CEILING('Plantilla Datos'!$L$3*TBL_CalcDarwin[[#This Row],[Darwin Gusts
m/s]],0.5)</f>
        <v>5.5</v>
      </c>
      <c r="K5" s="47">
        <f>CEILING('Plantilla Datos'!$L$4*TBL_CalcDarwin[[#This Row],[Darwin Gusts
m/s]],0.5)</f>
        <v>6.5</v>
      </c>
      <c r="L5" s="47">
        <f>CEILING(TBL_CalcDarwin[[#This Row],[Darwin Gusts
m/s]],0.5)</f>
        <v>7.5</v>
      </c>
      <c r="M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5" s="41">
        <f>INDEX(Curva_Temp[Temp],MATCH(TBL_CalcDarwin[[#This Row],[Darwin Temp.
°C]],Curva_Temp[Temp]))</f>
        <v>15</v>
      </c>
      <c r="R5" s="41">
        <f>INDEX(Curva_Temp[Warranted Power Curve for 
1.194Kg/m3 air density '[kW']
SG 5.0-145 (AM+1, 5.2MW) AT 
90M],MATCH(TBL_CalcDarwin[[#This Row],[Darwin Temp.
°C]],Curva_Temp[Temp]))</f>
        <v>5200</v>
      </c>
      <c r="S5" s="41" cm="1">
        <f t="array" ref="S5">INDEX(Curva_Temp[Temp],MATCH(TBL_CalcDarwin[[#This Row],[Darwin Temp.
°C]],Curva_Temp[Temp])+1)</f>
        <v>20</v>
      </c>
      <c r="T5" s="41" cm="1">
        <f t="array" ref="T5">INDEX(Curva_Temp[Warranted Power Curve for 
1.194Kg/m3 air density '[kW']
SG 5.0-145 (AM+1, 5.2MW) AT 
90M],MATCH(TBL_CalcDarwin[[#This Row],[Darwin Temp.
°C]],Curva_Temp[Temp])+1)</f>
        <v>5000</v>
      </c>
      <c r="U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5" s="41">
        <f>INDEX(Curva_Temp[Temp],MATCH(TBL_CalcDarwin[[#This Row],[Darwin Temp.
°C]],Curva_Temp[Temp]))</f>
        <v>15</v>
      </c>
      <c r="Z5" s="41">
        <f>INDEX(Curva_Temp[Warranted Power Curve for 
1.194Kg/m3 air density '[kW']
SG 5.0-145 (AM 0, 5.0MW) AT 
90M],MATCH(TBL_CalcDarwin[[#This Row],[Darwin Temp.
°C]],Curva_Temp[Temp]))</f>
        <v>5000</v>
      </c>
      <c r="AA5" s="41" cm="1">
        <f t="array" ref="AA5">INDEX(Curva_Temp[Temp],MATCH(TBL_CalcDarwin[[#This Row],[Darwin Temp.
°C]],Curva_Temp[Temp])+1)</f>
        <v>20</v>
      </c>
      <c r="AB5" s="41" cm="1">
        <f t="array" ref="AB5">INDEX(Curva_Temp[Warranted Power Curve for 
1.194Kg/m3 air density '[kW']
SG 5.0-145 (AM 0, 5.0MW) AT 
90M],MATCH(TBL_CalcDarwin[[#This Row],[Darwin Temp.
°C]],Curva_Temp[Temp])+1)</f>
        <v>5000</v>
      </c>
      <c r="AC5" s="45">
        <f>HLOOKUP(TBL_CalcDarwin[[#This Row],[Fecha]],'Plantilla AEG ES'!$E$1:$HX$13,2,FALSE)</f>
        <v>6</v>
      </c>
      <c r="AD5" s="45">
        <f>HLOOKUP(TBL_CalcDarwin[[#This Row],[Fecha]],'Plantilla AEG ES'!$E$1:$HX$13,3,FALSE)</f>
        <v>7</v>
      </c>
      <c r="AE5" s="45">
        <f>HLOOKUP(TBL_CalcDarwin[[#This Row],[Fecha]],'Plantilla AEG ES'!$E$1:$HX$13,4,FALSE)</f>
        <v>10</v>
      </c>
      <c r="AF5" s="45">
        <f>HLOOKUP(TBL_CalcDarwin[[#This Row],[Fecha]],'Plantilla AEG ES'!$E$1:$HX$13,5,FALSE)</f>
        <v>2</v>
      </c>
      <c r="AG5" s="45">
        <f>HLOOKUP(TBL_CalcDarwin[[#This Row],[Fecha]],'Plantilla AEG ES'!$E$1:$HX$13,6,FALSE)</f>
        <v>1</v>
      </c>
      <c r="AH5" s="45">
        <f>HLOOKUP(TBL_CalcDarwin[[#This Row],[Fecha]],'Plantilla AEG ES'!$E$1:$HX$13,7,FALSE)</f>
        <v>0</v>
      </c>
      <c r="AI5" s="46">
        <f>HLOOKUP(TBL_CalcDarwin[[#This Row],[Fecha]],'Plantilla AEG ES'!$E$1:$HX$13,8,FALSE)</f>
        <v>0</v>
      </c>
      <c r="AJ5" s="46">
        <f>HLOOKUP(TBL_CalcDarwin[[#This Row],[Fecha]],'Plantilla AEG ES'!$E$1:$HX$13,9,FALSE)</f>
        <v>3</v>
      </c>
      <c r="AK5" s="46">
        <f>HLOOKUP(TBL_CalcDarwin[[#This Row],[Fecha]],'Plantilla AEG ES'!$E$1:$HX$13,10,FALSE)</f>
        <v>12</v>
      </c>
      <c r="AL5" s="46">
        <f>HLOOKUP(TBL_CalcDarwin[[#This Row],[Fecha]],'Plantilla AEG ES'!$E$1:$HX$13,11,FALSE)</f>
        <v>1</v>
      </c>
      <c r="AM5" s="46">
        <f>HLOOKUP(TBL_CalcDarwin[[#This Row],[Fecha]],'Plantilla AEG ES'!$E$1:$HX$13,12,FALSE)</f>
        <v>4</v>
      </c>
      <c r="AN5" s="46">
        <f>HLOOKUP(TBL_CalcDarwin[[#This Row],[Fecha]],'Plantilla AEG ES'!$E$1:$HX$13,13,FALSE)</f>
        <v>3</v>
      </c>
      <c r="AO5" s="37">
        <f>TBL_CalcDarwin[[#This Row],[Lomitas - Barra A - 5.2 - Cerro]]+TBL_CalcDarwin[[#This Row],[Lomitas - Barra A - 5.2 - Medio]]+TBL_CalcDarwin[[#This Row],[Lomitas - Barra A - 5.2 - Mar]]</f>
        <v>23</v>
      </c>
      <c r="AP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33.112000000000002</v>
      </c>
      <c r="AR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36.167000000000002</v>
      </c>
      <c r="AS5" s="37">
        <f>TBL_CalcDarwin[[#This Row],[Expansión - Barra A - 5.2 - Cerro]]+TBL_CalcDarwin[[#This Row],[Expansión - Barra A - 5.2 - Medio]]+TBL_CalcDarwin[[#This Row],[Expansión - Barra A - 5.2 - Mar]]</f>
        <v>3</v>
      </c>
      <c r="AT5" s="37">
        <f>TBL_CalcDarwin[[#This Row],[Expansión - Barra B - 5.2 - Cerro]]</f>
        <v>3</v>
      </c>
      <c r="AU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5" s="29">
        <f>TBL_CalcDarwin[[#This Row],[Expansión - Barra B - 5.2 - Cerro]]*TBL_CalcDarwin[[#This Row],[AEG 5.2 MW Cerro]]</f>
        <v>2.2349999999999999</v>
      </c>
      <c r="AZ5" s="18"/>
      <c r="BA5" s="18"/>
      <c r="BB5" s="18"/>
      <c r="BC5" s="18"/>
      <c r="BD5" s="18"/>
      <c r="BE5" s="18"/>
      <c r="BF5" s="18"/>
    </row>
    <row r="6" spans="2:58" ht="12" x14ac:dyDescent="0.2">
      <c r="B6" s="55">
        <f t="shared" ref="B6:B69" si="0">B5+TIME(1,0,0)</f>
        <v>45613.166666666664</v>
      </c>
      <c r="C6" s="17">
        <f t="shared" ref="C6:C22" si="1">C5+TIME(1,0,0)</f>
        <v>0.16666666666666666</v>
      </c>
      <c r="D6" s="34">
        <f>TBL_CalcDarwin[[#This Row],[Darwin PLOM
MW]]+TBL_CalcDarwin[[#This Row],[Darwin PLOME
MW]]</f>
        <v>47.662999999999997</v>
      </c>
      <c r="E6" s="34">
        <f>TBL_CalcDarwin[[#This Row],[PLOM MW TOTAL BARRA A]]+TBL_CalcDarwin[[#This Row],[PLOM MW TOTAL BARRA B]]</f>
        <v>44.183</v>
      </c>
      <c r="F6" s="34">
        <f>TBL_CalcDarwin[[#This Row],[PLOME MW TOTAL BARRA A]]+TBL_CalcDarwin[[#This Row],[PLOME MW TOTAL BARRA B]]</f>
        <v>3.48</v>
      </c>
      <c r="G6" s="48">
        <f>'Plantilla Datos'!D11</f>
        <v>4.9000000000000004</v>
      </c>
      <c r="H6" s="48">
        <f>'Plantilla Datos'!E11</f>
        <v>6.3</v>
      </c>
      <c r="I6" s="49">
        <f>'Plantilla Datos'!F11</f>
        <v>16.7</v>
      </c>
      <c r="J6" s="47">
        <f>CEILING('Plantilla Datos'!$L$3*TBL_CalcDarwin[[#This Row],[Darwin Gusts
m/s]],0.5)</f>
        <v>5</v>
      </c>
      <c r="K6" s="47">
        <f>CEILING('Plantilla Datos'!$L$4*TBL_CalcDarwin[[#This Row],[Darwin Gusts
m/s]],0.5)</f>
        <v>5.5</v>
      </c>
      <c r="L6" s="47">
        <f>CEILING(TBL_CalcDarwin[[#This Row],[Darwin Gusts
m/s]],0.5)</f>
        <v>6.5</v>
      </c>
      <c r="M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6" s="41">
        <f>INDEX(Curva_Temp[Temp],MATCH(TBL_CalcDarwin[[#This Row],[Darwin Temp.
°C]],Curva_Temp[Temp]))</f>
        <v>15</v>
      </c>
      <c r="R6" s="41">
        <f>INDEX(Curva_Temp[Warranted Power Curve for 
1.194Kg/m3 air density '[kW']
SG 5.0-145 (AM+1, 5.2MW) AT 
90M],MATCH(TBL_CalcDarwin[[#This Row],[Darwin Temp.
°C]],Curva_Temp[Temp]))</f>
        <v>5200</v>
      </c>
      <c r="S6" s="41" cm="1">
        <f t="array" ref="S6">INDEX(Curva_Temp[Temp],MATCH(TBL_CalcDarwin[[#This Row],[Darwin Temp.
°C]],Curva_Temp[Temp])+1)</f>
        <v>20</v>
      </c>
      <c r="T6" s="41" cm="1">
        <f t="array" ref="T6">INDEX(Curva_Temp[Warranted Power Curve for 
1.194Kg/m3 air density '[kW']
SG 5.0-145 (AM+1, 5.2MW) AT 
90M],MATCH(TBL_CalcDarwin[[#This Row],[Darwin Temp.
°C]],Curva_Temp[Temp])+1)</f>
        <v>5000</v>
      </c>
      <c r="U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6" s="41">
        <f>INDEX(Curva_Temp[Temp],MATCH(TBL_CalcDarwin[[#This Row],[Darwin Temp.
°C]],Curva_Temp[Temp]))</f>
        <v>15</v>
      </c>
      <c r="Z6" s="41">
        <f>INDEX(Curva_Temp[Warranted Power Curve for 
1.194Kg/m3 air density '[kW']
SG 5.0-145 (AM 0, 5.0MW) AT 
90M],MATCH(TBL_CalcDarwin[[#This Row],[Darwin Temp.
°C]],Curva_Temp[Temp]))</f>
        <v>5000</v>
      </c>
      <c r="AA6" s="41" cm="1">
        <f t="array" ref="AA6">INDEX(Curva_Temp[Temp],MATCH(TBL_CalcDarwin[[#This Row],[Darwin Temp.
°C]],Curva_Temp[Temp])+1)</f>
        <v>20</v>
      </c>
      <c r="AB6" s="41" cm="1">
        <f t="array" ref="AB6">INDEX(Curva_Temp[Warranted Power Curve for 
1.194Kg/m3 air density '[kW']
SG 5.0-145 (AM 0, 5.0MW) AT 
90M],MATCH(TBL_CalcDarwin[[#This Row],[Darwin Temp.
°C]],Curva_Temp[Temp])+1)</f>
        <v>5000</v>
      </c>
      <c r="AC6" s="45">
        <f>HLOOKUP(TBL_CalcDarwin[[#This Row],[Fecha]],'Plantilla AEG ES'!$E$1:$HX$13,2,FALSE)</f>
        <v>6</v>
      </c>
      <c r="AD6" s="45">
        <f>HLOOKUP(TBL_CalcDarwin[[#This Row],[Fecha]],'Plantilla AEG ES'!$E$1:$HX$13,3,FALSE)</f>
        <v>7</v>
      </c>
      <c r="AE6" s="45">
        <f>HLOOKUP(TBL_CalcDarwin[[#This Row],[Fecha]],'Plantilla AEG ES'!$E$1:$HX$13,4,FALSE)</f>
        <v>10</v>
      </c>
      <c r="AF6" s="45">
        <f>HLOOKUP(TBL_CalcDarwin[[#This Row],[Fecha]],'Plantilla AEG ES'!$E$1:$HX$13,5,FALSE)</f>
        <v>2</v>
      </c>
      <c r="AG6" s="45">
        <f>HLOOKUP(TBL_CalcDarwin[[#This Row],[Fecha]],'Plantilla AEG ES'!$E$1:$HX$13,6,FALSE)</f>
        <v>1</v>
      </c>
      <c r="AH6" s="45">
        <f>HLOOKUP(TBL_CalcDarwin[[#This Row],[Fecha]],'Plantilla AEG ES'!$E$1:$HX$13,7,FALSE)</f>
        <v>0</v>
      </c>
      <c r="AI6" s="46">
        <f>HLOOKUP(TBL_CalcDarwin[[#This Row],[Fecha]],'Plantilla AEG ES'!$E$1:$HX$13,8,FALSE)</f>
        <v>0</v>
      </c>
      <c r="AJ6" s="46">
        <f>HLOOKUP(TBL_CalcDarwin[[#This Row],[Fecha]],'Plantilla AEG ES'!$E$1:$HX$13,9,FALSE)</f>
        <v>3</v>
      </c>
      <c r="AK6" s="46">
        <f>HLOOKUP(TBL_CalcDarwin[[#This Row],[Fecha]],'Plantilla AEG ES'!$E$1:$HX$13,10,FALSE)</f>
        <v>12</v>
      </c>
      <c r="AL6" s="46">
        <f>HLOOKUP(TBL_CalcDarwin[[#This Row],[Fecha]],'Plantilla AEG ES'!$E$1:$HX$13,11,FALSE)</f>
        <v>1</v>
      </c>
      <c r="AM6" s="46">
        <f>HLOOKUP(TBL_CalcDarwin[[#This Row],[Fecha]],'Plantilla AEG ES'!$E$1:$HX$13,12,FALSE)</f>
        <v>4</v>
      </c>
      <c r="AN6" s="46">
        <f>HLOOKUP(TBL_CalcDarwin[[#This Row],[Fecha]],'Plantilla AEG ES'!$E$1:$HX$13,13,FALSE)</f>
        <v>3</v>
      </c>
      <c r="AO6" s="37">
        <f>TBL_CalcDarwin[[#This Row],[Lomitas - Barra A - 5.2 - Cerro]]+TBL_CalcDarwin[[#This Row],[Lomitas - Barra A - 5.2 - Medio]]+TBL_CalcDarwin[[#This Row],[Lomitas - Barra A - 5.2 - Mar]]</f>
        <v>23</v>
      </c>
      <c r="AP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21.157</v>
      </c>
      <c r="AR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23.026</v>
      </c>
      <c r="AS6" s="37">
        <f>TBL_CalcDarwin[[#This Row],[Expansión - Barra A - 5.2 - Cerro]]+TBL_CalcDarwin[[#This Row],[Expansión - Barra A - 5.2 - Medio]]+TBL_CalcDarwin[[#This Row],[Expansión - Barra A - 5.2 - Mar]]</f>
        <v>3</v>
      </c>
      <c r="AT6" s="37">
        <f>TBL_CalcDarwin[[#This Row],[Expansión - Barra B - 5.2 - Cerro]]</f>
        <v>3</v>
      </c>
      <c r="AU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1.839</v>
      </c>
      <c r="AV6" s="29">
        <f>TBL_CalcDarwin[[#This Row],[Expansión - Barra B - 5.2 - Cerro]]*TBL_CalcDarwin[[#This Row],[AEG 5.2 MW Cerro]]</f>
        <v>1.641</v>
      </c>
      <c r="AZ6" s="18"/>
      <c r="BA6" s="18"/>
      <c r="BB6" s="18"/>
      <c r="BC6" s="18"/>
      <c r="BD6" s="18"/>
      <c r="BE6" s="18"/>
      <c r="BF6" s="18"/>
    </row>
    <row r="7" spans="2:58" ht="12" x14ac:dyDescent="0.2">
      <c r="B7" s="55">
        <f t="shared" si="0"/>
        <v>45613.208333333328</v>
      </c>
      <c r="C7" s="17">
        <f t="shared" si="1"/>
        <v>0.20833333333333331</v>
      </c>
      <c r="D7" s="34">
        <f>TBL_CalcDarwin[[#This Row],[Darwin PLOM
MW]]+TBL_CalcDarwin[[#This Row],[Darwin PLOME
MW]]</f>
        <v>36.143999999999998</v>
      </c>
      <c r="E7" s="34">
        <f>TBL_CalcDarwin[[#This Row],[PLOM MW TOTAL BARRA A]]+TBL_CalcDarwin[[#This Row],[PLOM MW TOTAL BARRA B]]</f>
        <v>33.686999999999998</v>
      </c>
      <c r="F7" s="34">
        <f>TBL_CalcDarwin[[#This Row],[PLOME MW TOTAL BARRA A]]+TBL_CalcDarwin[[#This Row],[PLOME MW TOTAL BARRA B]]</f>
        <v>2.4569999999999999</v>
      </c>
      <c r="G7" s="48">
        <f>'Plantilla Datos'!D12</f>
        <v>4.4000000000000004</v>
      </c>
      <c r="H7" s="48">
        <f>'Plantilla Datos'!E12</f>
        <v>5.8</v>
      </c>
      <c r="I7" s="49">
        <f>'Plantilla Datos'!F12</f>
        <v>16.8</v>
      </c>
      <c r="J7" s="47">
        <f>CEILING('Plantilla Datos'!$L$3*TBL_CalcDarwin[[#This Row],[Darwin Gusts
m/s]],0.5)</f>
        <v>4.5</v>
      </c>
      <c r="K7" s="47">
        <f>CEILING('Plantilla Datos'!$L$4*TBL_CalcDarwin[[#This Row],[Darwin Gusts
m/s]],0.5)</f>
        <v>5</v>
      </c>
      <c r="L7" s="47">
        <f>CEILING(TBL_CalcDarwin[[#This Row],[Darwin Gusts
m/s]],0.5)</f>
        <v>6</v>
      </c>
      <c r="M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7" s="41">
        <f>INDEX(Curva_Temp[Temp],MATCH(TBL_CalcDarwin[[#This Row],[Darwin Temp.
°C]],Curva_Temp[Temp]))</f>
        <v>15</v>
      </c>
      <c r="R7" s="41">
        <f>INDEX(Curva_Temp[Warranted Power Curve for 
1.194Kg/m3 air density '[kW']
SG 5.0-145 (AM+1, 5.2MW) AT 
90M],MATCH(TBL_CalcDarwin[[#This Row],[Darwin Temp.
°C]],Curva_Temp[Temp]))</f>
        <v>5200</v>
      </c>
      <c r="S7" s="41" cm="1">
        <f t="array" ref="S7">INDEX(Curva_Temp[Temp],MATCH(TBL_CalcDarwin[[#This Row],[Darwin Temp.
°C]],Curva_Temp[Temp])+1)</f>
        <v>20</v>
      </c>
      <c r="T7" s="41" cm="1">
        <f t="array" ref="T7">INDEX(Curva_Temp[Warranted Power Curve for 
1.194Kg/m3 air density '[kW']
SG 5.0-145 (AM+1, 5.2MW) AT 
90M],MATCH(TBL_CalcDarwin[[#This Row],[Darwin Temp.
°C]],Curva_Temp[Temp])+1)</f>
        <v>5000</v>
      </c>
      <c r="U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7" s="41">
        <f>INDEX(Curva_Temp[Temp],MATCH(TBL_CalcDarwin[[#This Row],[Darwin Temp.
°C]],Curva_Temp[Temp]))</f>
        <v>15</v>
      </c>
      <c r="Z7" s="41">
        <f>INDEX(Curva_Temp[Warranted Power Curve for 
1.194Kg/m3 air density '[kW']
SG 5.0-145 (AM 0, 5.0MW) AT 
90M],MATCH(TBL_CalcDarwin[[#This Row],[Darwin Temp.
°C]],Curva_Temp[Temp]))</f>
        <v>5000</v>
      </c>
      <c r="AA7" s="41" cm="1">
        <f t="array" ref="AA7">INDEX(Curva_Temp[Temp],MATCH(TBL_CalcDarwin[[#This Row],[Darwin Temp.
°C]],Curva_Temp[Temp])+1)</f>
        <v>20</v>
      </c>
      <c r="AB7" s="41" cm="1">
        <f t="array" ref="AB7">INDEX(Curva_Temp[Warranted Power Curve for 
1.194Kg/m3 air density '[kW']
SG 5.0-145 (AM 0, 5.0MW) AT 
90M],MATCH(TBL_CalcDarwin[[#This Row],[Darwin Temp.
°C]],Curva_Temp[Temp])+1)</f>
        <v>5000</v>
      </c>
      <c r="AC7" s="45">
        <f>HLOOKUP(TBL_CalcDarwin[[#This Row],[Fecha]],'Plantilla AEG ES'!$E$1:$HX$13,2,FALSE)</f>
        <v>6</v>
      </c>
      <c r="AD7" s="45">
        <f>HLOOKUP(TBL_CalcDarwin[[#This Row],[Fecha]],'Plantilla AEG ES'!$E$1:$HX$13,3,FALSE)</f>
        <v>7</v>
      </c>
      <c r="AE7" s="45">
        <f>HLOOKUP(TBL_CalcDarwin[[#This Row],[Fecha]],'Plantilla AEG ES'!$E$1:$HX$13,4,FALSE)</f>
        <v>10</v>
      </c>
      <c r="AF7" s="45">
        <f>HLOOKUP(TBL_CalcDarwin[[#This Row],[Fecha]],'Plantilla AEG ES'!$E$1:$HX$13,5,FALSE)</f>
        <v>2</v>
      </c>
      <c r="AG7" s="45">
        <f>HLOOKUP(TBL_CalcDarwin[[#This Row],[Fecha]],'Plantilla AEG ES'!$E$1:$HX$13,6,FALSE)</f>
        <v>1</v>
      </c>
      <c r="AH7" s="45">
        <f>HLOOKUP(TBL_CalcDarwin[[#This Row],[Fecha]],'Plantilla AEG ES'!$E$1:$HX$13,7,FALSE)</f>
        <v>0</v>
      </c>
      <c r="AI7" s="46">
        <f>HLOOKUP(TBL_CalcDarwin[[#This Row],[Fecha]],'Plantilla AEG ES'!$E$1:$HX$13,8,FALSE)</f>
        <v>0</v>
      </c>
      <c r="AJ7" s="46">
        <f>HLOOKUP(TBL_CalcDarwin[[#This Row],[Fecha]],'Plantilla AEG ES'!$E$1:$HX$13,9,FALSE)</f>
        <v>3</v>
      </c>
      <c r="AK7" s="46">
        <f>HLOOKUP(TBL_CalcDarwin[[#This Row],[Fecha]],'Plantilla AEG ES'!$E$1:$HX$13,10,FALSE)</f>
        <v>12</v>
      </c>
      <c r="AL7" s="46">
        <f>HLOOKUP(TBL_CalcDarwin[[#This Row],[Fecha]],'Plantilla AEG ES'!$E$1:$HX$13,11,FALSE)</f>
        <v>1</v>
      </c>
      <c r="AM7" s="46">
        <f>HLOOKUP(TBL_CalcDarwin[[#This Row],[Fecha]],'Plantilla AEG ES'!$E$1:$HX$13,12,FALSE)</f>
        <v>4</v>
      </c>
      <c r="AN7" s="46">
        <f>HLOOKUP(TBL_CalcDarwin[[#This Row],[Fecha]],'Plantilla AEG ES'!$E$1:$HX$13,13,FALSE)</f>
        <v>3</v>
      </c>
      <c r="AO7" s="37">
        <f>TBL_CalcDarwin[[#This Row],[Lomitas - Barra A - 5.2 - Cerro]]+TBL_CalcDarwin[[#This Row],[Lomitas - Barra A - 5.2 - Medio]]+TBL_CalcDarwin[[#This Row],[Lomitas - Barra A - 5.2 - Mar]]</f>
        <v>23</v>
      </c>
      <c r="AP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15.951000000000001</v>
      </c>
      <c r="AR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17.736000000000001</v>
      </c>
      <c r="AS7" s="37">
        <f>TBL_CalcDarwin[[#This Row],[Expansión - Barra A - 5.2 - Cerro]]+TBL_CalcDarwin[[#This Row],[Expansión - Barra A - 5.2 - Medio]]+TBL_CalcDarwin[[#This Row],[Expansión - Barra A - 5.2 - Mar]]</f>
        <v>3</v>
      </c>
      <c r="AT7" s="37">
        <f>TBL_CalcDarwin[[#This Row],[Expansión - Barra B - 5.2 - Cerro]]</f>
        <v>3</v>
      </c>
      <c r="AU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1.3109999999999999</v>
      </c>
      <c r="AV7" s="29">
        <f>TBL_CalcDarwin[[#This Row],[Expansión - Barra B - 5.2 - Cerro]]*TBL_CalcDarwin[[#This Row],[AEG 5.2 MW Cerro]]</f>
        <v>1.1459999999999999</v>
      </c>
      <c r="AZ7" s="18"/>
      <c r="BA7" s="18"/>
      <c r="BB7" s="18"/>
      <c r="BC7" s="18"/>
      <c r="BD7" s="18"/>
      <c r="BE7" s="18"/>
      <c r="BF7" s="18"/>
    </row>
    <row r="8" spans="2:58" ht="12" x14ac:dyDescent="0.2">
      <c r="B8" s="55">
        <f t="shared" si="0"/>
        <v>45613.249999999993</v>
      </c>
      <c r="C8" s="17">
        <f t="shared" si="1"/>
        <v>0.24999999999999997</v>
      </c>
      <c r="D8" s="34">
        <f>TBL_CalcDarwin[[#This Row],[Darwin PLOM
MW]]+TBL_CalcDarwin[[#This Row],[Darwin PLOME
MW]]</f>
        <v>36.143999999999998</v>
      </c>
      <c r="E8" s="34">
        <f>TBL_CalcDarwin[[#This Row],[PLOM MW TOTAL BARRA A]]+TBL_CalcDarwin[[#This Row],[PLOM MW TOTAL BARRA B]]</f>
        <v>33.686999999999998</v>
      </c>
      <c r="F8" s="34">
        <f>TBL_CalcDarwin[[#This Row],[PLOME MW TOTAL BARRA A]]+TBL_CalcDarwin[[#This Row],[PLOME MW TOTAL BARRA B]]</f>
        <v>2.4569999999999999</v>
      </c>
      <c r="G8" s="48">
        <f>'Plantilla Datos'!D13</f>
        <v>4.4000000000000004</v>
      </c>
      <c r="H8" s="48">
        <f>'Plantilla Datos'!E13</f>
        <v>5.7</v>
      </c>
      <c r="I8" s="49">
        <f>'Plantilla Datos'!F13</f>
        <v>16.899999999999999</v>
      </c>
      <c r="J8" s="47">
        <f>CEILING('Plantilla Datos'!$L$3*TBL_CalcDarwin[[#This Row],[Darwin Gusts
m/s]],0.5)</f>
        <v>4.5</v>
      </c>
      <c r="K8" s="47">
        <f>CEILING('Plantilla Datos'!$L$4*TBL_CalcDarwin[[#This Row],[Darwin Gusts
m/s]],0.5)</f>
        <v>5</v>
      </c>
      <c r="L8" s="47">
        <f>CEILING(TBL_CalcDarwin[[#This Row],[Darwin Gusts
m/s]],0.5)</f>
        <v>6</v>
      </c>
      <c r="M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8" s="41">
        <f>INDEX(Curva_Temp[Temp],MATCH(TBL_CalcDarwin[[#This Row],[Darwin Temp.
°C]],Curva_Temp[Temp]))</f>
        <v>15</v>
      </c>
      <c r="R8" s="41">
        <f>INDEX(Curva_Temp[Warranted Power Curve for 
1.194Kg/m3 air density '[kW']
SG 5.0-145 (AM+1, 5.2MW) AT 
90M],MATCH(TBL_CalcDarwin[[#This Row],[Darwin Temp.
°C]],Curva_Temp[Temp]))</f>
        <v>5200</v>
      </c>
      <c r="S8" s="41" cm="1">
        <f t="array" ref="S8">INDEX(Curva_Temp[Temp],MATCH(TBL_CalcDarwin[[#This Row],[Darwin Temp.
°C]],Curva_Temp[Temp])+1)</f>
        <v>20</v>
      </c>
      <c r="T8" s="41" cm="1">
        <f t="array" ref="T8">INDEX(Curva_Temp[Warranted Power Curve for 
1.194Kg/m3 air density '[kW']
SG 5.0-145 (AM+1, 5.2MW) AT 
90M],MATCH(TBL_CalcDarwin[[#This Row],[Darwin Temp.
°C]],Curva_Temp[Temp])+1)</f>
        <v>5000</v>
      </c>
      <c r="U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8" s="41">
        <f>INDEX(Curva_Temp[Temp],MATCH(TBL_CalcDarwin[[#This Row],[Darwin Temp.
°C]],Curva_Temp[Temp]))</f>
        <v>15</v>
      </c>
      <c r="Z8" s="41">
        <f>INDEX(Curva_Temp[Warranted Power Curve for 
1.194Kg/m3 air density '[kW']
SG 5.0-145 (AM 0, 5.0MW) AT 
90M],MATCH(TBL_CalcDarwin[[#This Row],[Darwin Temp.
°C]],Curva_Temp[Temp]))</f>
        <v>5000</v>
      </c>
      <c r="AA8" s="41" cm="1">
        <f t="array" ref="AA8">INDEX(Curva_Temp[Temp],MATCH(TBL_CalcDarwin[[#This Row],[Darwin Temp.
°C]],Curva_Temp[Temp])+1)</f>
        <v>20</v>
      </c>
      <c r="AB8" s="41" cm="1">
        <f t="array" ref="AB8">INDEX(Curva_Temp[Warranted Power Curve for 
1.194Kg/m3 air density '[kW']
SG 5.0-145 (AM 0, 5.0MW) AT 
90M],MATCH(TBL_CalcDarwin[[#This Row],[Darwin Temp.
°C]],Curva_Temp[Temp])+1)</f>
        <v>5000</v>
      </c>
      <c r="AC8" s="45">
        <f>HLOOKUP(TBL_CalcDarwin[[#This Row],[Fecha]],'Plantilla AEG ES'!$E$1:$HX$13,2,FALSE)</f>
        <v>6</v>
      </c>
      <c r="AD8" s="45">
        <f>HLOOKUP(TBL_CalcDarwin[[#This Row],[Fecha]],'Plantilla AEG ES'!$E$1:$HX$13,3,FALSE)</f>
        <v>7</v>
      </c>
      <c r="AE8" s="45">
        <f>HLOOKUP(TBL_CalcDarwin[[#This Row],[Fecha]],'Plantilla AEG ES'!$E$1:$HX$13,4,FALSE)</f>
        <v>10</v>
      </c>
      <c r="AF8" s="45">
        <f>HLOOKUP(TBL_CalcDarwin[[#This Row],[Fecha]],'Plantilla AEG ES'!$E$1:$HX$13,5,FALSE)</f>
        <v>2</v>
      </c>
      <c r="AG8" s="45">
        <f>HLOOKUP(TBL_CalcDarwin[[#This Row],[Fecha]],'Plantilla AEG ES'!$E$1:$HX$13,6,FALSE)</f>
        <v>1</v>
      </c>
      <c r="AH8" s="45">
        <f>HLOOKUP(TBL_CalcDarwin[[#This Row],[Fecha]],'Plantilla AEG ES'!$E$1:$HX$13,7,FALSE)</f>
        <v>0</v>
      </c>
      <c r="AI8" s="46">
        <f>HLOOKUP(TBL_CalcDarwin[[#This Row],[Fecha]],'Plantilla AEG ES'!$E$1:$HX$13,8,FALSE)</f>
        <v>0</v>
      </c>
      <c r="AJ8" s="46">
        <f>HLOOKUP(TBL_CalcDarwin[[#This Row],[Fecha]],'Plantilla AEG ES'!$E$1:$HX$13,9,FALSE)</f>
        <v>3</v>
      </c>
      <c r="AK8" s="46">
        <f>HLOOKUP(TBL_CalcDarwin[[#This Row],[Fecha]],'Plantilla AEG ES'!$E$1:$HX$13,10,FALSE)</f>
        <v>12</v>
      </c>
      <c r="AL8" s="46">
        <f>HLOOKUP(TBL_CalcDarwin[[#This Row],[Fecha]],'Plantilla AEG ES'!$E$1:$HX$13,11,FALSE)</f>
        <v>1</v>
      </c>
      <c r="AM8" s="46">
        <f>HLOOKUP(TBL_CalcDarwin[[#This Row],[Fecha]],'Plantilla AEG ES'!$E$1:$HX$13,12,FALSE)</f>
        <v>4</v>
      </c>
      <c r="AN8" s="46">
        <f>HLOOKUP(TBL_CalcDarwin[[#This Row],[Fecha]],'Plantilla AEG ES'!$E$1:$HX$13,13,FALSE)</f>
        <v>3</v>
      </c>
      <c r="AO8" s="37">
        <f>TBL_CalcDarwin[[#This Row],[Lomitas - Barra A - 5.2 - Cerro]]+TBL_CalcDarwin[[#This Row],[Lomitas - Barra A - 5.2 - Medio]]+TBL_CalcDarwin[[#This Row],[Lomitas - Barra A - 5.2 - Mar]]</f>
        <v>23</v>
      </c>
      <c r="AP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15.951000000000001</v>
      </c>
      <c r="AR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17.736000000000001</v>
      </c>
      <c r="AS8" s="37">
        <f>TBL_CalcDarwin[[#This Row],[Expansión - Barra A - 5.2 - Cerro]]+TBL_CalcDarwin[[#This Row],[Expansión - Barra A - 5.2 - Medio]]+TBL_CalcDarwin[[#This Row],[Expansión - Barra A - 5.2 - Mar]]</f>
        <v>3</v>
      </c>
      <c r="AT8" s="37">
        <f>TBL_CalcDarwin[[#This Row],[Expansión - Barra B - 5.2 - Cerro]]</f>
        <v>3</v>
      </c>
      <c r="AU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1.3109999999999999</v>
      </c>
      <c r="AV8" s="29">
        <f>TBL_CalcDarwin[[#This Row],[Expansión - Barra B - 5.2 - Cerro]]*TBL_CalcDarwin[[#This Row],[AEG 5.2 MW Cerro]]</f>
        <v>1.1459999999999999</v>
      </c>
      <c r="AZ8" s="18"/>
      <c r="BA8" s="18"/>
      <c r="BB8" s="18"/>
      <c r="BC8" s="18"/>
      <c r="BD8" s="18"/>
      <c r="BE8" s="18"/>
      <c r="BF8" s="18"/>
    </row>
    <row r="9" spans="2:58" ht="12" x14ac:dyDescent="0.2">
      <c r="B9" s="55">
        <f t="shared" si="0"/>
        <v>45613.291666666657</v>
      </c>
      <c r="C9" s="17">
        <f t="shared" si="1"/>
        <v>0.29166666666666663</v>
      </c>
      <c r="D9" s="34">
        <f>TBL_CalcDarwin[[#This Row],[Darwin PLOM
MW]]+TBL_CalcDarwin[[#This Row],[Darwin PLOME
MW]]</f>
        <v>21.309000000000001</v>
      </c>
      <c r="E9" s="34">
        <f>TBL_CalcDarwin[[#This Row],[PLOM MW TOTAL BARRA A]]+TBL_CalcDarwin[[#This Row],[PLOM MW TOTAL BARRA B]]</f>
        <v>19.707000000000001</v>
      </c>
      <c r="F9" s="34">
        <f>TBL_CalcDarwin[[#This Row],[PLOME MW TOTAL BARRA A]]+TBL_CalcDarwin[[#This Row],[PLOME MW TOTAL BARRA B]]</f>
        <v>1.6019999999999999</v>
      </c>
      <c r="G9" s="48">
        <f>'Plantilla Datos'!D14</f>
        <v>3.7</v>
      </c>
      <c r="H9" s="48">
        <f>'Plantilla Datos'!E14</f>
        <v>4.9000000000000004</v>
      </c>
      <c r="I9" s="49">
        <f>'Plantilla Datos'!F14</f>
        <v>17.3</v>
      </c>
      <c r="J9" s="47">
        <f>CEILING('Plantilla Datos'!$L$3*TBL_CalcDarwin[[#This Row],[Darwin Gusts
m/s]],0.5)</f>
        <v>4</v>
      </c>
      <c r="K9" s="47">
        <f>CEILING('Plantilla Datos'!$L$4*TBL_CalcDarwin[[#This Row],[Darwin Gusts
m/s]],0.5)</f>
        <v>4.5</v>
      </c>
      <c r="L9" s="47">
        <f>CEILING(TBL_CalcDarwin[[#This Row],[Darwin Gusts
m/s]],0.5)</f>
        <v>5</v>
      </c>
      <c r="M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9" s="41">
        <f>INDEX(Curva_Temp[Temp],MATCH(TBL_CalcDarwin[[#This Row],[Darwin Temp.
°C]],Curva_Temp[Temp]))</f>
        <v>15</v>
      </c>
      <c r="R9" s="41">
        <f>INDEX(Curva_Temp[Warranted Power Curve for 
1.194Kg/m3 air density '[kW']
SG 5.0-145 (AM+1, 5.2MW) AT 
90M],MATCH(TBL_CalcDarwin[[#This Row],[Darwin Temp.
°C]],Curva_Temp[Temp]))</f>
        <v>5200</v>
      </c>
      <c r="S9" s="41" cm="1">
        <f t="array" ref="S9">INDEX(Curva_Temp[Temp],MATCH(TBL_CalcDarwin[[#This Row],[Darwin Temp.
°C]],Curva_Temp[Temp])+1)</f>
        <v>20</v>
      </c>
      <c r="T9" s="41" cm="1">
        <f t="array" ref="T9">INDEX(Curva_Temp[Warranted Power Curve for 
1.194Kg/m3 air density '[kW']
SG 5.0-145 (AM+1, 5.2MW) AT 
90M],MATCH(TBL_CalcDarwin[[#This Row],[Darwin Temp.
°C]],Curva_Temp[Temp])+1)</f>
        <v>5000</v>
      </c>
      <c r="U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9" s="41">
        <f>INDEX(Curva_Temp[Temp],MATCH(TBL_CalcDarwin[[#This Row],[Darwin Temp.
°C]],Curva_Temp[Temp]))</f>
        <v>15</v>
      </c>
      <c r="Z9" s="41">
        <f>INDEX(Curva_Temp[Warranted Power Curve for 
1.194Kg/m3 air density '[kW']
SG 5.0-145 (AM 0, 5.0MW) AT 
90M],MATCH(TBL_CalcDarwin[[#This Row],[Darwin Temp.
°C]],Curva_Temp[Temp]))</f>
        <v>5000</v>
      </c>
      <c r="AA9" s="41" cm="1">
        <f t="array" ref="AA9">INDEX(Curva_Temp[Temp],MATCH(TBL_CalcDarwin[[#This Row],[Darwin Temp.
°C]],Curva_Temp[Temp])+1)</f>
        <v>20</v>
      </c>
      <c r="AB9" s="41" cm="1">
        <f t="array" ref="AB9">INDEX(Curva_Temp[Warranted Power Curve for 
1.194Kg/m3 air density '[kW']
SG 5.0-145 (AM 0, 5.0MW) AT 
90M],MATCH(TBL_CalcDarwin[[#This Row],[Darwin Temp.
°C]],Curva_Temp[Temp])+1)</f>
        <v>5000</v>
      </c>
      <c r="AC9" s="45">
        <f>HLOOKUP(TBL_CalcDarwin[[#This Row],[Fecha]],'Plantilla AEG ES'!$E$1:$HX$13,2,FALSE)</f>
        <v>6</v>
      </c>
      <c r="AD9" s="45">
        <f>HLOOKUP(TBL_CalcDarwin[[#This Row],[Fecha]],'Plantilla AEG ES'!$E$1:$HX$13,3,FALSE)</f>
        <v>7</v>
      </c>
      <c r="AE9" s="45">
        <f>HLOOKUP(TBL_CalcDarwin[[#This Row],[Fecha]],'Plantilla AEG ES'!$E$1:$HX$13,4,FALSE)</f>
        <v>10</v>
      </c>
      <c r="AF9" s="45">
        <f>HLOOKUP(TBL_CalcDarwin[[#This Row],[Fecha]],'Plantilla AEG ES'!$E$1:$HX$13,5,FALSE)</f>
        <v>2</v>
      </c>
      <c r="AG9" s="45">
        <f>HLOOKUP(TBL_CalcDarwin[[#This Row],[Fecha]],'Plantilla AEG ES'!$E$1:$HX$13,6,FALSE)</f>
        <v>1</v>
      </c>
      <c r="AH9" s="45">
        <f>HLOOKUP(TBL_CalcDarwin[[#This Row],[Fecha]],'Plantilla AEG ES'!$E$1:$HX$13,7,FALSE)</f>
        <v>0</v>
      </c>
      <c r="AI9" s="46">
        <f>HLOOKUP(TBL_CalcDarwin[[#This Row],[Fecha]],'Plantilla AEG ES'!$E$1:$HX$13,8,FALSE)</f>
        <v>0</v>
      </c>
      <c r="AJ9" s="46">
        <f>HLOOKUP(TBL_CalcDarwin[[#This Row],[Fecha]],'Plantilla AEG ES'!$E$1:$HX$13,9,FALSE)</f>
        <v>3</v>
      </c>
      <c r="AK9" s="46">
        <f>HLOOKUP(TBL_CalcDarwin[[#This Row],[Fecha]],'Plantilla AEG ES'!$E$1:$HX$13,10,FALSE)</f>
        <v>12</v>
      </c>
      <c r="AL9" s="46">
        <f>HLOOKUP(TBL_CalcDarwin[[#This Row],[Fecha]],'Plantilla AEG ES'!$E$1:$HX$13,11,FALSE)</f>
        <v>1</v>
      </c>
      <c r="AM9" s="46">
        <f>HLOOKUP(TBL_CalcDarwin[[#This Row],[Fecha]],'Plantilla AEG ES'!$E$1:$HX$13,12,FALSE)</f>
        <v>4</v>
      </c>
      <c r="AN9" s="46">
        <f>HLOOKUP(TBL_CalcDarwin[[#This Row],[Fecha]],'Plantilla AEG ES'!$E$1:$HX$13,13,FALSE)</f>
        <v>3</v>
      </c>
      <c r="AO9" s="37">
        <f>TBL_CalcDarwin[[#This Row],[Lomitas - Barra A - 5.2 - Cerro]]+TBL_CalcDarwin[[#This Row],[Lomitas - Barra A - 5.2 - Medio]]+TBL_CalcDarwin[[#This Row],[Lomitas - Barra A - 5.2 - Mar]]</f>
        <v>23</v>
      </c>
      <c r="AP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9.6080000000000005</v>
      </c>
      <c r="AR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10.099</v>
      </c>
      <c r="AS9" s="37">
        <f>TBL_CalcDarwin[[#This Row],[Expansión - Barra A - 5.2 - Cerro]]+TBL_CalcDarwin[[#This Row],[Expansión - Barra A - 5.2 - Medio]]+TBL_CalcDarwin[[#This Row],[Expansión - Barra A - 5.2 - Mar]]</f>
        <v>3</v>
      </c>
      <c r="AT9" s="37">
        <f>TBL_CalcDarwin[[#This Row],[Expansión - Barra B - 5.2 - Cerro]]</f>
        <v>3</v>
      </c>
      <c r="AU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0.87</v>
      </c>
      <c r="AV9" s="29">
        <f>TBL_CalcDarwin[[#This Row],[Expansión - Barra B - 5.2 - Cerro]]*TBL_CalcDarwin[[#This Row],[AEG 5.2 MW Cerro]]</f>
        <v>0.73199999999999998</v>
      </c>
      <c r="AZ9" s="18"/>
      <c r="BA9" s="18"/>
      <c r="BB9" s="18"/>
      <c r="BC9" s="18"/>
      <c r="BD9" s="18"/>
      <c r="BE9" s="18"/>
      <c r="BF9" s="18"/>
    </row>
    <row r="10" spans="2:58" ht="12" x14ac:dyDescent="0.2">
      <c r="B10" s="55">
        <f t="shared" si="0"/>
        <v>45613.333333333321</v>
      </c>
      <c r="C10" s="17">
        <f t="shared" si="1"/>
        <v>0.33333333333333331</v>
      </c>
      <c r="D10" s="34">
        <f>TBL_CalcDarwin[[#This Row],[Darwin PLOM
MW]]+TBL_CalcDarwin[[#This Row],[Darwin PLOME
MW]]</f>
        <v>8.3879999999999999</v>
      </c>
      <c r="E10" s="34">
        <f>TBL_CalcDarwin[[#This Row],[PLOM MW TOTAL BARRA A]]+TBL_CalcDarwin[[#This Row],[PLOM MW TOTAL BARRA B]]</f>
        <v>7.9829999999999997</v>
      </c>
      <c r="F10" s="34">
        <f>TBL_CalcDarwin[[#This Row],[PLOME MW TOTAL BARRA A]]+TBL_CalcDarwin[[#This Row],[PLOME MW TOTAL BARRA B]]</f>
        <v>0.40500000000000003</v>
      </c>
      <c r="G10" s="48">
        <f>'Plantilla Datos'!D15</f>
        <v>3</v>
      </c>
      <c r="H10" s="48">
        <f>'Plantilla Datos'!E15</f>
        <v>4</v>
      </c>
      <c r="I10" s="49">
        <f>'Plantilla Datos'!F15</f>
        <v>18.2</v>
      </c>
      <c r="J10" s="47">
        <f>CEILING('Plantilla Datos'!$L$3*TBL_CalcDarwin[[#This Row],[Darwin Gusts
m/s]],0.5)</f>
        <v>3</v>
      </c>
      <c r="K10" s="47">
        <f>CEILING('Plantilla Datos'!$L$4*TBL_CalcDarwin[[#This Row],[Darwin Gusts
m/s]],0.5)</f>
        <v>3.5</v>
      </c>
      <c r="L10" s="47">
        <f>CEILING(TBL_CalcDarwin[[#This Row],[Darwin Gusts
m/s]],0.5)</f>
        <v>4</v>
      </c>
      <c r="M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5.0720000000000001</v>
      </c>
      <c r="N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0" s="41">
        <f>INDEX(Curva_Temp[Temp],MATCH(TBL_CalcDarwin[[#This Row],[Darwin Temp.
°C]],Curva_Temp[Temp]))</f>
        <v>15</v>
      </c>
      <c r="R10" s="41">
        <f>INDEX(Curva_Temp[Warranted Power Curve for 
1.194Kg/m3 air density '[kW']
SG 5.0-145 (AM+1, 5.2MW) AT 
90M],MATCH(TBL_CalcDarwin[[#This Row],[Darwin Temp.
°C]],Curva_Temp[Temp]))</f>
        <v>5200</v>
      </c>
      <c r="S10" s="41" cm="1">
        <f t="array" ref="S10">INDEX(Curva_Temp[Temp],MATCH(TBL_CalcDarwin[[#This Row],[Darwin Temp.
°C]],Curva_Temp[Temp])+1)</f>
        <v>20</v>
      </c>
      <c r="T10" s="41" cm="1">
        <f t="array" ref="T10">INDEX(Curva_Temp[Warranted Power Curve for 
1.194Kg/m3 air density '[kW']
SG 5.0-145 (AM+1, 5.2MW) AT 
90M],MATCH(TBL_CalcDarwin[[#This Row],[Darwin Temp.
°C]],Curva_Temp[Temp])+1)</f>
        <v>5000</v>
      </c>
      <c r="U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0" s="41">
        <f>INDEX(Curva_Temp[Temp],MATCH(TBL_CalcDarwin[[#This Row],[Darwin Temp.
°C]],Curva_Temp[Temp]))</f>
        <v>15</v>
      </c>
      <c r="Z10" s="41">
        <f>INDEX(Curva_Temp[Warranted Power Curve for 
1.194Kg/m3 air density '[kW']
SG 5.0-145 (AM 0, 5.0MW) AT 
90M],MATCH(TBL_CalcDarwin[[#This Row],[Darwin Temp.
°C]],Curva_Temp[Temp]))</f>
        <v>5000</v>
      </c>
      <c r="AA10" s="41" cm="1">
        <f t="array" ref="AA10">INDEX(Curva_Temp[Temp],MATCH(TBL_CalcDarwin[[#This Row],[Darwin Temp.
°C]],Curva_Temp[Temp])+1)</f>
        <v>20</v>
      </c>
      <c r="AB10" s="41" cm="1">
        <f t="array" ref="AB10">INDEX(Curva_Temp[Warranted Power Curve for 
1.194Kg/m3 air density '[kW']
SG 5.0-145 (AM 0, 5.0MW) AT 
90M],MATCH(TBL_CalcDarwin[[#This Row],[Darwin Temp.
°C]],Curva_Temp[Temp])+1)</f>
        <v>5000</v>
      </c>
      <c r="AC10" s="45">
        <f>HLOOKUP(TBL_CalcDarwin[[#This Row],[Fecha]],'Plantilla AEG ES'!$E$1:$HX$13,2,FALSE)</f>
        <v>6</v>
      </c>
      <c r="AD10" s="45">
        <f>HLOOKUP(TBL_CalcDarwin[[#This Row],[Fecha]],'Plantilla AEG ES'!$E$1:$HX$13,3,FALSE)</f>
        <v>7</v>
      </c>
      <c r="AE10" s="45">
        <f>HLOOKUP(TBL_CalcDarwin[[#This Row],[Fecha]],'Plantilla AEG ES'!$E$1:$HX$13,4,FALSE)</f>
        <v>10</v>
      </c>
      <c r="AF10" s="45">
        <f>HLOOKUP(TBL_CalcDarwin[[#This Row],[Fecha]],'Plantilla AEG ES'!$E$1:$HX$13,5,FALSE)</f>
        <v>2</v>
      </c>
      <c r="AG10" s="45">
        <f>HLOOKUP(TBL_CalcDarwin[[#This Row],[Fecha]],'Plantilla AEG ES'!$E$1:$HX$13,6,FALSE)</f>
        <v>1</v>
      </c>
      <c r="AH10" s="45">
        <f>HLOOKUP(TBL_CalcDarwin[[#This Row],[Fecha]],'Plantilla AEG ES'!$E$1:$HX$13,7,FALSE)</f>
        <v>0</v>
      </c>
      <c r="AI10" s="46">
        <f>HLOOKUP(TBL_CalcDarwin[[#This Row],[Fecha]],'Plantilla AEG ES'!$E$1:$HX$13,8,FALSE)</f>
        <v>0</v>
      </c>
      <c r="AJ10" s="46">
        <f>HLOOKUP(TBL_CalcDarwin[[#This Row],[Fecha]],'Plantilla AEG ES'!$E$1:$HX$13,9,FALSE)</f>
        <v>3</v>
      </c>
      <c r="AK10" s="46">
        <f>HLOOKUP(TBL_CalcDarwin[[#This Row],[Fecha]],'Plantilla AEG ES'!$E$1:$HX$13,10,FALSE)</f>
        <v>12</v>
      </c>
      <c r="AL10" s="46">
        <f>HLOOKUP(TBL_CalcDarwin[[#This Row],[Fecha]],'Plantilla AEG ES'!$E$1:$HX$13,11,FALSE)</f>
        <v>1</v>
      </c>
      <c r="AM10" s="46">
        <f>HLOOKUP(TBL_CalcDarwin[[#This Row],[Fecha]],'Plantilla AEG ES'!$E$1:$HX$13,12,FALSE)</f>
        <v>4</v>
      </c>
      <c r="AN10" s="46">
        <f>HLOOKUP(TBL_CalcDarwin[[#This Row],[Fecha]],'Plantilla AEG ES'!$E$1:$HX$13,13,FALSE)</f>
        <v>3</v>
      </c>
      <c r="AO10" s="37">
        <f>TBL_CalcDarwin[[#This Row],[Lomitas - Barra A - 5.2 - Cerro]]+TBL_CalcDarwin[[#This Row],[Lomitas - Barra A - 5.2 - Medio]]+TBL_CalcDarwin[[#This Row],[Lomitas - Barra A - 5.2 - Mar]]</f>
        <v>23</v>
      </c>
      <c r="AP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3.6799999999999997</v>
      </c>
      <c r="AR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4.3029999999999999</v>
      </c>
      <c r="AS10" s="37">
        <f>TBL_CalcDarwin[[#This Row],[Expansión - Barra A - 5.2 - Cerro]]+TBL_CalcDarwin[[#This Row],[Expansión - Barra A - 5.2 - Medio]]+TBL_CalcDarwin[[#This Row],[Expansión - Barra A - 5.2 - Mar]]</f>
        <v>3</v>
      </c>
      <c r="AT10" s="37">
        <f>TBL_CalcDarwin[[#This Row],[Expansión - Barra B - 5.2 - Cerro]]</f>
        <v>3</v>
      </c>
      <c r="AU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0.24</v>
      </c>
      <c r="AV10" s="29">
        <f>TBL_CalcDarwin[[#This Row],[Expansión - Barra B - 5.2 - Cerro]]*TBL_CalcDarwin[[#This Row],[AEG 5.2 MW Cerro]]</f>
        <v>0.16500000000000001</v>
      </c>
      <c r="AZ10" s="18"/>
      <c r="BA10" s="18"/>
      <c r="BB10" s="18"/>
      <c r="BC10" s="18"/>
      <c r="BD10" s="18"/>
      <c r="BE10" s="18"/>
      <c r="BF10" s="18"/>
    </row>
    <row r="11" spans="2:58" ht="12" x14ac:dyDescent="0.2">
      <c r="B11" s="55">
        <f t="shared" si="0"/>
        <v>45613.374999999985</v>
      </c>
      <c r="C11" s="17">
        <f t="shared" si="1"/>
        <v>0.375</v>
      </c>
      <c r="D11" s="34">
        <f>TBL_CalcDarwin[[#This Row],[Darwin PLOM
MW]]+TBL_CalcDarwin[[#This Row],[Darwin PLOME
MW]]</f>
        <v>21.309000000000001</v>
      </c>
      <c r="E11" s="34">
        <f>TBL_CalcDarwin[[#This Row],[PLOM MW TOTAL BARRA A]]+TBL_CalcDarwin[[#This Row],[PLOM MW TOTAL BARRA B]]</f>
        <v>19.707000000000001</v>
      </c>
      <c r="F11" s="34">
        <f>TBL_CalcDarwin[[#This Row],[PLOME MW TOTAL BARRA A]]+TBL_CalcDarwin[[#This Row],[PLOME MW TOTAL BARRA B]]</f>
        <v>1.6019999999999999</v>
      </c>
      <c r="G11" s="48">
        <f>'Plantilla Datos'!D16</f>
        <v>3.8</v>
      </c>
      <c r="H11" s="48">
        <f>'Plantilla Datos'!E16</f>
        <v>5</v>
      </c>
      <c r="I11" s="49">
        <f>'Plantilla Datos'!F16</f>
        <v>19.3</v>
      </c>
      <c r="J11" s="47">
        <f>CEILING('Plantilla Datos'!$L$3*TBL_CalcDarwin[[#This Row],[Darwin Gusts
m/s]],0.5)</f>
        <v>4</v>
      </c>
      <c r="K11" s="47">
        <f>CEILING('Plantilla Datos'!$L$4*TBL_CalcDarwin[[#This Row],[Darwin Gusts
m/s]],0.5)</f>
        <v>4.5</v>
      </c>
      <c r="L11" s="47">
        <f>CEILING(TBL_CalcDarwin[[#This Row],[Darwin Gusts
m/s]],0.5)</f>
        <v>5</v>
      </c>
      <c r="M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5.0279999999999996</v>
      </c>
      <c r="N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1" s="41">
        <f>INDEX(Curva_Temp[Temp],MATCH(TBL_CalcDarwin[[#This Row],[Darwin Temp.
°C]],Curva_Temp[Temp]))</f>
        <v>15</v>
      </c>
      <c r="R11" s="41">
        <f>INDEX(Curva_Temp[Warranted Power Curve for 
1.194Kg/m3 air density '[kW']
SG 5.0-145 (AM+1, 5.2MW) AT 
90M],MATCH(TBL_CalcDarwin[[#This Row],[Darwin Temp.
°C]],Curva_Temp[Temp]))</f>
        <v>5200</v>
      </c>
      <c r="S11" s="41" cm="1">
        <f t="array" ref="S11">INDEX(Curva_Temp[Temp],MATCH(TBL_CalcDarwin[[#This Row],[Darwin Temp.
°C]],Curva_Temp[Temp])+1)</f>
        <v>20</v>
      </c>
      <c r="T11" s="41" cm="1">
        <f t="array" ref="T11">INDEX(Curva_Temp[Warranted Power Curve for 
1.194Kg/m3 air density '[kW']
SG 5.0-145 (AM+1, 5.2MW) AT 
90M],MATCH(TBL_CalcDarwin[[#This Row],[Darwin Temp.
°C]],Curva_Temp[Temp])+1)</f>
        <v>5000</v>
      </c>
      <c r="U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1" s="41">
        <f>INDEX(Curva_Temp[Temp],MATCH(TBL_CalcDarwin[[#This Row],[Darwin Temp.
°C]],Curva_Temp[Temp]))</f>
        <v>15</v>
      </c>
      <c r="Z11" s="41">
        <f>INDEX(Curva_Temp[Warranted Power Curve for 
1.194Kg/m3 air density '[kW']
SG 5.0-145 (AM 0, 5.0MW) AT 
90M],MATCH(TBL_CalcDarwin[[#This Row],[Darwin Temp.
°C]],Curva_Temp[Temp]))</f>
        <v>5000</v>
      </c>
      <c r="AA11" s="41" cm="1">
        <f t="array" ref="AA11">INDEX(Curva_Temp[Temp],MATCH(TBL_CalcDarwin[[#This Row],[Darwin Temp.
°C]],Curva_Temp[Temp])+1)</f>
        <v>20</v>
      </c>
      <c r="AB11" s="41" cm="1">
        <f t="array" ref="AB11">INDEX(Curva_Temp[Warranted Power Curve for 
1.194Kg/m3 air density '[kW']
SG 5.0-145 (AM 0, 5.0MW) AT 
90M],MATCH(TBL_CalcDarwin[[#This Row],[Darwin Temp.
°C]],Curva_Temp[Temp])+1)</f>
        <v>5000</v>
      </c>
      <c r="AC11" s="45">
        <f>HLOOKUP(TBL_CalcDarwin[[#This Row],[Fecha]],'Plantilla AEG ES'!$E$1:$HX$13,2,FALSE)</f>
        <v>6</v>
      </c>
      <c r="AD11" s="45">
        <f>HLOOKUP(TBL_CalcDarwin[[#This Row],[Fecha]],'Plantilla AEG ES'!$E$1:$HX$13,3,FALSE)</f>
        <v>7</v>
      </c>
      <c r="AE11" s="45">
        <f>HLOOKUP(TBL_CalcDarwin[[#This Row],[Fecha]],'Plantilla AEG ES'!$E$1:$HX$13,4,FALSE)</f>
        <v>10</v>
      </c>
      <c r="AF11" s="45">
        <f>HLOOKUP(TBL_CalcDarwin[[#This Row],[Fecha]],'Plantilla AEG ES'!$E$1:$HX$13,5,FALSE)</f>
        <v>2</v>
      </c>
      <c r="AG11" s="45">
        <f>HLOOKUP(TBL_CalcDarwin[[#This Row],[Fecha]],'Plantilla AEG ES'!$E$1:$HX$13,6,FALSE)</f>
        <v>1</v>
      </c>
      <c r="AH11" s="45">
        <f>HLOOKUP(TBL_CalcDarwin[[#This Row],[Fecha]],'Plantilla AEG ES'!$E$1:$HX$13,7,FALSE)</f>
        <v>0</v>
      </c>
      <c r="AI11" s="46">
        <f>HLOOKUP(TBL_CalcDarwin[[#This Row],[Fecha]],'Plantilla AEG ES'!$E$1:$HX$13,8,FALSE)</f>
        <v>0</v>
      </c>
      <c r="AJ11" s="46">
        <f>HLOOKUP(TBL_CalcDarwin[[#This Row],[Fecha]],'Plantilla AEG ES'!$E$1:$HX$13,9,FALSE)</f>
        <v>3</v>
      </c>
      <c r="AK11" s="46">
        <f>HLOOKUP(TBL_CalcDarwin[[#This Row],[Fecha]],'Plantilla AEG ES'!$E$1:$HX$13,10,FALSE)</f>
        <v>12</v>
      </c>
      <c r="AL11" s="46">
        <f>HLOOKUP(TBL_CalcDarwin[[#This Row],[Fecha]],'Plantilla AEG ES'!$E$1:$HX$13,11,FALSE)</f>
        <v>1</v>
      </c>
      <c r="AM11" s="46">
        <f>HLOOKUP(TBL_CalcDarwin[[#This Row],[Fecha]],'Plantilla AEG ES'!$E$1:$HX$13,12,FALSE)</f>
        <v>4</v>
      </c>
      <c r="AN11" s="46">
        <f>HLOOKUP(TBL_CalcDarwin[[#This Row],[Fecha]],'Plantilla AEG ES'!$E$1:$HX$13,13,FALSE)</f>
        <v>3</v>
      </c>
      <c r="AO11" s="37">
        <f>TBL_CalcDarwin[[#This Row],[Lomitas - Barra A - 5.2 - Cerro]]+TBL_CalcDarwin[[#This Row],[Lomitas - Barra A - 5.2 - Medio]]+TBL_CalcDarwin[[#This Row],[Lomitas - Barra A - 5.2 - Mar]]</f>
        <v>23</v>
      </c>
      <c r="AP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9.6080000000000005</v>
      </c>
      <c r="AR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10.099</v>
      </c>
      <c r="AS11" s="37">
        <f>TBL_CalcDarwin[[#This Row],[Expansión - Barra A - 5.2 - Cerro]]+TBL_CalcDarwin[[#This Row],[Expansión - Barra A - 5.2 - Medio]]+TBL_CalcDarwin[[#This Row],[Expansión - Barra A - 5.2 - Mar]]</f>
        <v>3</v>
      </c>
      <c r="AT11" s="37">
        <f>TBL_CalcDarwin[[#This Row],[Expansión - Barra B - 5.2 - Cerro]]</f>
        <v>3</v>
      </c>
      <c r="AU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0.87</v>
      </c>
      <c r="AV11" s="29">
        <f>TBL_CalcDarwin[[#This Row],[Expansión - Barra B - 5.2 - Cerro]]*TBL_CalcDarwin[[#This Row],[AEG 5.2 MW Cerro]]</f>
        <v>0.73199999999999998</v>
      </c>
      <c r="AZ11" s="18"/>
      <c r="BA11" s="18"/>
      <c r="BB11" s="18"/>
      <c r="BC11" s="18"/>
      <c r="BD11" s="18"/>
      <c r="BE11" s="18"/>
      <c r="BF11" s="18"/>
    </row>
    <row r="12" spans="2:58" ht="12" x14ac:dyDescent="0.2">
      <c r="B12" s="55">
        <f t="shared" si="0"/>
        <v>45613.41666666665</v>
      </c>
      <c r="C12" s="17">
        <f t="shared" si="1"/>
        <v>0.41666666666666669</v>
      </c>
      <c r="D12" s="34">
        <f>TBL_CalcDarwin[[#This Row],[Darwin PLOM
MW]]+TBL_CalcDarwin[[#This Row],[Darwin PLOME
MW]]</f>
        <v>58.882999999999996</v>
      </c>
      <c r="E12" s="34">
        <f>TBL_CalcDarwin[[#This Row],[PLOM MW TOTAL BARRA A]]+TBL_CalcDarwin[[#This Row],[PLOM MW TOTAL BARRA B]]</f>
        <v>55.164999999999999</v>
      </c>
      <c r="F12" s="34">
        <f>TBL_CalcDarwin[[#This Row],[PLOME MW TOTAL BARRA A]]+TBL_CalcDarwin[[#This Row],[PLOME MW TOTAL BARRA B]]</f>
        <v>3.718</v>
      </c>
      <c r="G12" s="48">
        <f>'Plantilla Datos'!D17</f>
        <v>5.4</v>
      </c>
      <c r="H12" s="48">
        <f>'Plantilla Datos'!E17</f>
        <v>6.9</v>
      </c>
      <c r="I12" s="49">
        <f>'Plantilla Datos'!F17</f>
        <v>20</v>
      </c>
      <c r="J12" s="47">
        <f>CEILING('Plantilla Datos'!$L$3*TBL_CalcDarwin[[#This Row],[Darwin Gusts
m/s]],0.5)</f>
        <v>5</v>
      </c>
      <c r="K12" s="47">
        <f>CEILING('Plantilla Datos'!$L$4*TBL_CalcDarwin[[#This Row],[Darwin Gusts
m/s]],0.5)</f>
        <v>6</v>
      </c>
      <c r="L12" s="47">
        <f>CEILING(TBL_CalcDarwin[[#This Row],[Darwin Gusts
m/s]],0.5)</f>
        <v>7</v>
      </c>
      <c r="M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</v>
      </c>
      <c r="N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2" s="41">
        <f>INDEX(Curva_Temp[Temp],MATCH(TBL_CalcDarwin[[#This Row],[Darwin Temp.
°C]],Curva_Temp[Temp]))</f>
        <v>20</v>
      </c>
      <c r="R12" s="41">
        <f>INDEX(Curva_Temp[Warranted Power Curve for 
1.194Kg/m3 air density '[kW']
SG 5.0-145 (AM+1, 5.2MW) AT 
90M],MATCH(TBL_CalcDarwin[[#This Row],[Darwin Temp.
°C]],Curva_Temp[Temp]))</f>
        <v>5000</v>
      </c>
      <c r="S12" s="41" cm="1">
        <f t="array" ref="S12">INDEX(Curva_Temp[Temp],MATCH(TBL_CalcDarwin[[#This Row],[Darwin Temp.
°C]],Curva_Temp[Temp])+1)</f>
        <v>25</v>
      </c>
      <c r="T12" s="41" cm="1">
        <f t="array" ref="T12">INDEX(Curva_Temp[Warranted Power Curve for 
1.194Kg/m3 air density '[kW']
SG 5.0-145 (AM+1, 5.2MW) AT 
90M],MATCH(TBL_CalcDarwin[[#This Row],[Darwin Temp.
°C]],Curva_Temp[Temp])+1)</f>
        <v>4900</v>
      </c>
      <c r="U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2" s="41">
        <f>INDEX(Curva_Temp[Temp],MATCH(TBL_CalcDarwin[[#This Row],[Darwin Temp.
°C]],Curva_Temp[Temp]))</f>
        <v>20</v>
      </c>
      <c r="Z12" s="41">
        <f>INDEX(Curva_Temp[Warranted Power Curve for 
1.194Kg/m3 air density '[kW']
SG 5.0-145 (AM 0, 5.0MW) AT 
90M],MATCH(TBL_CalcDarwin[[#This Row],[Darwin Temp.
°C]],Curva_Temp[Temp]))</f>
        <v>5000</v>
      </c>
      <c r="AA12" s="41" cm="1">
        <f t="array" ref="AA12">INDEX(Curva_Temp[Temp],MATCH(TBL_CalcDarwin[[#This Row],[Darwin Temp.
°C]],Curva_Temp[Temp])+1)</f>
        <v>25</v>
      </c>
      <c r="AB12" s="41" cm="1">
        <f t="array" ref="AB12">INDEX(Curva_Temp[Warranted Power Curve for 
1.194Kg/m3 air density '[kW']
SG 5.0-145 (AM 0, 5.0MW) AT 
90M],MATCH(TBL_CalcDarwin[[#This Row],[Darwin Temp.
°C]],Curva_Temp[Temp])+1)</f>
        <v>4900</v>
      </c>
      <c r="AC12" s="45">
        <f>HLOOKUP(TBL_CalcDarwin[[#This Row],[Fecha]],'Plantilla AEG ES'!$E$1:$HX$13,2,FALSE)</f>
        <v>6</v>
      </c>
      <c r="AD12" s="45">
        <f>HLOOKUP(TBL_CalcDarwin[[#This Row],[Fecha]],'Plantilla AEG ES'!$E$1:$HX$13,3,FALSE)</f>
        <v>7</v>
      </c>
      <c r="AE12" s="45">
        <f>HLOOKUP(TBL_CalcDarwin[[#This Row],[Fecha]],'Plantilla AEG ES'!$E$1:$HX$13,4,FALSE)</f>
        <v>10</v>
      </c>
      <c r="AF12" s="45">
        <f>HLOOKUP(TBL_CalcDarwin[[#This Row],[Fecha]],'Plantilla AEG ES'!$E$1:$HX$13,5,FALSE)</f>
        <v>2</v>
      </c>
      <c r="AG12" s="45">
        <f>HLOOKUP(TBL_CalcDarwin[[#This Row],[Fecha]],'Plantilla AEG ES'!$E$1:$HX$13,6,FALSE)</f>
        <v>1</v>
      </c>
      <c r="AH12" s="45">
        <f>HLOOKUP(TBL_CalcDarwin[[#This Row],[Fecha]],'Plantilla AEG ES'!$E$1:$HX$13,7,FALSE)</f>
        <v>0</v>
      </c>
      <c r="AI12" s="46">
        <f>HLOOKUP(TBL_CalcDarwin[[#This Row],[Fecha]],'Plantilla AEG ES'!$E$1:$HX$13,8,FALSE)</f>
        <v>0</v>
      </c>
      <c r="AJ12" s="46">
        <f>HLOOKUP(TBL_CalcDarwin[[#This Row],[Fecha]],'Plantilla AEG ES'!$E$1:$HX$13,9,FALSE)</f>
        <v>3</v>
      </c>
      <c r="AK12" s="46">
        <f>HLOOKUP(TBL_CalcDarwin[[#This Row],[Fecha]],'Plantilla AEG ES'!$E$1:$HX$13,10,FALSE)</f>
        <v>12</v>
      </c>
      <c r="AL12" s="46">
        <f>HLOOKUP(TBL_CalcDarwin[[#This Row],[Fecha]],'Plantilla AEG ES'!$E$1:$HX$13,11,FALSE)</f>
        <v>1</v>
      </c>
      <c r="AM12" s="46">
        <f>HLOOKUP(TBL_CalcDarwin[[#This Row],[Fecha]],'Plantilla AEG ES'!$E$1:$HX$13,12,FALSE)</f>
        <v>4</v>
      </c>
      <c r="AN12" s="46">
        <f>HLOOKUP(TBL_CalcDarwin[[#This Row],[Fecha]],'Plantilla AEG ES'!$E$1:$HX$13,13,FALSE)</f>
        <v>3</v>
      </c>
      <c r="AO12" s="37">
        <f>TBL_CalcDarwin[[#This Row],[Lomitas - Barra A - 5.2 - Cerro]]+TBL_CalcDarwin[[#This Row],[Lomitas - Barra A - 5.2 - Medio]]+TBL_CalcDarwin[[#This Row],[Lomitas - Barra A - 5.2 - Mar]]</f>
        <v>23</v>
      </c>
      <c r="AP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26.132999999999999</v>
      </c>
      <c r="AR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29.032</v>
      </c>
      <c r="AS12" s="37">
        <f>TBL_CalcDarwin[[#This Row],[Expansión - Barra A - 5.2 - Cerro]]+TBL_CalcDarwin[[#This Row],[Expansión - Barra A - 5.2 - Medio]]+TBL_CalcDarwin[[#This Row],[Expansión - Barra A - 5.2 - Mar]]</f>
        <v>3</v>
      </c>
      <c r="AT12" s="37">
        <f>TBL_CalcDarwin[[#This Row],[Expansión - Barra B - 5.2 - Cerro]]</f>
        <v>3</v>
      </c>
      <c r="AU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2.077</v>
      </c>
      <c r="AV12" s="29">
        <f>TBL_CalcDarwin[[#This Row],[Expansión - Barra B - 5.2 - Cerro]]*TBL_CalcDarwin[[#This Row],[AEG 5.2 MW Cerro]]</f>
        <v>1.641</v>
      </c>
      <c r="AZ12" s="18"/>
      <c r="BA12" s="18"/>
      <c r="BB12" s="18"/>
      <c r="BC12" s="18"/>
      <c r="BD12" s="18"/>
      <c r="BE12" s="18"/>
      <c r="BF12" s="18"/>
    </row>
    <row r="13" spans="2:58" ht="12" x14ac:dyDescent="0.2">
      <c r="B13" s="55">
        <f t="shared" si="0"/>
        <v>45613.458333333314</v>
      </c>
      <c r="C13" s="17">
        <f t="shared" si="1"/>
        <v>0.45833333333333337</v>
      </c>
      <c r="D13" s="34">
        <f>TBL_CalcDarwin[[#This Row],[Darwin PLOM
MW]]+TBL_CalcDarwin[[#This Row],[Darwin PLOME
MW]]</f>
        <v>124.345</v>
      </c>
      <c r="E13" s="34">
        <f>TBL_CalcDarwin[[#This Row],[PLOM MW TOTAL BARRA A]]+TBL_CalcDarwin[[#This Row],[PLOM MW TOTAL BARRA B]]</f>
        <v>116.03700000000001</v>
      </c>
      <c r="F13" s="34">
        <f>TBL_CalcDarwin[[#This Row],[PLOME MW TOTAL BARRA A]]+TBL_CalcDarwin[[#This Row],[PLOME MW TOTAL BARRA B]]</f>
        <v>8.3079999999999998</v>
      </c>
      <c r="G13" s="48">
        <f>'Plantilla Datos'!D18</f>
        <v>6.9</v>
      </c>
      <c r="H13" s="48">
        <f>'Plantilla Datos'!E18</f>
        <v>8.6999999999999993</v>
      </c>
      <c r="I13" s="49">
        <f>'Plantilla Datos'!F18</f>
        <v>20.100000000000001</v>
      </c>
      <c r="J13" s="47">
        <f>CEILING('Plantilla Datos'!$L$3*TBL_CalcDarwin[[#This Row],[Darwin Gusts
m/s]],0.5)</f>
        <v>6.5</v>
      </c>
      <c r="K13" s="47">
        <f>CEILING('Plantilla Datos'!$L$4*TBL_CalcDarwin[[#This Row],[Darwin Gusts
m/s]],0.5)</f>
        <v>7.5</v>
      </c>
      <c r="L13" s="47">
        <f>CEILING(TBL_CalcDarwin[[#This Row],[Darwin Gusts
m/s]],0.5)</f>
        <v>9</v>
      </c>
      <c r="M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4.9980000000000002</v>
      </c>
      <c r="N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3" s="41">
        <f>INDEX(Curva_Temp[Temp],MATCH(TBL_CalcDarwin[[#This Row],[Darwin Temp.
°C]],Curva_Temp[Temp]))</f>
        <v>20</v>
      </c>
      <c r="R13" s="41">
        <f>INDEX(Curva_Temp[Warranted Power Curve for 
1.194Kg/m3 air density '[kW']
SG 5.0-145 (AM+1, 5.2MW) AT 
90M],MATCH(TBL_CalcDarwin[[#This Row],[Darwin Temp.
°C]],Curva_Temp[Temp]))</f>
        <v>5000</v>
      </c>
      <c r="S13" s="41" cm="1">
        <f t="array" ref="S13">INDEX(Curva_Temp[Temp],MATCH(TBL_CalcDarwin[[#This Row],[Darwin Temp.
°C]],Curva_Temp[Temp])+1)</f>
        <v>25</v>
      </c>
      <c r="T13" s="41" cm="1">
        <f t="array" ref="T13">INDEX(Curva_Temp[Warranted Power Curve for 
1.194Kg/m3 air density '[kW']
SG 5.0-145 (AM+1, 5.2MW) AT 
90M],MATCH(TBL_CalcDarwin[[#This Row],[Darwin Temp.
°C]],Curva_Temp[Temp])+1)</f>
        <v>4900</v>
      </c>
      <c r="U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4.9980000000000002</v>
      </c>
      <c r="V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3" s="41">
        <f>INDEX(Curva_Temp[Temp],MATCH(TBL_CalcDarwin[[#This Row],[Darwin Temp.
°C]],Curva_Temp[Temp]))</f>
        <v>20</v>
      </c>
      <c r="Z13" s="41">
        <f>INDEX(Curva_Temp[Warranted Power Curve for 
1.194Kg/m3 air density '[kW']
SG 5.0-145 (AM 0, 5.0MW) AT 
90M],MATCH(TBL_CalcDarwin[[#This Row],[Darwin Temp.
°C]],Curva_Temp[Temp]))</f>
        <v>5000</v>
      </c>
      <c r="AA13" s="41" cm="1">
        <f t="array" ref="AA13">INDEX(Curva_Temp[Temp],MATCH(TBL_CalcDarwin[[#This Row],[Darwin Temp.
°C]],Curva_Temp[Temp])+1)</f>
        <v>25</v>
      </c>
      <c r="AB13" s="41" cm="1">
        <f t="array" ref="AB13">INDEX(Curva_Temp[Warranted Power Curve for 
1.194Kg/m3 air density '[kW']
SG 5.0-145 (AM 0, 5.0MW) AT 
90M],MATCH(TBL_CalcDarwin[[#This Row],[Darwin Temp.
°C]],Curva_Temp[Temp])+1)</f>
        <v>4900</v>
      </c>
      <c r="AC13" s="45">
        <f>HLOOKUP(TBL_CalcDarwin[[#This Row],[Fecha]],'Plantilla AEG ES'!$E$1:$HX$13,2,FALSE)</f>
        <v>6</v>
      </c>
      <c r="AD13" s="45">
        <f>HLOOKUP(TBL_CalcDarwin[[#This Row],[Fecha]],'Plantilla AEG ES'!$E$1:$HX$13,3,FALSE)</f>
        <v>7</v>
      </c>
      <c r="AE13" s="45">
        <f>HLOOKUP(TBL_CalcDarwin[[#This Row],[Fecha]],'Plantilla AEG ES'!$E$1:$HX$13,4,FALSE)</f>
        <v>10</v>
      </c>
      <c r="AF13" s="45">
        <f>HLOOKUP(TBL_CalcDarwin[[#This Row],[Fecha]],'Plantilla AEG ES'!$E$1:$HX$13,5,FALSE)</f>
        <v>2</v>
      </c>
      <c r="AG13" s="45">
        <f>HLOOKUP(TBL_CalcDarwin[[#This Row],[Fecha]],'Plantilla AEG ES'!$E$1:$HX$13,6,FALSE)</f>
        <v>1</v>
      </c>
      <c r="AH13" s="45">
        <f>HLOOKUP(TBL_CalcDarwin[[#This Row],[Fecha]],'Plantilla AEG ES'!$E$1:$HX$13,7,FALSE)</f>
        <v>0</v>
      </c>
      <c r="AI13" s="46">
        <f>HLOOKUP(TBL_CalcDarwin[[#This Row],[Fecha]],'Plantilla AEG ES'!$E$1:$HX$13,8,FALSE)</f>
        <v>0</v>
      </c>
      <c r="AJ13" s="46">
        <f>HLOOKUP(TBL_CalcDarwin[[#This Row],[Fecha]],'Plantilla AEG ES'!$E$1:$HX$13,9,FALSE)</f>
        <v>3</v>
      </c>
      <c r="AK13" s="46">
        <f>HLOOKUP(TBL_CalcDarwin[[#This Row],[Fecha]],'Plantilla AEG ES'!$E$1:$HX$13,10,FALSE)</f>
        <v>12</v>
      </c>
      <c r="AL13" s="46">
        <f>HLOOKUP(TBL_CalcDarwin[[#This Row],[Fecha]],'Plantilla AEG ES'!$E$1:$HX$13,11,FALSE)</f>
        <v>1</v>
      </c>
      <c r="AM13" s="46">
        <f>HLOOKUP(TBL_CalcDarwin[[#This Row],[Fecha]],'Plantilla AEG ES'!$E$1:$HX$13,12,FALSE)</f>
        <v>4</v>
      </c>
      <c r="AN13" s="46">
        <f>HLOOKUP(TBL_CalcDarwin[[#This Row],[Fecha]],'Plantilla AEG ES'!$E$1:$HX$13,13,FALSE)</f>
        <v>3</v>
      </c>
      <c r="AO13" s="37">
        <f>TBL_CalcDarwin[[#This Row],[Lomitas - Barra A - 5.2 - Cerro]]+TBL_CalcDarwin[[#This Row],[Lomitas - Barra A - 5.2 - Medio]]+TBL_CalcDarwin[[#This Row],[Lomitas - Barra A - 5.2 - Mar]]</f>
        <v>23</v>
      </c>
      <c r="AP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55.102000000000004</v>
      </c>
      <c r="AR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60.935000000000002</v>
      </c>
      <c r="AS13" s="37">
        <f>TBL_CalcDarwin[[#This Row],[Expansión - Barra A - 5.2 - Cerro]]+TBL_CalcDarwin[[#This Row],[Expansión - Barra A - 5.2 - Medio]]+TBL_CalcDarwin[[#This Row],[Expansión - Barra A - 5.2 - Mar]]</f>
        <v>3</v>
      </c>
      <c r="AT13" s="37">
        <f>TBL_CalcDarwin[[#This Row],[Expansión - Barra B - 5.2 - Cerro]]</f>
        <v>3</v>
      </c>
      <c r="AU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4.51</v>
      </c>
      <c r="AV13" s="29">
        <f>TBL_CalcDarwin[[#This Row],[Expansión - Barra B - 5.2 - Cerro]]*TBL_CalcDarwin[[#This Row],[AEG 5.2 MW Cerro]]</f>
        <v>3.798</v>
      </c>
      <c r="AZ13" s="18"/>
      <c r="BA13" s="18"/>
      <c r="BB13" s="18"/>
      <c r="BC13" s="18"/>
      <c r="BD13" s="18"/>
      <c r="BE13" s="18"/>
      <c r="BF13" s="18"/>
    </row>
    <row r="14" spans="2:58" ht="12" x14ac:dyDescent="0.2">
      <c r="B14" s="55">
        <f t="shared" si="0"/>
        <v>45613.499999999978</v>
      </c>
      <c r="C14" s="17">
        <f t="shared" si="1"/>
        <v>0.5</v>
      </c>
      <c r="D14" s="34">
        <f>TBL_CalcDarwin[[#This Row],[Darwin PLOM
MW]]+TBL_CalcDarwin[[#This Row],[Darwin PLOME
MW]]</f>
        <v>166.48499999999999</v>
      </c>
      <c r="E14" s="34">
        <f>TBL_CalcDarwin[[#This Row],[PLOM MW TOTAL BARRA A]]+TBL_CalcDarwin[[#This Row],[PLOM MW TOTAL BARRA B]]</f>
        <v>153.71699999999998</v>
      </c>
      <c r="F14" s="34">
        <f>TBL_CalcDarwin[[#This Row],[PLOME MW TOTAL BARRA A]]+TBL_CalcDarwin[[#This Row],[PLOME MW TOTAL BARRA B]]</f>
        <v>12.768000000000001</v>
      </c>
      <c r="G14" s="48">
        <f>'Plantilla Datos'!D19</f>
        <v>7.8</v>
      </c>
      <c r="H14" s="48">
        <f>'Plantilla Datos'!E19</f>
        <v>9.8000000000000007</v>
      </c>
      <c r="I14" s="49">
        <f>'Plantilla Datos'!F19</f>
        <v>20.100000000000001</v>
      </c>
      <c r="J14" s="47">
        <f>CEILING('Plantilla Datos'!$L$3*TBL_CalcDarwin[[#This Row],[Darwin Gusts
m/s]],0.5)</f>
        <v>7.5</v>
      </c>
      <c r="K14" s="47">
        <f>CEILING('Plantilla Datos'!$L$4*TBL_CalcDarwin[[#This Row],[Darwin Gusts
m/s]],0.5)</f>
        <v>8.5</v>
      </c>
      <c r="L14" s="47">
        <f>CEILING(TBL_CalcDarwin[[#This Row],[Darwin Gusts
m/s]],0.5)</f>
        <v>10</v>
      </c>
      <c r="M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4.9980000000000002</v>
      </c>
      <c r="N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4" s="41">
        <f>INDEX(Curva_Temp[Temp],MATCH(TBL_CalcDarwin[[#This Row],[Darwin Temp.
°C]],Curva_Temp[Temp]))</f>
        <v>20</v>
      </c>
      <c r="R14" s="41">
        <f>INDEX(Curva_Temp[Warranted Power Curve for 
1.194Kg/m3 air density '[kW']
SG 5.0-145 (AM+1, 5.2MW) AT 
90M],MATCH(TBL_CalcDarwin[[#This Row],[Darwin Temp.
°C]],Curva_Temp[Temp]))</f>
        <v>5000</v>
      </c>
      <c r="S14" s="41" cm="1">
        <f t="array" ref="S14">INDEX(Curva_Temp[Temp],MATCH(TBL_CalcDarwin[[#This Row],[Darwin Temp.
°C]],Curva_Temp[Temp])+1)</f>
        <v>25</v>
      </c>
      <c r="T14" s="41" cm="1">
        <f t="array" ref="T14">INDEX(Curva_Temp[Warranted Power Curve for 
1.194Kg/m3 air density '[kW']
SG 5.0-145 (AM+1, 5.2MW) AT 
90M],MATCH(TBL_CalcDarwin[[#This Row],[Darwin Temp.
°C]],Curva_Temp[Temp])+1)</f>
        <v>4900</v>
      </c>
      <c r="U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4.9980000000000002</v>
      </c>
      <c r="V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4" s="41">
        <f>INDEX(Curva_Temp[Temp],MATCH(TBL_CalcDarwin[[#This Row],[Darwin Temp.
°C]],Curva_Temp[Temp]))</f>
        <v>20</v>
      </c>
      <c r="Z14" s="41">
        <f>INDEX(Curva_Temp[Warranted Power Curve for 
1.194Kg/m3 air density '[kW']
SG 5.0-145 (AM 0, 5.0MW) AT 
90M],MATCH(TBL_CalcDarwin[[#This Row],[Darwin Temp.
°C]],Curva_Temp[Temp]))</f>
        <v>5000</v>
      </c>
      <c r="AA14" s="41" cm="1">
        <f t="array" ref="AA14">INDEX(Curva_Temp[Temp],MATCH(TBL_CalcDarwin[[#This Row],[Darwin Temp.
°C]],Curva_Temp[Temp])+1)</f>
        <v>25</v>
      </c>
      <c r="AB14" s="41" cm="1">
        <f t="array" ref="AB14">INDEX(Curva_Temp[Warranted Power Curve for 
1.194Kg/m3 air density '[kW']
SG 5.0-145 (AM 0, 5.0MW) AT 
90M],MATCH(TBL_CalcDarwin[[#This Row],[Darwin Temp.
°C]],Curva_Temp[Temp])+1)</f>
        <v>4900</v>
      </c>
      <c r="AC14" s="45">
        <f>HLOOKUP(TBL_CalcDarwin[[#This Row],[Fecha]],'Plantilla AEG ES'!$E$1:$HX$13,2,FALSE)</f>
        <v>6</v>
      </c>
      <c r="AD14" s="45">
        <f>HLOOKUP(TBL_CalcDarwin[[#This Row],[Fecha]],'Plantilla AEG ES'!$E$1:$HX$13,3,FALSE)</f>
        <v>7</v>
      </c>
      <c r="AE14" s="45">
        <f>HLOOKUP(TBL_CalcDarwin[[#This Row],[Fecha]],'Plantilla AEG ES'!$E$1:$HX$13,4,FALSE)</f>
        <v>10</v>
      </c>
      <c r="AF14" s="45">
        <f>HLOOKUP(TBL_CalcDarwin[[#This Row],[Fecha]],'Plantilla AEG ES'!$E$1:$HX$13,5,FALSE)</f>
        <v>2</v>
      </c>
      <c r="AG14" s="45">
        <f>HLOOKUP(TBL_CalcDarwin[[#This Row],[Fecha]],'Plantilla AEG ES'!$E$1:$HX$13,6,FALSE)</f>
        <v>1</v>
      </c>
      <c r="AH14" s="45">
        <f>HLOOKUP(TBL_CalcDarwin[[#This Row],[Fecha]],'Plantilla AEG ES'!$E$1:$HX$13,7,FALSE)</f>
        <v>0</v>
      </c>
      <c r="AI14" s="46">
        <f>HLOOKUP(TBL_CalcDarwin[[#This Row],[Fecha]],'Plantilla AEG ES'!$E$1:$HX$13,8,FALSE)</f>
        <v>0</v>
      </c>
      <c r="AJ14" s="46">
        <f>HLOOKUP(TBL_CalcDarwin[[#This Row],[Fecha]],'Plantilla AEG ES'!$E$1:$HX$13,9,FALSE)</f>
        <v>3</v>
      </c>
      <c r="AK14" s="46">
        <f>HLOOKUP(TBL_CalcDarwin[[#This Row],[Fecha]],'Plantilla AEG ES'!$E$1:$HX$13,10,FALSE)</f>
        <v>12</v>
      </c>
      <c r="AL14" s="46">
        <f>HLOOKUP(TBL_CalcDarwin[[#This Row],[Fecha]],'Plantilla AEG ES'!$E$1:$HX$13,11,FALSE)</f>
        <v>1</v>
      </c>
      <c r="AM14" s="46">
        <f>HLOOKUP(TBL_CalcDarwin[[#This Row],[Fecha]],'Plantilla AEG ES'!$E$1:$HX$13,12,FALSE)</f>
        <v>4</v>
      </c>
      <c r="AN14" s="46">
        <f>HLOOKUP(TBL_CalcDarwin[[#This Row],[Fecha]],'Plantilla AEG ES'!$E$1:$HX$13,13,FALSE)</f>
        <v>3</v>
      </c>
      <c r="AO14" s="37">
        <f>TBL_CalcDarwin[[#This Row],[Lomitas - Barra A - 5.2 - Cerro]]+TBL_CalcDarwin[[#This Row],[Lomitas - Barra A - 5.2 - Medio]]+TBL_CalcDarwin[[#This Row],[Lomitas - Barra A - 5.2 - Mar]]</f>
        <v>23</v>
      </c>
      <c r="AP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74.853999999999999</v>
      </c>
      <c r="AR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78.863</v>
      </c>
      <c r="AS14" s="37">
        <f>TBL_CalcDarwin[[#This Row],[Expansión - Barra A - 5.2 - Cerro]]+TBL_CalcDarwin[[#This Row],[Expansión - Barra A - 5.2 - Medio]]+TBL_CalcDarwin[[#This Row],[Expansión - Barra A - 5.2 - Mar]]</f>
        <v>3</v>
      </c>
      <c r="AT14" s="37">
        <f>TBL_CalcDarwin[[#This Row],[Expansión - Barra B - 5.2 - Cerro]]</f>
        <v>3</v>
      </c>
      <c r="AU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6.8339999999999996</v>
      </c>
      <c r="AV14" s="29">
        <f>TBL_CalcDarwin[[#This Row],[Expansión - Barra B - 5.2 - Cerro]]*TBL_CalcDarwin[[#This Row],[AEG 5.2 MW Cerro]]</f>
        <v>5.9340000000000002</v>
      </c>
      <c r="AZ14" s="18"/>
      <c r="BA14" s="18"/>
      <c r="BB14" s="18"/>
      <c r="BC14" s="18"/>
      <c r="BD14" s="18"/>
      <c r="BE14" s="18"/>
      <c r="BF14" s="18"/>
    </row>
    <row r="15" spans="2:58" ht="12" x14ac:dyDescent="0.2">
      <c r="B15" s="55">
        <f t="shared" si="0"/>
        <v>45613.541666666642</v>
      </c>
      <c r="C15" s="17">
        <f t="shared" si="1"/>
        <v>0.54166666666666663</v>
      </c>
      <c r="D15" s="34">
        <f>TBL_CalcDarwin[[#This Row],[Darwin PLOM
MW]]+TBL_CalcDarwin[[#This Row],[Darwin PLOME
MW]]</f>
        <v>181.523</v>
      </c>
      <c r="E15" s="34">
        <f>TBL_CalcDarwin[[#This Row],[PLOM MW TOTAL BARRA A]]+TBL_CalcDarwin[[#This Row],[PLOM MW TOTAL BARRA B]]</f>
        <v>168.267</v>
      </c>
      <c r="F15" s="34">
        <f>TBL_CalcDarwin[[#This Row],[PLOME MW TOTAL BARRA A]]+TBL_CalcDarwin[[#This Row],[PLOME MW TOTAL BARRA B]]</f>
        <v>13.256</v>
      </c>
      <c r="G15" s="48">
        <f>'Plantilla Datos'!D20</f>
        <v>8.1999999999999993</v>
      </c>
      <c r="H15" s="48">
        <f>'Plantilla Datos'!E20</f>
        <v>10.199999999999999</v>
      </c>
      <c r="I15" s="49">
        <f>'Plantilla Datos'!F20</f>
        <v>20.100000000000001</v>
      </c>
      <c r="J15" s="47">
        <f>CEILING('Plantilla Datos'!$L$3*TBL_CalcDarwin[[#This Row],[Darwin Gusts
m/s]],0.5)</f>
        <v>7.5</v>
      </c>
      <c r="K15" s="47">
        <f>CEILING('Plantilla Datos'!$L$4*TBL_CalcDarwin[[#This Row],[Darwin Gusts
m/s]],0.5)</f>
        <v>9</v>
      </c>
      <c r="L15" s="47">
        <f>CEILING(TBL_CalcDarwin[[#This Row],[Darwin Gusts
m/s]],0.5)</f>
        <v>10.5</v>
      </c>
      <c r="M1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4.9980000000000002</v>
      </c>
      <c r="N1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5" s="41">
        <f>INDEX(Curva_Temp[Temp],MATCH(TBL_CalcDarwin[[#This Row],[Darwin Temp.
°C]],Curva_Temp[Temp]))</f>
        <v>20</v>
      </c>
      <c r="R15" s="41">
        <f>INDEX(Curva_Temp[Warranted Power Curve for 
1.194Kg/m3 air density '[kW']
SG 5.0-145 (AM+1, 5.2MW) AT 
90M],MATCH(TBL_CalcDarwin[[#This Row],[Darwin Temp.
°C]],Curva_Temp[Temp]))</f>
        <v>5000</v>
      </c>
      <c r="S15" s="41" cm="1">
        <f t="array" ref="S15">INDEX(Curva_Temp[Temp],MATCH(TBL_CalcDarwin[[#This Row],[Darwin Temp.
°C]],Curva_Temp[Temp])+1)</f>
        <v>25</v>
      </c>
      <c r="T15" s="41" cm="1">
        <f t="array" ref="T15">INDEX(Curva_Temp[Warranted Power Curve for 
1.194Kg/m3 air density '[kW']
SG 5.0-145 (AM+1, 5.2MW) AT 
90M],MATCH(TBL_CalcDarwin[[#This Row],[Darwin Temp.
°C]],Curva_Temp[Temp])+1)</f>
        <v>4900</v>
      </c>
      <c r="U1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4.9980000000000002</v>
      </c>
      <c r="V1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5" s="41">
        <f>INDEX(Curva_Temp[Temp],MATCH(TBL_CalcDarwin[[#This Row],[Darwin Temp.
°C]],Curva_Temp[Temp]))</f>
        <v>20</v>
      </c>
      <c r="Z15" s="41">
        <f>INDEX(Curva_Temp[Warranted Power Curve for 
1.194Kg/m3 air density '[kW']
SG 5.0-145 (AM 0, 5.0MW) AT 
90M],MATCH(TBL_CalcDarwin[[#This Row],[Darwin Temp.
°C]],Curva_Temp[Temp]))</f>
        <v>5000</v>
      </c>
      <c r="AA15" s="41" cm="1">
        <f t="array" ref="AA15">INDEX(Curva_Temp[Temp],MATCH(TBL_CalcDarwin[[#This Row],[Darwin Temp.
°C]],Curva_Temp[Temp])+1)</f>
        <v>25</v>
      </c>
      <c r="AB15" s="41" cm="1">
        <f t="array" ref="AB15">INDEX(Curva_Temp[Warranted Power Curve for 
1.194Kg/m3 air density '[kW']
SG 5.0-145 (AM 0, 5.0MW) AT 
90M],MATCH(TBL_CalcDarwin[[#This Row],[Darwin Temp.
°C]],Curva_Temp[Temp])+1)</f>
        <v>4900</v>
      </c>
      <c r="AC15" s="45">
        <f>HLOOKUP(TBL_CalcDarwin[[#This Row],[Fecha]],'Plantilla AEG ES'!$E$1:$HX$13,2,FALSE)</f>
        <v>6</v>
      </c>
      <c r="AD15" s="45">
        <f>HLOOKUP(TBL_CalcDarwin[[#This Row],[Fecha]],'Plantilla AEG ES'!$E$1:$HX$13,3,FALSE)</f>
        <v>7</v>
      </c>
      <c r="AE15" s="45">
        <f>HLOOKUP(TBL_CalcDarwin[[#This Row],[Fecha]],'Plantilla AEG ES'!$E$1:$HX$13,4,FALSE)</f>
        <v>10</v>
      </c>
      <c r="AF15" s="45">
        <f>HLOOKUP(TBL_CalcDarwin[[#This Row],[Fecha]],'Plantilla AEG ES'!$E$1:$HX$13,5,FALSE)</f>
        <v>2</v>
      </c>
      <c r="AG15" s="45">
        <f>HLOOKUP(TBL_CalcDarwin[[#This Row],[Fecha]],'Plantilla AEG ES'!$E$1:$HX$13,6,FALSE)</f>
        <v>1</v>
      </c>
      <c r="AH15" s="45">
        <f>HLOOKUP(TBL_CalcDarwin[[#This Row],[Fecha]],'Plantilla AEG ES'!$E$1:$HX$13,7,FALSE)</f>
        <v>0</v>
      </c>
      <c r="AI15" s="46">
        <f>HLOOKUP(TBL_CalcDarwin[[#This Row],[Fecha]],'Plantilla AEG ES'!$E$1:$HX$13,8,FALSE)</f>
        <v>0</v>
      </c>
      <c r="AJ15" s="46">
        <f>HLOOKUP(TBL_CalcDarwin[[#This Row],[Fecha]],'Plantilla AEG ES'!$E$1:$HX$13,9,FALSE)</f>
        <v>3</v>
      </c>
      <c r="AK15" s="46">
        <f>HLOOKUP(TBL_CalcDarwin[[#This Row],[Fecha]],'Plantilla AEG ES'!$E$1:$HX$13,10,FALSE)</f>
        <v>12</v>
      </c>
      <c r="AL15" s="46">
        <f>HLOOKUP(TBL_CalcDarwin[[#This Row],[Fecha]],'Plantilla AEG ES'!$E$1:$HX$13,11,FALSE)</f>
        <v>1</v>
      </c>
      <c r="AM15" s="46">
        <f>HLOOKUP(TBL_CalcDarwin[[#This Row],[Fecha]],'Plantilla AEG ES'!$E$1:$HX$13,12,FALSE)</f>
        <v>4</v>
      </c>
      <c r="AN15" s="46">
        <f>HLOOKUP(TBL_CalcDarwin[[#This Row],[Fecha]],'Plantilla AEG ES'!$E$1:$HX$13,13,FALSE)</f>
        <v>3</v>
      </c>
      <c r="AO15" s="37">
        <f>TBL_CalcDarwin[[#This Row],[Lomitas - Barra A - 5.2 - Cerro]]+TBL_CalcDarwin[[#This Row],[Lomitas - Barra A - 5.2 - Medio]]+TBL_CalcDarwin[[#This Row],[Lomitas - Barra A - 5.2 - Mar]]</f>
        <v>23</v>
      </c>
      <c r="AP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82.06</v>
      </c>
      <c r="AR1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86.206999999999994</v>
      </c>
      <c r="AS15" s="37">
        <f>TBL_CalcDarwin[[#This Row],[Expansión - Barra A - 5.2 - Cerro]]+TBL_CalcDarwin[[#This Row],[Expansión - Barra A - 5.2 - Medio]]+TBL_CalcDarwin[[#This Row],[Expansión - Barra A - 5.2 - Mar]]</f>
        <v>3</v>
      </c>
      <c r="AT15" s="37">
        <f>TBL_CalcDarwin[[#This Row],[Expansión - Barra B - 5.2 - Cerro]]</f>
        <v>3</v>
      </c>
      <c r="AU1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7.3220000000000001</v>
      </c>
      <c r="AV15" s="29">
        <f>TBL_CalcDarwin[[#This Row],[Expansión - Barra B - 5.2 - Cerro]]*TBL_CalcDarwin[[#This Row],[AEG 5.2 MW Cerro]]</f>
        <v>5.9340000000000002</v>
      </c>
      <c r="AZ15" s="18"/>
      <c r="BA15" s="18"/>
      <c r="BB15" s="18"/>
      <c r="BC15" s="18"/>
      <c r="BD15" s="18"/>
      <c r="BE15" s="18"/>
      <c r="BF15" s="18"/>
    </row>
    <row r="16" spans="2:58" ht="12" x14ac:dyDescent="0.2">
      <c r="B16" s="55">
        <f t="shared" si="0"/>
        <v>45613.583333333307</v>
      </c>
      <c r="C16" s="17">
        <f t="shared" si="1"/>
        <v>0.58333333333333326</v>
      </c>
      <c r="D16" s="34">
        <f>TBL_CalcDarwin[[#This Row],[Darwin PLOM
MW]]+TBL_CalcDarwin[[#This Row],[Darwin PLOME
MW]]</f>
        <v>181.523</v>
      </c>
      <c r="E16" s="34">
        <f>TBL_CalcDarwin[[#This Row],[PLOM MW TOTAL BARRA A]]+TBL_CalcDarwin[[#This Row],[PLOM MW TOTAL BARRA B]]</f>
        <v>168.267</v>
      </c>
      <c r="F16" s="34">
        <f>TBL_CalcDarwin[[#This Row],[PLOME MW TOTAL BARRA A]]+TBL_CalcDarwin[[#This Row],[PLOME MW TOTAL BARRA B]]</f>
        <v>13.256</v>
      </c>
      <c r="G16" s="48">
        <f>'Plantilla Datos'!D21</f>
        <v>8.1999999999999993</v>
      </c>
      <c r="H16" s="48">
        <f>'Plantilla Datos'!E21</f>
        <v>10.3</v>
      </c>
      <c r="I16" s="49">
        <f>'Plantilla Datos'!F21</f>
        <v>20.100000000000001</v>
      </c>
      <c r="J16" s="47">
        <f>CEILING('Plantilla Datos'!$L$3*TBL_CalcDarwin[[#This Row],[Darwin Gusts
m/s]],0.5)</f>
        <v>7.5</v>
      </c>
      <c r="K16" s="47">
        <f>CEILING('Plantilla Datos'!$L$4*TBL_CalcDarwin[[#This Row],[Darwin Gusts
m/s]],0.5)</f>
        <v>9</v>
      </c>
      <c r="L16" s="47">
        <f>CEILING(TBL_CalcDarwin[[#This Row],[Darwin Gusts
m/s]],0.5)</f>
        <v>10.5</v>
      </c>
      <c r="M1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4.9980000000000002</v>
      </c>
      <c r="N1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6" s="41">
        <f>INDEX(Curva_Temp[Temp],MATCH(TBL_CalcDarwin[[#This Row],[Darwin Temp.
°C]],Curva_Temp[Temp]))</f>
        <v>20</v>
      </c>
      <c r="R16" s="41">
        <f>INDEX(Curva_Temp[Warranted Power Curve for 
1.194Kg/m3 air density '[kW']
SG 5.0-145 (AM+1, 5.2MW) AT 
90M],MATCH(TBL_CalcDarwin[[#This Row],[Darwin Temp.
°C]],Curva_Temp[Temp]))</f>
        <v>5000</v>
      </c>
      <c r="S16" s="41" cm="1">
        <f t="array" ref="S16">INDEX(Curva_Temp[Temp],MATCH(TBL_CalcDarwin[[#This Row],[Darwin Temp.
°C]],Curva_Temp[Temp])+1)</f>
        <v>25</v>
      </c>
      <c r="T16" s="41" cm="1">
        <f t="array" ref="T16">INDEX(Curva_Temp[Warranted Power Curve for 
1.194Kg/m3 air density '[kW']
SG 5.0-145 (AM+1, 5.2MW) AT 
90M],MATCH(TBL_CalcDarwin[[#This Row],[Darwin Temp.
°C]],Curva_Temp[Temp])+1)</f>
        <v>4900</v>
      </c>
      <c r="U1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4.9980000000000002</v>
      </c>
      <c r="V1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6" s="41">
        <f>INDEX(Curva_Temp[Temp],MATCH(TBL_CalcDarwin[[#This Row],[Darwin Temp.
°C]],Curva_Temp[Temp]))</f>
        <v>20</v>
      </c>
      <c r="Z16" s="41">
        <f>INDEX(Curva_Temp[Warranted Power Curve for 
1.194Kg/m3 air density '[kW']
SG 5.0-145 (AM 0, 5.0MW) AT 
90M],MATCH(TBL_CalcDarwin[[#This Row],[Darwin Temp.
°C]],Curva_Temp[Temp]))</f>
        <v>5000</v>
      </c>
      <c r="AA16" s="41" cm="1">
        <f t="array" ref="AA16">INDEX(Curva_Temp[Temp],MATCH(TBL_CalcDarwin[[#This Row],[Darwin Temp.
°C]],Curva_Temp[Temp])+1)</f>
        <v>25</v>
      </c>
      <c r="AB16" s="41" cm="1">
        <f t="array" ref="AB16">INDEX(Curva_Temp[Warranted Power Curve for 
1.194Kg/m3 air density '[kW']
SG 5.0-145 (AM 0, 5.0MW) AT 
90M],MATCH(TBL_CalcDarwin[[#This Row],[Darwin Temp.
°C]],Curva_Temp[Temp])+1)</f>
        <v>4900</v>
      </c>
      <c r="AC16" s="45">
        <f>HLOOKUP(TBL_CalcDarwin[[#This Row],[Fecha]],'Plantilla AEG ES'!$E$1:$HX$13,2,FALSE)</f>
        <v>6</v>
      </c>
      <c r="AD16" s="45">
        <f>HLOOKUP(TBL_CalcDarwin[[#This Row],[Fecha]],'Plantilla AEG ES'!$E$1:$HX$13,3,FALSE)</f>
        <v>7</v>
      </c>
      <c r="AE16" s="45">
        <f>HLOOKUP(TBL_CalcDarwin[[#This Row],[Fecha]],'Plantilla AEG ES'!$E$1:$HX$13,4,FALSE)</f>
        <v>10</v>
      </c>
      <c r="AF16" s="45">
        <f>HLOOKUP(TBL_CalcDarwin[[#This Row],[Fecha]],'Plantilla AEG ES'!$E$1:$HX$13,5,FALSE)</f>
        <v>2</v>
      </c>
      <c r="AG16" s="45">
        <f>HLOOKUP(TBL_CalcDarwin[[#This Row],[Fecha]],'Plantilla AEG ES'!$E$1:$HX$13,6,FALSE)</f>
        <v>1</v>
      </c>
      <c r="AH16" s="45">
        <f>HLOOKUP(TBL_CalcDarwin[[#This Row],[Fecha]],'Plantilla AEG ES'!$E$1:$HX$13,7,FALSE)</f>
        <v>0</v>
      </c>
      <c r="AI16" s="46">
        <f>HLOOKUP(TBL_CalcDarwin[[#This Row],[Fecha]],'Plantilla AEG ES'!$E$1:$HX$13,8,FALSE)</f>
        <v>0</v>
      </c>
      <c r="AJ16" s="46">
        <f>HLOOKUP(TBL_CalcDarwin[[#This Row],[Fecha]],'Plantilla AEG ES'!$E$1:$HX$13,9,FALSE)</f>
        <v>3</v>
      </c>
      <c r="AK16" s="46">
        <f>HLOOKUP(TBL_CalcDarwin[[#This Row],[Fecha]],'Plantilla AEG ES'!$E$1:$HX$13,10,FALSE)</f>
        <v>12</v>
      </c>
      <c r="AL16" s="46">
        <f>HLOOKUP(TBL_CalcDarwin[[#This Row],[Fecha]],'Plantilla AEG ES'!$E$1:$HX$13,11,FALSE)</f>
        <v>1</v>
      </c>
      <c r="AM16" s="46">
        <f>HLOOKUP(TBL_CalcDarwin[[#This Row],[Fecha]],'Plantilla AEG ES'!$E$1:$HX$13,12,FALSE)</f>
        <v>4</v>
      </c>
      <c r="AN16" s="46">
        <f>HLOOKUP(TBL_CalcDarwin[[#This Row],[Fecha]],'Plantilla AEG ES'!$E$1:$HX$13,13,FALSE)</f>
        <v>3</v>
      </c>
      <c r="AO16" s="37">
        <f>TBL_CalcDarwin[[#This Row],[Lomitas - Barra A - 5.2 - Cerro]]+TBL_CalcDarwin[[#This Row],[Lomitas - Barra A - 5.2 - Medio]]+TBL_CalcDarwin[[#This Row],[Lomitas - Barra A - 5.2 - Mar]]</f>
        <v>23</v>
      </c>
      <c r="AP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82.06</v>
      </c>
      <c r="AR1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86.206999999999994</v>
      </c>
      <c r="AS16" s="37">
        <f>TBL_CalcDarwin[[#This Row],[Expansión - Barra A - 5.2 - Cerro]]+TBL_CalcDarwin[[#This Row],[Expansión - Barra A - 5.2 - Medio]]+TBL_CalcDarwin[[#This Row],[Expansión - Barra A - 5.2 - Mar]]</f>
        <v>3</v>
      </c>
      <c r="AT16" s="37">
        <f>TBL_CalcDarwin[[#This Row],[Expansión - Barra B - 5.2 - Cerro]]</f>
        <v>3</v>
      </c>
      <c r="AU1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7.3220000000000001</v>
      </c>
      <c r="AV16" s="29">
        <f>TBL_CalcDarwin[[#This Row],[Expansión - Barra B - 5.2 - Cerro]]*TBL_CalcDarwin[[#This Row],[AEG 5.2 MW Cerro]]</f>
        <v>5.9340000000000002</v>
      </c>
      <c r="AZ16" s="18"/>
      <c r="BA16" s="18"/>
      <c r="BB16" s="18"/>
      <c r="BC16" s="18"/>
      <c r="BD16" s="18"/>
      <c r="BE16" s="18"/>
      <c r="BF16" s="18"/>
    </row>
    <row r="17" spans="2:58" ht="12" x14ac:dyDescent="0.2">
      <c r="B17" s="55">
        <f t="shared" si="0"/>
        <v>45613.624999999971</v>
      </c>
      <c r="C17" s="17">
        <f t="shared" si="1"/>
        <v>0.62499999999999989</v>
      </c>
      <c r="D17" s="34">
        <f>TBL_CalcDarwin[[#This Row],[Darwin PLOM
MW]]+TBL_CalcDarwin[[#This Row],[Darwin PLOME
MW]]</f>
        <v>186.68900000000002</v>
      </c>
      <c r="E17" s="34">
        <f>TBL_CalcDarwin[[#This Row],[PLOM MW TOTAL BARRA A]]+TBL_CalcDarwin[[#This Row],[PLOM MW TOTAL BARRA B]]</f>
        <v>171.27800000000002</v>
      </c>
      <c r="F17" s="34">
        <f>TBL_CalcDarwin[[#This Row],[PLOME MW TOTAL BARRA A]]+TBL_CalcDarwin[[#This Row],[PLOME MW TOTAL BARRA B]]</f>
        <v>15.410999999999998</v>
      </c>
      <c r="G17" s="48">
        <f>'Plantilla Datos'!D22</f>
        <v>8.3000000000000007</v>
      </c>
      <c r="H17" s="48">
        <f>'Plantilla Datos'!E22</f>
        <v>10.4</v>
      </c>
      <c r="I17" s="49">
        <f>'Plantilla Datos'!F22</f>
        <v>20</v>
      </c>
      <c r="J17" s="47">
        <f>CEILING('Plantilla Datos'!$L$3*TBL_CalcDarwin[[#This Row],[Darwin Gusts
m/s]],0.5)</f>
        <v>8</v>
      </c>
      <c r="K17" s="47">
        <f>CEILING('Plantilla Datos'!$L$4*TBL_CalcDarwin[[#This Row],[Darwin Gusts
m/s]],0.5)</f>
        <v>9</v>
      </c>
      <c r="L17" s="47">
        <f>CEILING(TBL_CalcDarwin[[#This Row],[Darwin Gusts
m/s]],0.5)</f>
        <v>10.5</v>
      </c>
      <c r="M1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</v>
      </c>
      <c r="N1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7" s="41">
        <f>INDEX(Curva_Temp[Temp],MATCH(TBL_CalcDarwin[[#This Row],[Darwin Temp.
°C]],Curva_Temp[Temp]))</f>
        <v>20</v>
      </c>
      <c r="R17" s="41">
        <f>INDEX(Curva_Temp[Warranted Power Curve for 
1.194Kg/m3 air density '[kW']
SG 5.0-145 (AM+1, 5.2MW) AT 
90M],MATCH(TBL_CalcDarwin[[#This Row],[Darwin Temp.
°C]],Curva_Temp[Temp]))</f>
        <v>5000</v>
      </c>
      <c r="S17" s="41" cm="1">
        <f t="array" ref="S17">INDEX(Curva_Temp[Temp],MATCH(TBL_CalcDarwin[[#This Row],[Darwin Temp.
°C]],Curva_Temp[Temp])+1)</f>
        <v>25</v>
      </c>
      <c r="T17" s="41" cm="1">
        <f t="array" ref="T17">INDEX(Curva_Temp[Warranted Power Curve for 
1.194Kg/m3 air density '[kW']
SG 5.0-145 (AM+1, 5.2MW) AT 
90M],MATCH(TBL_CalcDarwin[[#This Row],[Darwin Temp.
°C]],Curva_Temp[Temp])+1)</f>
        <v>4900</v>
      </c>
      <c r="U1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7" s="41">
        <f>INDEX(Curva_Temp[Temp],MATCH(TBL_CalcDarwin[[#This Row],[Darwin Temp.
°C]],Curva_Temp[Temp]))</f>
        <v>20</v>
      </c>
      <c r="Z17" s="41">
        <f>INDEX(Curva_Temp[Warranted Power Curve for 
1.194Kg/m3 air density '[kW']
SG 5.0-145 (AM 0, 5.0MW) AT 
90M],MATCH(TBL_CalcDarwin[[#This Row],[Darwin Temp.
°C]],Curva_Temp[Temp]))</f>
        <v>5000</v>
      </c>
      <c r="AA17" s="41" cm="1">
        <f t="array" ref="AA17">INDEX(Curva_Temp[Temp],MATCH(TBL_CalcDarwin[[#This Row],[Darwin Temp.
°C]],Curva_Temp[Temp])+1)</f>
        <v>25</v>
      </c>
      <c r="AB17" s="41" cm="1">
        <f t="array" ref="AB17">INDEX(Curva_Temp[Warranted Power Curve for 
1.194Kg/m3 air density '[kW']
SG 5.0-145 (AM 0, 5.0MW) AT 
90M],MATCH(TBL_CalcDarwin[[#This Row],[Darwin Temp.
°C]],Curva_Temp[Temp])+1)</f>
        <v>4900</v>
      </c>
      <c r="AC17" s="45">
        <f>HLOOKUP(TBL_CalcDarwin[[#This Row],[Fecha]],'Plantilla AEG ES'!$E$1:$HX$13,2,FALSE)</f>
        <v>6</v>
      </c>
      <c r="AD17" s="45">
        <f>HLOOKUP(TBL_CalcDarwin[[#This Row],[Fecha]],'Plantilla AEG ES'!$E$1:$HX$13,3,FALSE)</f>
        <v>7</v>
      </c>
      <c r="AE17" s="45">
        <f>HLOOKUP(TBL_CalcDarwin[[#This Row],[Fecha]],'Plantilla AEG ES'!$E$1:$HX$13,4,FALSE)</f>
        <v>10</v>
      </c>
      <c r="AF17" s="45">
        <f>HLOOKUP(TBL_CalcDarwin[[#This Row],[Fecha]],'Plantilla AEG ES'!$E$1:$HX$13,5,FALSE)</f>
        <v>2</v>
      </c>
      <c r="AG17" s="45">
        <f>HLOOKUP(TBL_CalcDarwin[[#This Row],[Fecha]],'Plantilla AEG ES'!$E$1:$HX$13,6,FALSE)</f>
        <v>1</v>
      </c>
      <c r="AH17" s="45">
        <f>HLOOKUP(TBL_CalcDarwin[[#This Row],[Fecha]],'Plantilla AEG ES'!$E$1:$HX$13,7,FALSE)</f>
        <v>0</v>
      </c>
      <c r="AI17" s="46">
        <f>HLOOKUP(TBL_CalcDarwin[[#This Row],[Fecha]],'Plantilla AEG ES'!$E$1:$HX$13,8,FALSE)</f>
        <v>0</v>
      </c>
      <c r="AJ17" s="46">
        <f>HLOOKUP(TBL_CalcDarwin[[#This Row],[Fecha]],'Plantilla AEG ES'!$E$1:$HX$13,9,FALSE)</f>
        <v>3</v>
      </c>
      <c r="AK17" s="46">
        <f>HLOOKUP(TBL_CalcDarwin[[#This Row],[Fecha]],'Plantilla AEG ES'!$E$1:$HX$13,10,FALSE)</f>
        <v>12</v>
      </c>
      <c r="AL17" s="46">
        <f>HLOOKUP(TBL_CalcDarwin[[#This Row],[Fecha]],'Plantilla AEG ES'!$E$1:$HX$13,11,FALSE)</f>
        <v>1</v>
      </c>
      <c r="AM17" s="46">
        <f>HLOOKUP(TBL_CalcDarwin[[#This Row],[Fecha]],'Plantilla AEG ES'!$E$1:$HX$13,12,FALSE)</f>
        <v>4</v>
      </c>
      <c r="AN17" s="46">
        <f>HLOOKUP(TBL_CalcDarwin[[#This Row],[Fecha]],'Plantilla AEG ES'!$E$1:$HX$13,13,FALSE)</f>
        <v>3</v>
      </c>
      <c r="AO17" s="37">
        <f>TBL_CalcDarwin[[#This Row],[Lomitas - Barra A - 5.2 - Cerro]]+TBL_CalcDarwin[[#This Row],[Lomitas - Barra A - 5.2 - Medio]]+TBL_CalcDarwin[[#This Row],[Lomitas - Barra A - 5.2 - Mar]]</f>
        <v>23</v>
      </c>
      <c r="AP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84.646000000000001</v>
      </c>
      <c r="AR1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86.632000000000005</v>
      </c>
      <c r="AS17" s="37">
        <f>TBL_CalcDarwin[[#This Row],[Expansión - Barra A - 5.2 - Cerro]]+TBL_CalcDarwin[[#This Row],[Expansión - Barra A - 5.2 - Medio]]+TBL_CalcDarwin[[#This Row],[Expansión - Barra A - 5.2 - Mar]]</f>
        <v>3</v>
      </c>
      <c r="AT17" s="37">
        <f>TBL_CalcDarwin[[#This Row],[Expansión - Barra B - 5.2 - Cerro]]</f>
        <v>3</v>
      </c>
      <c r="AU1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8.1839999999999993</v>
      </c>
      <c r="AV17" s="29">
        <f>TBL_CalcDarwin[[#This Row],[Expansión - Barra B - 5.2 - Cerro]]*TBL_CalcDarwin[[#This Row],[AEG 5.2 MW Cerro]]</f>
        <v>7.2269999999999994</v>
      </c>
      <c r="AZ17" s="18"/>
      <c r="BA17" s="18"/>
      <c r="BB17" s="18"/>
      <c r="BC17" s="18"/>
      <c r="BD17" s="18"/>
      <c r="BE17" s="18"/>
      <c r="BF17" s="18"/>
    </row>
    <row r="18" spans="2:58" ht="12" x14ac:dyDescent="0.2">
      <c r="B18" s="55">
        <f t="shared" si="0"/>
        <v>45613.666666666635</v>
      </c>
      <c r="C18" s="17">
        <f t="shared" si="1"/>
        <v>0.66666666666666652</v>
      </c>
      <c r="D18" s="34">
        <f>TBL_CalcDarwin[[#This Row],[Darwin PLOM
MW]]+TBL_CalcDarwin[[#This Row],[Darwin PLOME
MW]]</f>
        <v>181.523</v>
      </c>
      <c r="E18" s="34">
        <f>TBL_CalcDarwin[[#This Row],[PLOM MW TOTAL BARRA A]]+TBL_CalcDarwin[[#This Row],[PLOM MW TOTAL BARRA B]]</f>
        <v>168.267</v>
      </c>
      <c r="F18" s="34">
        <f>TBL_CalcDarwin[[#This Row],[PLOME MW TOTAL BARRA A]]+TBL_CalcDarwin[[#This Row],[PLOME MW TOTAL BARRA B]]</f>
        <v>13.256</v>
      </c>
      <c r="G18" s="48">
        <f>'Plantilla Datos'!D23</f>
        <v>8.1999999999999993</v>
      </c>
      <c r="H18" s="48">
        <f>'Plantilla Datos'!E23</f>
        <v>10.3</v>
      </c>
      <c r="I18" s="49">
        <f>'Plantilla Datos'!F23</f>
        <v>19.600000000000001</v>
      </c>
      <c r="J18" s="47">
        <f>CEILING('Plantilla Datos'!$L$3*TBL_CalcDarwin[[#This Row],[Darwin Gusts
m/s]],0.5)</f>
        <v>7.5</v>
      </c>
      <c r="K18" s="47">
        <f>CEILING('Plantilla Datos'!$L$4*TBL_CalcDarwin[[#This Row],[Darwin Gusts
m/s]],0.5)</f>
        <v>9</v>
      </c>
      <c r="L18" s="47">
        <f>CEILING(TBL_CalcDarwin[[#This Row],[Darwin Gusts
m/s]],0.5)</f>
        <v>10.5</v>
      </c>
      <c r="M1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5.016</v>
      </c>
      <c r="N1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8" s="41">
        <f>INDEX(Curva_Temp[Temp],MATCH(TBL_CalcDarwin[[#This Row],[Darwin Temp.
°C]],Curva_Temp[Temp]))</f>
        <v>15</v>
      </c>
      <c r="R18" s="41">
        <f>INDEX(Curva_Temp[Warranted Power Curve for 
1.194Kg/m3 air density '[kW']
SG 5.0-145 (AM+1, 5.2MW) AT 
90M],MATCH(TBL_CalcDarwin[[#This Row],[Darwin Temp.
°C]],Curva_Temp[Temp]))</f>
        <v>5200</v>
      </c>
      <c r="S18" s="41" cm="1">
        <f t="array" ref="S18">INDEX(Curva_Temp[Temp],MATCH(TBL_CalcDarwin[[#This Row],[Darwin Temp.
°C]],Curva_Temp[Temp])+1)</f>
        <v>20</v>
      </c>
      <c r="T18" s="41" cm="1">
        <f t="array" ref="T18">INDEX(Curva_Temp[Warranted Power Curve for 
1.194Kg/m3 air density '[kW']
SG 5.0-145 (AM+1, 5.2MW) AT 
90M],MATCH(TBL_CalcDarwin[[#This Row],[Darwin Temp.
°C]],Curva_Temp[Temp])+1)</f>
        <v>5000</v>
      </c>
      <c r="U1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8" s="41">
        <f>INDEX(Curva_Temp[Temp],MATCH(TBL_CalcDarwin[[#This Row],[Darwin Temp.
°C]],Curva_Temp[Temp]))</f>
        <v>15</v>
      </c>
      <c r="Z18" s="41">
        <f>INDEX(Curva_Temp[Warranted Power Curve for 
1.194Kg/m3 air density '[kW']
SG 5.0-145 (AM 0, 5.0MW) AT 
90M],MATCH(TBL_CalcDarwin[[#This Row],[Darwin Temp.
°C]],Curva_Temp[Temp]))</f>
        <v>5000</v>
      </c>
      <c r="AA18" s="41" cm="1">
        <f t="array" ref="AA18">INDEX(Curva_Temp[Temp],MATCH(TBL_CalcDarwin[[#This Row],[Darwin Temp.
°C]],Curva_Temp[Temp])+1)</f>
        <v>20</v>
      </c>
      <c r="AB18" s="41" cm="1">
        <f t="array" ref="AB18">INDEX(Curva_Temp[Warranted Power Curve for 
1.194Kg/m3 air density '[kW']
SG 5.0-145 (AM 0, 5.0MW) AT 
90M],MATCH(TBL_CalcDarwin[[#This Row],[Darwin Temp.
°C]],Curva_Temp[Temp])+1)</f>
        <v>5000</v>
      </c>
      <c r="AC18" s="45">
        <f>HLOOKUP(TBL_CalcDarwin[[#This Row],[Fecha]],'Plantilla AEG ES'!$E$1:$HX$13,2,FALSE)</f>
        <v>6</v>
      </c>
      <c r="AD18" s="45">
        <f>HLOOKUP(TBL_CalcDarwin[[#This Row],[Fecha]],'Plantilla AEG ES'!$E$1:$HX$13,3,FALSE)</f>
        <v>7</v>
      </c>
      <c r="AE18" s="45">
        <f>HLOOKUP(TBL_CalcDarwin[[#This Row],[Fecha]],'Plantilla AEG ES'!$E$1:$HX$13,4,FALSE)</f>
        <v>10</v>
      </c>
      <c r="AF18" s="45">
        <f>HLOOKUP(TBL_CalcDarwin[[#This Row],[Fecha]],'Plantilla AEG ES'!$E$1:$HX$13,5,FALSE)</f>
        <v>2</v>
      </c>
      <c r="AG18" s="45">
        <f>HLOOKUP(TBL_CalcDarwin[[#This Row],[Fecha]],'Plantilla AEG ES'!$E$1:$HX$13,6,FALSE)</f>
        <v>1</v>
      </c>
      <c r="AH18" s="45">
        <f>HLOOKUP(TBL_CalcDarwin[[#This Row],[Fecha]],'Plantilla AEG ES'!$E$1:$HX$13,7,FALSE)</f>
        <v>0</v>
      </c>
      <c r="AI18" s="46">
        <f>HLOOKUP(TBL_CalcDarwin[[#This Row],[Fecha]],'Plantilla AEG ES'!$E$1:$HX$13,8,FALSE)</f>
        <v>0</v>
      </c>
      <c r="AJ18" s="46">
        <f>HLOOKUP(TBL_CalcDarwin[[#This Row],[Fecha]],'Plantilla AEG ES'!$E$1:$HX$13,9,FALSE)</f>
        <v>3</v>
      </c>
      <c r="AK18" s="46">
        <f>HLOOKUP(TBL_CalcDarwin[[#This Row],[Fecha]],'Plantilla AEG ES'!$E$1:$HX$13,10,FALSE)</f>
        <v>12</v>
      </c>
      <c r="AL18" s="46">
        <f>HLOOKUP(TBL_CalcDarwin[[#This Row],[Fecha]],'Plantilla AEG ES'!$E$1:$HX$13,11,FALSE)</f>
        <v>1</v>
      </c>
      <c r="AM18" s="46">
        <f>HLOOKUP(TBL_CalcDarwin[[#This Row],[Fecha]],'Plantilla AEG ES'!$E$1:$HX$13,12,FALSE)</f>
        <v>4</v>
      </c>
      <c r="AN18" s="46">
        <f>HLOOKUP(TBL_CalcDarwin[[#This Row],[Fecha]],'Plantilla AEG ES'!$E$1:$HX$13,13,FALSE)</f>
        <v>3</v>
      </c>
      <c r="AO18" s="37">
        <f>TBL_CalcDarwin[[#This Row],[Lomitas - Barra A - 5.2 - Cerro]]+TBL_CalcDarwin[[#This Row],[Lomitas - Barra A - 5.2 - Medio]]+TBL_CalcDarwin[[#This Row],[Lomitas - Barra A - 5.2 - Mar]]</f>
        <v>23</v>
      </c>
      <c r="AP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82.06</v>
      </c>
      <c r="AR1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86.206999999999994</v>
      </c>
      <c r="AS18" s="37">
        <f>TBL_CalcDarwin[[#This Row],[Expansión - Barra A - 5.2 - Cerro]]+TBL_CalcDarwin[[#This Row],[Expansión - Barra A - 5.2 - Medio]]+TBL_CalcDarwin[[#This Row],[Expansión - Barra A - 5.2 - Mar]]</f>
        <v>3</v>
      </c>
      <c r="AT18" s="37">
        <f>TBL_CalcDarwin[[#This Row],[Expansión - Barra B - 5.2 - Cerro]]</f>
        <v>3</v>
      </c>
      <c r="AU1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7.3220000000000001</v>
      </c>
      <c r="AV18" s="29">
        <f>TBL_CalcDarwin[[#This Row],[Expansión - Barra B - 5.2 - Cerro]]*TBL_CalcDarwin[[#This Row],[AEG 5.2 MW Cerro]]</f>
        <v>5.9340000000000002</v>
      </c>
      <c r="AZ18" s="18"/>
      <c r="BA18" s="18"/>
      <c r="BB18" s="18"/>
      <c r="BC18" s="18"/>
      <c r="BD18" s="18"/>
      <c r="BE18" s="18"/>
      <c r="BF18" s="18"/>
    </row>
    <row r="19" spans="2:58" ht="12" x14ac:dyDescent="0.2">
      <c r="B19" s="55">
        <f t="shared" si="0"/>
        <v>45613.708333333299</v>
      </c>
      <c r="C19" s="17">
        <f t="shared" si="1"/>
        <v>0.70833333333333315</v>
      </c>
      <c r="D19" s="34">
        <f>TBL_CalcDarwin[[#This Row],[Darwin PLOM
MW]]+TBL_CalcDarwin[[#This Row],[Darwin PLOME
MW]]</f>
        <v>171.85299999999998</v>
      </c>
      <c r="E19" s="34">
        <f>TBL_CalcDarwin[[#This Row],[PLOM MW TOTAL BARRA A]]+TBL_CalcDarwin[[#This Row],[PLOM MW TOTAL BARRA B]]</f>
        <v>158.59699999999998</v>
      </c>
      <c r="F19" s="34">
        <f>TBL_CalcDarwin[[#This Row],[PLOME MW TOTAL BARRA A]]+TBL_CalcDarwin[[#This Row],[PLOME MW TOTAL BARRA B]]</f>
        <v>13.256</v>
      </c>
      <c r="G19" s="48">
        <f>'Plantilla Datos'!D24</f>
        <v>8</v>
      </c>
      <c r="H19" s="48">
        <f>'Plantilla Datos'!E24</f>
        <v>10</v>
      </c>
      <c r="I19" s="49">
        <f>'Plantilla Datos'!F24</f>
        <v>18.8</v>
      </c>
      <c r="J19" s="47">
        <f>CEILING('Plantilla Datos'!$L$3*TBL_CalcDarwin[[#This Row],[Darwin Gusts
m/s]],0.5)</f>
        <v>7.5</v>
      </c>
      <c r="K19" s="47">
        <f>CEILING('Plantilla Datos'!$L$4*TBL_CalcDarwin[[#This Row],[Darwin Gusts
m/s]],0.5)</f>
        <v>9</v>
      </c>
      <c r="L19" s="47">
        <f>CEILING(TBL_CalcDarwin[[#This Row],[Darwin Gusts
m/s]],0.5)</f>
        <v>10</v>
      </c>
      <c r="M1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5.048</v>
      </c>
      <c r="N1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9" s="41">
        <f>INDEX(Curva_Temp[Temp],MATCH(TBL_CalcDarwin[[#This Row],[Darwin Temp.
°C]],Curva_Temp[Temp]))</f>
        <v>15</v>
      </c>
      <c r="R19" s="41">
        <f>INDEX(Curva_Temp[Warranted Power Curve for 
1.194Kg/m3 air density '[kW']
SG 5.0-145 (AM+1, 5.2MW) AT 
90M],MATCH(TBL_CalcDarwin[[#This Row],[Darwin Temp.
°C]],Curva_Temp[Temp]))</f>
        <v>5200</v>
      </c>
      <c r="S19" s="41" cm="1">
        <f t="array" ref="S19">INDEX(Curva_Temp[Temp],MATCH(TBL_CalcDarwin[[#This Row],[Darwin Temp.
°C]],Curva_Temp[Temp])+1)</f>
        <v>20</v>
      </c>
      <c r="T19" s="41" cm="1">
        <f t="array" ref="T19">INDEX(Curva_Temp[Warranted Power Curve for 
1.194Kg/m3 air density '[kW']
SG 5.0-145 (AM+1, 5.2MW) AT 
90M],MATCH(TBL_CalcDarwin[[#This Row],[Darwin Temp.
°C]],Curva_Temp[Temp])+1)</f>
        <v>5000</v>
      </c>
      <c r="U1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9" s="41">
        <f>INDEX(Curva_Temp[Temp],MATCH(TBL_CalcDarwin[[#This Row],[Darwin Temp.
°C]],Curva_Temp[Temp]))</f>
        <v>15</v>
      </c>
      <c r="Z19" s="41">
        <f>INDEX(Curva_Temp[Warranted Power Curve for 
1.194Kg/m3 air density '[kW']
SG 5.0-145 (AM 0, 5.0MW) AT 
90M],MATCH(TBL_CalcDarwin[[#This Row],[Darwin Temp.
°C]],Curva_Temp[Temp]))</f>
        <v>5000</v>
      </c>
      <c r="AA19" s="41" cm="1">
        <f t="array" ref="AA19">INDEX(Curva_Temp[Temp],MATCH(TBL_CalcDarwin[[#This Row],[Darwin Temp.
°C]],Curva_Temp[Temp])+1)</f>
        <v>20</v>
      </c>
      <c r="AB19" s="41" cm="1">
        <f t="array" ref="AB19">INDEX(Curva_Temp[Warranted Power Curve for 
1.194Kg/m3 air density '[kW']
SG 5.0-145 (AM 0, 5.0MW) AT 
90M],MATCH(TBL_CalcDarwin[[#This Row],[Darwin Temp.
°C]],Curva_Temp[Temp])+1)</f>
        <v>5000</v>
      </c>
      <c r="AC19" s="45">
        <f>HLOOKUP(TBL_CalcDarwin[[#This Row],[Fecha]],'Plantilla AEG ES'!$E$1:$HX$13,2,FALSE)</f>
        <v>6</v>
      </c>
      <c r="AD19" s="45">
        <f>HLOOKUP(TBL_CalcDarwin[[#This Row],[Fecha]],'Plantilla AEG ES'!$E$1:$HX$13,3,FALSE)</f>
        <v>7</v>
      </c>
      <c r="AE19" s="45">
        <f>HLOOKUP(TBL_CalcDarwin[[#This Row],[Fecha]],'Plantilla AEG ES'!$E$1:$HX$13,4,FALSE)</f>
        <v>10</v>
      </c>
      <c r="AF19" s="45">
        <f>HLOOKUP(TBL_CalcDarwin[[#This Row],[Fecha]],'Plantilla AEG ES'!$E$1:$HX$13,5,FALSE)</f>
        <v>2</v>
      </c>
      <c r="AG19" s="45">
        <f>HLOOKUP(TBL_CalcDarwin[[#This Row],[Fecha]],'Plantilla AEG ES'!$E$1:$HX$13,6,FALSE)</f>
        <v>1</v>
      </c>
      <c r="AH19" s="45">
        <f>HLOOKUP(TBL_CalcDarwin[[#This Row],[Fecha]],'Plantilla AEG ES'!$E$1:$HX$13,7,FALSE)</f>
        <v>0</v>
      </c>
      <c r="AI19" s="46">
        <f>HLOOKUP(TBL_CalcDarwin[[#This Row],[Fecha]],'Plantilla AEG ES'!$E$1:$HX$13,8,FALSE)</f>
        <v>0</v>
      </c>
      <c r="AJ19" s="46">
        <f>HLOOKUP(TBL_CalcDarwin[[#This Row],[Fecha]],'Plantilla AEG ES'!$E$1:$HX$13,9,FALSE)</f>
        <v>3</v>
      </c>
      <c r="AK19" s="46">
        <f>HLOOKUP(TBL_CalcDarwin[[#This Row],[Fecha]],'Plantilla AEG ES'!$E$1:$HX$13,10,FALSE)</f>
        <v>12</v>
      </c>
      <c r="AL19" s="46">
        <f>HLOOKUP(TBL_CalcDarwin[[#This Row],[Fecha]],'Plantilla AEG ES'!$E$1:$HX$13,11,FALSE)</f>
        <v>1</v>
      </c>
      <c r="AM19" s="46">
        <f>HLOOKUP(TBL_CalcDarwin[[#This Row],[Fecha]],'Plantilla AEG ES'!$E$1:$HX$13,12,FALSE)</f>
        <v>4</v>
      </c>
      <c r="AN19" s="46">
        <f>HLOOKUP(TBL_CalcDarwin[[#This Row],[Fecha]],'Plantilla AEG ES'!$E$1:$HX$13,13,FALSE)</f>
        <v>3</v>
      </c>
      <c r="AO19" s="37">
        <f>TBL_CalcDarwin[[#This Row],[Lomitas - Barra A - 5.2 - Cerro]]+TBL_CalcDarwin[[#This Row],[Lomitas - Barra A - 5.2 - Medio]]+TBL_CalcDarwin[[#This Row],[Lomitas - Barra A - 5.2 - Mar]]</f>
        <v>23</v>
      </c>
      <c r="AP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78.27</v>
      </c>
      <c r="AR1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80.326999999999998</v>
      </c>
      <c r="AS19" s="37">
        <f>TBL_CalcDarwin[[#This Row],[Expansión - Barra A - 5.2 - Cerro]]+TBL_CalcDarwin[[#This Row],[Expansión - Barra A - 5.2 - Medio]]+TBL_CalcDarwin[[#This Row],[Expansión - Barra A - 5.2 - Mar]]</f>
        <v>3</v>
      </c>
      <c r="AT19" s="37">
        <f>TBL_CalcDarwin[[#This Row],[Expansión - Barra B - 5.2 - Cerro]]</f>
        <v>3</v>
      </c>
      <c r="AU1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7.3220000000000001</v>
      </c>
      <c r="AV19" s="29">
        <f>TBL_CalcDarwin[[#This Row],[Expansión - Barra B - 5.2 - Cerro]]*TBL_CalcDarwin[[#This Row],[AEG 5.2 MW Cerro]]</f>
        <v>5.9340000000000002</v>
      </c>
      <c r="AZ19" s="18"/>
      <c r="BA19" s="18"/>
      <c r="BB19" s="18"/>
      <c r="BC19" s="18"/>
      <c r="BD19" s="18"/>
      <c r="BE19" s="18"/>
      <c r="BF19" s="18"/>
    </row>
    <row r="20" spans="2:58" ht="12" x14ac:dyDescent="0.2">
      <c r="B20" s="55">
        <f t="shared" si="0"/>
        <v>45613.749999999964</v>
      </c>
      <c r="C20" s="17">
        <f t="shared" si="1"/>
        <v>0.74999999999999978</v>
      </c>
      <c r="D20" s="34">
        <f>TBL_CalcDarwin[[#This Row],[Darwin PLOM
MW]]+TBL_CalcDarwin[[#This Row],[Darwin PLOME
MW]]</f>
        <v>171.85299999999998</v>
      </c>
      <c r="E20" s="34">
        <f>TBL_CalcDarwin[[#This Row],[PLOM MW TOTAL BARRA A]]+TBL_CalcDarwin[[#This Row],[PLOM MW TOTAL BARRA B]]</f>
        <v>158.59699999999998</v>
      </c>
      <c r="F20" s="34">
        <f>TBL_CalcDarwin[[#This Row],[PLOME MW TOTAL BARRA A]]+TBL_CalcDarwin[[#This Row],[PLOME MW TOTAL BARRA B]]</f>
        <v>13.256</v>
      </c>
      <c r="G20" s="48">
        <f>'Plantilla Datos'!D25</f>
        <v>8</v>
      </c>
      <c r="H20" s="48">
        <f>'Plantilla Datos'!E25</f>
        <v>10</v>
      </c>
      <c r="I20" s="49">
        <f>'Plantilla Datos'!F25</f>
        <v>18.100000000000001</v>
      </c>
      <c r="J20" s="47">
        <f>CEILING('Plantilla Datos'!$L$3*TBL_CalcDarwin[[#This Row],[Darwin Gusts
m/s]],0.5)</f>
        <v>7.5</v>
      </c>
      <c r="K20" s="47">
        <f>CEILING('Plantilla Datos'!$L$4*TBL_CalcDarwin[[#This Row],[Darwin Gusts
m/s]],0.5)</f>
        <v>9</v>
      </c>
      <c r="L20" s="47">
        <f>CEILING(TBL_CalcDarwin[[#This Row],[Darwin Gusts
m/s]],0.5)</f>
        <v>10</v>
      </c>
      <c r="M2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5.0759999999999996</v>
      </c>
      <c r="N2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2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2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20" s="41">
        <f>INDEX(Curva_Temp[Temp],MATCH(TBL_CalcDarwin[[#This Row],[Darwin Temp.
°C]],Curva_Temp[Temp]))</f>
        <v>15</v>
      </c>
      <c r="R20" s="41">
        <f>INDEX(Curva_Temp[Warranted Power Curve for 
1.194Kg/m3 air density '[kW']
SG 5.0-145 (AM+1, 5.2MW) AT 
90M],MATCH(TBL_CalcDarwin[[#This Row],[Darwin Temp.
°C]],Curva_Temp[Temp]))</f>
        <v>5200</v>
      </c>
      <c r="S20" s="41" cm="1">
        <f t="array" ref="S20">INDEX(Curva_Temp[Temp],MATCH(TBL_CalcDarwin[[#This Row],[Darwin Temp.
°C]],Curva_Temp[Temp])+1)</f>
        <v>20</v>
      </c>
      <c r="T20" s="41" cm="1">
        <f t="array" ref="T20">INDEX(Curva_Temp[Warranted Power Curve for 
1.194Kg/m3 air density '[kW']
SG 5.0-145 (AM+1, 5.2MW) AT 
90M],MATCH(TBL_CalcDarwin[[#This Row],[Darwin Temp.
°C]],Curva_Temp[Temp])+1)</f>
        <v>5000</v>
      </c>
      <c r="U2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2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2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20" s="41">
        <f>INDEX(Curva_Temp[Temp],MATCH(TBL_CalcDarwin[[#This Row],[Darwin Temp.
°C]],Curva_Temp[Temp]))</f>
        <v>15</v>
      </c>
      <c r="Z20" s="41">
        <f>INDEX(Curva_Temp[Warranted Power Curve for 
1.194Kg/m3 air density '[kW']
SG 5.0-145 (AM 0, 5.0MW) AT 
90M],MATCH(TBL_CalcDarwin[[#This Row],[Darwin Temp.
°C]],Curva_Temp[Temp]))</f>
        <v>5000</v>
      </c>
      <c r="AA20" s="41" cm="1">
        <f t="array" ref="AA20">INDEX(Curva_Temp[Temp],MATCH(TBL_CalcDarwin[[#This Row],[Darwin Temp.
°C]],Curva_Temp[Temp])+1)</f>
        <v>20</v>
      </c>
      <c r="AB20" s="41" cm="1">
        <f t="array" ref="AB20">INDEX(Curva_Temp[Warranted Power Curve for 
1.194Kg/m3 air density '[kW']
SG 5.0-145 (AM 0, 5.0MW) AT 
90M],MATCH(TBL_CalcDarwin[[#This Row],[Darwin Temp.
°C]],Curva_Temp[Temp])+1)</f>
        <v>5000</v>
      </c>
      <c r="AC20" s="45">
        <f>HLOOKUP(TBL_CalcDarwin[[#This Row],[Fecha]],'Plantilla AEG ES'!$E$1:$HX$13,2,FALSE)</f>
        <v>6</v>
      </c>
      <c r="AD20" s="45">
        <f>HLOOKUP(TBL_CalcDarwin[[#This Row],[Fecha]],'Plantilla AEG ES'!$E$1:$HX$13,3,FALSE)</f>
        <v>7</v>
      </c>
      <c r="AE20" s="45">
        <f>HLOOKUP(TBL_CalcDarwin[[#This Row],[Fecha]],'Plantilla AEG ES'!$E$1:$HX$13,4,FALSE)</f>
        <v>10</v>
      </c>
      <c r="AF20" s="45">
        <f>HLOOKUP(TBL_CalcDarwin[[#This Row],[Fecha]],'Plantilla AEG ES'!$E$1:$HX$13,5,FALSE)</f>
        <v>2</v>
      </c>
      <c r="AG20" s="45">
        <f>HLOOKUP(TBL_CalcDarwin[[#This Row],[Fecha]],'Plantilla AEG ES'!$E$1:$HX$13,6,FALSE)</f>
        <v>1</v>
      </c>
      <c r="AH20" s="45">
        <f>HLOOKUP(TBL_CalcDarwin[[#This Row],[Fecha]],'Plantilla AEG ES'!$E$1:$HX$13,7,FALSE)</f>
        <v>0</v>
      </c>
      <c r="AI20" s="46">
        <f>HLOOKUP(TBL_CalcDarwin[[#This Row],[Fecha]],'Plantilla AEG ES'!$E$1:$HX$13,8,FALSE)</f>
        <v>0</v>
      </c>
      <c r="AJ20" s="46">
        <f>HLOOKUP(TBL_CalcDarwin[[#This Row],[Fecha]],'Plantilla AEG ES'!$E$1:$HX$13,9,FALSE)</f>
        <v>3</v>
      </c>
      <c r="AK20" s="46">
        <f>HLOOKUP(TBL_CalcDarwin[[#This Row],[Fecha]],'Plantilla AEG ES'!$E$1:$HX$13,10,FALSE)</f>
        <v>12</v>
      </c>
      <c r="AL20" s="46">
        <f>HLOOKUP(TBL_CalcDarwin[[#This Row],[Fecha]],'Plantilla AEG ES'!$E$1:$HX$13,11,FALSE)</f>
        <v>1</v>
      </c>
      <c r="AM20" s="46">
        <f>HLOOKUP(TBL_CalcDarwin[[#This Row],[Fecha]],'Plantilla AEG ES'!$E$1:$HX$13,12,FALSE)</f>
        <v>4</v>
      </c>
      <c r="AN20" s="46">
        <f>HLOOKUP(TBL_CalcDarwin[[#This Row],[Fecha]],'Plantilla AEG ES'!$E$1:$HX$13,13,FALSE)</f>
        <v>3</v>
      </c>
      <c r="AO20" s="37">
        <f>TBL_CalcDarwin[[#This Row],[Lomitas - Barra A - 5.2 - Cerro]]+TBL_CalcDarwin[[#This Row],[Lomitas - Barra A - 5.2 - Medio]]+TBL_CalcDarwin[[#This Row],[Lomitas - Barra A - 5.2 - Mar]]</f>
        <v>23</v>
      </c>
      <c r="AP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78.27</v>
      </c>
      <c r="AR2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80.326999999999998</v>
      </c>
      <c r="AS20" s="37">
        <f>TBL_CalcDarwin[[#This Row],[Expansión - Barra A - 5.2 - Cerro]]+TBL_CalcDarwin[[#This Row],[Expansión - Barra A - 5.2 - Medio]]+TBL_CalcDarwin[[#This Row],[Expansión - Barra A - 5.2 - Mar]]</f>
        <v>3</v>
      </c>
      <c r="AT20" s="37">
        <f>TBL_CalcDarwin[[#This Row],[Expansión - Barra B - 5.2 - Cerro]]</f>
        <v>3</v>
      </c>
      <c r="AU2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7.3220000000000001</v>
      </c>
      <c r="AV20" s="29">
        <f>TBL_CalcDarwin[[#This Row],[Expansión - Barra B - 5.2 - Cerro]]*TBL_CalcDarwin[[#This Row],[AEG 5.2 MW Cerro]]</f>
        <v>5.9340000000000002</v>
      </c>
      <c r="AZ20" s="18"/>
      <c r="BA20" s="18"/>
      <c r="BB20" s="18"/>
      <c r="BC20" s="18"/>
      <c r="BD20" s="18"/>
      <c r="BE20" s="18"/>
      <c r="BF20" s="18"/>
    </row>
    <row r="21" spans="2:58" ht="12" x14ac:dyDescent="0.2">
      <c r="B21" s="55">
        <f t="shared" si="0"/>
        <v>45613.791666666628</v>
      </c>
      <c r="C21" s="17">
        <f t="shared" si="1"/>
        <v>0.79166666666666641</v>
      </c>
      <c r="D21" s="34">
        <f>TBL_CalcDarwin[[#This Row],[Darwin PLOM
MW]]+TBL_CalcDarwin[[#This Row],[Darwin PLOME
MW]]</f>
        <v>199.32300000000001</v>
      </c>
      <c r="E21" s="34">
        <f>TBL_CalcDarwin[[#This Row],[PLOM MW TOTAL BARRA A]]+TBL_CalcDarwin[[#This Row],[PLOM MW TOTAL BARRA B]]</f>
        <v>183.43600000000001</v>
      </c>
      <c r="F21" s="34">
        <f>TBL_CalcDarwin[[#This Row],[PLOME MW TOTAL BARRA A]]+TBL_CalcDarwin[[#This Row],[PLOME MW TOTAL BARRA B]]</f>
        <v>15.887</v>
      </c>
      <c r="G21" s="48">
        <f>'Plantilla Datos'!D26</f>
        <v>8.5</v>
      </c>
      <c r="H21" s="48">
        <f>'Plantilla Datos'!E26</f>
        <v>10.6</v>
      </c>
      <c r="I21" s="49">
        <f>'Plantilla Datos'!F26</f>
        <v>17.600000000000001</v>
      </c>
      <c r="J21" s="47">
        <f>CEILING('Plantilla Datos'!$L$3*TBL_CalcDarwin[[#This Row],[Darwin Gusts
m/s]],0.5)</f>
        <v>8</v>
      </c>
      <c r="K21" s="47">
        <f>CEILING('Plantilla Datos'!$L$4*TBL_CalcDarwin[[#This Row],[Darwin Gusts
m/s]],0.5)</f>
        <v>9.5</v>
      </c>
      <c r="L21" s="47">
        <f>CEILING(TBL_CalcDarwin[[#This Row],[Darwin Gusts
m/s]],0.5)</f>
        <v>11</v>
      </c>
      <c r="M2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2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2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2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21" s="41">
        <f>INDEX(Curva_Temp[Temp],MATCH(TBL_CalcDarwin[[#This Row],[Darwin Temp.
°C]],Curva_Temp[Temp]))</f>
        <v>15</v>
      </c>
      <c r="R21" s="41">
        <f>INDEX(Curva_Temp[Warranted Power Curve for 
1.194Kg/m3 air density '[kW']
SG 5.0-145 (AM+1, 5.2MW) AT 
90M],MATCH(TBL_CalcDarwin[[#This Row],[Darwin Temp.
°C]],Curva_Temp[Temp]))</f>
        <v>5200</v>
      </c>
      <c r="S21" s="41" cm="1">
        <f t="array" ref="S21">INDEX(Curva_Temp[Temp],MATCH(TBL_CalcDarwin[[#This Row],[Darwin Temp.
°C]],Curva_Temp[Temp])+1)</f>
        <v>20</v>
      </c>
      <c r="T21" s="41" cm="1">
        <f t="array" ref="T21">INDEX(Curva_Temp[Warranted Power Curve for 
1.194Kg/m3 air density '[kW']
SG 5.0-145 (AM+1, 5.2MW) AT 
90M],MATCH(TBL_CalcDarwin[[#This Row],[Darwin Temp.
°C]],Curva_Temp[Temp])+1)</f>
        <v>5000</v>
      </c>
      <c r="U2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2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2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21" s="41">
        <f>INDEX(Curva_Temp[Temp],MATCH(TBL_CalcDarwin[[#This Row],[Darwin Temp.
°C]],Curva_Temp[Temp]))</f>
        <v>15</v>
      </c>
      <c r="Z21" s="41">
        <f>INDEX(Curva_Temp[Warranted Power Curve for 
1.194Kg/m3 air density '[kW']
SG 5.0-145 (AM 0, 5.0MW) AT 
90M],MATCH(TBL_CalcDarwin[[#This Row],[Darwin Temp.
°C]],Curva_Temp[Temp]))</f>
        <v>5000</v>
      </c>
      <c r="AA21" s="41" cm="1">
        <f t="array" ref="AA21">INDEX(Curva_Temp[Temp],MATCH(TBL_CalcDarwin[[#This Row],[Darwin Temp.
°C]],Curva_Temp[Temp])+1)</f>
        <v>20</v>
      </c>
      <c r="AB21" s="41" cm="1">
        <f t="array" ref="AB21">INDEX(Curva_Temp[Warranted Power Curve for 
1.194Kg/m3 air density '[kW']
SG 5.0-145 (AM 0, 5.0MW) AT 
90M],MATCH(TBL_CalcDarwin[[#This Row],[Darwin Temp.
°C]],Curva_Temp[Temp])+1)</f>
        <v>5000</v>
      </c>
      <c r="AC21" s="45">
        <f>HLOOKUP(TBL_CalcDarwin[[#This Row],[Fecha]],'Plantilla AEG ES'!$E$1:$HX$13,2,FALSE)</f>
        <v>6</v>
      </c>
      <c r="AD21" s="45">
        <f>HLOOKUP(TBL_CalcDarwin[[#This Row],[Fecha]],'Plantilla AEG ES'!$E$1:$HX$13,3,FALSE)</f>
        <v>7</v>
      </c>
      <c r="AE21" s="45">
        <f>HLOOKUP(TBL_CalcDarwin[[#This Row],[Fecha]],'Plantilla AEG ES'!$E$1:$HX$13,4,FALSE)</f>
        <v>10</v>
      </c>
      <c r="AF21" s="45">
        <f>HLOOKUP(TBL_CalcDarwin[[#This Row],[Fecha]],'Plantilla AEG ES'!$E$1:$HX$13,5,FALSE)</f>
        <v>2</v>
      </c>
      <c r="AG21" s="45">
        <f>HLOOKUP(TBL_CalcDarwin[[#This Row],[Fecha]],'Plantilla AEG ES'!$E$1:$HX$13,6,FALSE)</f>
        <v>1</v>
      </c>
      <c r="AH21" s="45">
        <f>HLOOKUP(TBL_CalcDarwin[[#This Row],[Fecha]],'Plantilla AEG ES'!$E$1:$HX$13,7,FALSE)</f>
        <v>0</v>
      </c>
      <c r="AI21" s="46">
        <f>HLOOKUP(TBL_CalcDarwin[[#This Row],[Fecha]],'Plantilla AEG ES'!$E$1:$HX$13,8,FALSE)</f>
        <v>0</v>
      </c>
      <c r="AJ21" s="46">
        <f>HLOOKUP(TBL_CalcDarwin[[#This Row],[Fecha]],'Plantilla AEG ES'!$E$1:$HX$13,9,FALSE)</f>
        <v>3</v>
      </c>
      <c r="AK21" s="46">
        <f>HLOOKUP(TBL_CalcDarwin[[#This Row],[Fecha]],'Plantilla AEG ES'!$E$1:$HX$13,10,FALSE)</f>
        <v>12</v>
      </c>
      <c r="AL21" s="46">
        <f>HLOOKUP(TBL_CalcDarwin[[#This Row],[Fecha]],'Plantilla AEG ES'!$E$1:$HX$13,11,FALSE)</f>
        <v>1</v>
      </c>
      <c r="AM21" s="46">
        <f>HLOOKUP(TBL_CalcDarwin[[#This Row],[Fecha]],'Plantilla AEG ES'!$E$1:$HX$13,12,FALSE)</f>
        <v>4</v>
      </c>
      <c r="AN21" s="46">
        <f>HLOOKUP(TBL_CalcDarwin[[#This Row],[Fecha]],'Plantilla AEG ES'!$E$1:$HX$13,13,FALSE)</f>
        <v>3</v>
      </c>
      <c r="AO21" s="37">
        <f>TBL_CalcDarwin[[#This Row],[Lomitas - Barra A - 5.2 - Cerro]]+TBL_CalcDarwin[[#This Row],[Lomitas - Barra A - 5.2 - Medio]]+TBL_CalcDarwin[[#This Row],[Lomitas - Barra A - 5.2 - Mar]]</f>
        <v>23</v>
      </c>
      <c r="AP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90.908000000000001</v>
      </c>
      <c r="AR2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92.528000000000006</v>
      </c>
      <c r="AS21" s="37">
        <f>TBL_CalcDarwin[[#This Row],[Expansión - Barra A - 5.2 - Cerro]]+TBL_CalcDarwin[[#This Row],[Expansión - Barra A - 5.2 - Medio]]+TBL_CalcDarwin[[#This Row],[Expansión - Barra A - 5.2 - Mar]]</f>
        <v>3</v>
      </c>
      <c r="AT21" s="37">
        <f>TBL_CalcDarwin[[#This Row],[Expansión - Barra B - 5.2 - Cerro]]</f>
        <v>3</v>
      </c>
      <c r="AU2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8.66</v>
      </c>
      <c r="AV21" s="29">
        <f>TBL_CalcDarwin[[#This Row],[Expansión - Barra B - 5.2 - Cerro]]*TBL_CalcDarwin[[#This Row],[AEG 5.2 MW Cerro]]</f>
        <v>7.2269999999999994</v>
      </c>
      <c r="AZ21" s="18"/>
      <c r="BA21" s="18"/>
      <c r="BB21" s="18"/>
      <c r="BC21" s="18"/>
      <c r="BD21" s="18"/>
      <c r="BE21" s="18"/>
      <c r="BF21" s="18"/>
    </row>
    <row r="22" spans="2:58" ht="12" x14ac:dyDescent="0.2">
      <c r="B22" s="55">
        <f t="shared" si="0"/>
        <v>45613.833333333292</v>
      </c>
      <c r="C22" s="17">
        <f t="shared" si="1"/>
        <v>0.83333333333333304</v>
      </c>
      <c r="D22" s="34">
        <f>TBL_CalcDarwin[[#This Row],[Darwin PLOM
MW]]+TBL_CalcDarwin[[#This Row],[Darwin PLOME
MW]]</f>
        <v>199.32300000000001</v>
      </c>
      <c r="E22" s="34">
        <f>TBL_CalcDarwin[[#This Row],[PLOM MW TOTAL BARRA A]]+TBL_CalcDarwin[[#This Row],[PLOM MW TOTAL BARRA B]]</f>
        <v>183.43600000000001</v>
      </c>
      <c r="F22" s="34">
        <f>TBL_CalcDarwin[[#This Row],[PLOME MW TOTAL BARRA A]]+TBL_CalcDarwin[[#This Row],[PLOME MW TOTAL BARRA B]]</f>
        <v>15.887</v>
      </c>
      <c r="G22" s="48">
        <f>'Plantilla Datos'!D27</f>
        <v>8.5</v>
      </c>
      <c r="H22" s="48">
        <f>'Plantilla Datos'!E27</f>
        <v>10.6</v>
      </c>
      <c r="I22" s="49">
        <f>'Plantilla Datos'!F27</f>
        <v>17.399999999999999</v>
      </c>
      <c r="J22" s="47">
        <f>CEILING('Plantilla Datos'!$L$3*TBL_CalcDarwin[[#This Row],[Darwin Gusts
m/s]],0.5)</f>
        <v>8</v>
      </c>
      <c r="K22" s="47">
        <f>CEILING('Plantilla Datos'!$L$4*TBL_CalcDarwin[[#This Row],[Darwin Gusts
m/s]],0.5)</f>
        <v>9.5</v>
      </c>
      <c r="L22" s="47">
        <f>CEILING(TBL_CalcDarwin[[#This Row],[Darwin Gusts
m/s]],0.5)</f>
        <v>11</v>
      </c>
      <c r="M2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2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2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2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22" s="41">
        <f>INDEX(Curva_Temp[Temp],MATCH(TBL_CalcDarwin[[#This Row],[Darwin Temp.
°C]],Curva_Temp[Temp]))</f>
        <v>15</v>
      </c>
      <c r="R22" s="41">
        <f>INDEX(Curva_Temp[Warranted Power Curve for 
1.194Kg/m3 air density '[kW']
SG 5.0-145 (AM+1, 5.2MW) AT 
90M],MATCH(TBL_CalcDarwin[[#This Row],[Darwin Temp.
°C]],Curva_Temp[Temp]))</f>
        <v>5200</v>
      </c>
      <c r="S22" s="41" cm="1">
        <f t="array" ref="S22">INDEX(Curva_Temp[Temp],MATCH(TBL_CalcDarwin[[#This Row],[Darwin Temp.
°C]],Curva_Temp[Temp])+1)</f>
        <v>20</v>
      </c>
      <c r="T22" s="41" cm="1">
        <f t="array" ref="T22">INDEX(Curva_Temp[Warranted Power Curve for 
1.194Kg/m3 air density '[kW']
SG 5.0-145 (AM+1, 5.2MW) AT 
90M],MATCH(TBL_CalcDarwin[[#This Row],[Darwin Temp.
°C]],Curva_Temp[Temp])+1)</f>
        <v>5000</v>
      </c>
      <c r="U2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2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2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22" s="41">
        <f>INDEX(Curva_Temp[Temp],MATCH(TBL_CalcDarwin[[#This Row],[Darwin Temp.
°C]],Curva_Temp[Temp]))</f>
        <v>15</v>
      </c>
      <c r="Z22" s="41">
        <f>INDEX(Curva_Temp[Warranted Power Curve for 
1.194Kg/m3 air density '[kW']
SG 5.0-145 (AM 0, 5.0MW) AT 
90M],MATCH(TBL_CalcDarwin[[#This Row],[Darwin Temp.
°C]],Curva_Temp[Temp]))</f>
        <v>5000</v>
      </c>
      <c r="AA22" s="41" cm="1">
        <f t="array" ref="AA22">INDEX(Curva_Temp[Temp],MATCH(TBL_CalcDarwin[[#This Row],[Darwin Temp.
°C]],Curva_Temp[Temp])+1)</f>
        <v>20</v>
      </c>
      <c r="AB22" s="41" cm="1">
        <f t="array" ref="AB22">INDEX(Curva_Temp[Warranted Power Curve for 
1.194Kg/m3 air density '[kW']
SG 5.0-145 (AM 0, 5.0MW) AT 
90M],MATCH(TBL_CalcDarwin[[#This Row],[Darwin Temp.
°C]],Curva_Temp[Temp])+1)</f>
        <v>5000</v>
      </c>
      <c r="AC22" s="45">
        <f>HLOOKUP(TBL_CalcDarwin[[#This Row],[Fecha]],'Plantilla AEG ES'!$E$1:$HX$13,2,FALSE)</f>
        <v>6</v>
      </c>
      <c r="AD22" s="45">
        <f>HLOOKUP(TBL_CalcDarwin[[#This Row],[Fecha]],'Plantilla AEG ES'!$E$1:$HX$13,3,FALSE)</f>
        <v>7</v>
      </c>
      <c r="AE22" s="45">
        <f>HLOOKUP(TBL_CalcDarwin[[#This Row],[Fecha]],'Plantilla AEG ES'!$E$1:$HX$13,4,FALSE)</f>
        <v>10</v>
      </c>
      <c r="AF22" s="45">
        <f>HLOOKUP(TBL_CalcDarwin[[#This Row],[Fecha]],'Plantilla AEG ES'!$E$1:$HX$13,5,FALSE)</f>
        <v>2</v>
      </c>
      <c r="AG22" s="45">
        <f>HLOOKUP(TBL_CalcDarwin[[#This Row],[Fecha]],'Plantilla AEG ES'!$E$1:$HX$13,6,FALSE)</f>
        <v>1</v>
      </c>
      <c r="AH22" s="45">
        <f>HLOOKUP(TBL_CalcDarwin[[#This Row],[Fecha]],'Plantilla AEG ES'!$E$1:$HX$13,7,FALSE)</f>
        <v>0</v>
      </c>
      <c r="AI22" s="46">
        <f>HLOOKUP(TBL_CalcDarwin[[#This Row],[Fecha]],'Plantilla AEG ES'!$E$1:$HX$13,8,FALSE)</f>
        <v>0</v>
      </c>
      <c r="AJ22" s="46">
        <f>HLOOKUP(TBL_CalcDarwin[[#This Row],[Fecha]],'Plantilla AEG ES'!$E$1:$HX$13,9,FALSE)</f>
        <v>3</v>
      </c>
      <c r="AK22" s="46">
        <f>HLOOKUP(TBL_CalcDarwin[[#This Row],[Fecha]],'Plantilla AEG ES'!$E$1:$HX$13,10,FALSE)</f>
        <v>12</v>
      </c>
      <c r="AL22" s="46">
        <f>HLOOKUP(TBL_CalcDarwin[[#This Row],[Fecha]],'Plantilla AEG ES'!$E$1:$HX$13,11,FALSE)</f>
        <v>1</v>
      </c>
      <c r="AM22" s="46">
        <f>HLOOKUP(TBL_CalcDarwin[[#This Row],[Fecha]],'Plantilla AEG ES'!$E$1:$HX$13,12,FALSE)</f>
        <v>4</v>
      </c>
      <c r="AN22" s="46">
        <f>HLOOKUP(TBL_CalcDarwin[[#This Row],[Fecha]],'Plantilla AEG ES'!$E$1:$HX$13,13,FALSE)</f>
        <v>3</v>
      </c>
      <c r="AO22" s="37">
        <f>TBL_CalcDarwin[[#This Row],[Lomitas - Barra A - 5.2 - Cerro]]+TBL_CalcDarwin[[#This Row],[Lomitas - Barra A - 5.2 - Medio]]+TBL_CalcDarwin[[#This Row],[Lomitas - Barra A - 5.2 - Mar]]</f>
        <v>23</v>
      </c>
      <c r="AP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90.908000000000001</v>
      </c>
      <c r="AR2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92.528000000000006</v>
      </c>
      <c r="AS22" s="37">
        <f>TBL_CalcDarwin[[#This Row],[Expansión - Barra A - 5.2 - Cerro]]+TBL_CalcDarwin[[#This Row],[Expansión - Barra A - 5.2 - Medio]]+TBL_CalcDarwin[[#This Row],[Expansión - Barra A - 5.2 - Mar]]</f>
        <v>3</v>
      </c>
      <c r="AT22" s="37">
        <f>TBL_CalcDarwin[[#This Row],[Expansión - Barra B - 5.2 - Cerro]]</f>
        <v>3</v>
      </c>
      <c r="AU2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8.66</v>
      </c>
      <c r="AV22" s="29">
        <f>TBL_CalcDarwin[[#This Row],[Expansión - Barra B - 5.2 - Cerro]]*TBL_CalcDarwin[[#This Row],[AEG 5.2 MW Cerro]]</f>
        <v>7.2269999999999994</v>
      </c>
      <c r="AZ22" s="18"/>
      <c r="BA22" s="18"/>
      <c r="BB22" s="18"/>
      <c r="BC22" s="18"/>
      <c r="BD22" s="18"/>
      <c r="BE22" s="18"/>
      <c r="BF22" s="18"/>
    </row>
    <row r="23" spans="2:58" ht="12" x14ac:dyDescent="0.2">
      <c r="B23" s="55">
        <f t="shared" si="0"/>
        <v>45613.874999999956</v>
      </c>
      <c r="C23" s="17">
        <f>C22+TIME(1,0,0)</f>
        <v>0.87499999999999967</v>
      </c>
      <c r="D23" s="34">
        <f>TBL_CalcDarwin[[#This Row],[Darwin PLOM
MW]]+TBL_CalcDarwin[[#This Row],[Darwin PLOME
MW]]</f>
        <v>186.68900000000002</v>
      </c>
      <c r="E23" s="34">
        <f>TBL_CalcDarwin[[#This Row],[PLOM MW TOTAL BARRA A]]+TBL_CalcDarwin[[#This Row],[PLOM MW TOTAL BARRA B]]</f>
        <v>171.27800000000002</v>
      </c>
      <c r="F23" s="34">
        <f>TBL_CalcDarwin[[#This Row],[PLOME MW TOTAL BARRA A]]+TBL_CalcDarwin[[#This Row],[PLOME MW TOTAL BARRA B]]</f>
        <v>15.410999999999998</v>
      </c>
      <c r="G23" s="48">
        <f>'Plantilla Datos'!D28</f>
        <v>8.4</v>
      </c>
      <c r="H23" s="48">
        <f>'Plantilla Datos'!E28</f>
        <v>10.5</v>
      </c>
      <c r="I23" s="49">
        <f>'Plantilla Datos'!F28</f>
        <v>17.2</v>
      </c>
      <c r="J23" s="47">
        <f>CEILING('Plantilla Datos'!$L$3*TBL_CalcDarwin[[#This Row],[Darwin Gusts
m/s]],0.5)</f>
        <v>8</v>
      </c>
      <c r="K23" s="47">
        <f>CEILING('Plantilla Datos'!$L$4*TBL_CalcDarwin[[#This Row],[Darwin Gusts
m/s]],0.5)</f>
        <v>9</v>
      </c>
      <c r="L23" s="47">
        <f>CEILING(TBL_CalcDarwin[[#This Row],[Darwin Gusts
m/s]],0.5)</f>
        <v>10.5</v>
      </c>
      <c r="M2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2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2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2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23" s="41">
        <f>INDEX(Curva_Temp[Temp],MATCH(TBL_CalcDarwin[[#This Row],[Darwin Temp.
°C]],Curva_Temp[Temp]))</f>
        <v>15</v>
      </c>
      <c r="R23" s="41">
        <f>INDEX(Curva_Temp[Warranted Power Curve for 
1.194Kg/m3 air density '[kW']
SG 5.0-145 (AM+1, 5.2MW) AT 
90M],MATCH(TBL_CalcDarwin[[#This Row],[Darwin Temp.
°C]],Curva_Temp[Temp]))</f>
        <v>5200</v>
      </c>
      <c r="S23" s="41" cm="1">
        <f t="array" ref="S23">INDEX(Curva_Temp[Temp],MATCH(TBL_CalcDarwin[[#This Row],[Darwin Temp.
°C]],Curva_Temp[Temp])+1)</f>
        <v>20</v>
      </c>
      <c r="T23" s="41" cm="1">
        <f t="array" ref="T23">INDEX(Curva_Temp[Warranted Power Curve for 
1.194Kg/m3 air density '[kW']
SG 5.0-145 (AM+1, 5.2MW) AT 
90M],MATCH(TBL_CalcDarwin[[#This Row],[Darwin Temp.
°C]],Curva_Temp[Temp])+1)</f>
        <v>5000</v>
      </c>
      <c r="U2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2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2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23" s="41">
        <f>INDEX(Curva_Temp[Temp],MATCH(TBL_CalcDarwin[[#This Row],[Darwin Temp.
°C]],Curva_Temp[Temp]))</f>
        <v>15</v>
      </c>
      <c r="Z23" s="41">
        <f>INDEX(Curva_Temp[Warranted Power Curve for 
1.194Kg/m3 air density '[kW']
SG 5.0-145 (AM 0, 5.0MW) AT 
90M],MATCH(TBL_CalcDarwin[[#This Row],[Darwin Temp.
°C]],Curva_Temp[Temp]))</f>
        <v>5000</v>
      </c>
      <c r="AA23" s="41" cm="1">
        <f t="array" ref="AA23">INDEX(Curva_Temp[Temp],MATCH(TBL_CalcDarwin[[#This Row],[Darwin Temp.
°C]],Curva_Temp[Temp])+1)</f>
        <v>20</v>
      </c>
      <c r="AB23" s="41" cm="1">
        <f t="array" ref="AB23">INDEX(Curva_Temp[Warranted Power Curve for 
1.194Kg/m3 air density '[kW']
SG 5.0-145 (AM 0, 5.0MW) AT 
90M],MATCH(TBL_CalcDarwin[[#This Row],[Darwin Temp.
°C]],Curva_Temp[Temp])+1)</f>
        <v>5000</v>
      </c>
      <c r="AC23" s="45">
        <f>HLOOKUP(TBL_CalcDarwin[[#This Row],[Fecha]],'Plantilla AEG ES'!$E$1:$HX$13,2,FALSE)</f>
        <v>6</v>
      </c>
      <c r="AD23" s="45">
        <f>HLOOKUP(TBL_CalcDarwin[[#This Row],[Fecha]],'Plantilla AEG ES'!$E$1:$HX$13,3,FALSE)</f>
        <v>7</v>
      </c>
      <c r="AE23" s="45">
        <f>HLOOKUP(TBL_CalcDarwin[[#This Row],[Fecha]],'Plantilla AEG ES'!$E$1:$HX$13,4,FALSE)</f>
        <v>10</v>
      </c>
      <c r="AF23" s="45">
        <f>HLOOKUP(TBL_CalcDarwin[[#This Row],[Fecha]],'Plantilla AEG ES'!$E$1:$HX$13,5,FALSE)</f>
        <v>2</v>
      </c>
      <c r="AG23" s="45">
        <f>HLOOKUP(TBL_CalcDarwin[[#This Row],[Fecha]],'Plantilla AEG ES'!$E$1:$HX$13,6,FALSE)</f>
        <v>1</v>
      </c>
      <c r="AH23" s="45">
        <f>HLOOKUP(TBL_CalcDarwin[[#This Row],[Fecha]],'Plantilla AEG ES'!$E$1:$HX$13,7,FALSE)</f>
        <v>0</v>
      </c>
      <c r="AI23" s="46">
        <f>HLOOKUP(TBL_CalcDarwin[[#This Row],[Fecha]],'Plantilla AEG ES'!$E$1:$HX$13,8,FALSE)</f>
        <v>0</v>
      </c>
      <c r="AJ23" s="46">
        <f>HLOOKUP(TBL_CalcDarwin[[#This Row],[Fecha]],'Plantilla AEG ES'!$E$1:$HX$13,9,FALSE)</f>
        <v>3</v>
      </c>
      <c r="AK23" s="46">
        <f>HLOOKUP(TBL_CalcDarwin[[#This Row],[Fecha]],'Plantilla AEG ES'!$E$1:$HX$13,10,FALSE)</f>
        <v>12</v>
      </c>
      <c r="AL23" s="46">
        <f>HLOOKUP(TBL_CalcDarwin[[#This Row],[Fecha]],'Plantilla AEG ES'!$E$1:$HX$13,11,FALSE)</f>
        <v>1</v>
      </c>
      <c r="AM23" s="46">
        <f>HLOOKUP(TBL_CalcDarwin[[#This Row],[Fecha]],'Plantilla AEG ES'!$E$1:$HX$13,12,FALSE)</f>
        <v>4</v>
      </c>
      <c r="AN23" s="46">
        <f>HLOOKUP(TBL_CalcDarwin[[#This Row],[Fecha]],'Plantilla AEG ES'!$E$1:$HX$13,13,FALSE)</f>
        <v>3</v>
      </c>
      <c r="AO23" s="37">
        <f>TBL_CalcDarwin[[#This Row],[Lomitas - Barra A - 5.2 - Cerro]]+TBL_CalcDarwin[[#This Row],[Lomitas - Barra A - 5.2 - Medio]]+TBL_CalcDarwin[[#This Row],[Lomitas - Barra A - 5.2 - Mar]]</f>
        <v>23</v>
      </c>
      <c r="AP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84.646000000000001</v>
      </c>
      <c r="AR2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86.632000000000005</v>
      </c>
      <c r="AS23" s="37">
        <f>TBL_CalcDarwin[[#This Row],[Expansión - Barra A - 5.2 - Cerro]]+TBL_CalcDarwin[[#This Row],[Expansión - Barra A - 5.2 - Medio]]+TBL_CalcDarwin[[#This Row],[Expansión - Barra A - 5.2 - Mar]]</f>
        <v>3</v>
      </c>
      <c r="AT23" s="37">
        <f>TBL_CalcDarwin[[#This Row],[Expansión - Barra B - 5.2 - Cerro]]</f>
        <v>3</v>
      </c>
      <c r="AU2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8.1839999999999993</v>
      </c>
      <c r="AV23" s="29">
        <f>TBL_CalcDarwin[[#This Row],[Expansión - Barra B - 5.2 - Cerro]]*TBL_CalcDarwin[[#This Row],[AEG 5.2 MW Cerro]]</f>
        <v>7.2269999999999994</v>
      </c>
      <c r="AZ23" s="18"/>
      <c r="BA23" s="18"/>
      <c r="BB23" s="18"/>
      <c r="BC23" s="18"/>
      <c r="BD23" s="18"/>
      <c r="BE23" s="18"/>
      <c r="BF23" s="18"/>
    </row>
    <row r="24" spans="2:58" ht="12" x14ac:dyDescent="0.2">
      <c r="B24" s="55">
        <f t="shared" si="0"/>
        <v>45613.916666666621</v>
      </c>
      <c r="C24" s="17">
        <f t="shared" ref="C24:C28" si="2">C23+TIME(1,0,0)</f>
        <v>0.9166666666666663</v>
      </c>
      <c r="D24" s="34">
        <f>TBL_CalcDarwin[[#This Row],[Darwin PLOM
MW]]+TBL_CalcDarwin[[#This Row],[Darwin PLOME
MW]]</f>
        <v>186.68900000000002</v>
      </c>
      <c r="E24" s="34">
        <f>TBL_CalcDarwin[[#This Row],[PLOM MW TOTAL BARRA A]]+TBL_CalcDarwin[[#This Row],[PLOM MW TOTAL BARRA B]]</f>
        <v>171.27800000000002</v>
      </c>
      <c r="F24" s="34">
        <f>TBL_CalcDarwin[[#This Row],[PLOME MW TOTAL BARRA A]]+TBL_CalcDarwin[[#This Row],[PLOME MW TOTAL BARRA B]]</f>
        <v>15.410999999999998</v>
      </c>
      <c r="G24" s="48">
        <f>'Plantilla Datos'!D29</f>
        <v>8.3000000000000007</v>
      </c>
      <c r="H24" s="48">
        <f>'Plantilla Datos'!E29</f>
        <v>10.4</v>
      </c>
      <c r="I24" s="49">
        <f>'Plantilla Datos'!F29</f>
        <v>17.100000000000001</v>
      </c>
      <c r="J24" s="47">
        <f>CEILING('Plantilla Datos'!$L$3*TBL_CalcDarwin[[#This Row],[Darwin Gusts
m/s]],0.5)</f>
        <v>8</v>
      </c>
      <c r="K24" s="47">
        <f>CEILING('Plantilla Datos'!$L$4*TBL_CalcDarwin[[#This Row],[Darwin Gusts
m/s]],0.5)</f>
        <v>9</v>
      </c>
      <c r="L24" s="47">
        <f>CEILING(TBL_CalcDarwin[[#This Row],[Darwin Gusts
m/s]],0.5)</f>
        <v>10.5</v>
      </c>
      <c r="M2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2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2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2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24" s="41">
        <f>INDEX(Curva_Temp[Temp],MATCH(TBL_CalcDarwin[[#This Row],[Darwin Temp.
°C]],Curva_Temp[Temp]))</f>
        <v>15</v>
      </c>
      <c r="R24" s="41">
        <f>INDEX(Curva_Temp[Warranted Power Curve for 
1.194Kg/m3 air density '[kW']
SG 5.0-145 (AM+1, 5.2MW) AT 
90M],MATCH(TBL_CalcDarwin[[#This Row],[Darwin Temp.
°C]],Curva_Temp[Temp]))</f>
        <v>5200</v>
      </c>
      <c r="S24" s="41" cm="1">
        <f t="array" ref="S24">INDEX(Curva_Temp[Temp],MATCH(TBL_CalcDarwin[[#This Row],[Darwin Temp.
°C]],Curva_Temp[Temp])+1)</f>
        <v>20</v>
      </c>
      <c r="T24" s="41" cm="1">
        <f t="array" ref="T24">INDEX(Curva_Temp[Warranted Power Curve for 
1.194Kg/m3 air density '[kW']
SG 5.0-145 (AM+1, 5.2MW) AT 
90M],MATCH(TBL_CalcDarwin[[#This Row],[Darwin Temp.
°C]],Curva_Temp[Temp])+1)</f>
        <v>5000</v>
      </c>
      <c r="U2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2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2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24" s="41">
        <f>INDEX(Curva_Temp[Temp],MATCH(TBL_CalcDarwin[[#This Row],[Darwin Temp.
°C]],Curva_Temp[Temp]))</f>
        <v>15</v>
      </c>
      <c r="Z24" s="41">
        <f>INDEX(Curva_Temp[Warranted Power Curve for 
1.194Kg/m3 air density '[kW']
SG 5.0-145 (AM 0, 5.0MW) AT 
90M],MATCH(TBL_CalcDarwin[[#This Row],[Darwin Temp.
°C]],Curva_Temp[Temp]))</f>
        <v>5000</v>
      </c>
      <c r="AA24" s="41" cm="1">
        <f t="array" ref="AA24">INDEX(Curva_Temp[Temp],MATCH(TBL_CalcDarwin[[#This Row],[Darwin Temp.
°C]],Curva_Temp[Temp])+1)</f>
        <v>20</v>
      </c>
      <c r="AB24" s="41" cm="1">
        <f t="array" ref="AB24">INDEX(Curva_Temp[Warranted Power Curve for 
1.194Kg/m3 air density '[kW']
SG 5.0-145 (AM 0, 5.0MW) AT 
90M],MATCH(TBL_CalcDarwin[[#This Row],[Darwin Temp.
°C]],Curva_Temp[Temp])+1)</f>
        <v>5000</v>
      </c>
      <c r="AC24" s="45">
        <f>HLOOKUP(TBL_CalcDarwin[[#This Row],[Fecha]],'Plantilla AEG ES'!$E$1:$HX$13,2,FALSE)</f>
        <v>6</v>
      </c>
      <c r="AD24" s="45">
        <f>HLOOKUP(TBL_CalcDarwin[[#This Row],[Fecha]],'Plantilla AEG ES'!$E$1:$HX$13,3,FALSE)</f>
        <v>7</v>
      </c>
      <c r="AE24" s="45">
        <f>HLOOKUP(TBL_CalcDarwin[[#This Row],[Fecha]],'Plantilla AEG ES'!$E$1:$HX$13,4,FALSE)</f>
        <v>10</v>
      </c>
      <c r="AF24" s="45">
        <f>HLOOKUP(TBL_CalcDarwin[[#This Row],[Fecha]],'Plantilla AEG ES'!$E$1:$HX$13,5,FALSE)</f>
        <v>2</v>
      </c>
      <c r="AG24" s="45">
        <f>HLOOKUP(TBL_CalcDarwin[[#This Row],[Fecha]],'Plantilla AEG ES'!$E$1:$HX$13,6,FALSE)</f>
        <v>1</v>
      </c>
      <c r="AH24" s="45">
        <f>HLOOKUP(TBL_CalcDarwin[[#This Row],[Fecha]],'Plantilla AEG ES'!$E$1:$HX$13,7,FALSE)</f>
        <v>0</v>
      </c>
      <c r="AI24" s="46">
        <f>HLOOKUP(TBL_CalcDarwin[[#This Row],[Fecha]],'Plantilla AEG ES'!$E$1:$HX$13,8,FALSE)</f>
        <v>0</v>
      </c>
      <c r="AJ24" s="46">
        <f>HLOOKUP(TBL_CalcDarwin[[#This Row],[Fecha]],'Plantilla AEG ES'!$E$1:$HX$13,9,FALSE)</f>
        <v>3</v>
      </c>
      <c r="AK24" s="46">
        <f>HLOOKUP(TBL_CalcDarwin[[#This Row],[Fecha]],'Plantilla AEG ES'!$E$1:$HX$13,10,FALSE)</f>
        <v>12</v>
      </c>
      <c r="AL24" s="46">
        <f>HLOOKUP(TBL_CalcDarwin[[#This Row],[Fecha]],'Plantilla AEG ES'!$E$1:$HX$13,11,FALSE)</f>
        <v>1</v>
      </c>
      <c r="AM24" s="46">
        <f>HLOOKUP(TBL_CalcDarwin[[#This Row],[Fecha]],'Plantilla AEG ES'!$E$1:$HX$13,12,FALSE)</f>
        <v>4</v>
      </c>
      <c r="AN24" s="46">
        <f>HLOOKUP(TBL_CalcDarwin[[#This Row],[Fecha]],'Plantilla AEG ES'!$E$1:$HX$13,13,FALSE)</f>
        <v>3</v>
      </c>
      <c r="AO24" s="37">
        <f>TBL_CalcDarwin[[#This Row],[Lomitas - Barra A - 5.2 - Cerro]]+TBL_CalcDarwin[[#This Row],[Lomitas - Barra A - 5.2 - Medio]]+TBL_CalcDarwin[[#This Row],[Lomitas - Barra A - 5.2 - Mar]]</f>
        <v>23</v>
      </c>
      <c r="AP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84.646000000000001</v>
      </c>
      <c r="AR2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86.632000000000005</v>
      </c>
      <c r="AS24" s="37">
        <f>TBL_CalcDarwin[[#This Row],[Expansión - Barra A - 5.2 - Cerro]]+TBL_CalcDarwin[[#This Row],[Expansión - Barra A - 5.2 - Medio]]+TBL_CalcDarwin[[#This Row],[Expansión - Barra A - 5.2 - Mar]]</f>
        <v>3</v>
      </c>
      <c r="AT24" s="37">
        <f>TBL_CalcDarwin[[#This Row],[Expansión - Barra B - 5.2 - Cerro]]</f>
        <v>3</v>
      </c>
      <c r="AU2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8.1839999999999993</v>
      </c>
      <c r="AV24" s="29">
        <f>TBL_CalcDarwin[[#This Row],[Expansión - Barra B - 5.2 - Cerro]]*TBL_CalcDarwin[[#This Row],[AEG 5.2 MW Cerro]]</f>
        <v>7.2269999999999994</v>
      </c>
      <c r="AZ24" s="18"/>
      <c r="BA24" s="18"/>
      <c r="BB24" s="18"/>
      <c r="BC24" s="18"/>
      <c r="BD24" s="18"/>
      <c r="BE24" s="18"/>
      <c r="BF24" s="18"/>
    </row>
    <row r="25" spans="2:58" ht="12" x14ac:dyDescent="0.2">
      <c r="B25" s="55">
        <f t="shared" si="0"/>
        <v>45613.958333333285</v>
      </c>
      <c r="C25" s="17">
        <f t="shared" si="2"/>
        <v>0.95833333333333293</v>
      </c>
      <c r="D25" s="34">
        <f>TBL_CalcDarwin[[#This Row],[Darwin PLOM
MW]]+TBL_CalcDarwin[[#This Row],[Darwin PLOME
MW]]</f>
        <v>161.916</v>
      </c>
      <c r="E25" s="34">
        <f>TBL_CalcDarwin[[#This Row],[PLOM MW TOTAL BARRA A]]+TBL_CalcDarwin[[#This Row],[PLOM MW TOTAL BARRA B]]</f>
        <v>151.053</v>
      </c>
      <c r="F25" s="34">
        <f>TBL_CalcDarwin[[#This Row],[PLOME MW TOTAL BARRA A]]+TBL_CalcDarwin[[#This Row],[PLOME MW TOTAL BARRA B]]</f>
        <v>10.863</v>
      </c>
      <c r="G25" s="48">
        <f>'Plantilla Datos'!D30</f>
        <v>7.7</v>
      </c>
      <c r="H25" s="48">
        <f>'Plantilla Datos'!E30</f>
        <v>9.6999999999999993</v>
      </c>
      <c r="I25" s="49">
        <f>'Plantilla Datos'!F30</f>
        <v>17.100000000000001</v>
      </c>
      <c r="J25" s="47">
        <f>CEILING('Plantilla Datos'!$L$3*TBL_CalcDarwin[[#This Row],[Darwin Gusts
m/s]],0.5)</f>
        <v>7</v>
      </c>
      <c r="K25" s="47">
        <f>CEILING('Plantilla Datos'!$L$4*TBL_CalcDarwin[[#This Row],[Darwin Gusts
m/s]],0.5)</f>
        <v>8.5</v>
      </c>
      <c r="L25" s="47">
        <f>CEILING(TBL_CalcDarwin[[#This Row],[Darwin Gusts
m/s]],0.5)</f>
        <v>10</v>
      </c>
      <c r="M2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2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2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25" s="41">
        <f>INDEX(Curva_Temp[Temp],MATCH(TBL_CalcDarwin[[#This Row],[Darwin Temp.
°C]],Curva_Temp[Temp]))</f>
        <v>15</v>
      </c>
      <c r="R25" s="41">
        <f>INDEX(Curva_Temp[Warranted Power Curve for 
1.194Kg/m3 air density '[kW']
SG 5.0-145 (AM+1, 5.2MW) AT 
90M],MATCH(TBL_CalcDarwin[[#This Row],[Darwin Temp.
°C]],Curva_Temp[Temp]))</f>
        <v>5200</v>
      </c>
      <c r="S25" s="41" cm="1">
        <f t="array" ref="S25">INDEX(Curva_Temp[Temp],MATCH(TBL_CalcDarwin[[#This Row],[Darwin Temp.
°C]],Curva_Temp[Temp])+1)</f>
        <v>20</v>
      </c>
      <c r="T25" s="41" cm="1">
        <f t="array" ref="T25">INDEX(Curva_Temp[Warranted Power Curve for 
1.194Kg/m3 air density '[kW']
SG 5.0-145 (AM+1, 5.2MW) AT 
90M],MATCH(TBL_CalcDarwin[[#This Row],[Darwin Temp.
°C]],Curva_Temp[Temp])+1)</f>
        <v>5000</v>
      </c>
      <c r="U2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2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25" s="41">
        <f>INDEX(Curva_Temp[Temp],MATCH(TBL_CalcDarwin[[#This Row],[Darwin Temp.
°C]],Curva_Temp[Temp]))</f>
        <v>15</v>
      </c>
      <c r="Z25" s="41">
        <f>INDEX(Curva_Temp[Warranted Power Curve for 
1.194Kg/m3 air density '[kW']
SG 5.0-145 (AM 0, 5.0MW) AT 
90M],MATCH(TBL_CalcDarwin[[#This Row],[Darwin Temp.
°C]],Curva_Temp[Temp]))</f>
        <v>5000</v>
      </c>
      <c r="AA25" s="41" cm="1">
        <f t="array" ref="AA25">INDEX(Curva_Temp[Temp],MATCH(TBL_CalcDarwin[[#This Row],[Darwin Temp.
°C]],Curva_Temp[Temp])+1)</f>
        <v>20</v>
      </c>
      <c r="AB25" s="41" cm="1">
        <f t="array" ref="AB25">INDEX(Curva_Temp[Warranted Power Curve for 
1.194Kg/m3 air density '[kW']
SG 5.0-145 (AM 0, 5.0MW) AT 
90M],MATCH(TBL_CalcDarwin[[#This Row],[Darwin Temp.
°C]],Curva_Temp[Temp])+1)</f>
        <v>5000</v>
      </c>
      <c r="AC25" s="45">
        <f>HLOOKUP(TBL_CalcDarwin[[#This Row],[Fecha]],'Plantilla AEG ES'!$E$1:$HX$13,2,FALSE)</f>
        <v>6</v>
      </c>
      <c r="AD25" s="45">
        <f>HLOOKUP(TBL_CalcDarwin[[#This Row],[Fecha]],'Plantilla AEG ES'!$E$1:$HX$13,3,FALSE)</f>
        <v>7</v>
      </c>
      <c r="AE25" s="45">
        <f>HLOOKUP(TBL_CalcDarwin[[#This Row],[Fecha]],'Plantilla AEG ES'!$E$1:$HX$13,4,FALSE)</f>
        <v>10</v>
      </c>
      <c r="AF25" s="45">
        <f>HLOOKUP(TBL_CalcDarwin[[#This Row],[Fecha]],'Plantilla AEG ES'!$E$1:$HX$13,5,FALSE)</f>
        <v>2</v>
      </c>
      <c r="AG25" s="45">
        <f>HLOOKUP(TBL_CalcDarwin[[#This Row],[Fecha]],'Plantilla AEG ES'!$E$1:$HX$13,6,FALSE)</f>
        <v>1</v>
      </c>
      <c r="AH25" s="45">
        <f>HLOOKUP(TBL_CalcDarwin[[#This Row],[Fecha]],'Plantilla AEG ES'!$E$1:$HX$13,7,FALSE)</f>
        <v>0</v>
      </c>
      <c r="AI25" s="46">
        <f>HLOOKUP(TBL_CalcDarwin[[#This Row],[Fecha]],'Plantilla AEG ES'!$E$1:$HX$13,8,FALSE)</f>
        <v>0</v>
      </c>
      <c r="AJ25" s="46">
        <f>HLOOKUP(TBL_CalcDarwin[[#This Row],[Fecha]],'Plantilla AEG ES'!$E$1:$HX$13,9,FALSE)</f>
        <v>3</v>
      </c>
      <c r="AK25" s="46">
        <f>HLOOKUP(TBL_CalcDarwin[[#This Row],[Fecha]],'Plantilla AEG ES'!$E$1:$HX$13,10,FALSE)</f>
        <v>12</v>
      </c>
      <c r="AL25" s="46">
        <f>HLOOKUP(TBL_CalcDarwin[[#This Row],[Fecha]],'Plantilla AEG ES'!$E$1:$HX$13,11,FALSE)</f>
        <v>1</v>
      </c>
      <c r="AM25" s="46">
        <f>HLOOKUP(TBL_CalcDarwin[[#This Row],[Fecha]],'Plantilla AEG ES'!$E$1:$HX$13,12,FALSE)</f>
        <v>4</v>
      </c>
      <c r="AN25" s="46">
        <f>HLOOKUP(TBL_CalcDarwin[[#This Row],[Fecha]],'Plantilla AEG ES'!$E$1:$HX$13,13,FALSE)</f>
        <v>3</v>
      </c>
      <c r="AO25" s="37">
        <f>TBL_CalcDarwin[[#This Row],[Lomitas - Barra A - 5.2 - Cerro]]+TBL_CalcDarwin[[#This Row],[Lomitas - Barra A - 5.2 - Medio]]+TBL_CalcDarwin[[#This Row],[Lomitas - Barra A - 5.2 - Mar]]</f>
        <v>23</v>
      </c>
      <c r="AP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72.567999999999998</v>
      </c>
      <c r="AR2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78.484999999999999</v>
      </c>
      <c r="AS25" s="37">
        <f>TBL_CalcDarwin[[#This Row],[Expansión - Barra A - 5.2 - Cerro]]+TBL_CalcDarwin[[#This Row],[Expansión - Barra A - 5.2 - Medio]]+TBL_CalcDarwin[[#This Row],[Expansión - Barra A - 5.2 - Mar]]</f>
        <v>3</v>
      </c>
      <c r="AT25" s="37">
        <f>TBL_CalcDarwin[[#This Row],[Expansión - Barra B - 5.2 - Cerro]]</f>
        <v>3</v>
      </c>
      <c r="AU2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6.0720000000000001</v>
      </c>
      <c r="AV25" s="29">
        <f>TBL_CalcDarwin[[#This Row],[Expansión - Barra B - 5.2 - Cerro]]*TBL_CalcDarwin[[#This Row],[AEG 5.2 MW Cerro]]</f>
        <v>4.7910000000000004</v>
      </c>
      <c r="AZ25" s="18"/>
      <c r="BA25" s="18"/>
      <c r="BB25" s="18"/>
      <c r="BC25" s="18"/>
      <c r="BD25" s="18"/>
      <c r="BE25" s="18"/>
      <c r="BF25" s="18"/>
    </row>
    <row r="26" spans="2:58" ht="12" x14ac:dyDescent="0.2">
      <c r="B26" s="55">
        <f t="shared" si="0"/>
        <v>45613.999999999949</v>
      </c>
      <c r="C26" s="17">
        <f t="shared" si="2"/>
        <v>0.99999999999999956</v>
      </c>
      <c r="D26" s="34">
        <f>TBL_CalcDarwin[[#This Row],[Darwin PLOM
MW]]+TBL_CalcDarwin[[#This Row],[Darwin PLOME
MW]]</f>
        <v>129.08600000000001</v>
      </c>
      <c r="E26" s="34">
        <f>TBL_CalcDarwin[[#This Row],[PLOM MW TOTAL BARRA A]]+TBL_CalcDarwin[[#This Row],[PLOM MW TOTAL BARRA B]]</f>
        <v>120.34700000000001</v>
      </c>
      <c r="F26" s="34">
        <f>TBL_CalcDarwin[[#This Row],[PLOME MW TOTAL BARRA A]]+TBL_CalcDarwin[[#This Row],[PLOME MW TOTAL BARRA B]]</f>
        <v>8.7390000000000008</v>
      </c>
      <c r="G26" s="48">
        <f>'Plantilla Datos'!D31</f>
        <v>7.1</v>
      </c>
      <c r="H26" s="48">
        <f>'Plantilla Datos'!E31</f>
        <v>8.9</v>
      </c>
      <c r="I26" s="49">
        <f>'Plantilla Datos'!F31</f>
        <v>17.100000000000001</v>
      </c>
      <c r="J26" s="47">
        <f>CEILING('Plantilla Datos'!$L$3*TBL_CalcDarwin[[#This Row],[Darwin Gusts
m/s]],0.5)</f>
        <v>6.5</v>
      </c>
      <c r="K26" s="47">
        <f>CEILING('Plantilla Datos'!$L$4*TBL_CalcDarwin[[#This Row],[Darwin Gusts
m/s]],0.5)</f>
        <v>8</v>
      </c>
      <c r="L26" s="47">
        <f>CEILING(TBL_CalcDarwin[[#This Row],[Darwin Gusts
m/s]],0.5)</f>
        <v>9</v>
      </c>
      <c r="M2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2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2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2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26" s="41">
        <f>INDEX(Curva_Temp[Temp],MATCH(TBL_CalcDarwin[[#This Row],[Darwin Temp.
°C]],Curva_Temp[Temp]))</f>
        <v>15</v>
      </c>
      <c r="R26" s="41">
        <f>INDEX(Curva_Temp[Warranted Power Curve for 
1.194Kg/m3 air density '[kW']
SG 5.0-145 (AM+1, 5.2MW) AT 
90M],MATCH(TBL_CalcDarwin[[#This Row],[Darwin Temp.
°C]],Curva_Temp[Temp]))</f>
        <v>5200</v>
      </c>
      <c r="S26" s="41" cm="1">
        <f t="array" ref="S26">INDEX(Curva_Temp[Temp],MATCH(TBL_CalcDarwin[[#This Row],[Darwin Temp.
°C]],Curva_Temp[Temp])+1)</f>
        <v>20</v>
      </c>
      <c r="T26" s="41" cm="1">
        <f t="array" ref="T26">INDEX(Curva_Temp[Warranted Power Curve for 
1.194Kg/m3 air density '[kW']
SG 5.0-145 (AM+1, 5.2MW) AT 
90M],MATCH(TBL_CalcDarwin[[#This Row],[Darwin Temp.
°C]],Curva_Temp[Temp])+1)</f>
        <v>5000</v>
      </c>
      <c r="U2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2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2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26" s="41">
        <f>INDEX(Curva_Temp[Temp],MATCH(TBL_CalcDarwin[[#This Row],[Darwin Temp.
°C]],Curva_Temp[Temp]))</f>
        <v>15</v>
      </c>
      <c r="Z26" s="41">
        <f>INDEX(Curva_Temp[Warranted Power Curve for 
1.194Kg/m3 air density '[kW']
SG 5.0-145 (AM 0, 5.0MW) AT 
90M],MATCH(TBL_CalcDarwin[[#This Row],[Darwin Temp.
°C]],Curva_Temp[Temp]))</f>
        <v>5000</v>
      </c>
      <c r="AA26" s="41" cm="1">
        <f t="array" ref="AA26">INDEX(Curva_Temp[Temp],MATCH(TBL_CalcDarwin[[#This Row],[Darwin Temp.
°C]],Curva_Temp[Temp])+1)</f>
        <v>20</v>
      </c>
      <c r="AB26" s="41" cm="1">
        <f t="array" ref="AB26">INDEX(Curva_Temp[Warranted Power Curve for 
1.194Kg/m3 air density '[kW']
SG 5.0-145 (AM 0, 5.0MW) AT 
90M],MATCH(TBL_CalcDarwin[[#This Row],[Darwin Temp.
°C]],Curva_Temp[Temp])+1)</f>
        <v>5000</v>
      </c>
      <c r="AC26" s="45">
        <f>HLOOKUP(TBL_CalcDarwin[[#This Row],[Fecha]],'Plantilla AEG ES'!$E$1:$HX$13,2,FALSE)</f>
        <v>6</v>
      </c>
      <c r="AD26" s="45">
        <f>HLOOKUP(TBL_CalcDarwin[[#This Row],[Fecha]],'Plantilla AEG ES'!$E$1:$HX$13,3,FALSE)</f>
        <v>7</v>
      </c>
      <c r="AE26" s="45">
        <f>HLOOKUP(TBL_CalcDarwin[[#This Row],[Fecha]],'Plantilla AEG ES'!$E$1:$HX$13,4,FALSE)</f>
        <v>10</v>
      </c>
      <c r="AF26" s="45">
        <f>HLOOKUP(TBL_CalcDarwin[[#This Row],[Fecha]],'Plantilla AEG ES'!$E$1:$HX$13,5,FALSE)</f>
        <v>2</v>
      </c>
      <c r="AG26" s="45">
        <f>HLOOKUP(TBL_CalcDarwin[[#This Row],[Fecha]],'Plantilla AEG ES'!$E$1:$HX$13,6,FALSE)</f>
        <v>1</v>
      </c>
      <c r="AH26" s="45">
        <f>HLOOKUP(TBL_CalcDarwin[[#This Row],[Fecha]],'Plantilla AEG ES'!$E$1:$HX$13,7,FALSE)</f>
        <v>0</v>
      </c>
      <c r="AI26" s="46">
        <f>HLOOKUP(TBL_CalcDarwin[[#This Row],[Fecha]],'Plantilla AEG ES'!$E$1:$HX$13,8,FALSE)</f>
        <v>0</v>
      </c>
      <c r="AJ26" s="46">
        <f>HLOOKUP(TBL_CalcDarwin[[#This Row],[Fecha]],'Plantilla AEG ES'!$E$1:$HX$13,9,FALSE)</f>
        <v>3</v>
      </c>
      <c r="AK26" s="46">
        <f>HLOOKUP(TBL_CalcDarwin[[#This Row],[Fecha]],'Plantilla AEG ES'!$E$1:$HX$13,10,FALSE)</f>
        <v>12</v>
      </c>
      <c r="AL26" s="46">
        <f>HLOOKUP(TBL_CalcDarwin[[#This Row],[Fecha]],'Plantilla AEG ES'!$E$1:$HX$13,11,FALSE)</f>
        <v>1</v>
      </c>
      <c r="AM26" s="46">
        <f>HLOOKUP(TBL_CalcDarwin[[#This Row],[Fecha]],'Plantilla AEG ES'!$E$1:$HX$13,12,FALSE)</f>
        <v>4</v>
      </c>
      <c r="AN26" s="46">
        <f>HLOOKUP(TBL_CalcDarwin[[#This Row],[Fecha]],'Plantilla AEG ES'!$E$1:$HX$13,13,FALSE)</f>
        <v>3</v>
      </c>
      <c r="AO26" s="37">
        <f>TBL_CalcDarwin[[#This Row],[Lomitas - Barra A - 5.2 - Cerro]]+TBL_CalcDarwin[[#This Row],[Lomitas - Barra A - 5.2 - Medio]]+TBL_CalcDarwin[[#This Row],[Lomitas - Barra A - 5.2 - Mar]]</f>
        <v>23</v>
      </c>
      <c r="AP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58.119</v>
      </c>
      <c r="AR2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62.228000000000002</v>
      </c>
      <c r="AS26" s="37">
        <f>TBL_CalcDarwin[[#This Row],[Expansión - Barra A - 5.2 - Cerro]]+TBL_CalcDarwin[[#This Row],[Expansión - Barra A - 5.2 - Medio]]+TBL_CalcDarwin[[#This Row],[Expansión - Barra A - 5.2 - Mar]]</f>
        <v>3</v>
      </c>
      <c r="AT26" s="37">
        <f>TBL_CalcDarwin[[#This Row],[Expansión - Barra B - 5.2 - Cerro]]</f>
        <v>3</v>
      </c>
      <c r="AU2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4.9409999999999998</v>
      </c>
      <c r="AV26" s="29">
        <f>TBL_CalcDarwin[[#This Row],[Expansión - Barra B - 5.2 - Cerro]]*TBL_CalcDarwin[[#This Row],[AEG 5.2 MW Cerro]]</f>
        <v>3.798</v>
      </c>
      <c r="AZ26" s="18"/>
      <c r="BA26" s="18"/>
      <c r="BB26" s="18"/>
      <c r="BC26" s="18"/>
      <c r="BD26" s="18"/>
      <c r="BE26" s="18"/>
      <c r="BF26" s="18"/>
    </row>
    <row r="27" spans="2:58" ht="12" x14ac:dyDescent="0.2">
      <c r="B27" s="55">
        <f t="shared" si="0"/>
        <v>45614.041666666613</v>
      </c>
      <c r="C27" s="17">
        <f t="shared" si="2"/>
        <v>1.0416666666666663</v>
      </c>
      <c r="D27" s="34">
        <f>TBL_CalcDarwin[[#This Row],[Darwin PLOM
MW]]+TBL_CalcDarwin[[#This Row],[Darwin PLOME
MW]]</f>
        <v>104.114</v>
      </c>
      <c r="E27" s="34">
        <f>TBL_CalcDarwin[[#This Row],[PLOM MW TOTAL BARRA A]]+TBL_CalcDarwin[[#This Row],[PLOM MW TOTAL BARRA B]]</f>
        <v>97.602000000000004</v>
      </c>
      <c r="F27" s="34">
        <f>TBL_CalcDarwin[[#This Row],[PLOME MW TOTAL BARRA A]]+TBL_CalcDarwin[[#This Row],[PLOME MW TOTAL BARRA B]]</f>
        <v>6.5119999999999996</v>
      </c>
      <c r="G27" s="48">
        <f>'Plantilla Datos'!D32</f>
        <v>6.4</v>
      </c>
      <c r="H27" s="48">
        <f>'Plantilla Datos'!E32</f>
        <v>8.1999999999999993</v>
      </c>
      <c r="I27" s="49">
        <f>'Plantilla Datos'!F32</f>
        <v>17.100000000000001</v>
      </c>
      <c r="J27" s="47">
        <f>CEILING('Plantilla Datos'!$L$3*TBL_CalcDarwin[[#This Row],[Darwin Gusts
m/s]],0.5)</f>
        <v>6</v>
      </c>
      <c r="K27" s="47">
        <f>CEILING('Plantilla Datos'!$L$4*TBL_CalcDarwin[[#This Row],[Darwin Gusts
m/s]],0.5)</f>
        <v>7</v>
      </c>
      <c r="L27" s="47">
        <f>CEILING(TBL_CalcDarwin[[#This Row],[Darwin Gusts
m/s]],0.5)</f>
        <v>8.5</v>
      </c>
      <c r="M2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2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2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2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27" s="41">
        <f>INDEX(Curva_Temp[Temp],MATCH(TBL_CalcDarwin[[#This Row],[Darwin Temp.
°C]],Curva_Temp[Temp]))</f>
        <v>15</v>
      </c>
      <c r="R27" s="41">
        <f>INDEX(Curva_Temp[Warranted Power Curve for 
1.194Kg/m3 air density '[kW']
SG 5.0-145 (AM+1, 5.2MW) AT 
90M],MATCH(TBL_CalcDarwin[[#This Row],[Darwin Temp.
°C]],Curva_Temp[Temp]))</f>
        <v>5200</v>
      </c>
      <c r="S27" s="41" cm="1">
        <f t="array" ref="S27">INDEX(Curva_Temp[Temp],MATCH(TBL_CalcDarwin[[#This Row],[Darwin Temp.
°C]],Curva_Temp[Temp])+1)</f>
        <v>20</v>
      </c>
      <c r="T27" s="41" cm="1">
        <f t="array" ref="T27">INDEX(Curva_Temp[Warranted Power Curve for 
1.194Kg/m3 air density '[kW']
SG 5.0-145 (AM+1, 5.2MW) AT 
90M],MATCH(TBL_CalcDarwin[[#This Row],[Darwin Temp.
°C]],Curva_Temp[Temp])+1)</f>
        <v>5000</v>
      </c>
      <c r="U2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2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2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27" s="41">
        <f>INDEX(Curva_Temp[Temp],MATCH(TBL_CalcDarwin[[#This Row],[Darwin Temp.
°C]],Curva_Temp[Temp]))</f>
        <v>15</v>
      </c>
      <c r="Z27" s="41">
        <f>INDEX(Curva_Temp[Warranted Power Curve for 
1.194Kg/m3 air density '[kW']
SG 5.0-145 (AM 0, 5.0MW) AT 
90M],MATCH(TBL_CalcDarwin[[#This Row],[Darwin Temp.
°C]],Curva_Temp[Temp]))</f>
        <v>5000</v>
      </c>
      <c r="AA27" s="41" cm="1">
        <f t="array" ref="AA27">INDEX(Curva_Temp[Temp],MATCH(TBL_CalcDarwin[[#This Row],[Darwin Temp.
°C]],Curva_Temp[Temp])+1)</f>
        <v>20</v>
      </c>
      <c r="AB27" s="41" cm="1">
        <f t="array" ref="AB27">INDEX(Curva_Temp[Warranted Power Curve for 
1.194Kg/m3 air density '[kW']
SG 5.0-145 (AM 0, 5.0MW) AT 
90M],MATCH(TBL_CalcDarwin[[#This Row],[Darwin Temp.
°C]],Curva_Temp[Temp])+1)</f>
        <v>5000</v>
      </c>
      <c r="AC27" s="45">
        <f>HLOOKUP(TBL_CalcDarwin[[#This Row],[Fecha]],'Plantilla AEG ES'!$E$1:$HX$13,2,FALSE)</f>
        <v>6</v>
      </c>
      <c r="AD27" s="45">
        <f>HLOOKUP(TBL_CalcDarwin[[#This Row],[Fecha]],'Plantilla AEG ES'!$E$1:$HX$13,3,FALSE)</f>
        <v>7</v>
      </c>
      <c r="AE27" s="45">
        <f>HLOOKUP(TBL_CalcDarwin[[#This Row],[Fecha]],'Plantilla AEG ES'!$E$1:$HX$13,4,FALSE)</f>
        <v>10</v>
      </c>
      <c r="AF27" s="45">
        <f>HLOOKUP(TBL_CalcDarwin[[#This Row],[Fecha]],'Plantilla AEG ES'!$E$1:$HX$13,5,FALSE)</f>
        <v>2</v>
      </c>
      <c r="AG27" s="45">
        <f>HLOOKUP(TBL_CalcDarwin[[#This Row],[Fecha]],'Plantilla AEG ES'!$E$1:$HX$13,6,FALSE)</f>
        <v>1</v>
      </c>
      <c r="AH27" s="45">
        <f>HLOOKUP(TBL_CalcDarwin[[#This Row],[Fecha]],'Plantilla AEG ES'!$E$1:$HX$13,7,FALSE)</f>
        <v>0</v>
      </c>
      <c r="AI27" s="46">
        <f>HLOOKUP(TBL_CalcDarwin[[#This Row],[Fecha]],'Plantilla AEG ES'!$E$1:$HX$13,8,FALSE)</f>
        <v>0</v>
      </c>
      <c r="AJ27" s="46">
        <f>HLOOKUP(TBL_CalcDarwin[[#This Row],[Fecha]],'Plantilla AEG ES'!$E$1:$HX$13,9,FALSE)</f>
        <v>3</v>
      </c>
      <c r="AK27" s="46">
        <f>HLOOKUP(TBL_CalcDarwin[[#This Row],[Fecha]],'Plantilla AEG ES'!$E$1:$HX$13,10,FALSE)</f>
        <v>12</v>
      </c>
      <c r="AL27" s="46">
        <f>HLOOKUP(TBL_CalcDarwin[[#This Row],[Fecha]],'Plantilla AEG ES'!$E$1:$HX$13,11,FALSE)</f>
        <v>1</v>
      </c>
      <c r="AM27" s="46">
        <f>HLOOKUP(TBL_CalcDarwin[[#This Row],[Fecha]],'Plantilla AEG ES'!$E$1:$HX$13,12,FALSE)</f>
        <v>4</v>
      </c>
      <c r="AN27" s="46">
        <f>HLOOKUP(TBL_CalcDarwin[[#This Row],[Fecha]],'Plantilla AEG ES'!$E$1:$HX$13,13,FALSE)</f>
        <v>3</v>
      </c>
      <c r="AO27" s="37">
        <f>TBL_CalcDarwin[[#This Row],[Lomitas - Barra A - 5.2 - Cerro]]+TBL_CalcDarwin[[#This Row],[Lomitas - Barra A - 5.2 - Medio]]+TBL_CalcDarwin[[#This Row],[Lomitas - Barra A - 5.2 - Mar]]</f>
        <v>23</v>
      </c>
      <c r="AP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45.856999999999999</v>
      </c>
      <c r="AR2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51.744999999999997</v>
      </c>
      <c r="AS27" s="37">
        <f>TBL_CalcDarwin[[#This Row],[Expansión - Barra A - 5.2 - Cerro]]+TBL_CalcDarwin[[#This Row],[Expansión - Barra A - 5.2 - Medio]]+TBL_CalcDarwin[[#This Row],[Expansión - Barra A - 5.2 - Mar]]</f>
        <v>3</v>
      </c>
      <c r="AT27" s="37">
        <f>TBL_CalcDarwin[[#This Row],[Expansión - Barra B - 5.2 - Cerro]]</f>
        <v>3</v>
      </c>
      <c r="AU2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27" s="29">
        <f>TBL_CalcDarwin[[#This Row],[Expansión - Barra B - 5.2 - Cerro]]*TBL_CalcDarwin[[#This Row],[AEG 5.2 MW Cerro]]</f>
        <v>2.9489999999999998</v>
      </c>
      <c r="AZ27" s="18"/>
      <c r="BA27" s="18"/>
      <c r="BB27" s="18"/>
      <c r="BC27" s="18"/>
      <c r="BD27" s="18"/>
      <c r="BE27" s="18"/>
      <c r="BF27" s="18"/>
    </row>
    <row r="28" spans="2:58" ht="12" x14ac:dyDescent="0.2">
      <c r="B28" s="55">
        <f t="shared" si="0"/>
        <v>45614.083333333278</v>
      </c>
      <c r="C28" s="17">
        <f t="shared" si="2"/>
        <v>1.083333333333333</v>
      </c>
      <c r="D28" s="34">
        <f>TBL_CalcDarwin[[#This Row],[Darwin PLOM
MW]]+TBL_CalcDarwin[[#This Row],[Darwin PLOME
MW]]</f>
        <v>61.262999999999991</v>
      </c>
      <c r="E28" s="34">
        <f>TBL_CalcDarwin[[#This Row],[PLOM MW TOTAL BARRA A]]+TBL_CalcDarwin[[#This Row],[PLOM MW TOTAL BARRA B]]</f>
        <v>56.554999999999993</v>
      </c>
      <c r="F28" s="34">
        <f>TBL_CalcDarwin[[#This Row],[PLOME MW TOTAL BARRA A]]+TBL_CalcDarwin[[#This Row],[PLOME MW TOTAL BARRA B]]</f>
        <v>4.7080000000000002</v>
      </c>
      <c r="G28" s="48">
        <f>'Plantilla Datos'!D33</f>
        <v>5.5</v>
      </c>
      <c r="H28" s="48">
        <f>'Plantilla Datos'!E33</f>
        <v>7</v>
      </c>
      <c r="I28" s="49">
        <f>'Plantilla Datos'!F33</f>
        <v>17.3</v>
      </c>
      <c r="J28" s="47">
        <f>CEILING('Plantilla Datos'!$L$3*TBL_CalcDarwin[[#This Row],[Darwin Gusts
m/s]],0.5)</f>
        <v>5.5</v>
      </c>
      <c r="K28" s="47">
        <f>CEILING('Plantilla Datos'!$L$4*TBL_CalcDarwin[[#This Row],[Darwin Gusts
m/s]],0.5)</f>
        <v>6</v>
      </c>
      <c r="L28" s="47">
        <f>CEILING(TBL_CalcDarwin[[#This Row],[Darwin Gusts
m/s]],0.5)</f>
        <v>7</v>
      </c>
      <c r="M2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2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2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2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28" s="41">
        <f>INDEX(Curva_Temp[Temp],MATCH(TBL_CalcDarwin[[#This Row],[Darwin Temp.
°C]],Curva_Temp[Temp]))</f>
        <v>15</v>
      </c>
      <c r="R28" s="41">
        <f>INDEX(Curva_Temp[Warranted Power Curve for 
1.194Kg/m3 air density '[kW']
SG 5.0-145 (AM+1, 5.2MW) AT 
90M],MATCH(TBL_CalcDarwin[[#This Row],[Darwin Temp.
°C]],Curva_Temp[Temp]))</f>
        <v>5200</v>
      </c>
      <c r="S28" s="41" cm="1">
        <f t="array" ref="S28">INDEX(Curva_Temp[Temp],MATCH(TBL_CalcDarwin[[#This Row],[Darwin Temp.
°C]],Curva_Temp[Temp])+1)</f>
        <v>20</v>
      </c>
      <c r="T28" s="41" cm="1">
        <f t="array" ref="T28">INDEX(Curva_Temp[Warranted Power Curve for 
1.194Kg/m3 air density '[kW']
SG 5.0-145 (AM+1, 5.2MW) AT 
90M],MATCH(TBL_CalcDarwin[[#This Row],[Darwin Temp.
°C]],Curva_Temp[Temp])+1)</f>
        <v>5000</v>
      </c>
      <c r="U2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2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2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28" s="41">
        <f>INDEX(Curva_Temp[Temp],MATCH(TBL_CalcDarwin[[#This Row],[Darwin Temp.
°C]],Curva_Temp[Temp]))</f>
        <v>15</v>
      </c>
      <c r="Z28" s="41">
        <f>INDEX(Curva_Temp[Warranted Power Curve for 
1.194Kg/m3 air density '[kW']
SG 5.0-145 (AM 0, 5.0MW) AT 
90M],MATCH(TBL_CalcDarwin[[#This Row],[Darwin Temp.
°C]],Curva_Temp[Temp]))</f>
        <v>5000</v>
      </c>
      <c r="AA28" s="41" cm="1">
        <f t="array" ref="AA28">INDEX(Curva_Temp[Temp],MATCH(TBL_CalcDarwin[[#This Row],[Darwin Temp.
°C]],Curva_Temp[Temp])+1)</f>
        <v>20</v>
      </c>
      <c r="AB28" s="41" cm="1">
        <f t="array" ref="AB28">INDEX(Curva_Temp[Warranted Power Curve for 
1.194Kg/m3 air density '[kW']
SG 5.0-145 (AM 0, 5.0MW) AT 
90M],MATCH(TBL_CalcDarwin[[#This Row],[Darwin Temp.
°C]],Curva_Temp[Temp])+1)</f>
        <v>5000</v>
      </c>
      <c r="AC28" s="45">
        <f>HLOOKUP(TBL_CalcDarwin[[#This Row],[Fecha]],'Plantilla AEG ES'!$E$1:$HX$13,2,FALSE)</f>
        <v>6</v>
      </c>
      <c r="AD28" s="45">
        <f>HLOOKUP(TBL_CalcDarwin[[#This Row],[Fecha]],'Plantilla AEG ES'!$E$1:$HX$13,3,FALSE)</f>
        <v>7</v>
      </c>
      <c r="AE28" s="45">
        <f>HLOOKUP(TBL_CalcDarwin[[#This Row],[Fecha]],'Plantilla AEG ES'!$E$1:$HX$13,4,FALSE)</f>
        <v>10</v>
      </c>
      <c r="AF28" s="45">
        <f>HLOOKUP(TBL_CalcDarwin[[#This Row],[Fecha]],'Plantilla AEG ES'!$E$1:$HX$13,5,FALSE)</f>
        <v>2</v>
      </c>
      <c r="AG28" s="45">
        <f>HLOOKUP(TBL_CalcDarwin[[#This Row],[Fecha]],'Plantilla AEG ES'!$E$1:$HX$13,6,FALSE)</f>
        <v>1</v>
      </c>
      <c r="AH28" s="45">
        <f>HLOOKUP(TBL_CalcDarwin[[#This Row],[Fecha]],'Plantilla AEG ES'!$E$1:$HX$13,7,FALSE)</f>
        <v>0</v>
      </c>
      <c r="AI28" s="46">
        <f>HLOOKUP(TBL_CalcDarwin[[#This Row],[Fecha]],'Plantilla AEG ES'!$E$1:$HX$13,8,FALSE)</f>
        <v>0</v>
      </c>
      <c r="AJ28" s="46">
        <f>HLOOKUP(TBL_CalcDarwin[[#This Row],[Fecha]],'Plantilla AEG ES'!$E$1:$HX$13,9,FALSE)</f>
        <v>3</v>
      </c>
      <c r="AK28" s="46">
        <f>HLOOKUP(TBL_CalcDarwin[[#This Row],[Fecha]],'Plantilla AEG ES'!$E$1:$HX$13,10,FALSE)</f>
        <v>12</v>
      </c>
      <c r="AL28" s="46">
        <f>HLOOKUP(TBL_CalcDarwin[[#This Row],[Fecha]],'Plantilla AEG ES'!$E$1:$HX$13,11,FALSE)</f>
        <v>1</v>
      </c>
      <c r="AM28" s="46">
        <f>HLOOKUP(TBL_CalcDarwin[[#This Row],[Fecha]],'Plantilla AEG ES'!$E$1:$HX$13,12,FALSE)</f>
        <v>4</v>
      </c>
      <c r="AN28" s="46">
        <f>HLOOKUP(TBL_CalcDarwin[[#This Row],[Fecha]],'Plantilla AEG ES'!$E$1:$HX$13,13,FALSE)</f>
        <v>3</v>
      </c>
      <c r="AO28" s="37">
        <f>TBL_CalcDarwin[[#This Row],[Lomitas - Barra A - 5.2 - Cerro]]+TBL_CalcDarwin[[#This Row],[Lomitas - Barra A - 5.2 - Medio]]+TBL_CalcDarwin[[#This Row],[Lomitas - Barra A - 5.2 - Mar]]</f>
        <v>23</v>
      </c>
      <c r="AP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27.320999999999998</v>
      </c>
      <c r="AR2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29.233999999999998</v>
      </c>
      <c r="AS28" s="37">
        <f>TBL_CalcDarwin[[#This Row],[Expansión - Barra A - 5.2 - Cerro]]+TBL_CalcDarwin[[#This Row],[Expansión - Barra A - 5.2 - Medio]]+TBL_CalcDarwin[[#This Row],[Expansión - Barra A - 5.2 - Mar]]</f>
        <v>3</v>
      </c>
      <c r="AT28" s="37">
        <f>TBL_CalcDarwin[[#This Row],[Expansión - Barra B - 5.2 - Cerro]]</f>
        <v>3</v>
      </c>
      <c r="AU2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2.4729999999999999</v>
      </c>
      <c r="AV28" s="29">
        <f>TBL_CalcDarwin[[#This Row],[Expansión - Barra B - 5.2 - Cerro]]*TBL_CalcDarwin[[#This Row],[AEG 5.2 MW Cerro]]</f>
        <v>2.2349999999999999</v>
      </c>
      <c r="AZ28" s="18"/>
      <c r="BA28" s="18"/>
      <c r="BB28" s="18"/>
      <c r="BC28" s="18"/>
      <c r="BD28" s="18"/>
      <c r="BE28" s="18"/>
      <c r="BF28" s="18"/>
    </row>
    <row r="29" spans="2:58" ht="12" x14ac:dyDescent="0.2">
      <c r="B29" s="55">
        <f t="shared" si="0"/>
        <v>45614.124999999942</v>
      </c>
      <c r="C29" s="17">
        <f>C28+TIME(1,0,0)</f>
        <v>1.1249999999999998</v>
      </c>
      <c r="D29" s="34">
        <f>TBL_CalcDarwin[[#This Row],[Darwin PLOM
MW]]+TBL_CalcDarwin[[#This Row],[Darwin PLOME
MW]]</f>
        <v>38.322000000000003</v>
      </c>
      <c r="E29" s="34">
        <f>TBL_CalcDarwin[[#This Row],[PLOM MW TOTAL BARRA A]]+TBL_CalcDarwin[[#This Row],[PLOM MW TOTAL BARRA B]]</f>
        <v>35.667000000000002</v>
      </c>
      <c r="F29" s="34">
        <f>TBL_CalcDarwin[[#This Row],[PLOME MW TOTAL BARRA A]]+TBL_CalcDarwin[[#This Row],[PLOME MW TOTAL BARRA B]]</f>
        <v>2.6549999999999998</v>
      </c>
      <c r="G29" s="48">
        <f>'Plantilla Datos'!D34</f>
        <v>4.5999999999999996</v>
      </c>
      <c r="H29" s="48">
        <f>'Plantilla Datos'!E34</f>
        <v>5.9</v>
      </c>
      <c r="I29" s="49">
        <f>'Plantilla Datos'!F34</f>
        <v>17.600000000000001</v>
      </c>
      <c r="J29" s="47">
        <f>CEILING('Plantilla Datos'!$L$3*TBL_CalcDarwin[[#This Row],[Darwin Gusts
m/s]],0.5)</f>
        <v>4.5</v>
      </c>
      <c r="K29" s="47">
        <f>CEILING('Plantilla Datos'!$L$4*TBL_CalcDarwin[[#This Row],[Darwin Gusts
m/s]],0.5)</f>
        <v>5.5</v>
      </c>
      <c r="L29" s="47">
        <f>CEILING(TBL_CalcDarwin[[#This Row],[Darwin Gusts
m/s]],0.5)</f>
        <v>6</v>
      </c>
      <c r="M2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2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2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2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29" s="41">
        <f>INDEX(Curva_Temp[Temp],MATCH(TBL_CalcDarwin[[#This Row],[Darwin Temp.
°C]],Curva_Temp[Temp]))</f>
        <v>15</v>
      </c>
      <c r="R29" s="41">
        <f>INDEX(Curva_Temp[Warranted Power Curve for 
1.194Kg/m3 air density '[kW']
SG 5.0-145 (AM+1, 5.2MW) AT 
90M],MATCH(TBL_CalcDarwin[[#This Row],[Darwin Temp.
°C]],Curva_Temp[Temp]))</f>
        <v>5200</v>
      </c>
      <c r="S29" s="41" cm="1">
        <f t="array" ref="S29">INDEX(Curva_Temp[Temp],MATCH(TBL_CalcDarwin[[#This Row],[Darwin Temp.
°C]],Curva_Temp[Temp])+1)</f>
        <v>20</v>
      </c>
      <c r="T29" s="41" cm="1">
        <f t="array" ref="T29">INDEX(Curva_Temp[Warranted Power Curve for 
1.194Kg/m3 air density '[kW']
SG 5.0-145 (AM+1, 5.2MW) AT 
90M],MATCH(TBL_CalcDarwin[[#This Row],[Darwin Temp.
°C]],Curva_Temp[Temp])+1)</f>
        <v>5000</v>
      </c>
      <c r="U2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2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2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29" s="41">
        <f>INDEX(Curva_Temp[Temp],MATCH(TBL_CalcDarwin[[#This Row],[Darwin Temp.
°C]],Curva_Temp[Temp]))</f>
        <v>15</v>
      </c>
      <c r="Z29" s="41">
        <f>INDEX(Curva_Temp[Warranted Power Curve for 
1.194Kg/m3 air density '[kW']
SG 5.0-145 (AM 0, 5.0MW) AT 
90M],MATCH(TBL_CalcDarwin[[#This Row],[Darwin Temp.
°C]],Curva_Temp[Temp]))</f>
        <v>5000</v>
      </c>
      <c r="AA29" s="41" cm="1">
        <f t="array" ref="AA29">INDEX(Curva_Temp[Temp],MATCH(TBL_CalcDarwin[[#This Row],[Darwin Temp.
°C]],Curva_Temp[Temp])+1)</f>
        <v>20</v>
      </c>
      <c r="AB29" s="41" cm="1">
        <f t="array" ref="AB29">INDEX(Curva_Temp[Warranted Power Curve for 
1.194Kg/m3 air density '[kW']
SG 5.0-145 (AM 0, 5.0MW) AT 
90M],MATCH(TBL_CalcDarwin[[#This Row],[Darwin Temp.
°C]],Curva_Temp[Temp])+1)</f>
        <v>5000</v>
      </c>
      <c r="AC29" s="45">
        <f>HLOOKUP(TBL_CalcDarwin[[#This Row],[Fecha]],'Plantilla AEG ES'!$E$1:$HX$13,2,FALSE)</f>
        <v>6</v>
      </c>
      <c r="AD29" s="45">
        <f>HLOOKUP(TBL_CalcDarwin[[#This Row],[Fecha]],'Plantilla AEG ES'!$E$1:$HX$13,3,FALSE)</f>
        <v>7</v>
      </c>
      <c r="AE29" s="45">
        <f>HLOOKUP(TBL_CalcDarwin[[#This Row],[Fecha]],'Plantilla AEG ES'!$E$1:$HX$13,4,FALSE)</f>
        <v>10</v>
      </c>
      <c r="AF29" s="45">
        <f>HLOOKUP(TBL_CalcDarwin[[#This Row],[Fecha]],'Plantilla AEG ES'!$E$1:$HX$13,5,FALSE)</f>
        <v>2</v>
      </c>
      <c r="AG29" s="45">
        <f>HLOOKUP(TBL_CalcDarwin[[#This Row],[Fecha]],'Plantilla AEG ES'!$E$1:$HX$13,6,FALSE)</f>
        <v>1</v>
      </c>
      <c r="AH29" s="45">
        <f>HLOOKUP(TBL_CalcDarwin[[#This Row],[Fecha]],'Plantilla AEG ES'!$E$1:$HX$13,7,FALSE)</f>
        <v>0</v>
      </c>
      <c r="AI29" s="46">
        <f>HLOOKUP(TBL_CalcDarwin[[#This Row],[Fecha]],'Plantilla AEG ES'!$E$1:$HX$13,8,FALSE)</f>
        <v>0</v>
      </c>
      <c r="AJ29" s="46">
        <f>HLOOKUP(TBL_CalcDarwin[[#This Row],[Fecha]],'Plantilla AEG ES'!$E$1:$HX$13,9,FALSE)</f>
        <v>3</v>
      </c>
      <c r="AK29" s="46">
        <f>HLOOKUP(TBL_CalcDarwin[[#This Row],[Fecha]],'Plantilla AEG ES'!$E$1:$HX$13,10,FALSE)</f>
        <v>12</v>
      </c>
      <c r="AL29" s="46">
        <f>HLOOKUP(TBL_CalcDarwin[[#This Row],[Fecha]],'Plantilla AEG ES'!$E$1:$HX$13,11,FALSE)</f>
        <v>1</v>
      </c>
      <c r="AM29" s="46">
        <f>HLOOKUP(TBL_CalcDarwin[[#This Row],[Fecha]],'Plantilla AEG ES'!$E$1:$HX$13,12,FALSE)</f>
        <v>4</v>
      </c>
      <c r="AN29" s="46">
        <f>HLOOKUP(TBL_CalcDarwin[[#This Row],[Fecha]],'Plantilla AEG ES'!$E$1:$HX$13,13,FALSE)</f>
        <v>3</v>
      </c>
      <c r="AO29" s="37">
        <f>TBL_CalcDarwin[[#This Row],[Lomitas - Barra A - 5.2 - Cerro]]+TBL_CalcDarwin[[#This Row],[Lomitas - Barra A - 5.2 - Medio]]+TBL_CalcDarwin[[#This Row],[Lomitas - Barra A - 5.2 - Mar]]</f>
        <v>23</v>
      </c>
      <c r="AP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17.337</v>
      </c>
      <c r="AR2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18.329999999999998</v>
      </c>
      <c r="AS29" s="37">
        <f>TBL_CalcDarwin[[#This Row],[Expansión - Barra A - 5.2 - Cerro]]+TBL_CalcDarwin[[#This Row],[Expansión - Barra A - 5.2 - Medio]]+TBL_CalcDarwin[[#This Row],[Expansión - Barra A - 5.2 - Mar]]</f>
        <v>3</v>
      </c>
      <c r="AT29" s="37">
        <f>TBL_CalcDarwin[[#This Row],[Expansión - Barra B - 5.2 - Cerro]]</f>
        <v>3</v>
      </c>
      <c r="AU2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1.5089999999999999</v>
      </c>
      <c r="AV29" s="29">
        <f>TBL_CalcDarwin[[#This Row],[Expansión - Barra B - 5.2 - Cerro]]*TBL_CalcDarwin[[#This Row],[AEG 5.2 MW Cerro]]</f>
        <v>1.1459999999999999</v>
      </c>
      <c r="AZ29" s="18"/>
      <c r="BA29" s="18"/>
      <c r="BB29" s="18"/>
      <c r="BC29" s="18"/>
      <c r="BD29" s="18"/>
      <c r="BE29" s="18"/>
      <c r="BF29" s="18"/>
    </row>
    <row r="30" spans="2:58" ht="12" x14ac:dyDescent="0.2">
      <c r="B30" s="55">
        <f t="shared" si="0"/>
        <v>45614.166666666606</v>
      </c>
      <c r="C30" s="17">
        <f t="shared" ref="C30:C46" si="3">C29+TIME(1,0,0)</f>
        <v>1.1666666666666665</v>
      </c>
      <c r="D30" s="34">
        <f>TBL_CalcDarwin[[#This Row],[Darwin PLOM
MW]]+TBL_CalcDarwin[[#This Row],[Darwin PLOME
MW]]</f>
        <v>19.946999999999999</v>
      </c>
      <c r="E30" s="34">
        <f>TBL_CalcDarwin[[#This Row],[PLOM MW TOTAL BARRA A]]+TBL_CalcDarwin[[#This Row],[PLOM MW TOTAL BARRA B]]</f>
        <v>18.914999999999999</v>
      </c>
      <c r="F30" s="34">
        <f>TBL_CalcDarwin[[#This Row],[PLOME MW TOTAL BARRA A]]+TBL_CalcDarwin[[#This Row],[PLOME MW TOTAL BARRA B]]</f>
        <v>1.032</v>
      </c>
      <c r="G30" s="48">
        <f>'Plantilla Datos'!D35</f>
        <v>3.7</v>
      </c>
      <c r="H30" s="48">
        <f>'Plantilla Datos'!E35</f>
        <v>4.8</v>
      </c>
      <c r="I30" s="49">
        <f>'Plantilla Datos'!F35</f>
        <v>17.8</v>
      </c>
      <c r="J30" s="47">
        <f>CEILING('Plantilla Datos'!$L$3*TBL_CalcDarwin[[#This Row],[Darwin Gusts
m/s]],0.5)</f>
        <v>3.5</v>
      </c>
      <c r="K30" s="47">
        <f>CEILING('Plantilla Datos'!$L$4*TBL_CalcDarwin[[#This Row],[Darwin Gusts
m/s]],0.5)</f>
        <v>4.5</v>
      </c>
      <c r="L30" s="47">
        <f>CEILING(TBL_CalcDarwin[[#This Row],[Darwin Gusts
m/s]],0.5)</f>
        <v>5</v>
      </c>
      <c r="M3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3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3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3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30" s="41">
        <f>INDEX(Curva_Temp[Temp],MATCH(TBL_CalcDarwin[[#This Row],[Darwin Temp.
°C]],Curva_Temp[Temp]))</f>
        <v>15</v>
      </c>
      <c r="R30" s="41">
        <f>INDEX(Curva_Temp[Warranted Power Curve for 
1.194Kg/m3 air density '[kW']
SG 5.0-145 (AM+1, 5.2MW) AT 
90M],MATCH(TBL_CalcDarwin[[#This Row],[Darwin Temp.
°C]],Curva_Temp[Temp]))</f>
        <v>5200</v>
      </c>
      <c r="S30" s="41" cm="1">
        <f t="array" ref="S30">INDEX(Curva_Temp[Temp],MATCH(TBL_CalcDarwin[[#This Row],[Darwin Temp.
°C]],Curva_Temp[Temp])+1)</f>
        <v>20</v>
      </c>
      <c r="T30" s="41" cm="1">
        <f t="array" ref="T30">INDEX(Curva_Temp[Warranted Power Curve for 
1.194Kg/m3 air density '[kW']
SG 5.0-145 (AM+1, 5.2MW) AT 
90M],MATCH(TBL_CalcDarwin[[#This Row],[Darwin Temp.
°C]],Curva_Temp[Temp])+1)</f>
        <v>5000</v>
      </c>
      <c r="U3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3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3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30" s="41">
        <f>INDEX(Curva_Temp[Temp],MATCH(TBL_CalcDarwin[[#This Row],[Darwin Temp.
°C]],Curva_Temp[Temp]))</f>
        <v>15</v>
      </c>
      <c r="Z30" s="41">
        <f>INDEX(Curva_Temp[Warranted Power Curve for 
1.194Kg/m3 air density '[kW']
SG 5.0-145 (AM 0, 5.0MW) AT 
90M],MATCH(TBL_CalcDarwin[[#This Row],[Darwin Temp.
°C]],Curva_Temp[Temp]))</f>
        <v>5000</v>
      </c>
      <c r="AA30" s="41" cm="1">
        <f t="array" ref="AA30">INDEX(Curva_Temp[Temp],MATCH(TBL_CalcDarwin[[#This Row],[Darwin Temp.
°C]],Curva_Temp[Temp])+1)</f>
        <v>20</v>
      </c>
      <c r="AB30" s="41" cm="1">
        <f t="array" ref="AB30">INDEX(Curva_Temp[Warranted Power Curve for 
1.194Kg/m3 air density '[kW']
SG 5.0-145 (AM 0, 5.0MW) AT 
90M],MATCH(TBL_CalcDarwin[[#This Row],[Darwin Temp.
°C]],Curva_Temp[Temp])+1)</f>
        <v>5000</v>
      </c>
      <c r="AC30" s="45">
        <f>HLOOKUP(TBL_CalcDarwin[[#This Row],[Fecha]],'Plantilla AEG ES'!$E$1:$HX$13,2,FALSE)</f>
        <v>6</v>
      </c>
      <c r="AD30" s="45">
        <f>HLOOKUP(TBL_CalcDarwin[[#This Row],[Fecha]],'Plantilla AEG ES'!$E$1:$HX$13,3,FALSE)</f>
        <v>7</v>
      </c>
      <c r="AE30" s="45">
        <f>HLOOKUP(TBL_CalcDarwin[[#This Row],[Fecha]],'Plantilla AEG ES'!$E$1:$HX$13,4,FALSE)</f>
        <v>10</v>
      </c>
      <c r="AF30" s="45">
        <f>HLOOKUP(TBL_CalcDarwin[[#This Row],[Fecha]],'Plantilla AEG ES'!$E$1:$HX$13,5,FALSE)</f>
        <v>2</v>
      </c>
      <c r="AG30" s="45">
        <f>HLOOKUP(TBL_CalcDarwin[[#This Row],[Fecha]],'Plantilla AEG ES'!$E$1:$HX$13,6,FALSE)</f>
        <v>1</v>
      </c>
      <c r="AH30" s="45">
        <f>HLOOKUP(TBL_CalcDarwin[[#This Row],[Fecha]],'Plantilla AEG ES'!$E$1:$HX$13,7,FALSE)</f>
        <v>0</v>
      </c>
      <c r="AI30" s="46">
        <f>HLOOKUP(TBL_CalcDarwin[[#This Row],[Fecha]],'Plantilla AEG ES'!$E$1:$HX$13,8,FALSE)</f>
        <v>0</v>
      </c>
      <c r="AJ30" s="46">
        <f>HLOOKUP(TBL_CalcDarwin[[#This Row],[Fecha]],'Plantilla AEG ES'!$E$1:$HX$13,9,FALSE)</f>
        <v>3</v>
      </c>
      <c r="AK30" s="46">
        <f>HLOOKUP(TBL_CalcDarwin[[#This Row],[Fecha]],'Plantilla AEG ES'!$E$1:$HX$13,10,FALSE)</f>
        <v>12</v>
      </c>
      <c r="AL30" s="46">
        <f>HLOOKUP(TBL_CalcDarwin[[#This Row],[Fecha]],'Plantilla AEG ES'!$E$1:$HX$13,11,FALSE)</f>
        <v>1</v>
      </c>
      <c r="AM30" s="46">
        <f>HLOOKUP(TBL_CalcDarwin[[#This Row],[Fecha]],'Plantilla AEG ES'!$E$1:$HX$13,12,FALSE)</f>
        <v>4</v>
      </c>
      <c r="AN30" s="46">
        <f>HLOOKUP(TBL_CalcDarwin[[#This Row],[Fecha]],'Plantilla AEG ES'!$E$1:$HX$13,13,FALSE)</f>
        <v>3</v>
      </c>
      <c r="AO30" s="37">
        <f>TBL_CalcDarwin[[#This Row],[Lomitas - Barra A - 5.2 - Cerro]]+TBL_CalcDarwin[[#This Row],[Lomitas - Barra A - 5.2 - Medio]]+TBL_CalcDarwin[[#This Row],[Lomitas - Barra A - 5.2 - Mar]]</f>
        <v>23</v>
      </c>
      <c r="AP3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8.9239999999999995</v>
      </c>
      <c r="AR3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9.9909999999999997</v>
      </c>
      <c r="AS30" s="37">
        <f>TBL_CalcDarwin[[#This Row],[Expansión - Barra A - 5.2 - Cerro]]+TBL_CalcDarwin[[#This Row],[Expansión - Barra A - 5.2 - Medio]]+TBL_CalcDarwin[[#This Row],[Expansión - Barra A - 5.2 - Mar]]</f>
        <v>3</v>
      </c>
      <c r="AT30" s="37">
        <f>TBL_CalcDarwin[[#This Row],[Expansión - Barra B - 5.2 - Cerro]]</f>
        <v>3</v>
      </c>
      <c r="AU3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0.64200000000000002</v>
      </c>
      <c r="AV30" s="29">
        <f>TBL_CalcDarwin[[#This Row],[Expansión - Barra B - 5.2 - Cerro]]*TBL_CalcDarwin[[#This Row],[AEG 5.2 MW Cerro]]</f>
        <v>0.39</v>
      </c>
      <c r="AZ30" s="18"/>
      <c r="BA30" s="18"/>
      <c r="BB30" s="18"/>
      <c r="BC30" s="18"/>
      <c r="BD30" s="18"/>
      <c r="BE30" s="18"/>
      <c r="BF30" s="18"/>
    </row>
    <row r="31" spans="2:58" ht="12" x14ac:dyDescent="0.2">
      <c r="B31" s="55">
        <f t="shared" si="0"/>
        <v>45614.20833333327</v>
      </c>
      <c r="C31" s="17">
        <f t="shared" si="3"/>
        <v>1.2083333333333333</v>
      </c>
      <c r="D31" s="34">
        <f>TBL_CalcDarwin[[#This Row],[Darwin PLOM
MW]]+TBL_CalcDarwin[[#This Row],[Darwin PLOME
MW]]</f>
        <v>21.309000000000001</v>
      </c>
      <c r="E31" s="34">
        <f>TBL_CalcDarwin[[#This Row],[PLOM MW TOTAL BARRA A]]+TBL_CalcDarwin[[#This Row],[PLOM MW TOTAL BARRA B]]</f>
        <v>19.707000000000001</v>
      </c>
      <c r="F31" s="34">
        <f>TBL_CalcDarwin[[#This Row],[PLOME MW TOTAL BARRA A]]+TBL_CalcDarwin[[#This Row],[PLOME MW TOTAL BARRA B]]</f>
        <v>1.6019999999999999</v>
      </c>
      <c r="G31" s="48">
        <f>'Plantilla Datos'!D36</f>
        <v>3.8</v>
      </c>
      <c r="H31" s="48">
        <f>'Plantilla Datos'!E36</f>
        <v>4.9000000000000004</v>
      </c>
      <c r="I31" s="49">
        <f>'Plantilla Datos'!F36</f>
        <v>17.8</v>
      </c>
      <c r="J31" s="47">
        <f>CEILING('Plantilla Datos'!$L$3*TBL_CalcDarwin[[#This Row],[Darwin Gusts
m/s]],0.5)</f>
        <v>4</v>
      </c>
      <c r="K31" s="47">
        <f>CEILING('Plantilla Datos'!$L$4*TBL_CalcDarwin[[#This Row],[Darwin Gusts
m/s]],0.5)</f>
        <v>4.5</v>
      </c>
      <c r="L31" s="47">
        <f>CEILING(TBL_CalcDarwin[[#This Row],[Darwin Gusts
m/s]],0.5)</f>
        <v>5</v>
      </c>
      <c r="M3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3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3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3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31" s="41">
        <f>INDEX(Curva_Temp[Temp],MATCH(TBL_CalcDarwin[[#This Row],[Darwin Temp.
°C]],Curva_Temp[Temp]))</f>
        <v>15</v>
      </c>
      <c r="R31" s="41">
        <f>INDEX(Curva_Temp[Warranted Power Curve for 
1.194Kg/m3 air density '[kW']
SG 5.0-145 (AM+1, 5.2MW) AT 
90M],MATCH(TBL_CalcDarwin[[#This Row],[Darwin Temp.
°C]],Curva_Temp[Temp]))</f>
        <v>5200</v>
      </c>
      <c r="S31" s="41" cm="1">
        <f t="array" ref="S31">INDEX(Curva_Temp[Temp],MATCH(TBL_CalcDarwin[[#This Row],[Darwin Temp.
°C]],Curva_Temp[Temp])+1)</f>
        <v>20</v>
      </c>
      <c r="T31" s="41" cm="1">
        <f t="array" ref="T31">INDEX(Curva_Temp[Warranted Power Curve for 
1.194Kg/m3 air density '[kW']
SG 5.0-145 (AM+1, 5.2MW) AT 
90M],MATCH(TBL_CalcDarwin[[#This Row],[Darwin Temp.
°C]],Curva_Temp[Temp])+1)</f>
        <v>5000</v>
      </c>
      <c r="U3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3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3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31" s="41">
        <f>INDEX(Curva_Temp[Temp],MATCH(TBL_CalcDarwin[[#This Row],[Darwin Temp.
°C]],Curva_Temp[Temp]))</f>
        <v>15</v>
      </c>
      <c r="Z31" s="41">
        <f>INDEX(Curva_Temp[Warranted Power Curve for 
1.194Kg/m3 air density '[kW']
SG 5.0-145 (AM 0, 5.0MW) AT 
90M],MATCH(TBL_CalcDarwin[[#This Row],[Darwin Temp.
°C]],Curva_Temp[Temp]))</f>
        <v>5000</v>
      </c>
      <c r="AA31" s="41" cm="1">
        <f t="array" ref="AA31">INDEX(Curva_Temp[Temp],MATCH(TBL_CalcDarwin[[#This Row],[Darwin Temp.
°C]],Curva_Temp[Temp])+1)</f>
        <v>20</v>
      </c>
      <c r="AB31" s="41" cm="1">
        <f t="array" ref="AB31">INDEX(Curva_Temp[Warranted Power Curve for 
1.194Kg/m3 air density '[kW']
SG 5.0-145 (AM 0, 5.0MW) AT 
90M],MATCH(TBL_CalcDarwin[[#This Row],[Darwin Temp.
°C]],Curva_Temp[Temp])+1)</f>
        <v>5000</v>
      </c>
      <c r="AC31" s="45">
        <f>HLOOKUP(TBL_CalcDarwin[[#This Row],[Fecha]],'Plantilla AEG ES'!$E$1:$HX$13,2,FALSE)</f>
        <v>6</v>
      </c>
      <c r="AD31" s="45">
        <f>HLOOKUP(TBL_CalcDarwin[[#This Row],[Fecha]],'Plantilla AEG ES'!$E$1:$HX$13,3,FALSE)</f>
        <v>7</v>
      </c>
      <c r="AE31" s="45">
        <f>HLOOKUP(TBL_CalcDarwin[[#This Row],[Fecha]],'Plantilla AEG ES'!$E$1:$HX$13,4,FALSE)</f>
        <v>10</v>
      </c>
      <c r="AF31" s="45">
        <f>HLOOKUP(TBL_CalcDarwin[[#This Row],[Fecha]],'Plantilla AEG ES'!$E$1:$HX$13,5,FALSE)</f>
        <v>2</v>
      </c>
      <c r="AG31" s="45">
        <f>HLOOKUP(TBL_CalcDarwin[[#This Row],[Fecha]],'Plantilla AEG ES'!$E$1:$HX$13,6,FALSE)</f>
        <v>1</v>
      </c>
      <c r="AH31" s="45">
        <f>HLOOKUP(TBL_CalcDarwin[[#This Row],[Fecha]],'Plantilla AEG ES'!$E$1:$HX$13,7,FALSE)</f>
        <v>0</v>
      </c>
      <c r="AI31" s="46">
        <f>HLOOKUP(TBL_CalcDarwin[[#This Row],[Fecha]],'Plantilla AEG ES'!$E$1:$HX$13,8,FALSE)</f>
        <v>0</v>
      </c>
      <c r="AJ31" s="46">
        <f>HLOOKUP(TBL_CalcDarwin[[#This Row],[Fecha]],'Plantilla AEG ES'!$E$1:$HX$13,9,FALSE)</f>
        <v>3</v>
      </c>
      <c r="AK31" s="46">
        <f>HLOOKUP(TBL_CalcDarwin[[#This Row],[Fecha]],'Plantilla AEG ES'!$E$1:$HX$13,10,FALSE)</f>
        <v>12</v>
      </c>
      <c r="AL31" s="46">
        <f>HLOOKUP(TBL_CalcDarwin[[#This Row],[Fecha]],'Plantilla AEG ES'!$E$1:$HX$13,11,FALSE)</f>
        <v>1</v>
      </c>
      <c r="AM31" s="46">
        <f>HLOOKUP(TBL_CalcDarwin[[#This Row],[Fecha]],'Plantilla AEG ES'!$E$1:$HX$13,12,FALSE)</f>
        <v>4</v>
      </c>
      <c r="AN31" s="46">
        <f>HLOOKUP(TBL_CalcDarwin[[#This Row],[Fecha]],'Plantilla AEG ES'!$E$1:$HX$13,13,FALSE)</f>
        <v>3</v>
      </c>
      <c r="AO31" s="37">
        <f>TBL_CalcDarwin[[#This Row],[Lomitas - Barra A - 5.2 - Cerro]]+TBL_CalcDarwin[[#This Row],[Lomitas - Barra A - 5.2 - Medio]]+TBL_CalcDarwin[[#This Row],[Lomitas - Barra A - 5.2 - Mar]]</f>
        <v>23</v>
      </c>
      <c r="AP3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9.6080000000000005</v>
      </c>
      <c r="AR3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10.099</v>
      </c>
      <c r="AS31" s="37">
        <f>TBL_CalcDarwin[[#This Row],[Expansión - Barra A - 5.2 - Cerro]]+TBL_CalcDarwin[[#This Row],[Expansión - Barra A - 5.2 - Medio]]+TBL_CalcDarwin[[#This Row],[Expansión - Barra A - 5.2 - Mar]]</f>
        <v>3</v>
      </c>
      <c r="AT31" s="37">
        <f>TBL_CalcDarwin[[#This Row],[Expansión - Barra B - 5.2 - Cerro]]</f>
        <v>3</v>
      </c>
      <c r="AU3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0.87</v>
      </c>
      <c r="AV31" s="29">
        <f>TBL_CalcDarwin[[#This Row],[Expansión - Barra B - 5.2 - Cerro]]*TBL_CalcDarwin[[#This Row],[AEG 5.2 MW Cerro]]</f>
        <v>0.73199999999999998</v>
      </c>
      <c r="AZ31" s="18"/>
      <c r="BA31" s="18"/>
      <c r="BB31" s="18"/>
      <c r="BC31" s="18"/>
      <c r="BD31" s="18"/>
      <c r="BE31" s="18"/>
      <c r="BF31" s="18"/>
    </row>
    <row r="32" spans="2:58" ht="12" x14ac:dyDescent="0.2">
      <c r="B32" s="55">
        <f t="shared" si="0"/>
        <v>45614.249999999935</v>
      </c>
      <c r="C32" s="17">
        <f t="shared" si="3"/>
        <v>1.25</v>
      </c>
      <c r="D32" s="34">
        <f>TBL_CalcDarwin[[#This Row],[Darwin PLOM
MW]]+TBL_CalcDarwin[[#This Row],[Darwin PLOME
MW]]</f>
        <v>21.309000000000001</v>
      </c>
      <c r="E32" s="34">
        <f>TBL_CalcDarwin[[#This Row],[PLOM MW TOTAL BARRA A]]+TBL_CalcDarwin[[#This Row],[PLOM MW TOTAL BARRA B]]</f>
        <v>19.707000000000001</v>
      </c>
      <c r="F32" s="34">
        <f>TBL_CalcDarwin[[#This Row],[PLOME MW TOTAL BARRA A]]+TBL_CalcDarwin[[#This Row],[PLOME MW TOTAL BARRA B]]</f>
        <v>1.6019999999999999</v>
      </c>
      <c r="G32" s="48">
        <f>'Plantilla Datos'!D37</f>
        <v>3.8</v>
      </c>
      <c r="H32" s="48">
        <f>'Plantilla Datos'!E37</f>
        <v>5</v>
      </c>
      <c r="I32" s="49">
        <f>'Plantilla Datos'!F37</f>
        <v>18</v>
      </c>
      <c r="J32" s="47">
        <f>CEILING('Plantilla Datos'!$L$3*TBL_CalcDarwin[[#This Row],[Darwin Gusts
m/s]],0.5)</f>
        <v>4</v>
      </c>
      <c r="K32" s="47">
        <f>CEILING('Plantilla Datos'!$L$4*TBL_CalcDarwin[[#This Row],[Darwin Gusts
m/s]],0.5)</f>
        <v>4.5</v>
      </c>
      <c r="L32" s="47">
        <f>CEILING(TBL_CalcDarwin[[#This Row],[Darwin Gusts
m/s]],0.5)</f>
        <v>5</v>
      </c>
      <c r="M3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</v>
      </c>
      <c r="N3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3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3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32" s="41">
        <f>INDEX(Curva_Temp[Temp],MATCH(TBL_CalcDarwin[[#This Row],[Darwin Temp.
°C]],Curva_Temp[Temp]))</f>
        <v>15</v>
      </c>
      <c r="R32" s="41">
        <f>INDEX(Curva_Temp[Warranted Power Curve for 
1.194Kg/m3 air density '[kW']
SG 5.0-145 (AM+1, 5.2MW) AT 
90M],MATCH(TBL_CalcDarwin[[#This Row],[Darwin Temp.
°C]],Curva_Temp[Temp]))</f>
        <v>5200</v>
      </c>
      <c r="S32" s="41" cm="1">
        <f t="array" ref="S32">INDEX(Curva_Temp[Temp],MATCH(TBL_CalcDarwin[[#This Row],[Darwin Temp.
°C]],Curva_Temp[Temp])+1)</f>
        <v>20</v>
      </c>
      <c r="T32" s="41" cm="1">
        <f t="array" ref="T32">INDEX(Curva_Temp[Warranted Power Curve for 
1.194Kg/m3 air density '[kW']
SG 5.0-145 (AM+1, 5.2MW) AT 
90M],MATCH(TBL_CalcDarwin[[#This Row],[Darwin Temp.
°C]],Curva_Temp[Temp])+1)</f>
        <v>5000</v>
      </c>
      <c r="U3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3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3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32" s="41">
        <f>INDEX(Curva_Temp[Temp],MATCH(TBL_CalcDarwin[[#This Row],[Darwin Temp.
°C]],Curva_Temp[Temp]))</f>
        <v>15</v>
      </c>
      <c r="Z32" s="41">
        <f>INDEX(Curva_Temp[Warranted Power Curve for 
1.194Kg/m3 air density '[kW']
SG 5.0-145 (AM 0, 5.0MW) AT 
90M],MATCH(TBL_CalcDarwin[[#This Row],[Darwin Temp.
°C]],Curva_Temp[Temp]))</f>
        <v>5000</v>
      </c>
      <c r="AA32" s="41" cm="1">
        <f t="array" ref="AA32">INDEX(Curva_Temp[Temp],MATCH(TBL_CalcDarwin[[#This Row],[Darwin Temp.
°C]],Curva_Temp[Temp])+1)</f>
        <v>20</v>
      </c>
      <c r="AB32" s="41" cm="1">
        <f t="array" ref="AB32">INDEX(Curva_Temp[Warranted Power Curve for 
1.194Kg/m3 air density '[kW']
SG 5.0-145 (AM 0, 5.0MW) AT 
90M],MATCH(TBL_CalcDarwin[[#This Row],[Darwin Temp.
°C]],Curva_Temp[Temp])+1)</f>
        <v>5000</v>
      </c>
      <c r="AC32" s="45">
        <f>HLOOKUP(TBL_CalcDarwin[[#This Row],[Fecha]],'Plantilla AEG ES'!$E$1:$HX$13,2,FALSE)</f>
        <v>6</v>
      </c>
      <c r="AD32" s="45">
        <f>HLOOKUP(TBL_CalcDarwin[[#This Row],[Fecha]],'Plantilla AEG ES'!$E$1:$HX$13,3,FALSE)</f>
        <v>7</v>
      </c>
      <c r="AE32" s="45">
        <f>HLOOKUP(TBL_CalcDarwin[[#This Row],[Fecha]],'Plantilla AEG ES'!$E$1:$HX$13,4,FALSE)</f>
        <v>10</v>
      </c>
      <c r="AF32" s="45">
        <f>HLOOKUP(TBL_CalcDarwin[[#This Row],[Fecha]],'Plantilla AEG ES'!$E$1:$HX$13,5,FALSE)</f>
        <v>2</v>
      </c>
      <c r="AG32" s="45">
        <f>HLOOKUP(TBL_CalcDarwin[[#This Row],[Fecha]],'Plantilla AEG ES'!$E$1:$HX$13,6,FALSE)</f>
        <v>1</v>
      </c>
      <c r="AH32" s="45">
        <f>HLOOKUP(TBL_CalcDarwin[[#This Row],[Fecha]],'Plantilla AEG ES'!$E$1:$HX$13,7,FALSE)</f>
        <v>0</v>
      </c>
      <c r="AI32" s="46">
        <f>HLOOKUP(TBL_CalcDarwin[[#This Row],[Fecha]],'Plantilla AEG ES'!$E$1:$HX$13,8,FALSE)</f>
        <v>0</v>
      </c>
      <c r="AJ32" s="46">
        <f>HLOOKUP(TBL_CalcDarwin[[#This Row],[Fecha]],'Plantilla AEG ES'!$E$1:$HX$13,9,FALSE)</f>
        <v>3</v>
      </c>
      <c r="AK32" s="46">
        <f>HLOOKUP(TBL_CalcDarwin[[#This Row],[Fecha]],'Plantilla AEG ES'!$E$1:$HX$13,10,FALSE)</f>
        <v>12</v>
      </c>
      <c r="AL32" s="46">
        <f>HLOOKUP(TBL_CalcDarwin[[#This Row],[Fecha]],'Plantilla AEG ES'!$E$1:$HX$13,11,FALSE)</f>
        <v>1</v>
      </c>
      <c r="AM32" s="46">
        <f>HLOOKUP(TBL_CalcDarwin[[#This Row],[Fecha]],'Plantilla AEG ES'!$E$1:$HX$13,12,FALSE)</f>
        <v>4</v>
      </c>
      <c r="AN32" s="46">
        <f>HLOOKUP(TBL_CalcDarwin[[#This Row],[Fecha]],'Plantilla AEG ES'!$E$1:$HX$13,13,FALSE)</f>
        <v>3</v>
      </c>
      <c r="AO32" s="37">
        <f>TBL_CalcDarwin[[#This Row],[Lomitas - Barra A - 5.2 - Cerro]]+TBL_CalcDarwin[[#This Row],[Lomitas - Barra A - 5.2 - Medio]]+TBL_CalcDarwin[[#This Row],[Lomitas - Barra A - 5.2 - Mar]]</f>
        <v>23</v>
      </c>
      <c r="AP3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9.6080000000000005</v>
      </c>
      <c r="AR3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10.099</v>
      </c>
      <c r="AS32" s="37">
        <f>TBL_CalcDarwin[[#This Row],[Expansión - Barra A - 5.2 - Cerro]]+TBL_CalcDarwin[[#This Row],[Expansión - Barra A - 5.2 - Medio]]+TBL_CalcDarwin[[#This Row],[Expansión - Barra A - 5.2 - Mar]]</f>
        <v>3</v>
      </c>
      <c r="AT32" s="37">
        <f>TBL_CalcDarwin[[#This Row],[Expansión - Barra B - 5.2 - Cerro]]</f>
        <v>3</v>
      </c>
      <c r="AU3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0.87</v>
      </c>
      <c r="AV32" s="29">
        <f>TBL_CalcDarwin[[#This Row],[Expansión - Barra B - 5.2 - Cerro]]*TBL_CalcDarwin[[#This Row],[AEG 5.2 MW Cerro]]</f>
        <v>0.73199999999999998</v>
      </c>
      <c r="AZ32" s="18"/>
      <c r="BA32" s="18"/>
      <c r="BB32" s="18"/>
      <c r="BC32" s="18"/>
      <c r="BD32" s="18"/>
      <c r="BE32" s="18"/>
      <c r="BF32" s="18"/>
    </row>
    <row r="33" spans="2:80" ht="12" x14ac:dyDescent="0.2">
      <c r="B33" s="55">
        <f t="shared" si="0"/>
        <v>45614.291666666599</v>
      </c>
      <c r="C33" s="17">
        <f t="shared" si="3"/>
        <v>1.2916666666666667</v>
      </c>
      <c r="D33" s="34">
        <f>TBL_CalcDarwin[[#This Row],[Darwin PLOM
MW]]+TBL_CalcDarwin[[#This Row],[Darwin PLOME
MW]]</f>
        <v>26.473000000000003</v>
      </c>
      <c r="E33" s="34">
        <f>TBL_CalcDarwin[[#This Row],[PLOM MW TOTAL BARRA A]]+TBL_CalcDarwin[[#This Row],[PLOM MW TOTAL BARRA B]]</f>
        <v>24.871000000000002</v>
      </c>
      <c r="F33" s="34">
        <f>TBL_CalcDarwin[[#This Row],[PLOME MW TOTAL BARRA A]]+TBL_CalcDarwin[[#This Row],[PLOME MW TOTAL BARRA B]]</f>
        <v>1.6019999999999999</v>
      </c>
      <c r="G33" s="48">
        <f>'Plantilla Datos'!D38</f>
        <v>3.9</v>
      </c>
      <c r="H33" s="48">
        <f>'Plantilla Datos'!E38</f>
        <v>5.0999999999999996</v>
      </c>
      <c r="I33" s="49">
        <f>'Plantilla Datos'!F38</f>
        <v>18</v>
      </c>
      <c r="J33" s="47">
        <f>CEILING('Plantilla Datos'!$L$3*TBL_CalcDarwin[[#This Row],[Darwin Gusts
m/s]],0.5)</f>
        <v>4</v>
      </c>
      <c r="K33" s="47">
        <f>CEILING('Plantilla Datos'!$L$4*TBL_CalcDarwin[[#This Row],[Darwin Gusts
m/s]],0.5)</f>
        <v>4.5</v>
      </c>
      <c r="L33" s="47">
        <f>CEILING(TBL_CalcDarwin[[#This Row],[Darwin Gusts
m/s]],0.5)</f>
        <v>5.5</v>
      </c>
      <c r="M3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</v>
      </c>
      <c r="N3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3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3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33" s="41">
        <f>INDEX(Curva_Temp[Temp],MATCH(TBL_CalcDarwin[[#This Row],[Darwin Temp.
°C]],Curva_Temp[Temp]))</f>
        <v>15</v>
      </c>
      <c r="R33" s="41">
        <f>INDEX(Curva_Temp[Warranted Power Curve for 
1.194Kg/m3 air density '[kW']
SG 5.0-145 (AM+1, 5.2MW) AT 
90M],MATCH(TBL_CalcDarwin[[#This Row],[Darwin Temp.
°C]],Curva_Temp[Temp]))</f>
        <v>5200</v>
      </c>
      <c r="S33" s="41" cm="1">
        <f t="array" ref="S33">INDEX(Curva_Temp[Temp],MATCH(TBL_CalcDarwin[[#This Row],[Darwin Temp.
°C]],Curva_Temp[Temp])+1)</f>
        <v>20</v>
      </c>
      <c r="T33" s="41" cm="1">
        <f t="array" ref="T33">INDEX(Curva_Temp[Warranted Power Curve for 
1.194Kg/m3 air density '[kW']
SG 5.0-145 (AM+1, 5.2MW) AT 
90M],MATCH(TBL_CalcDarwin[[#This Row],[Darwin Temp.
°C]],Curva_Temp[Temp])+1)</f>
        <v>5000</v>
      </c>
      <c r="U3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3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3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33" s="41">
        <f>INDEX(Curva_Temp[Temp],MATCH(TBL_CalcDarwin[[#This Row],[Darwin Temp.
°C]],Curva_Temp[Temp]))</f>
        <v>15</v>
      </c>
      <c r="Z33" s="41">
        <f>INDEX(Curva_Temp[Warranted Power Curve for 
1.194Kg/m3 air density '[kW']
SG 5.0-145 (AM 0, 5.0MW) AT 
90M],MATCH(TBL_CalcDarwin[[#This Row],[Darwin Temp.
°C]],Curva_Temp[Temp]))</f>
        <v>5000</v>
      </c>
      <c r="AA33" s="41" cm="1">
        <f t="array" ref="AA33">INDEX(Curva_Temp[Temp],MATCH(TBL_CalcDarwin[[#This Row],[Darwin Temp.
°C]],Curva_Temp[Temp])+1)</f>
        <v>20</v>
      </c>
      <c r="AB33" s="41" cm="1">
        <f t="array" ref="AB33">INDEX(Curva_Temp[Warranted Power Curve for 
1.194Kg/m3 air density '[kW']
SG 5.0-145 (AM 0, 5.0MW) AT 
90M],MATCH(TBL_CalcDarwin[[#This Row],[Darwin Temp.
°C]],Curva_Temp[Temp])+1)</f>
        <v>5000</v>
      </c>
      <c r="AC33" s="45">
        <f>HLOOKUP(TBL_CalcDarwin[[#This Row],[Fecha]],'Plantilla AEG ES'!$E$1:$HX$13,2,FALSE)</f>
        <v>6</v>
      </c>
      <c r="AD33" s="45">
        <f>HLOOKUP(TBL_CalcDarwin[[#This Row],[Fecha]],'Plantilla AEG ES'!$E$1:$HX$13,3,FALSE)</f>
        <v>7</v>
      </c>
      <c r="AE33" s="45">
        <f>HLOOKUP(TBL_CalcDarwin[[#This Row],[Fecha]],'Plantilla AEG ES'!$E$1:$HX$13,4,FALSE)</f>
        <v>10</v>
      </c>
      <c r="AF33" s="45">
        <f>HLOOKUP(TBL_CalcDarwin[[#This Row],[Fecha]],'Plantilla AEG ES'!$E$1:$HX$13,5,FALSE)</f>
        <v>2</v>
      </c>
      <c r="AG33" s="45">
        <f>HLOOKUP(TBL_CalcDarwin[[#This Row],[Fecha]],'Plantilla AEG ES'!$E$1:$HX$13,6,FALSE)</f>
        <v>1</v>
      </c>
      <c r="AH33" s="45">
        <f>HLOOKUP(TBL_CalcDarwin[[#This Row],[Fecha]],'Plantilla AEG ES'!$E$1:$HX$13,7,FALSE)</f>
        <v>0</v>
      </c>
      <c r="AI33" s="46">
        <f>HLOOKUP(TBL_CalcDarwin[[#This Row],[Fecha]],'Plantilla AEG ES'!$E$1:$HX$13,8,FALSE)</f>
        <v>0</v>
      </c>
      <c r="AJ33" s="46">
        <f>HLOOKUP(TBL_CalcDarwin[[#This Row],[Fecha]],'Plantilla AEG ES'!$E$1:$HX$13,9,FALSE)</f>
        <v>3</v>
      </c>
      <c r="AK33" s="46">
        <f>HLOOKUP(TBL_CalcDarwin[[#This Row],[Fecha]],'Plantilla AEG ES'!$E$1:$HX$13,10,FALSE)</f>
        <v>12</v>
      </c>
      <c r="AL33" s="46">
        <f>HLOOKUP(TBL_CalcDarwin[[#This Row],[Fecha]],'Plantilla AEG ES'!$E$1:$HX$13,11,FALSE)</f>
        <v>1</v>
      </c>
      <c r="AM33" s="46">
        <f>HLOOKUP(TBL_CalcDarwin[[#This Row],[Fecha]],'Plantilla AEG ES'!$E$1:$HX$13,12,FALSE)</f>
        <v>4</v>
      </c>
      <c r="AN33" s="46">
        <f>HLOOKUP(TBL_CalcDarwin[[#This Row],[Fecha]],'Plantilla AEG ES'!$E$1:$HX$13,13,FALSE)</f>
        <v>3</v>
      </c>
      <c r="AO33" s="37">
        <f>TBL_CalcDarwin[[#This Row],[Lomitas - Barra A - 5.2 - Cerro]]+TBL_CalcDarwin[[#This Row],[Lomitas - Barra A - 5.2 - Medio]]+TBL_CalcDarwin[[#This Row],[Lomitas - Barra A - 5.2 - Mar]]</f>
        <v>23</v>
      </c>
      <c r="AP3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11.588000000000001</v>
      </c>
      <c r="AR3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13.282999999999999</v>
      </c>
      <c r="AS33" s="37">
        <f>TBL_CalcDarwin[[#This Row],[Expansión - Barra A - 5.2 - Cerro]]+TBL_CalcDarwin[[#This Row],[Expansión - Barra A - 5.2 - Medio]]+TBL_CalcDarwin[[#This Row],[Expansión - Barra A - 5.2 - Mar]]</f>
        <v>3</v>
      </c>
      <c r="AT33" s="37">
        <f>TBL_CalcDarwin[[#This Row],[Expansión - Barra B - 5.2 - Cerro]]</f>
        <v>3</v>
      </c>
      <c r="AU3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0.87</v>
      </c>
      <c r="AV33" s="29">
        <f>TBL_CalcDarwin[[#This Row],[Expansión - Barra B - 5.2 - Cerro]]*TBL_CalcDarwin[[#This Row],[AEG 5.2 MW Cerro]]</f>
        <v>0.73199999999999998</v>
      </c>
      <c r="AZ33" s="18"/>
      <c r="BA33" s="18"/>
      <c r="BB33" s="18"/>
      <c r="BC33" s="18"/>
      <c r="BD33" s="18"/>
      <c r="BE33" s="18"/>
      <c r="BF33" s="18"/>
    </row>
    <row r="34" spans="2:80" ht="12" x14ac:dyDescent="0.2">
      <c r="B34" s="55">
        <f t="shared" si="0"/>
        <v>45614.333333333263</v>
      </c>
      <c r="C34" s="17">
        <f t="shared" si="3"/>
        <v>1.3333333333333335</v>
      </c>
      <c r="D34" s="34">
        <f>TBL_CalcDarwin[[#This Row],[Darwin PLOM
MW]]+TBL_CalcDarwin[[#This Row],[Darwin PLOME
MW]]</f>
        <v>47.662999999999997</v>
      </c>
      <c r="E34" s="34">
        <f>TBL_CalcDarwin[[#This Row],[PLOM MW TOTAL BARRA A]]+TBL_CalcDarwin[[#This Row],[PLOM MW TOTAL BARRA B]]</f>
        <v>44.183</v>
      </c>
      <c r="F34" s="34">
        <f>TBL_CalcDarwin[[#This Row],[PLOME MW TOTAL BARRA A]]+TBL_CalcDarwin[[#This Row],[PLOME MW TOTAL BARRA B]]</f>
        <v>3.48</v>
      </c>
      <c r="G34" s="48">
        <f>'Plantilla Datos'!D39</f>
        <v>4.9000000000000004</v>
      </c>
      <c r="H34" s="48">
        <f>'Plantilla Datos'!E39</f>
        <v>6.3</v>
      </c>
      <c r="I34" s="49">
        <f>'Plantilla Datos'!F39</f>
        <v>18.600000000000001</v>
      </c>
      <c r="J34" s="47">
        <f>CEILING('Plantilla Datos'!$L$3*TBL_CalcDarwin[[#This Row],[Darwin Gusts
m/s]],0.5)</f>
        <v>5</v>
      </c>
      <c r="K34" s="47">
        <f>CEILING('Plantilla Datos'!$L$4*TBL_CalcDarwin[[#This Row],[Darwin Gusts
m/s]],0.5)</f>
        <v>5.5</v>
      </c>
      <c r="L34" s="47">
        <f>CEILING(TBL_CalcDarwin[[#This Row],[Darwin Gusts
m/s]],0.5)</f>
        <v>6.5</v>
      </c>
      <c r="M3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5.056</v>
      </c>
      <c r="N3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3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3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34" s="41">
        <f>INDEX(Curva_Temp[Temp],MATCH(TBL_CalcDarwin[[#This Row],[Darwin Temp.
°C]],Curva_Temp[Temp]))</f>
        <v>15</v>
      </c>
      <c r="R34" s="41">
        <f>INDEX(Curva_Temp[Warranted Power Curve for 
1.194Kg/m3 air density '[kW']
SG 5.0-145 (AM+1, 5.2MW) AT 
90M],MATCH(TBL_CalcDarwin[[#This Row],[Darwin Temp.
°C]],Curva_Temp[Temp]))</f>
        <v>5200</v>
      </c>
      <c r="S34" s="41" cm="1">
        <f t="array" ref="S34">INDEX(Curva_Temp[Temp],MATCH(TBL_CalcDarwin[[#This Row],[Darwin Temp.
°C]],Curva_Temp[Temp])+1)</f>
        <v>20</v>
      </c>
      <c r="T34" s="41" cm="1">
        <f t="array" ref="T34">INDEX(Curva_Temp[Warranted Power Curve for 
1.194Kg/m3 air density '[kW']
SG 5.0-145 (AM+1, 5.2MW) AT 
90M],MATCH(TBL_CalcDarwin[[#This Row],[Darwin Temp.
°C]],Curva_Temp[Temp])+1)</f>
        <v>5000</v>
      </c>
      <c r="U3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3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3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34" s="41">
        <f>INDEX(Curva_Temp[Temp],MATCH(TBL_CalcDarwin[[#This Row],[Darwin Temp.
°C]],Curva_Temp[Temp]))</f>
        <v>15</v>
      </c>
      <c r="Z34" s="41">
        <f>INDEX(Curva_Temp[Warranted Power Curve for 
1.194Kg/m3 air density '[kW']
SG 5.0-145 (AM 0, 5.0MW) AT 
90M],MATCH(TBL_CalcDarwin[[#This Row],[Darwin Temp.
°C]],Curva_Temp[Temp]))</f>
        <v>5000</v>
      </c>
      <c r="AA34" s="41" cm="1">
        <f t="array" ref="AA34">INDEX(Curva_Temp[Temp],MATCH(TBL_CalcDarwin[[#This Row],[Darwin Temp.
°C]],Curva_Temp[Temp])+1)</f>
        <v>20</v>
      </c>
      <c r="AB34" s="41" cm="1">
        <f t="array" ref="AB34">INDEX(Curva_Temp[Warranted Power Curve for 
1.194Kg/m3 air density '[kW']
SG 5.0-145 (AM 0, 5.0MW) AT 
90M],MATCH(TBL_CalcDarwin[[#This Row],[Darwin Temp.
°C]],Curva_Temp[Temp])+1)</f>
        <v>5000</v>
      </c>
      <c r="AC34" s="45">
        <f>HLOOKUP(TBL_CalcDarwin[[#This Row],[Fecha]],'Plantilla AEG ES'!$E$1:$HX$13,2,FALSE)</f>
        <v>6</v>
      </c>
      <c r="AD34" s="45">
        <f>HLOOKUP(TBL_CalcDarwin[[#This Row],[Fecha]],'Plantilla AEG ES'!$E$1:$HX$13,3,FALSE)</f>
        <v>7</v>
      </c>
      <c r="AE34" s="45">
        <f>HLOOKUP(TBL_CalcDarwin[[#This Row],[Fecha]],'Plantilla AEG ES'!$E$1:$HX$13,4,FALSE)</f>
        <v>10</v>
      </c>
      <c r="AF34" s="45">
        <f>HLOOKUP(TBL_CalcDarwin[[#This Row],[Fecha]],'Plantilla AEG ES'!$E$1:$HX$13,5,FALSE)</f>
        <v>2</v>
      </c>
      <c r="AG34" s="45">
        <f>HLOOKUP(TBL_CalcDarwin[[#This Row],[Fecha]],'Plantilla AEG ES'!$E$1:$HX$13,6,FALSE)</f>
        <v>1</v>
      </c>
      <c r="AH34" s="45">
        <f>HLOOKUP(TBL_CalcDarwin[[#This Row],[Fecha]],'Plantilla AEG ES'!$E$1:$HX$13,7,FALSE)</f>
        <v>0</v>
      </c>
      <c r="AI34" s="46">
        <f>HLOOKUP(TBL_CalcDarwin[[#This Row],[Fecha]],'Plantilla AEG ES'!$E$1:$HX$13,8,FALSE)</f>
        <v>0</v>
      </c>
      <c r="AJ34" s="46">
        <f>HLOOKUP(TBL_CalcDarwin[[#This Row],[Fecha]],'Plantilla AEG ES'!$E$1:$HX$13,9,FALSE)</f>
        <v>3</v>
      </c>
      <c r="AK34" s="46">
        <f>HLOOKUP(TBL_CalcDarwin[[#This Row],[Fecha]],'Plantilla AEG ES'!$E$1:$HX$13,10,FALSE)</f>
        <v>12</v>
      </c>
      <c r="AL34" s="46">
        <f>HLOOKUP(TBL_CalcDarwin[[#This Row],[Fecha]],'Plantilla AEG ES'!$E$1:$HX$13,11,FALSE)</f>
        <v>1</v>
      </c>
      <c r="AM34" s="46">
        <f>HLOOKUP(TBL_CalcDarwin[[#This Row],[Fecha]],'Plantilla AEG ES'!$E$1:$HX$13,12,FALSE)</f>
        <v>4</v>
      </c>
      <c r="AN34" s="46">
        <f>HLOOKUP(TBL_CalcDarwin[[#This Row],[Fecha]],'Plantilla AEG ES'!$E$1:$HX$13,13,FALSE)</f>
        <v>3</v>
      </c>
      <c r="AO34" s="37">
        <f>TBL_CalcDarwin[[#This Row],[Lomitas - Barra A - 5.2 - Cerro]]+TBL_CalcDarwin[[#This Row],[Lomitas - Barra A - 5.2 - Medio]]+TBL_CalcDarwin[[#This Row],[Lomitas - Barra A - 5.2 - Mar]]</f>
        <v>23</v>
      </c>
      <c r="AP3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21.157</v>
      </c>
      <c r="AR3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23.026</v>
      </c>
      <c r="AS34" s="37">
        <f>TBL_CalcDarwin[[#This Row],[Expansión - Barra A - 5.2 - Cerro]]+TBL_CalcDarwin[[#This Row],[Expansión - Barra A - 5.2 - Medio]]+TBL_CalcDarwin[[#This Row],[Expansión - Barra A - 5.2 - Mar]]</f>
        <v>3</v>
      </c>
      <c r="AT34" s="37">
        <f>TBL_CalcDarwin[[#This Row],[Expansión - Barra B - 5.2 - Cerro]]</f>
        <v>3</v>
      </c>
      <c r="AU3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1.839</v>
      </c>
      <c r="AV34" s="29">
        <f>TBL_CalcDarwin[[#This Row],[Expansión - Barra B - 5.2 - Cerro]]*TBL_CalcDarwin[[#This Row],[AEG 5.2 MW Cerro]]</f>
        <v>1.641</v>
      </c>
      <c r="AZ34" s="18"/>
      <c r="BA34" s="18"/>
      <c r="BB34" s="18"/>
      <c r="BC34" s="18"/>
      <c r="BD34" s="18"/>
      <c r="BE34" s="18"/>
      <c r="BF34" s="18"/>
    </row>
    <row r="35" spans="2:80" ht="12" x14ac:dyDescent="0.2">
      <c r="B35" s="55">
        <f t="shared" si="0"/>
        <v>45614.374999999927</v>
      </c>
      <c r="C35" s="17">
        <f t="shared" si="3"/>
        <v>1.3750000000000002</v>
      </c>
      <c r="D35" s="34">
        <f>TBL_CalcDarwin[[#This Row],[Darwin PLOM
MW]]+TBL_CalcDarwin[[#This Row],[Darwin PLOME
MW]]</f>
        <v>74.27</v>
      </c>
      <c r="E35" s="34">
        <f>TBL_CalcDarwin[[#This Row],[PLOM MW TOTAL BARRA A]]+TBL_CalcDarwin[[#This Row],[PLOM MW TOTAL BARRA B]]</f>
        <v>69.278999999999996</v>
      </c>
      <c r="F35" s="34">
        <f>TBL_CalcDarwin[[#This Row],[PLOME MW TOTAL BARRA A]]+TBL_CalcDarwin[[#This Row],[PLOME MW TOTAL BARRA B]]</f>
        <v>4.9909999999999997</v>
      </c>
      <c r="G35" s="48">
        <f>'Plantilla Datos'!D40</f>
        <v>5.8</v>
      </c>
      <c r="H35" s="48">
        <f>'Plantilla Datos'!E40</f>
        <v>7.4</v>
      </c>
      <c r="I35" s="49">
        <f>'Plantilla Datos'!F40</f>
        <v>19.2</v>
      </c>
      <c r="J35" s="47">
        <f>CEILING('Plantilla Datos'!$L$3*TBL_CalcDarwin[[#This Row],[Darwin Gusts
m/s]],0.5)</f>
        <v>5.5</v>
      </c>
      <c r="K35" s="47">
        <f>CEILING('Plantilla Datos'!$L$4*TBL_CalcDarwin[[#This Row],[Darwin Gusts
m/s]],0.5)</f>
        <v>6.5</v>
      </c>
      <c r="L35" s="47">
        <f>CEILING(TBL_CalcDarwin[[#This Row],[Darwin Gusts
m/s]],0.5)</f>
        <v>7.5</v>
      </c>
      <c r="M3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5.032</v>
      </c>
      <c r="N3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3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3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35" s="41">
        <f>INDEX(Curva_Temp[Temp],MATCH(TBL_CalcDarwin[[#This Row],[Darwin Temp.
°C]],Curva_Temp[Temp]))</f>
        <v>15</v>
      </c>
      <c r="R35" s="41">
        <f>INDEX(Curva_Temp[Warranted Power Curve for 
1.194Kg/m3 air density '[kW']
SG 5.0-145 (AM+1, 5.2MW) AT 
90M],MATCH(TBL_CalcDarwin[[#This Row],[Darwin Temp.
°C]],Curva_Temp[Temp]))</f>
        <v>5200</v>
      </c>
      <c r="S35" s="41" cm="1">
        <f t="array" ref="S35">INDEX(Curva_Temp[Temp],MATCH(TBL_CalcDarwin[[#This Row],[Darwin Temp.
°C]],Curva_Temp[Temp])+1)</f>
        <v>20</v>
      </c>
      <c r="T35" s="41" cm="1">
        <f t="array" ref="T35">INDEX(Curva_Temp[Warranted Power Curve for 
1.194Kg/m3 air density '[kW']
SG 5.0-145 (AM+1, 5.2MW) AT 
90M],MATCH(TBL_CalcDarwin[[#This Row],[Darwin Temp.
°C]],Curva_Temp[Temp])+1)</f>
        <v>5000</v>
      </c>
      <c r="U3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3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3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35" s="41">
        <f>INDEX(Curva_Temp[Temp],MATCH(TBL_CalcDarwin[[#This Row],[Darwin Temp.
°C]],Curva_Temp[Temp]))</f>
        <v>15</v>
      </c>
      <c r="Z35" s="41">
        <f>INDEX(Curva_Temp[Warranted Power Curve for 
1.194Kg/m3 air density '[kW']
SG 5.0-145 (AM 0, 5.0MW) AT 
90M],MATCH(TBL_CalcDarwin[[#This Row],[Darwin Temp.
°C]],Curva_Temp[Temp]))</f>
        <v>5000</v>
      </c>
      <c r="AA35" s="41" cm="1">
        <f t="array" ref="AA35">INDEX(Curva_Temp[Temp],MATCH(TBL_CalcDarwin[[#This Row],[Darwin Temp.
°C]],Curva_Temp[Temp])+1)</f>
        <v>20</v>
      </c>
      <c r="AB35" s="41" cm="1">
        <f t="array" ref="AB35">INDEX(Curva_Temp[Warranted Power Curve for 
1.194Kg/m3 air density '[kW']
SG 5.0-145 (AM 0, 5.0MW) AT 
90M],MATCH(TBL_CalcDarwin[[#This Row],[Darwin Temp.
°C]],Curva_Temp[Temp])+1)</f>
        <v>5000</v>
      </c>
      <c r="AC35" s="45">
        <f>HLOOKUP(TBL_CalcDarwin[[#This Row],[Fecha]],'Plantilla AEG ES'!$E$1:$HX$13,2,FALSE)</f>
        <v>6</v>
      </c>
      <c r="AD35" s="45">
        <f>HLOOKUP(TBL_CalcDarwin[[#This Row],[Fecha]],'Plantilla AEG ES'!$E$1:$HX$13,3,FALSE)</f>
        <v>7</v>
      </c>
      <c r="AE35" s="45">
        <f>HLOOKUP(TBL_CalcDarwin[[#This Row],[Fecha]],'Plantilla AEG ES'!$E$1:$HX$13,4,FALSE)</f>
        <v>10</v>
      </c>
      <c r="AF35" s="45">
        <f>HLOOKUP(TBL_CalcDarwin[[#This Row],[Fecha]],'Plantilla AEG ES'!$E$1:$HX$13,5,FALSE)</f>
        <v>2</v>
      </c>
      <c r="AG35" s="45">
        <f>HLOOKUP(TBL_CalcDarwin[[#This Row],[Fecha]],'Plantilla AEG ES'!$E$1:$HX$13,6,FALSE)</f>
        <v>1</v>
      </c>
      <c r="AH35" s="45">
        <f>HLOOKUP(TBL_CalcDarwin[[#This Row],[Fecha]],'Plantilla AEG ES'!$E$1:$HX$13,7,FALSE)</f>
        <v>0</v>
      </c>
      <c r="AI35" s="46">
        <f>HLOOKUP(TBL_CalcDarwin[[#This Row],[Fecha]],'Plantilla AEG ES'!$E$1:$HX$13,8,FALSE)</f>
        <v>0</v>
      </c>
      <c r="AJ35" s="46">
        <f>HLOOKUP(TBL_CalcDarwin[[#This Row],[Fecha]],'Plantilla AEG ES'!$E$1:$HX$13,9,FALSE)</f>
        <v>3</v>
      </c>
      <c r="AK35" s="46">
        <f>HLOOKUP(TBL_CalcDarwin[[#This Row],[Fecha]],'Plantilla AEG ES'!$E$1:$HX$13,10,FALSE)</f>
        <v>12</v>
      </c>
      <c r="AL35" s="46">
        <f>HLOOKUP(TBL_CalcDarwin[[#This Row],[Fecha]],'Plantilla AEG ES'!$E$1:$HX$13,11,FALSE)</f>
        <v>1</v>
      </c>
      <c r="AM35" s="46">
        <f>HLOOKUP(TBL_CalcDarwin[[#This Row],[Fecha]],'Plantilla AEG ES'!$E$1:$HX$13,12,FALSE)</f>
        <v>4</v>
      </c>
      <c r="AN35" s="46">
        <f>HLOOKUP(TBL_CalcDarwin[[#This Row],[Fecha]],'Plantilla AEG ES'!$E$1:$HX$13,13,FALSE)</f>
        <v>3</v>
      </c>
      <c r="AO35" s="37">
        <f>TBL_CalcDarwin[[#This Row],[Lomitas - Barra A - 5.2 - Cerro]]+TBL_CalcDarwin[[#This Row],[Lomitas - Barra A - 5.2 - Medio]]+TBL_CalcDarwin[[#This Row],[Lomitas - Barra A - 5.2 - Mar]]</f>
        <v>23</v>
      </c>
      <c r="AP3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33.112000000000002</v>
      </c>
      <c r="AR3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36.167000000000002</v>
      </c>
      <c r="AS35" s="37">
        <f>TBL_CalcDarwin[[#This Row],[Expansión - Barra A - 5.2 - Cerro]]+TBL_CalcDarwin[[#This Row],[Expansión - Barra A - 5.2 - Medio]]+TBL_CalcDarwin[[#This Row],[Expansión - Barra A - 5.2 - Mar]]</f>
        <v>3</v>
      </c>
      <c r="AT35" s="37">
        <f>TBL_CalcDarwin[[#This Row],[Expansión - Barra B - 5.2 - Cerro]]</f>
        <v>3</v>
      </c>
      <c r="AU3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35" s="29">
        <f>TBL_CalcDarwin[[#This Row],[Expansión - Barra B - 5.2 - Cerro]]*TBL_CalcDarwin[[#This Row],[AEG 5.2 MW Cerro]]</f>
        <v>2.2349999999999999</v>
      </c>
      <c r="AZ35" s="18"/>
      <c r="BA35" s="18"/>
      <c r="BB35" s="18"/>
      <c r="BC35" s="18"/>
      <c r="BD35" s="18"/>
      <c r="BE35" s="18"/>
      <c r="BF35" s="18"/>
    </row>
    <row r="36" spans="2:80" ht="12" x14ac:dyDescent="0.2">
      <c r="B36" s="55">
        <f t="shared" si="0"/>
        <v>45614.416666666591</v>
      </c>
      <c r="C36" s="17">
        <f t="shared" si="3"/>
        <v>1.416666666666667</v>
      </c>
      <c r="D36" s="34">
        <f>TBL_CalcDarwin[[#This Row],[Darwin PLOM
MW]]+TBL_CalcDarwin[[#This Row],[Darwin PLOME
MW]]</f>
        <v>111.70099999999999</v>
      </c>
      <c r="E36" s="34">
        <f>TBL_CalcDarwin[[#This Row],[PLOM MW TOTAL BARRA A]]+TBL_CalcDarwin[[#This Row],[PLOM MW TOTAL BARRA B]]</f>
        <v>103.393</v>
      </c>
      <c r="F36" s="34">
        <f>TBL_CalcDarwin[[#This Row],[PLOME MW TOTAL BARRA A]]+TBL_CalcDarwin[[#This Row],[PLOME MW TOTAL BARRA B]]</f>
        <v>8.3079999999999998</v>
      </c>
      <c r="G36" s="48">
        <f>'Plantilla Datos'!D41</f>
        <v>6.8</v>
      </c>
      <c r="H36" s="48">
        <f>'Plantilla Datos'!E41</f>
        <v>8.5</v>
      </c>
      <c r="I36" s="49">
        <f>'Plantilla Datos'!F41</f>
        <v>19.8</v>
      </c>
      <c r="J36" s="47">
        <f>CEILING('Plantilla Datos'!$L$3*TBL_CalcDarwin[[#This Row],[Darwin Gusts
m/s]],0.5)</f>
        <v>6.5</v>
      </c>
      <c r="K36" s="47">
        <f>CEILING('Plantilla Datos'!$L$4*TBL_CalcDarwin[[#This Row],[Darwin Gusts
m/s]],0.5)</f>
        <v>7.5</v>
      </c>
      <c r="L36" s="47">
        <f>CEILING(TBL_CalcDarwin[[#This Row],[Darwin Gusts
m/s]],0.5)</f>
        <v>8.5</v>
      </c>
      <c r="M3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5.008</v>
      </c>
      <c r="N3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3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3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36" s="41">
        <f>INDEX(Curva_Temp[Temp],MATCH(TBL_CalcDarwin[[#This Row],[Darwin Temp.
°C]],Curva_Temp[Temp]))</f>
        <v>15</v>
      </c>
      <c r="R36" s="41">
        <f>INDEX(Curva_Temp[Warranted Power Curve for 
1.194Kg/m3 air density '[kW']
SG 5.0-145 (AM+1, 5.2MW) AT 
90M],MATCH(TBL_CalcDarwin[[#This Row],[Darwin Temp.
°C]],Curva_Temp[Temp]))</f>
        <v>5200</v>
      </c>
      <c r="S36" s="41" cm="1">
        <f t="array" ref="S36">INDEX(Curva_Temp[Temp],MATCH(TBL_CalcDarwin[[#This Row],[Darwin Temp.
°C]],Curva_Temp[Temp])+1)</f>
        <v>20</v>
      </c>
      <c r="T36" s="41" cm="1">
        <f t="array" ref="T36">INDEX(Curva_Temp[Warranted Power Curve for 
1.194Kg/m3 air density '[kW']
SG 5.0-145 (AM+1, 5.2MW) AT 
90M],MATCH(TBL_CalcDarwin[[#This Row],[Darwin Temp.
°C]],Curva_Temp[Temp])+1)</f>
        <v>5000</v>
      </c>
      <c r="U3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3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3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36" s="41">
        <f>INDEX(Curva_Temp[Temp],MATCH(TBL_CalcDarwin[[#This Row],[Darwin Temp.
°C]],Curva_Temp[Temp]))</f>
        <v>15</v>
      </c>
      <c r="Z36" s="41">
        <f>INDEX(Curva_Temp[Warranted Power Curve for 
1.194Kg/m3 air density '[kW']
SG 5.0-145 (AM 0, 5.0MW) AT 
90M],MATCH(TBL_CalcDarwin[[#This Row],[Darwin Temp.
°C]],Curva_Temp[Temp]))</f>
        <v>5000</v>
      </c>
      <c r="AA36" s="41" cm="1">
        <f t="array" ref="AA36">INDEX(Curva_Temp[Temp],MATCH(TBL_CalcDarwin[[#This Row],[Darwin Temp.
°C]],Curva_Temp[Temp])+1)</f>
        <v>20</v>
      </c>
      <c r="AB36" s="41" cm="1">
        <f t="array" ref="AB36">INDEX(Curva_Temp[Warranted Power Curve for 
1.194Kg/m3 air density '[kW']
SG 5.0-145 (AM 0, 5.0MW) AT 
90M],MATCH(TBL_CalcDarwin[[#This Row],[Darwin Temp.
°C]],Curva_Temp[Temp])+1)</f>
        <v>5000</v>
      </c>
      <c r="AC36" s="45">
        <f>HLOOKUP(TBL_CalcDarwin[[#This Row],[Fecha]],'Plantilla AEG ES'!$E$1:$HX$13,2,FALSE)</f>
        <v>6</v>
      </c>
      <c r="AD36" s="45">
        <f>HLOOKUP(TBL_CalcDarwin[[#This Row],[Fecha]],'Plantilla AEG ES'!$E$1:$HX$13,3,FALSE)</f>
        <v>7</v>
      </c>
      <c r="AE36" s="45">
        <f>HLOOKUP(TBL_CalcDarwin[[#This Row],[Fecha]],'Plantilla AEG ES'!$E$1:$HX$13,4,FALSE)</f>
        <v>10</v>
      </c>
      <c r="AF36" s="45">
        <f>HLOOKUP(TBL_CalcDarwin[[#This Row],[Fecha]],'Plantilla AEG ES'!$E$1:$HX$13,5,FALSE)</f>
        <v>2</v>
      </c>
      <c r="AG36" s="45">
        <f>HLOOKUP(TBL_CalcDarwin[[#This Row],[Fecha]],'Plantilla AEG ES'!$E$1:$HX$13,6,FALSE)</f>
        <v>1</v>
      </c>
      <c r="AH36" s="45">
        <f>HLOOKUP(TBL_CalcDarwin[[#This Row],[Fecha]],'Plantilla AEG ES'!$E$1:$HX$13,7,FALSE)</f>
        <v>0</v>
      </c>
      <c r="AI36" s="46">
        <f>HLOOKUP(TBL_CalcDarwin[[#This Row],[Fecha]],'Plantilla AEG ES'!$E$1:$HX$13,8,FALSE)</f>
        <v>0</v>
      </c>
      <c r="AJ36" s="46">
        <f>HLOOKUP(TBL_CalcDarwin[[#This Row],[Fecha]],'Plantilla AEG ES'!$E$1:$HX$13,9,FALSE)</f>
        <v>3</v>
      </c>
      <c r="AK36" s="46">
        <f>HLOOKUP(TBL_CalcDarwin[[#This Row],[Fecha]],'Plantilla AEG ES'!$E$1:$HX$13,10,FALSE)</f>
        <v>12</v>
      </c>
      <c r="AL36" s="46">
        <f>HLOOKUP(TBL_CalcDarwin[[#This Row],[Fecha]],'Plantilla AEG ES'!$E$1:$HX$13,11,FALSE)</f>
        <v>1</v>
      </c>
      <c r="AM36" s="46">
        <f>HLOOKUP(TBL_CalcDarwin[[#This Row],[Fecha]],'Plantilla AEG ES'!$E$1:$HX$13,12,FALSE)</f>
        <v>4</v>
      </c>
      <c r="AN36" s="46">
        <f>HLOOKUP(TBL_CalcDarwin[[#This Row],[Fecha]],'Plantilla AEG ES'!$E$1:$HX$13,13,FALSE)</f>
        <v>3</v>
      </c>
      <c r="AO36" s="37">
        <f>TBL_CalcDarwin[[#This Row],[Lomitas - Barra A - 5.2 - Cerro]]+TBL_CalcDarwin[[#This Row],[Lomitas - Barra A - 5.2 - Medio]]+TBL_CalcDarwin[[#This Row],[Lomitas - Barra A - 5.2 - Mar]]</f>
        <v>23</v>
      </c>
      <c r="AP3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50.222000000000001</v>
      </c>
      <c r="AR3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53.170999999999999</v>
      </c>
      <c r="AS36" s="37">
        <f>TBL_CalcDarwin[[#This Row],[Expansión - Barra A - 5.2 - Cerro]]+TBL_CalcDarwin[[#This Row],[Expansión - Barra A - 5.2 - Medio]]+TBL_CalcDarwin[[#This Row],[Expansión - Barra A - 5.2 - Mar]]</f>
        <v>3</v>
      </c>
      <c r="AT36" s="37">
        <f>TBL_CalcDarwin[[#This Row],[Expansión - Barra B - 5.2 - Cerro]]</f>
        <v>3</v>
      </c>
      <c r="AU3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4.51</v>
      </c>
      <c r="AV36" s="29">
        <f>TBL_CalcDarwin[[#This Row],[Expansión - Barra B - 5.2 - Cerro]]*TBL_CalcDarwin[[#This Row],[AEG 5.2 MW Cerro]]</f>
        <v>3.798</v>
      </c>
      <c r="AZ36" s="18"/>
      <c r="BA36" s="18"/>
      <c r="BB36" s="18"/>
      <c r="BC36" s="18"/>
      <c r="BD36" s="18"/>
      <c r="BE36" s="18"/>
      <c r="BF36" s="18"/>
    </row>
    <row r="37" spans="2:80" ht="12" x14ac:dyDescent="0.2">
      <c r="B37" s="55">
        <f t="shared" si="0"/>
        <v>45614.458333333256</v>
      </c>
      <c r="C37" s="17">
        <f t="shared" si="3"/>
        <v>1.4583333333333337</v>
      </c>
      <c r="D37" s="34">
        <f>TBL_CalcDarwin[[#This Row],[Darwin PLOM
MW]]+TBL_CalcDarwin[[#This Row],[Darwin PLOME
MW]]</f>
        <v>129.08600000000001</v>
      </c>
      <c r="E37" s="34">
        <f>TBL_CalcDarwin[[#This Row],[PLOM MW TOTAL BARRA A]]+TBL_CalcDarwin[[#This Row],[PLOM MW TOTAL BARRA B]]</f>
        <v>120.34700000000001</v>
      </c>
      <c r="F37" s="34">
        <f>TBL_CalcDarwin[[#This Row],[PLOME MW TOTAL BARRA A]]+TBL_CalcDarwin[[#This Row],[PLOME MW TOTAL BARRA B]]</f>
        <v>8.7390000000000008</v>
      </c>
      <c r="G37" s="48">
        <f>'Plantilla Datos'!D42</f>
        <v>7.1</v>
      </c>
      <c r="H37" s="48">
        <f>'Plantilla Datos'!E42</f>
        <v>8.9</v>
      </c>
      <c r="I37" s="49">
        <f>'Plantilla Datos'!F42</f>
        <v>19.8</v>
      </c>
      <c r="J37" s="47">
        <f>CEILING('Plantilla Datos'!$L$3*TBL_CalcDarwin[[#This Row],[Darwin Gusts
m/s]],0.5)</f>
        <v>6.5</v>
      </c>
      <c r="K37" s="47">
        <f>CEILING('Plantilla Datos'!$L$4*TBL_CalcDarwin[[#This Row],[Darwin Gusts
m/s]],0.5)</f>
        <v>8</v>
      </c>
      <c r="L37" s="47">
        <f>CEILING(TBL_CalcDarwin[[#This Row],[Darwin Gusts
m/s]],0.5)</f>
        <v>9</v>
      </c>
      <c r="M3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5.008</v>
      </c>
      <c r="N3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3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3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37" s="41">
        <f>INDEX(Curva_Temp[Temp],MATCH(TBL_CalcDarwin[[#This Row],[Darwin Temp.
°C]],Curva_Temp[Temp]))</f>
        <v>15</v>
      </c>
      <c r="R37" s="41">
        <f>INDEX(Curva_Temp[Warranted Power Curve for 
1.194Kg/m3 air density '[kW']
SG 5.0-145 (AM+1, 5.2MW) AT 
90M],MATCH(TBL_CalcDarwin[[#This Row],[Darwin Temp.
°C]],Curva_Temp[Temp]))</f>
        <v>5200</v>
      </c>
      <c r="S37" s="41" cm="1">
        <f t="array" ref="S37">INDEX(Curva_Temp[Temp],MATCH(TBL_CalcDarwin[[#This Row],[Darwin Temp.
°C]],Curva_Temp[Temp])+1)</f>
        <v>20</v>
      </c>
      <c r="T37" s="41" cm="1">
        <f t="array" ref="T37">INDEX(Curva_Temp[Warranted Power Curve for 
1.194Kg/m3 air density '[kW']
SG 5.0-145 (AM+1, 5.2MW) AT 
90M],MATCH(TBL_CalcDarwin[[#This Row],[Darwin Temp.
°C]],Curva_Temp[Temp])+1)</f>
        <v>5000</v>
      </c>
      <c r="U3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3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3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37" s="41">
        <f>INDEX(Curva_Temp[Temp],MATCH(TBL_CalcDarwin[[#This Row],[Darwin Temp.
°C]],Curva_Temp[Temp]))</f>
        <v>15</v>
      </c>
      <c r="Z37" s="41">
        <f>INDEX(Curva_Temp[Warranted Power Curve for 
1.194Kg/m3 air density '[kW']
SG 5.0-145 (AM 0, 5.0MW) AT 
90M],MATCH(TBL_CalcDarwin[[#This Row],[Darwin Temp.
°C]],Curva_Temp[Temp]))</f>
        <v>5000</v>
      </c>
      <c r="AA37" s="41" cm="1">
        <f t="array" ref="AA37">INDEX(Curva_Temp[Temp],MATCH(TBL_CalcDarwin[[#This Row],[Darwin Temp.
°C]],Curva_Temp[Temp])+1)</f>
        <v>20</v>
      </c>
      <c r="AB37" s="41" cm="1">
        <f t="array" ref="AB37">INDEX(Curva_Temp[Warranted Power Curve for 
1.194Kg/m3 air density '[kW']
SG 5.0-145 (AM 0, 5.0MW) AT 
90M],MATCH(TBL_CalcDarwin[[#This Row],[Darwin Temp.
°C]],Curva_Temp[Temp])+1)</f>
        <v>5000</v>
      </c>
      <c r="AC37" s="45">
        <f>HLOOKUP(TBL_CalcDarwin[[#This Row],[Fecha]],'Plantilla AEG ES'!$E$1:$HX$13,2,FALSE)</f>
        <v>6</v>
      </c>
      <c r="AD37" s="45">
        <f>HLOOKUP(TBL_CalcDarwin[[#This Row],[Fecha]],'Plantilla AEG ES'!$E$1:$HX$13,3,FALSE)</f>
        <v>7</v>
      </c>
      <c r="AE37" s="45">
        <f>HLOOKUP(TBL_CalcDarwin[[#This Row],[Fecha]],'Plantilla AEG ES'!$E$1:$HX$13,4,FALSE)</f>
        <v>10</v>
      </c>
      <c r="AF37" s="45">
        <f>HLOOKUP(TBL_CalcDarwin[[#This Row],[Fecha]],'Plantilla AEG ES'!$E$1:$HX$13,5,FALSE)</f>
        <v>2</v>
      </c>
      <c r="AG37" s="45">
        <f>HLOOKUP(TBL_CalcDarwin[[#This Row],[Fecha]],'Plantilla AEG ES'!$E$1:$HX$13,6,FALSE)</f>
        <v>1</v>
      </c>
      <c r="AH37" s="45">
        <f>HLOOKUP(TBL_CalcDarwin[[#This Row],[Fecha]],'Plantilla AEG ES'!$E$1:$HX$13,7,FALSE)</f>
        <v>0</v>
      </c>
      <c r="AI37" s="46">
        <f>HLOOKUP(TBL_CalcDarwin[[#This Row],[Fecha]],'Plantilla AEG ES'!$E$1:$HX$13,8,FALSE)</f>
        <v>0</v>
      </c>
      <c r="AJ37" s="46">
        <f>HLOOKUP(TBL_CalcDarwin[[#This Row],[Fecha]],'Plantilla AEG ES'!$E$1:$HX$13,9,FALSE)</f>
        <v>3</v>
      </c>
      <c r="AK37" s="46">
        <f>HLOOKUP(TBL_CalcDarwin[[#This Row],[Fecha]],'Plantilla AEG ES'!$E$1:$HX$13,10,FALSE)</f>
        <v>12</v>
      </c>
      <c r="AL37" s="46">
        <f>HLOOKUP(TBL_CalcDarwin[[#This Row],[Fecha]],'Plantilla AEG ES'!$E$1:$HX$13,11,FALSE)</f>
        <v>1</v>
      </c>
      <c r="AM37" s="46">
        <f>HLOOKUP(TBL_CalcDarwin[[#This Row],[Fecha]],'Plantilla AEG ES'!$E$1:$HX$13,12,FALSE)</f>
        <v>4</v>
      </c>
      <c r="AN37" s="46">
        <f>HLOOKUP(TBL_CalcDarwin[[#This Row],[Fecha]],'Plantilla AEG ES'!$E$1:$HX$13,13,FALSE)</f>
        <v>3</v>
      </c>
      <c r="AO37" s="37">
        <f>TBL_CalcDarwin[[#This Row],[Lomitas - Barra A - 5.2 - Cerro]]+TBL_CalcDarwin[[#This Row],[Lomitas - Barra A - 5.2 - Medio]]+TBL_CalcDarwin[[#This Row],[Lomitas - Barra A - 5.2 - Mar]]</f>
        <v>23</v>
      </c>
      <c r="AP3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58.119</v>
      </c>
      <c r="AR3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62.228000000000002</v>
      </c>
      <c r="AS37" s="37">
        <f>TBL_CalcDarwin[[#This Row],[Expansión - Barra A - 5.2 - Cerro]]+TBL_CalcDarwin[[#This Row],[Expansión - Barra A - 5.2 - Medio]]+TBL_CalcDarwin[[#This Row],[Expansión - Barra A - 5.2 - Mar]]</f>
        <v>3</v>
      </c>
      <c r="AT37" s="37">
        <f>TBL_CalcDarwin[[#This Row],[Expansión - Barra B - 5.2 - Cerro]]</f>
        <v>3</v>
      </c>
      <c r="AU3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4.9409999999999998</v>
      </c>
      <c r="AV37" s="29">
        <f>TBL_CalcDarwin[[#This Row],[Expansión - Barra B - 5.2 - Cerro]]*TBL_CalcDarwin[[#This Row],[AEG 5.2 MW Cerro]]</f>
        <v>3.798</v>
      </c>
      <c r="AZ37" s="18"/>
      <c r="BA37" s="18"/>
      <c r="BB37" s="18"/>
      <c r="BC37" s="18"/>
      <c r="BD37" s="18"/>
      <c r="BE37" s="18"/>
      <c r="BF37" s="18"/>
    </row>
    <row r="38" spans="2:80" ht="12" x14ac:dyDescent="0.2">
      <c r="B38" s="55">
        <f t="shared" si="0"/>
        <v>45614.49999999992</v>
      </c>
      <c r="C38" s="17">
        <f t="shared" si="3"/>
        <v>1.5000000000000004</v>
      </c>
      <c r="D38" s="34">
        <f>TBL_CalcDarwin[[#This Row],[Darwin PLOM
MW]]+TBL_CalcDarwin[[#This Row],[Darwin PLOME
MW]]</f>
        <v>145.37700000000001</v>
      </c>
      <c r="E38" s="34">
        <f>TBL_CalcDarwin[[#This Row],[PLOM MW TOTAL BARRA A]]+TBL_CalcDarwin[[#This Row],[PLOM MW TOTAL BARRA B]]</f>
        <v>134.983</v>
      </c>
      <c r="F38" s="34">
        <f>TBL_CalcDarwin[[#This Row],[PLOME MW TOTAL BARRA A]]+TBL_CalcDarwin[[#This Row],[PLOME MW TOTAL BARRA B]]</f>
        <v>10.394</v>
      </c>
      <c r="G38" s="48">
        <f>'Plantilla Datos'!D43</f>
        <v>7.4</v>
      </c>
      <c r="H38" s="48">
        <f>'Plantilla Datos'!E43</f>
        <v>9.3000000000000007</v>
      </c>
      <c r="I38" s="49">
        <f>'Plantilla Datos'!F43</f>
        <v>19.8</v>
      </c>
      <c r="J38" s="47">
        <f>CEILING('Plantilla Datos'!$L$3*TBL_CalcDarwin[[#This Row],[Darwin Gusts
m/s]],0.5)</f>
        <v>7</v>
      </c>
      <c r="K38" s="47">
        <f>CEILING('Plantilla Datos'!$L$4*TBL_CalcDarwin[[#This Row],[Darwin Gusts
m/s]],0.5)</f>
        <v>8</v>
      </c>
      <c r="L38" s="47">
        <f>CEILING(TBL_CalcDarwin[[#This Row],[Darwin Gusts
m/s]],0.5)</f>
        <v>9.5</v>
      </c>
      <c r="M3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5.008</v>
      </c>
      <c r="N3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3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3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38" s="41">
        <f>INDEX(Curva_Temp[Temp],MATCH(TBL_CalcDarwin[[#This Row],[Darwin Temp.
°C]],Curva_Temp[Temp]))</f>
        <v>15</v>
      </c>
      <c r="R38" s="41">
        <f>INDEX(Curva_Temp[Warranted Power Curve for 
1.194Kg/m3 air density '[kW']
SG 5.0-145 (AM+1, 5.2MW) AT 
90M],MATCH(TBL_CalcDarwin[[#This Row],[Darwin Temp.
°C]],Curva_Temp[Temp]))</f>
        <v>5200</v>
      </c>
      <c r="S38" s="41" cm="1">
        <f t="array" ref="S38">INDEX(Curva_Temp[Temp],MATCH(TBL_CalcDarwin[[#This Row],[Darwin Temp.
°C]],Curva_Temp[Temp])+1)</f>
        <v>20</v>
      </c>
      <c r="T38" s="41" cm="1">
        <f t="array" ref="T38">INDEX(Curva_Temp[Warranted Power Curve for 
1.194Kg/m3 air density '[kW']
SG 5.0-145 (AM+1, 5.2MW) AT 
90M],MATCH(TBL_CalcDarwin[[#This Row],[Darwin Temp.
°C]],Curva_Temp[Temp])+1)</f>
        <v>5000</v>
      </c>
      <c r="U3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3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3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38" s="41">
        <f>INDEX(Curva_Temp[Temp],MATCH(TBL_CalcDarwin[[#This Row],[Darwin Temp.
°C]],Curva_Temp[Temp]))</f>
        <v>15</v>
      </c>
      <c r="Z38" s="41">
        <f>INDEX(Curva_Temp[Warranted Power Curve for 
1.194Kg/m3 air density '[kW']
SG 5.0-145 (AM 0, 5.0MW) AT 
90M],MATCH(TBL_CalcDarwin[[#This Row],[Darwin Temp.
°C]],Curva_Temp[Temp]))</f>
        <v>5000</v>
      </c>
      <c r="AA38" s="41" cm="1">
        <f t="array" ref="AA38">INDEX(Curva_Temp[Temp],MATCH(TBL_CalcDarwin[[#This Row],[Darwin Temp.
°C]],Curva_Temp[Temp])+1)</f>
        <v>20</v>
      </c>
      <c r="AB38" s="41" cm="1">
        <f t="array" ref="AB38">INDEX(Curva_Temp[Warranted Power Curve for 
1.194Kg/m3 air density '[kW']
SG 5.0-145 (AM 0, 5.0MW) AT 
90M],MATCH(TBL_CalcDarwin[[#This Row],[Darwin Temp.
°C]],Curva_Temp[Temp])+1)</f>
        <v>5000</v>
      </c>
      <c r="AC38" s="45">
        <f>HLOOKUP(TBL_CalcDarwin[[#This Row],[Fecha]],'Plantilla AEG ES'!$E$1:$HX$13,2,FALSE)</f>
        <v>6</v>
      </c>
      <c r="AD38" s="45">
        <f>HLOOKUP(TBL_CalcDarwin[[#This Row],[Fecha]],'Plantilla AEG ES'!$E$1:$HX$13,3,FALSE)</f>
        <v>7</v>
      </c>
      <c r="AE38" s="45">
        <f>HLOOKUP(TBL_CalcDarwin[[#This Row],[Fecha]],'Plantilla AEG ES'!$E$1:$HX$13,4,FALSE)</f>
        <v>10</v>
      </c>
      <c r="AF38" s="45">
        <f>HLOOKUP(TBL_CalcDarwin[[#This Row],[Fecha]],'Plantilla AEG ES'!$E$1:$HX$13,5,FALSE)</f>
        <v>2</v>
      </c>
      <c r="AG38" s="45">
        <f>HLOOKUP(TBL_CalcDarwin[[#This Row],[Fecha]],'Plantilla AEG ES'!$E$1:$HX$13,6,FALSE)</f>
        <v>1</v>
      </c>
      <c r="AH38" s="45">
        <f>HLOOKUP(TBL_CalcDarwin[[#This Row],[Fecha]],'Plantilla AEG ES'!$E$1:$HX$13,7,FALSE)</f>
        <v>0</v>
      </c>
      <c r="AI38" s="46">
        <f>HLOOKUP(TBL_CalcDarwin[[#This Row],[Fecha]],'Plantilla AEG ES'!$E$1:$HX$13,8,FALSE)</f>
        <v>0</v>
      </c>
      <c r="AJ38" s="46">
        <f>HLOOKUP(TBL_CalcDarwin[[#This Row],[Fecha]],'Plantilla AEG ES'!$E$1:$HX$13,9,FALSE)</f>
        <v>3</v>
      </c>
      <c r="AK38" s="46">
        <f>HLOOKUP(TBL_CalcDarwin[[#This Row],[Fecha]],'Plantilla AEG ES'!$E$1:$HX$13,10,FALSE)</f>
        <v>12</v>
      </c>
      <c r="AL38" s="46">
        <f>HLOOKUP(TBL_CalcDarwin[[#This Row],[Fecha]],'Plantilla AEG ES'!$E$1:$HX$13,11,FALSE)</f>
        <v>1</v>
      </c>
      <c r="AM38" s="46">
        <f>HLOOKUP(TBL_CalcDarwin[[#This Row],[Fecha]],'Plantilla AEG ES'!$E$1:$HX$13,12,FALSE)</f>
        <v>4</v>
      </c>
      <c r="AN38" s="46">
        <f>HLOOKUP(TBL_CalcDarwin[[#This Row],[Fecha]],'Plantilla AEG ES'!$E$1:$HX$13,13,FALSE)</f>
        <v>3</v>
      </c>
      <c r="AO38" s="37">
        <f>TBL_CalcDarwin[[#This Row],[Lomitas - Barra A - 5.2 - Cerro]]+TBL_CalcDarwin[[#This Row],[Lomitas - Barra A - 5.2 - Medio]]+TBL_CalcDarwin[[#This Row],[Lomitas - Barra A - 5.2 - Mar]]</f>
        <v>23</v>
      </c>
      <c r="AP3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64.865000000000009</v>
      </c>
      <c r="AR3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70.117999999999995</v>
      </c>
      <c r="AS38" s="37">
        <f>TBL_CalcDarwin[[#This Row],[Expansión - Barra A - 5.2 - Cerro]]+TBL_CalcDarwin[[#This Row],[Expansión - Barra A - 5.2 - Medio]]+TBL_CalcDarwin[[#This Row],[Expansión - Barra A - 5.2 - Mar]]</f>
        <v>3</v>
      </c>
      <c r="AT38" s="37">
        <f>TBL_CalcDarwin[[#This Row],[Expansión - Barra B - 5.2 - Cerro]]</f>
        <v>3</v>
      </c>
      <c r="AU3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5.6029999999999998</v>
      </c>
      <c r="AV38" s="29">
        <f>TBL_CalcDarwin[[#This Row],[Expansión - Barra B - 5.2 - Cerro]]*TBL_CalcDarwin[[#This Row],[AEG 5.2 MW Cerro]]</f>
        <v>4.7910000000000004</v>
      </c>
      <c r="AZ38" s="18"/>
      <c r="BA38" s="18"/>
      <c r="BB38" s="18"/>
      <c r="BC38" s="18"/>
      <c r="BD38" s="18"/>
      <c r="BE38" s="18"/>
      <c r="BF38" s="18"/>
      <c r="BM38" s="18">
        <v>32</v>
      </c>
      <c r="BN38" s="18">
        <v>35</v>
      </c>
    </row>
    <row r="39" spans="2:80" ht="12" x14ac:dyDescent="0.2">
      <c r="B39" s="55">
        <f t="shared" si="0"/>
        <v>45614.541666666584</v>
      </c>
      <c r="C39" s="17">
        <f t="shared" si="3"/>
        <v>1.5416666666666672</v>
      </c>
      <c r="D39" s="34">
        <f>TBL_CalcDarwin[[#This Row],[Darwin PLOM
MW]]+TBL_CalcDarwin[[#This Row],[Darwin PLOME
MW]]</f>
        <v>161.916</v>
      </c>
      <c r="E39" s="34">
        <f>TBL_CalcDarwin[[#This Row],[PLOM MW TOTAL BARRA A]]+TBL_CalcDarwin[[#This Row],[PLOM MW TOTAL BARRA B]]</f>
        <v>151.053</v>
      </c>
      <c r="F39" s="34">
        <f>TBL_CalcDarwin[[#This Row],[PLOME MW TOTAL BARRA A]]+TBL_CalcDarwin[[#This Row],[PLOME MW TOTAL BARRA B]]</f>
        <v>10.863</v>
      </c>
      <c r="G39" s="48">
        <f>'Plantilla Datos'!D44</f>
        <v>7.7</v>
      </c>
      <c r="H39" s="48">
        <f>'Plantilla Datos'!E44</f>
        <v>9.6999999999999993</v>
      </c>
      <c r="I39" s="49">
        <f>'Plantilla Datos'!F44</f>
        <v>19.7</v>
      </c>
      <c r="J39" s="47">
        <f>CEILING('Plantilla Datos'!$L$3*TBL_CalcDarwin[[#This Row],[Darwin Gusts
m/s]],0.5)</f>
        <v>7</v>
      </c>
      <c r="K39" s="47">
        <f>CEILING('Plantilla Datos'!$L$4*TBL_CalcDarwin[[#This Row],[Darwin Gusts
m/s]],0.5)</f>
        <v>8.5</v>
      </c>
      <c r="L39" s="47">
        <f>CEILING(TBL_CalcDarwin[[#This Row],[Darwin Gusts
m/s]],0.5)</f>
        <v>10</v>
      </c>
      <c r="M3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5.0119999999999996</v>
      </c>
      <c r="N3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3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3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39" s="41">
        <f>INDEX(Curva_Temp[Temp],MATCH(TBL_CalcDarwin[[#This Row],[Darwin Temp.
°C]],Curva_Temp[Temp]))</f>
        <v>15</v>
      </c>
      <c r="R39" s="41">
        <f>INDEX(Curva_Temp[Warranted Power Curve for 
1.194Kg/m3 air density '[kW']
SG 5.0-145 (AM+1, 5.2MW) AT 
90M],MATCH(TBL_CalcDarwin[[#This Row],[Darwin Temp.
°C]],Curva_Temp[Temp]))</f>
        <v>5200</v>
      </c>
      <c r="S39" s="41" cm="1">
        <f t="array" ref="S39">INDEX(Curva_Temp[Temp],MATCH(TBL_CalcDarwin[[#This Row],[Darwin Temp.
°C]],Curva_Temp[Temp])+1)</f>
        <v>20</v>
      </c>
      <c r="T39" s="41" cm="1">
        <f t="array" ref="T39">INDEX(Curva_Temp[Warranted Power Curve for 
1.194Kg/m3 air density '[kW']
SG 5.0-145 (AM+1, 5.2MW) AT 
90M],MATCH(TBL_CalcDarwin[[#This Row],[Darwin Temp.
°C]],Curva_Temp[Temp])+1)</f>
        <v>5000</v>
      </c>
      <c r="U3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3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3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39" s="41">
        <f>INDEX(Curva_Temp[Temp],MATCH(TBL_CalcDarwin[[#This Row],[Darwin Temp.
°C]],Curva_Temp[Temp]))</f>
        <v>15</v>
      </c>
      <c r="Z39" s="41">
        <f>INDEX(Curva_Temp[Warranted Power Curve for 
1.194Kg/m3 air density '[kW']
SG 5.0-145 (AM 0, 5.0MW) AT 
90M],MATCH(TBL_CalcDarwin[[#This Row],[Darwin Temp.
°C]],Curva_Temp[Temp]))</f>
        <v>5000</v>
      </c>
      <c r="AA39" s="41" cm="1">
        <f t="array" ref="AA39">INDEX(Curva_Temp[Temp],MATCH(TBL_CalcDarwin[[#This Row],[Darwin Temp.
°C]],Curva_Temp[Temp])+1)</f>
        <v>20</v>
      </c>
      <c r="AB39" s="41" cm="1">
        <f t="array" ref="AB39">INDEX(Curva_Temp[Warranted Power Curve for 
1.194Kg/m3 air density '[kW']
SG 5.0-145 (AM 0, 5.0MW) AT 
90M],MATCH(TBL_CalcDarwin[[#This Row],[Darwin Temp.
°C]],Curva_Temp[Temp])+1)</f>
        <v>5000</v>
      </c>
      <c r="AC39" s="45">
        <f>HLOOKUP(TBL_CalcDarwin[[#This Row],[Fecha]],'Plantilla AEG ES'!$E$1:$HX$13,2,FALSE)</f>
        <v>6</v>
      </c>
      <c r="AD39" s="45">
        <f>HLOOKUP(TBL_CalcDarwin[[#This Row],[Fecha]],'Plantilla AEG ES'!$E$1:$HX$13,3,FALSE)</f>
        <v>7</v>
      </c>
      <c r="AE39" s="45">
        <f>HLOOKUP(TBL_CalcDarwin[[#This Row],[Fecha]],'Plantilla AEG ES'!$E$1:$HX$13,4,FALSE)</f>
        <v>10</v>
      </c>
      <c r="AF39" s="45">
        <f>HLOOKUP(TBL_CalcDarwin[[#This Row],[Fecha]],'Plantilla AEG ES'!$E$1:$HX$13,5,FALSE)</f>
        <v>2</v>
      </c>
      <c r="AG39" s="45">
        <f>HLOOKUP(TBL_CalcDarwin[[#This Row],[Fecha]],'Plantilla AEG ES'!$E$1:$HX$13,6,FALSE)</f>
        <v>1</v>
      </c>
      <c r="AH39" s="45">
        <f>HLOOKUP(TBL_CalcDarwin[[#This Row],[Fecha]],'Plantilla AEG ES'!$E$1:$HX$13,7,FALSE)</f>
        <v>0</v>
      </c>
      <c r="AI39" s="46">
        <f>HLOOKUP(TBL_CalcDarwin[[#This Row],[Fecha]],'Plantilla AEG ES'!$E$1:$HX$13,8,FALSE)</f>
        <v>0</v>
      </c>
      <c r="AJ39" s="46">
        <f>HLOOKUP(TBL_CalcDarwin[[#This Row],[Fecha]],'Plantilla AEG ES'!$E$1:$HX$13,9,FALSE)</f>
        <v>3</v>
      </c>
      <c r="AK39" s="46">
        <f>HLOOKUP(TBL_CalcDarwin[[#This Row],[Fecha]],'Plantilla AEG ES'!$E$1:$HX$13,10,FALSE)</f>
        <v>12</v>
      </c>
      <c r="AL39" s="46">
        <f>HLOOKUP(TBL_CalcDarwin[[#This Row],[Fecha]],'Plantilla AEG ES'!$E$1:$HX$13,11,FALSE)</f>
        <v>1</v>
      </c>
      <c r="AM39" s="46">
        <f>HLOOKUP(TBL_CalcDarwin[[#This Row],[Fecha]],'Plantilla AEG ES'!$E$1:$HX$13,12,FALSE)</f>
        <v>4</v>
      </c>
      <c r="AN39" s="46">
        <f>HLOOKUP(TBL_CalcDarwin[[#This Row],[Fecha]],'Plantilla AEG ES'!$E$1:$HX$13,13,FALSE)</f>
        <v>3</v>
      </c>
      <c r="AO39" s="37">
        <f>TBL_CalcDarwin[[#This Row],[Lomitas - Barra A - 5.2 - Cerro]]+TBL_CalcDarwin[[#This Row],[Lomitas - Barra A - 5.2 - Medio]]+TBL_CalcDarwin[[#This Row],[Lomitas - Barra A - 5.2 - Mar]]</f>
        <v>23</v>
      </c>
      <c r="AP3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72.567999999999998</v>
      </c>
      <c r="AR3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78.484999999999999</v>
      </c>
      <c r="AS39" s="37">
        <f>TBL_CalcDarwin[[#This Row],[Expansión - Barra A - 5.2 - Cerro]]+TBL_CalcDarwin[[#This Row],[Expansión - Barra A - 5.2 - Medio]]+TBL_CalcDarwin[[#This Row],[Expansión - Barra A - 5.2 - Mar]]</f>
        <v>3</v>
      </c>
      <c r="AT39" s="37">
        <f>TBL_CalcDarwin[[#This Row],[Expansión - Barra B - 5.2 - Cerro]]</f>
        <v>3</v>
      </c>
      <c r="AU3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6.0720000000000001</v>
      </c>
      <c r="AV39" s="29">
        <f>TBL_CalcDarwin[[#This Row],[Expansión - Barra B - 5.2 - Cerro]]*TBL_CalcDarwin[[#This Row],[AEG 5.2 MW Cerro]]</f>
        <v>4.7910000000000004</v>
      </c>
      <c r="AZ39" s="18"/>
      <c r="BA39" s="18"/>
      <c r="BB39" s="18"/>
      <c r="BC39" s="18"/>
      <c r="BD39" s="18"/>
      <c r="BE39" s="18"/>
      <c r="BF39" s="18"/>
      <c r="BM39" s="18">
        <v>37</v>
      </c>
    </row>
    <row r="40" spans="2:80" ht="12" x14ac:dyDescent="0.2">
      <c r="B40" s="55">
        <f t="shared" si="0"/>
        <v>45614.583333333248</v>
      </c>
      <c r="C40" s="17">
        <f t="shared" si="3"/>
        <v>1.5833333333333339</v>
      </c>
      <c r="D40" s="34">
        <f>TBL_CalcDarwin[[#This Row],[Darwin PLOM
MW]]+TBL_CalcDarwin[[#This Row],[Darwin PLOME
MW]]</f>
        <v>171.85299999999998</v>
      </c>
      <c r="E40" s="34">
        <f>TBL_CalcDarwin[[#This Row],[PLOM MW TOTAL BARRA A]]+TBL_CalcDarwin[[#This Row],[PLOM MW TOTAL BARRA B]]</f>
        <v>158.59699999999998</v>
      </c>
      <c r="F40" s="34">
        <f>TBL_CalcDarwin[[#This Row],[PLOME MW TOTAL BARRA A]]+TBL_CalcDarwin[[#This Row],[PLOME MW TOTAL BARRA B]]</f>
        <v>13.256</v>
      </c>
      <c r="G40" s="48">
        <f>'Plantilla Datos'!D45</f>
        <v>8</v>
      </c>
      <c r="H40" s="48">
        <f>'Plantilla Datos'!E45</f>
        <v>10</v>
      </c>
      <c r="I40" s="49">
        <f>'Plantilla Datos'!F45</f>
        <v>19.399999999999999</v>
      </c>
      <c r="J40" s="47">
        <f>CEILING('Plantilla Datos'!$L$3*TBL_CalcDarwin[[#This Row],[Darwin Gusts
m/s]],0.5)</f>
        <v>7.5</v>
      </c>
      <c r="K40" s="47">
        <f>CEILING('Plantilla Datos'!$L$4*TBL_CalcDarwin[[#This Row],[Darwin Gusts
m/s]],0.5)</f>
        <v>9</v>
      </c>
      <c r="L40" s="47">
        <f>CEILING(TBL_CalcDarwin[[#This Row],[Darwin Gusts
m/s]],0.5)</f>
        <v>10</v>
      </c>
      <c r="M4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5.024</v>
      </c>
      <c r="N4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4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4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40" s="41">
        <f>INDEX(Curva_Temp[Temp],MATCH(TBL_CalcDarwin[[#This Row],[Darwin Temp.
°C]],Curva_Temp[Temp]))</f>
        <v>15</v>
      </c>
      <c r="R40" s="41">
        <f>INDEX(Curva_Temp[Warranted Power Curve for 
1.194Kg/m3 air density '[kW']
SG 5.0-145 (AM+1, 5.2MW) AT 
90M],MATCH(TBL_CalcDarwin[[#This Row],[Darwin Temp.
°C]],Curva_Temp[Temp]))</f>
        <v>5200</v>
      </c>
      <c r="S40" s="41" cm="1">
        <f t="array" ref="S40">INDEX(Curva_Temp[Temp],MATCH(TBL_CalcDarwin[[#This Row],[Darwin Temp.
°C]],Curva_Temp[Temp])+1)</f>
        <v>20</v>
      </c>
      <c r="T40" s="41" cm="1">
        <f t="array" ref="T40">INDEX(Curva_Temp[Warranted Power Curve for 
1.194Kg/m3 air density '[kW']
SG 5.0-145 (AM+1, 5.2MW) AT 
90M],MATCH(TBL_CalcDarwin[[#This Row],[Darwin Temp.
°C]],Curva_Temp[Temp])+1)</f>
        <v>5000</v>
      </c>
      <c r="U4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4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4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40" s="41">
        <f>INDEX(Curva_Temp[Temp],MATCH(TBL_CalcDarwin[[#This Row],[Darwin Temp.
°C]],Curva_Temp[Temp]))</f>
        <v>15</v>
      </c>
      <c r="Z40" s="41">
        <f>INDEX(Curva_Temp[Warranted Power Curve for 
1.194Kg/m3 air density '[kW']
SG 5.0-145 (AM 0, 5.0MW) AT 
90M],MATCH(TBL_CalcDarwin[[#This Row],[Darwin Temp.
°C]],Curva_Temp[Temp]))</f>
        <v>5000</v>
      </c>
      <c r="AA40" s="41" cm="1">
        <f t="array" ref="AA40">INDEX(Curva_Temp[Temp],MATCH(TBL_CalcDarwin[[#This Row],[Darwin Temp.
°C]],Curva_Temp[Temp])+1)</f>
        <v>20</v>
      </c>
      <c r="AB40" s="41" cm="1">
        <f t="array" ref="AB40">INDEX(Curva_Temp[Warranted Power Curve for 
1.194Kg/m3 air density '[kW']
SG 5.0-145 (AM 0, 5.0MW) AT 
90M],MATCH(TBL_CalcDarwin[[#This Row],[Darwin Temp.
°C]],Curva_Temp[Temp])+1)</f>
        <v>5000</v>
      </c>
      <c r="AC40" s="45">
        <f>HLOOKUP(TBL_CalcDarwin[[#This Row],[Fecha]],'Plantilla AEG ES'!$E$1:$HX$13,2,FALSE)</f>
        <v>6</v>
      </c>
      <c r="AD40" s="45">
        <f>HLOOKUP(TBL_CalcDarwin[[#This Row],[Fecha]],'Plantilla AEG ES'!$E$1:$HX$13,3,FALSE)</f>
        <v>7</v>
      </c>
      <c r="AE40" s="45">
        <f>HLOOKUP(TBL_CalcDarwin[[#This Row],[Fecha]],'Plantilla AEG ES'!$E$1:$HX$13,4,FALSE)</f>
        <v>10</v>
      </c>
      <c r="AF40" s="45">
        <f>HLOOKUP(TBL_CalcDarwin[[#This Row],[Fecha]],'Plantilla AEG ES'!$E$1:$HX$13,5,FALSE)</f>
        <v>2</v>
      </c>
      <c r="AG40" s="45">
        <f>HLOOKUP(TBL_CalcDarwin[[#This Row],[Fecha]],'Plantilla AEG ES'!$E$1:$HX$13,6,FALSE)</f>
        <v>1</v>
      </c>
      <c r="AH40" s="45">
        <f>HLOOKUP(TBL_CalcDarwin[[#This Row],[Fecha]],'Plantilla AEG ES'!$E$1:$HX$13,7,FALSE)</f>
        <v>0</v>
      </c>
      <c r="AI40" s="46">
        <f>HLOOKUP(TBL_CalcDarwin[[#This Row],[Fecha]],'Plantilla AEG ES'!$E$1:$HX$13,8,FALSE)</f>
        <v>0</v>
      </c>
      <c r="AJ40" s="46">
        <f>HLOOKUP(TBL_CalcDarwin[[#This Row],[Fecha]],'Plantilla AEG ES'!$E$1:$HX$13,9,FALSE)</f>
        <v>3</v>
      </c>
      <c r="AK40" s="46">
        <f>HLOOKUP(TBL_CalcDarwin[[#This Row],[Fecha]],'Plantilla AEG ES'!$E$1:$HX$13,10,FALSE)</f>
        <v>12</v>
      </c>
      <c r="AL40" s="46">
        <f>HLOOKUP(TBL_CalcDarwin[[#This Row],[Fecha]],'Plantilla AEG ES'!$E$1:$HX$13,11,FALSE)</f>
        <v>1</v>
      </c>
      <c r="AM40" s="46">
        <f>HLOOKUP(TBL_CalcDarwin[[#This Row],[Fecha]],'Plantilla AEG ES'!$E$1:$HX$13,12,FALSE)</f>
        <v>4</v>
      </c>
      <c r="AN40" s="46">
        <f>HLOOKUP(TBL_CalcDarwin[[#This Row],[Fecha]],'Plantilla AEG ES'!$E$1:$HX$13,13,FALSE)</f>
        <v>3</v>
      </c>
      <c r="AO40" s="37">
        <f>TBL_CalcDarwin[[#This Row],[Lomitas - Barra A - 5.2 - Cerro]]+TBL_CalcDarwin[[#This Row],[Lomitas - Barra A - 5.2 - Medio]]+TBL_CalcDarwin[[#This Row],[Lomitas - Barra A - 5.2 - Mar]]</f>
        <v>23</v>
      </c>
      <c r="AP4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78.27</v>
      </c>
      <c r="AR4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80.326999999999998</v>
      </c>
      <c r="AS40" s="37">
        <f>TBL_CalcDarwin[[#This Row],[Expansión - Barra A - 5.2 - Cerro]]+TBL_CalcDarwin[[#This Row],[Expansión - Barra A - 5.2 - Medio]]+TBL_CalcDarwin[[#This Row],[Expansión - Barra A - 5.2 - Mar]]</f>
        <v>3</v>
      </c>
      <c r="AT40" s="37">
        <f>TBL_CalcDarwin[[#This Row],[Expansión - Barra B - 5.2 - Cerro]]</f>
        <v>3</v>
      </c>
      <c r="AU4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7.3220000000000001</v>
      </c>
      <c r="AV40" s="29">
        <f>TBL_CalcDarwin[[#This Row],[Expansión - Barra B - 5.2 - Cerro]]*TBL_CalcDarwin[[#This Row],[AEG 5.2 MW Cerro]]</f>
        <v>5.9340000000000002</v>
      </c>
      <c r="AZ40" s="18"/>
      <c r="BA40" s="18"/>
      <c r="BB40" s="18"/>
      <c r="BC40" s="18"/>
      <c r="BD40" s="18"/>
      <c r="BE40" s="18"/>
      <c r="BF40" s="18"/>
      <c r="BM40" s="18">
        <v>13</v>
      </c>
      <c r="BN40" s="18" t="s">
        <v>10</v>
      </c>
      <c r="BO40" s="18">
        <v>690</v>
      </c>
      <c r="BP40" s="18">
        <v>13</v>
      </c>
      <c r="BQ40" s="18">
        <v>1.1299999999999999</v>
      </c>
      <c r="BS40" s="18">
        <f>690*0.13</f>
        <v>89.7</v>
      </c>
      <c r="BU40" s="28">
        <f>BO40+BS40</f>
        <v>779.7</v>
      </c>
      <c r="BX40" s="18">
        <f>BS40*48</f>
        <v>4305.6000000000004</v>
      </c>
      <c r="CA40" s="18">
        <f>33000+BX40</f>
        <v>37305.599999999999</v>
      </c>
    </row>
    <row r="41" spans="2:80" ht="12" x14ac:dyDescent="0.2">
      <c r="B41" s="55">
        <f t="shared" si="0"/>
        <v>45614.624999999913</v>
      </c>
      <c r="C41" s="17">
        <f t="shared" si="3"/>
        <v>1.6250000000000007</v>
      </c>
      <c r="D41" s="34">
        <f>TBL_CalcDarwin[[#This Row],[Darwin PLOM
MW]]+TBL_CalcDarwin[[#This Row],[Darwin PLOME
MW]]</f>
        <v>181.523</v>
      </c>
      <c r="E41" s="34">
        <f>TBL_CalcDarwin[[#This Row],[PLOM MW TOTAL BARRA A]]+TBL_CalcDarwin[[#This Row],[PLOM MW TOTAL BARRA B]]</f>
        <v>168.267</v>
      </c>
      <c r="F41" s="34">
        <f>TBL_CalcDarwin[[#This Row],[PLOME MW TOTAL BARRA A]]+TBL_CalcDarwin[[#This Row],[PLOME MW TOTAL BARRA B]]</f>
        <v>13.256</v>
      </c>
      <c r="G41" s="48">
        <f>'Plantilla Datos'!D46</f>
        <v>8.3000000000000007</v>
      </c>
      <c r="H41" s="48">
        <f>'Plantilla Datos'!E46</f>
        <v>10.3</v>
      </c>
      <c r="I41" s="49">
        <f>'Plantilla Datos'!F46</f>
        <v>19</v>
      </c>
      <c r="J41" s="47">
        <f>CEILING('Plantilla Datos'!$L$3*TBL_CalcDarwin[[#This Row],[Darwin Gusts
m/s]],0.5)</f>
        <v>7.5</v>
      </c>
      <c r="K41" s="47">
        <f>CEILING('Plantilla Datos'!$L$4*TBL_CalcDarwin[[#This Row],[Darwin Gusts
m/s]],0.5)</f>
        <v>9</v>
      </c>
      <c r="L41" s="47">
        <f>CEILING(TBL_CalcDarwin[[#This Row],[Darwin Gusts
m/s]],0.5)</f>
        <v>10.5</v>
      </c>
      <c r="M4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</v>
      </c>
      <c r="N4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4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4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41" s="41">
        <f>INDEX(Curva_Temp[Temp],MATCH(TBL_CalcDarwin[[#This Row],[Darwin Temp.
°C]],Curva_Temp[Temp]))</f>
        <v>15</v>
      </c>
      <c r="R41" s="41">
        <f>INDEX(Curva_Temp[Warranted Power Curve for 
1.194Kg/m3 air density '[kW']
SG 5.0-145 (AM+1, 5.2MW) AT 
90M],MATCH(TBL_CalcDarwin[[#This Row],[Darwin Temp.
°C]],Curva_Temp[Temp]))</f>
        <v>5200</v>
      </c>
      <c r="S41" s="41" cm="1">
        <f t="array" ref="S41">INDEX(Curva_Temp[Temp],MATCH(TBL_CalcDarwin[[#This Row],[Darwin Temp.
°C]],Curva_Temp[Temp])+1)</f>
        <v>20</v>
      </c>
      <c r="T41" s="41" cm="1">
        <f t="array" ref="T41">INDEX(Curva_Temp[Warranted Power Curve for 
1.194Kg/m3 air density '[kW']
SG 5.0-145 (AM+1, 5.2MW) AT 
90M],MATCH(TBL_CalcDarwin[[#This Row],[Darwin Temp.
°C]],Curva_Temp[Temp])+1)</f>
        <v>5000</v>
      </c>
      <c r="U4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4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4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41" s="41">
        <f>INDEX(Curva_Temp[Temp],MATCH(TBL_CalcDarwin[[#This Row],[Darwin Temp.
°C]],Curva_Temp[Temp]))</f>
        <v>15</v>
      </c>
      <c r="Z41" s="41">
        <f>INDEX(Curva_Temp[Warranted Power Curve for 
1.194Kg/m3 air density '[kW']
SG 5.0-145 (AM 0, 5.0MW) AT 
90M],MATCH(TBL_CalcDarwin[[#This Row],[Darwin Temp.
°C]],Curva_Temp[Temp]))</f>
        <v>5000</v>
      </c>
      <c r="AA41" s="41" cm="1">
        <f t="array" ref="AA41">INDEX(Curva_Temp[Temp],MATCH(TBL_CalcDarwin[[#This Row],[Darwin Temp.
°C]],Curva_Temp[Temp])+1)</f>
        <v>20</v>
      </c>
      <c r="AB41" s="41" cm="1">
        <f t="array" ref="AB41">INDEX(Curva_Temp[Warranted Power Curve for 
1.194Kg/m3 air density '[kW']
SG 5.0-145 (AM 0, 5.0MW) AT 
90M],MATCH(TBL_CalcDarwin[[#This Row],[Darwin Temp.
°C]],Curva_Temp[Temp])+1)</f>
        <v>5000</v>
      </c>
      <c r="AC41" s="45">
        <f>HLOOKUP(TBL_CalcDarwin[[#This Row],[Fecha]],'Plantilla AEG ES'!$E$1:$HX$13,2,FALSE)</f>
        <v>6</v>
      </c>
      <c r="AD41" s="45">
        <f>HLOOKUP(TBL_CalcDarwin[[#This Row],[Fecha]],'Plantilla AEG ES'!$E$1:$HX$13,3,FALSE)</f>
        <v>7</v>
      </c>
      <c r="AE41" s="45">
        <f>HLOOKUP(TBL_CalcDarwin[[#This Row],[Fecha]],'Plantilla AEG ES'!$E$1:$HX$13,4,FALSE)</f>
        <v>10</v>
      </c>
      <c r="AF41" s="45">
        <f>HLOOKUP(TBL_CalcDarwin[[#This Row],[Fecha]],'Plantilla AEG ES'!$E$1:$HX$13,5,FALSE)</f>
        <v>2</v>
      </c>
      <c r="AG41" s="45">
        <f>HLOOKUP(TBL_CalcDarwin[[#This Row],[Fecha]],'Plantilla AEG ES'!$E$1:$HX$13,6,FALSE)</f>
        <v>1</v>
      </c>
      <c r="AH41" s="45">
        <f>HLOOKUP(TBL_CalcDarwin[[#This Row],[Fecha]],'Plantilla AEG ES'!$E$1:$HX$13,7,FALSE)</f>
        <v>0</v>
      </c>
      <c r="AI41" s="46">
        <f>HLOOKUP(TBL_CalcDarwin[[#This Row],[Fecha]],'Plantilla AEG ES'!$E$1:$HX$13,8,FALSE)</f>
        <v>0</v>
      </c>
      <c r="AJ41" s="46">
        <f>HLOOKUP(TBL_CalcDarwin[[#This Row],[Fecha]],'Plantilla AEG ES'!$E$1:$HX$13,9,FALSE)</f>
        <v>3</v>
      </c>
      <c r="AK41" s="46">
        <f>HLOOKUP(TBL_CalcDarwin[[#This Row],[Fecha]],'Plantilla AEG ES'!$E$1:$HX$13,10,FALSE)</f>
        <v>12</v>
      </c>
      <c r="AL41" s="46">
        <f>HLOOKUP(TBL_CalcDarwin[[#This Row],[Fecha]],'Plantilla AEG ES'!$E$1:$HX$13,11,FALSE)</f>
        <v>1</v>
      </c>
      <c r="AM41" s="46">
        <f>HLOOKUP(TBL_CalcDarwin[[#This Row],[Fecha]],'Plantilla AEG ES'!$E$1:$HX$13,12,FALSE)</f>
        <v>4</v>
      </c>
      <c r="AN41" s="46">
        <f>HLOOKUP(TBL_CalcDarwin[[#This Row],[Fecha]],'Plantilla AEG ES'!$E$1:$HX$13,13,FALSE)</f>
        <v>3</v>
      </c>
      <c r="AO41" s="37">
        <f>TBL_CalcDarwin[[#This Row],[Lomitas - Barra A - 5.2 - Cerro]]+TBL_CalcDarwin[[#This Row],[Lomitas - Barra A - 5.2 - Medio]]+TBL_CalcDarwin[[#This Row],[Lomitas - Barra A - 5.2 - Mar]]</f>
        <v>23</v>
      </c>
      <c r="AP4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82.06</v>
      </c>
      <c r="AR4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86.206999999999994</v>
      </c>
      <c r="AS41" s="37">
        <f>TBL_CalcDarwin[[#This Row],[Expansión - Barra A - 5.2 - Cerro]]+TBL_CalcDarwin[[#This Row],[Expansión - Barra A - 5.2 - Medio]]+TBL_CalcDarwin[[#This Row],[Expansión - Barra A - 5.2 - Mar]]</f>
        <v>3</v>
      </c>
      <c r="AT41" s="37">
        <f>TBL_CalcDarwin[[#This Row],[Expansión - Barra B - 5.2 - Cerro]]</f>
        <v>3</v>
      </c>
      <c r="AU4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7.3220000000000001</v>
      </c>
      <c r="AV41" s="29">
        <f>TBL_CalcDarwin[[#This Row],[Expansión - Barra B - 5.2 - Cerro]]*TBL_CalcDarwin[[#This Row],[AEG 5.2 MW Cerro]]</f>
        <v>5.9340000000000002</v>
      </c>
      <c r="AZ41" s="18"/>
      <c r="BA41" s="18"/>
      <c r="BB41" s="18"/>
      <c r="BC41" s="18"/>
      <c r="BD41" s="18"/>
      <c r="BE41" s="18"/>
      <c r="BF41" s="18"/>
      <c r="BM41" s="18">
        <v>10</v>
      </c>
      <c r="BN41" s="18" t="s">
        <v>10</v>
      </c>
      <c r="BO41" s="18">
        <v>690</v>
      </c>
      <c r="BP41" s="18">
        <v>10</v>
      </c>
      <c r="BQ41" s="18">
        <v>0.9</v>
      </c>
      <c r="BS41" s="18">
        <f>690*0.1</f>
        <v>69</v>
      </c>
      <c r="BU41" s="28">
        <f>BO41-BS41</f>
        <v>621</v>
      </c>
      <c r="BX41" s="18">
        <f>BS41*48</f>
        <v>3312</v>
      </c>
      <c r="CA41" s="18">
        <f>33000-BX41</f>
        <v>29688</v>
      </c>
    </row>
    <row r="42" spans="2:80" ht="12" x14ac:dyDescent="0.2">
      <c r="B42" s="55">
        <f t="shared" si="0"/>
        <v>45614.666666666577</v>
      </c>
      <c r="C42" s="17">
        <f t="shared" si="3"/>
        <v>1.6666666666666674</v>
      </c>
      <c r="D42" s="34">
        <f>TBL_CalcDarwin[[#This Row],[Darwin PLOM
MW]]+TBL_CalcDarwin[[#This Row],[Darwin PLOME
MW]]</f>
        <v>199.32300000000001</v>
      </c>
      <c r="E42" s="34">
        <f>TBL_CalcDarwin[[#This Row],[PLOM MW TOTAL BARRA A]]+TBL_CalcDarwin[[#This Row],[PLOM MW TOTAL BARRA B]]</f>
        <v>183.43600000000001</v>
      </c>
      <c r="F42" s="34">
        <f>TBL_CalcDarwin[[#This Row],[PLOME MW TOTAL BARRA A]]+TBL_CalcDarwin[[#This Row],[PLOME MW TOTAL BARRA B]]</f>
        <v>15.887</v>
      </c>
      <c r="G42" s="48">
        <f>'Plantilla Datos'!D47</f>
        <v>8.5</v>
      </c>
      <c r="H42" s="48">
        <f>'Plantilla Datos'!E47</f>
        <v>10.6</v>
      </c>
      <c r="I42" s="49">
        <f>'Plantilla Datos'!F47</f>
        <v>18.7</v>
      </c>
      <c r="J42" s="47">
        <f>CEILING('Plantilla Datos'!$L$3*TBL_CalcDarwin[[#This Row],[Darwin Gusts
m/s]],0.5)</f>
        <v>8</v>
      </c>
      <c r="K42" s="47">
        <f>CEILING('Plantilla Datos'!$L$4*TBL_CalcDarwin[[#This Row],[Darwin Gusts
m/s]],0.5)</f>
        <v>9.5</v>
      </c>
      <c r="L42" s="47">
        <f>CEILING(TBL_CalcDarwin[[#This Row],[Darwin Gusts
m/s]],0.5)</f>
        <v>11</v>
      </c>
      <c r="M4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5.0519999999999996</v>
      </c>
      <c r="N4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4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4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42" s="41">
        <f>INDEX(Curva_Temp[Temp],MATCH(TBL_CalcDarwin[[#This Row],[Darwin Temp.
°C]],Curva_Temp[Temp]))</f>
        <v>15</v>
      </c>
      <c r="R42" s="41">
        <f>INDEX(Curva_Temp[Warranted Power Curve for 
1.194Kg/m3 air density '[kW']
SG 5.0-145 (AM+1, 5.2MW) AT 
90M],MATCH(TBL_CalcDarwin[[#This Row],[Darwin Temp.
°C]],Curva_Temp[Temp]))</f>
        <v>5200</v>
      </c>
      <c r="S42" s="41" cm="1">
        <f t="array" ref="S42">INDEX(Curva_Temp[Temp],MATCH(TBL_CalcDarwin[[#This Row],[Darwin Temp.
°C]],Curva_Temp[Temp])+1)</f>
        <v>20</v>
      </c>
      <c r="T42" s="41" cm="1">
        <f t="array" ref="T42">INDEX(Curva_Temp[Warranted Power Curve for 
1.194Kg/m3 air density '[kW']
SG 5.0-145 (AM+1, 5.2MW) AT 
90M],MATCH(TBL_CalcDarwin[[#This Row],[Darwin Temp.
°C]],Curva_Temp[Temp])+1)</f>
        <v>5000</v>
      </c>
      <c r="U4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4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4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42" s="41">
        <f>INDEX(Curva_Temp[Temp],MATCH(TBL_CalcDarwin[[#This Row],[Darwin Temp.
°C]],Curva_Temp[Temp]))</f>
        <v>15</v>
      </c>
      <c r="Z42" s="41">
        <f>INDEX(Curva_Temp[Warranted Power Curve for 
1.194Kg/m3 air density '[kW']
SG 5.0-145 (AM 0, 5.0MW) AT 
90M],MATCH(TBL_CalcDarwin[[#This Row],[Darwin Temp.
°C]],Curva_Temp[Temp]))</f>
        <v>5000</v>
      </c>
      <c r="AA42" s="41" cm="1">
        <f t="array" ref="AA42">INDEX(Curva_Temp[Temp],MATCH(TBL_CalcDarwin[[#This Row],[Darwin Temp.
°C]],Curva_Temp[Temp])+1)</f>
        <v>20</v>
      </c>
      <c r="AB42" s="41" cm="1">
        <f t="array" ref="AB42">INDEX(Curva_Temp[Warranted Power Curve for 
1.194Kg/m3 air density '[kW']
SG 5.0-145 (AM 0, 5.0MW) AT 
90M],MATCH(TBL_CalcDarwin[[#This Row],[Darwin Temp.
°C]],Curva_Temp[Temp])+1)</f>
        <v>5000</v>
      </c>
      <c r="AC42" s="45">
        <f>HLOOKUP(TBL_CalcDarwin[[#This Row],[Fecha]],'Plantilla AEG ES'!$E$1:$HX$13,2,FALSE)</f>
        <v>6</v>
      </c>
      <c r="AD42" s="45">
        <f>HLOOKUP(TBL_CalcDarwin[[#This Row],[Fecha]],'Plantilla AEG ES'!$E$1:$HX$13,3,FALSE)</f>
        <v>7</v>
      </c>
      <c r="AE42" s="45">
        <f>HLOOKUP(TBL_CalcDarwin[[#This Row],[Fecha]],'Plantilla AEG ES'!$E$1:$HX$13,4,FALSE)</f>
        <v>10</v>
      </c>
      <c r="AF42" s="45">
        <f>HLOOKUP(TBL_CalcDarwin[[#This Row],[Fecha]],'Plantilla AEG ES'!$E$1:$HX$13,5,FALSE)</f>
        <v>2</v>
      </c>
      <c r="AG42" s="45">
        <f>HLOOKUP(TBL_CalcDarwin[[#This Row],[Fecha]],'Plantilla AEG ES'!$E$1:$HX$13,6,FALSE)</f>
        <v>1</v>
      </c>
      <c r="AH42" s="45">
        <f>HLOOKUP(TBL_CalcDarwin[[#This Row],[Fecha]],'Plantilla AEG ES'!$E$1:$HX$13,7,FALSE)</f>
        <v>0</v>
      </c>
      <c r="AI42" s="46">
        <f>HLOOKUP(TBL_CalcDarwin[[#This Row],[Fecha]],'Plantilla AEG ES'!$E$1:$HX$13,8,FALSE)</f>
        <v>0</v>
      </c>
      <c r="AJ42" s="46">
        <f>HLOOKUP(TBL_CalcDarwin[[#This Row],[Fecha]],'Plantilla AEG ES'!$E$1:$HX$13,9,FALSE)</f>
        <v>3</v>
      </c>
      <c r="AK42" s="46">
        <f>HLOOKUP(TBL_CalcDarwin[[#This Row],[Fecha]],'Plantilla AEG ES'!$E$1:$HX$13,10,FALSE)</f>
        <v>12</v>
      </c>
      <c r="AL42" s="46">
        <f>HLOOKUP(TBL_CalcDarwin[[#This Row],[Fecha]],'Plantilla AEG ES'!$E$1:$HX$13,11,FALSE)</f>
        <v>1</v>
      </c>
      <c r="AM42" s="46">
        <f>HLOOKUP(TBL_CalcDarwin[[#This Row],[Fecha]],'Plantilla AEG ES'!$E$1:$HX$13,12,FALSE)</f>
        <v>4</v>
      </c>
      <c r="AN42" s="46">
        <f>HLOOKUP(TBL_CalcDarwin[[#This Row],[Fecha]],'Plantilla AEG ES'!$E$1:$HX$13,13,FALSE)</f>
        <v>3</v>
      </c>
      <c r="AO42" s="37">
        <f>TBL_CalcDarwin[[#This Row],[Lomitas - Barra A - 5.2 - Cerro]]+TBL_CalcDarwin[[#This Row],[Lomitas - Barra A - 5.2 - Medio]]+TBL_CalcDarwin[[#This Row],[Lomitas - Barra A - 5.2 - Mar]]</f>
        <v>23</v>
      </c>
      <c r="AP4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90.908000000000001</v>
      </c>
      <c r="AR4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92.528000000000006</v>
      </c>
      <c r="AS42" s="37">
        <f>TBL_CalcDarwin[[#This Row],[Expansión - Barra A - 5.2 - Cerro]]+TBL_CalcDarwin[[#This Row],[Expansión - Barra A - 5.2 - Medio]]+TBL_CalcDarwin[[#This Row],[Expansión - Barra A - 5.2 - Mar]]</f>
        <v>3</v>
      </c>
      <c r="AT42" s="37">
        <f>TBL_CalcDarwin[[#This Row],[Expansión - Barra B - 5.2 - Cerro]]</f>
        <v>3</v>
      </c>
      <c r="AU4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8.66</v>
      </c>
      <c r="AV42" s="29">
        <f>TBL_CalcDarwin[[#This Row],[Expansión - Barra B - 5.2 - Cerro]]*TBL_CalcDarwin[[#This Row],[AEG 5.2 MW Cerro]]</f>
        <v>7.2269999999999994</v>
      </c>
      <c r="AZ42" s="18"/>
      <c r="BA42" s="18"/>
      <c r="BB42" s="18"/>
      <c r="BC42" s="18"/>
      <c r="BD42" s="18"/>
      <c r="BE42" s="18"/>
      <c r="BF42" s="18"/>
      <c r="BM42" s="18">
        <f>33*0.1</f>
        <v>3.3000000000000003</v>
      </c>
    </row>
    <row r="43" spans="2:80" ht="12" x14ac:dyDescent="0.2">
      <c r="B43" s="55">
        <f t="shared" si="0"/>
        <v>45614.708333333241</v>
      </c>
      <c r="C43" s="17">
        <f t="shared" si="3"/>
        <v>1.7083333333333341</v>
      </c>
      <c r="D43" s="34">
        <f>TBL_CalcDarwin[[#This Row],[Darwin PLOM
MW]]+TBL_CalcDarwin[[#This Row],[Darwin PLOME
MW]]</f>
        <v>199.32300000000001</v>
      </c>
      <c r="E43" s="34">
        <f>TBL_CalcDarwin[[#This Row],[PLOM MW TOTAL BARRA A]]+TBL_CalcDarwin[[#This Row],[PLOM MW TOTAL BARRA B]]</f>
        <v>183.43600000000001</v>
      </c>
      <c r="F43" s="34">
        <f>TBL_CalcDarwin[[#This Row],[PLOME MW TOTAL BARRA A]]+TBL_CalcDarwin[[#This Row],[PLOME MW TOTAL BARRA B]]</f>
        <v>15.887</v>
      </c>
      <c r="G43" s="48">
        <f>'Plantilla Datos'!D48</f>
        <v>8.6999999999999993</v>
      </c>
      <c r="H43" s="48">
        <f>'Plantilla Datos'!E48</f>
        <v>10.8</v>
      </c>
      <c r="I43" s="49">
        <f>'Plantilla Datos'!F48</f>
        <v>18.399999999999999</v>
      </c>
      <c r="J43" s="47">
        <f>CEILING('Plantilla Datos'!$L$3*TBL_CalcDarwin[[#This Row],[Darwin Gusts
m/s]],0.5)</f>
        <v>8</v>
      </c>
      <c r="K43" s="47">
        <f>CEILING('Plantilla Datos'!$L$4*TBL_CalcDarwin[[#This Row],[Darwin Gusts
m/s]],0.5)</f>
        <v>9.5</v>
      </c>
      <c r="L43" s="47">
        <f>CEILING(TBL_CalcDarwin[[#This Row],[Darwin Gusts
m/s]],0.5)</f>
        <v>11</v>
      </c>
      <c r="M4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5.0640000000000001</v>
      </c>
      <c r="N4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4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4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43" s="41">
        <f>INDEX(Curva_Temp[Temp],MATCH(TBL_CalcDarwin[[#This Row],[Darwin Temp.
°C]],Curva_Temp[Temp]))</f>
        <v>15</v>
      </c>
      <c r="R43" s="41">
        <f>INDEX(Curva_Temp[Warranted Power Curve for 
1.194Kg/m3 air density '[kW']
SG 5.0-145 (AM+1, 5.2MW) AT 
90M],MATCH(TBL_CalcDarwin[[#This Row],[Darwin Temp.
°C]],Curva_Temp[Temp]))</f>
        <v>5200</v>
      </c>
      <c r="S43" s="41" cm="1">
        <f t="array" ref="S43">INDEX(Curva_Temp[Temp],MATCH(TBL_CalcDarwin[[#This Row],[Darwin Temp.
°C]],Curva_Temp[Temp])+1)</f>
        <v>20</v>
      </c>
      <c r="T43" s="41" cm="1">
        <f t="array" ref="T43">INDEX(Curva_Temp[Warranted Power Curve for 
1.194Kg/m3 air density '[kW']
SG 5.0-145 (AM+1, 5.2MW) AT 
90M],MATCH(TBL_CalcDarwin[[#This Row],[Darwin Temp.
°C]],Curva_Temp[Temp])+1)</f>
        <v>5000</v>
      </c>
      <c r="U4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4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4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43" s="41">
        <f>INDEX(Curva_Temp[Temp],MATCH(TBL_CalcDarwin[[#This Row],[Darwin Temp.
°C]],Curva_Temp[Temp]))</f>
        <v>15</v>
      </c>
      <c r="Z43" s="41">
        <f>INDEX(Curva_Temp[Warranted Power Curve for 
1.194Kg/m3 air density '[kW']
SG 5.0-145 (AM 0, 5.0MW) AT 
90M],MATCH(TBL_CalcDarwin[[#This Row],[Darwin Temp.
°C]],Curva_Temp[Temp]))</f>
        <v>5000</v>
      </c>
      <c r="AA43" s="41" cm="1">
        <f t="array" ref="AA43">INDEX(Curva_Temp[Temp],MATCH(TBL_CalcDarwin[[#This Row],[Darwin Temp.
°C]],Curva_Temp[Temp])+1)</f>
        <v>20</v>
      </c>
      <c r="AB43" s="41" cm="1">
        <f t="array" ref="AB43">INDEX(Curva_Temp[Warranted Power Curve for 
1.194Kg/m3 air density '[kW']
SG 5.0-145 (AM 0, 5.0MW) AT 
90M],MATCH(TBL_CalcDarwin[[#This Row],[Darwin Temp.
°C]],Curva_Temp[Temp])+1)</f>
        <v>5000</v>
      </c>
      <c r="AC43" s="45">
        <f>HLOOKUP(TBL_CalcDarwin[[#This Row],[Fecha]],'Plantilla AEG ES'!$E$1:$HX$13,2,FALSE)</f>
        <v>6</v>
      </c>
      <c r="AD43" s="45">
        <f>HLOOKUP(TBL_CalcDarwin[[#This Row],[Fecha]],'Plantilla AEG ES'!$E$1:$HX$13,3,FALSE)</f>
        <v>7</v>
      </c>
      <c r="AE43" s="45">
        <f>HLOOKUP(TBL_CalcDarwin[[#This Row],[Fecha]],'Plantilla AEG ES'!$E$1:$HX$13,4,FALSE)</f>
        <v>10</v>
      </c>
      <c r="AF43" s="45">
        <f>HLOOKUP(TBL_CalcDarwin[[#This Row],[Fecha]],'Plantilla AEG ES'!$E$1:$HX$13,5,FALSE)</f>
        <v>2</v>
      </c>
      <c r="AG43" s="45">
        <f>HLOOKUP(TBL_CalcDarwin[[#This Row],[Fecha]],'Plantilla AEG ES'!$E$1:$HX$13,6,FALSE)</f>
        <v>1</v>
      </c>
      <c r="AH43" s="45">
        <f>HLOOKUP(TBL_CalcDarwin[[#This Row],[Fecha]],'Plantilla AEG ES'!$E$1:$HX$13,7,FALSE)</f>
        <v>0</v>
      </c>
      <c r="AI43" s="46">
        <f>HLOOKUP(TBL_CalcDarwin[[#This Row],[Fecha]],'Plantilla AEG ES'!$E$1:$HX$13,8,FALSE)</f>
        <v>0</v>
      </c>
      <c r="AJ43" s="46">
        <f>HLOOKUP(TBL_CalcDarwin[[#This Row],[Fecha]],'Plantilla AEG ES'!$E$1:$HX$13,9,FALSE)</f>
        <v>3</v>
      </c>
      <c r="AK43" s="46">
        <f>HLOOKUP(TBL_CalcDarwin[[#This Row],[Fecha]],'Plantilla AEG ES'!$E$1:$HX$13,10,FALSE)</f>
        <v>12</v>
      </c>
      <c r="AL43" s="46">
        <f>HLOOKUP(TBL_CalcDarwin[[#This Row],[Fecha]],'Plantilla AEG ES'!$E$1:$HX$13,11,FALSE)</f>
        <v>1</v>
      </c>
      <c r="AM43" s="46">
        <f>HLOOKUP(TBL_CalcDarwin[[#This Row],[Fecha]],'Plantilla AEG ES'!$E$1:$HX$13,12,FALSE)</f>
        <v>4</v>
      </c>
      <c r="AN43" s="46">
        <f>HLOOKUP(TBL_CalcDarwin[[#This Row],[Fecha]],'Plantilla AEG ES'!$E$1:$HX$13,13,FALSE)</f>
        <v>3</v>
      </c>
      <c r="AO43" s="37">
        <f>TBL_CalcDarwin[[#This Row],[Lomitas - Barra A - 5.2 - Cerro]]+TBL_CalcDarwin[[#This Row],[Lomitas - Barra A - 5.2 - Medio]]+TBL_CalcDarwin[[#This Row],[Lomitas - Barra A - 5.2 - Mar]]</f>
        <v>23</v>
      </c>
      <c r="AP4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90.908000000000001</v>
      </c>
      <c r="AR4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92.528000000000006</v>
      </c>
      <c r="AS43" s="37">
        <f>TBL_CalcDarwin[[#This Row],[Expansión - Barra A - 5.2 - Cerro]]+TBL_CalcDarwin[[#This Row],[Expansión - Barra A - 5.2 - Medio]]+TBL_CalcDarwin[[#This Row],[Expansión - Barra A - 5.2 - Mar]]</f>
        <v>3</v>
      </c>
      <c r="AT43" s="37">
        <f>TBL_CalcDarwin[[#This Row],[Expansión - Barra B - 5.2 - Cerro]]</f>
        <v>3</v>
      </c>
      <c r="AU4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8.66</v>
      </c>
      <c r="AV43" s="29">
        <f>TBL_CalcDarwin[[#This Row],[Expansión - Barra B - 5.2 - Cerro]]*TBL_CalcDarwin[[#This Row],[AEG 5.2 MW Cerro]]</f>
        <v>7.2269999999999994</v>
      </c>
      <c r="AZ43" s="18"/>
      <c r="BA43" s="18"/>
      <c r="BB43" s="18"/>
      <c r="BC43" s="18"/>
      <c r="BD43" s="18"/>
      <c r="BE43" s="18"/>
      <c r="BF43" s="18"/>
    </row>
    <row r="44" spans="2:80" ht="12" x14ac:dyDescent="0.2">
      <c r="B44" s="55">
        <f t="shared" si="0"/>
        <v>45614.749999999905</v>
      </c>
      <c r="C44" s="17">
        <f t="shared" si="3"/>
        <v>1.7500000000000009</v>
      </c>
      <c r="D44" s="34">
        <f>TBL_CalcDarwin[[#This Row],[Darwin PLOM
MW]]+TBL_CalcDarwin[[#This Row],[Darwin PLOME
MW]]</f>
        <v>199.32300000000001</v>
      </c>
      <c r="E44" s="34">
        <f>TBL_CalcDarwin[[#This Row],[PLOM MW TOTAL BARRA A]]+TBL_CalcDarwin[[#This Row],[PLOM MW TOTAL BARRA B]]</f>
        <v>183.43600000000001</v>
      </c>
      <c r="F44" s="34">
        <f>TBL_CalcDarwin[[#This Row],[PLOME MW TOTAL BARRA A]]+TBL_CalcDarwin[[#This Row],[PLOME MW TOTAL BARRA B]]</f>
        <v>15.887</v>
      </c>
      <c r="G44" s="48">
        <f>'Plantilla Datos'!D49</f>
        <v>8.8000000000000007</v>
      </c>
      <c r="H44" s="48">
        <f>'Plantilla Datos'!E49</f>
        <v>11</v>
      </c>
      <c r="I44" s="49">
        <f>'Plantilla Datos'!F49</f>
        <v>18</v>
      </c>
      <c r="J44" s="47">
        <f>CEILING('Plantilla Datos'!$L$3*TBL_CalcDarwin[[#This Row],[Darwin Gusts
m/s]],0.5)</f>
        <v>8</v>
      </c>
      <c r="K44" s="47">
        <f>CEILING('Plantilla Datos'!$L$4*TBL_CalcDarwin[[#This Row],[Darwin Gusts
m/s]],0.5)</f>
        <v>9.5</v>
      </c>
      <c r="L44" s="47">
        <f>CEILING(TBL_CalcDarwin[[#This Row],[Darwin Gusts
m/s]],0.5)</f>
        <v>11</v>
      </c>
      <c r="M4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</v>
      </c>
      <c r="N4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4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4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44" s="41">
        <f>INDEX(Curva_Temp[Temp],MATCH(TBL_CalcDarwin[[#This Row],[Darwin Temp.
°C]],Curva_Temp[Temp]))</f>
        <v>15</v>
      </c>
      <c r="R44" s="41">
        <f>INDEX(Curva_Temp[Warranted Power Curve for 
1.194Kg/m3 air density '[kW']
SG 5.0-145 (AM+1, 5.2MW) AT 
90M],MATCH(TBL_CalcDarwin[[#This Row],[Darwin Temp.
°C]],Curva_Temp[Temp]))</f>
        <v>5200</v>
      </c>
      <c r="S44" s="41" cm="1">
        <f t="array" ref="S44">INDEX(Curva_Temp[Temp],MATCH(TBL_CalcDarwin[[#This Row],[Darwin Temp.
°C]],Curva_Temp[Temp])+1)</f>
        <v>20</v>
      </c>
      <c r="T44" s="41" cm="1">
        <f t="array" ref="T44">INDEX(Curva_Temp[Warranted Power Curve for 
1.194Kg/m3 air density '[kW']
SG 5.0-145 (AM+1, 5.2MW) AT 
90M],MATCH(TBL_CalcDarwin[[#This Row],[Darwin Temp.
°C]],Curva_Temp[Temp])+1)</f>
        <v>5000</v>
      </c>
      <c r="U4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4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4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44" s="41">
        <f>INDEX(Curva_Temp[Temp],MATCH(TBL_CalcDarwin[[#This Row],[Darwin Temp.
°C]],Curva_Temp[Temp]))</f>
        <v>15</v>
      </c>
      <c r="Z44" s="41">
        <f>INDEX(Curva_Temp[Warranted Power Curve for 
1.194Kg/m3 air density '[kW']
SG 5.0-145 (AM 0, 5.0MW) AT 
90M],MATCH(TBL_CalcDarwin[[#This Row],[Darwin Temp.
°C]],Curva_Temp[Temp]))</f>
        <v>5000</v>
      </c>
      <c r="AA44" s="41" cm="1">
        <f t="array" ref="AA44">INDEX(Curva_Temp[Temp],MATCH(TBL_CalcDarwin[[#This Row],[Darwin Temp.
°C]],Curva_Temp[Temp])+1)</f>
        <v>20</v>
      </c>
      <c r="AB44" s="41" cm="1">
        <f t="array" ref="AB44">INDEX(Curva_Temp[Warranted Power Curve for 
1.194Kg/m3 air density '[kW']
SG 5.0-145 (AM 0, 5.0MW) AT 
90M],MATCH(TBL_CalcDarwin[[#This Row],[Darwin Temp.
°C]],Curva_Temp[Temp])+1)</f>
        <v>5000</v>
      </c>
      <c r="AC44" s="45">
        <f>HLOOKUP(TBL_CalcDarwin[[#This Row],[Fecha]],'Plantilla AEG ES'!$E$1:$HX$13,2,FALSE)</f>
        <v>6</v>
      </c>
      <c r="AD44" s="45">
        <f>HLOOKUP(TBL_CalcDarwin[[#This Row],[Fecha]],'Plantilla AEG ES'!$E$1:$HX$13,3,FALSE)</f>
        <v>7</v>
      </c>
      <c r="AE44" s="45">
        <f>HLOOKUP(TBL_CalcDarwin[[#This Row],[Fecha]],'Plantilla AEG ES'!$E$1:$HX$13,4,FALSE)</f>
        <v>10</v>
      </c>
      <c r="AF44" s="45">
        <f>HLOOKUP(TBL_CalcDarwin[[#This Row],[Fecha]],'Plantilla AEG ES'!$E$1:$HX$13,5,FALSE)</f>
        <v>2</v>
      </c>
      <c r="AG44" s="45">
        <f>HLOOKUP(TBL_CalcDarwin[[#This Row],[Fecha]],'Plantilla AEG ES'!$E$1:$HX$13,6,FALSE)</f>
        <v>1</v>
      </c>
      <c r="AH44" s="45">
        <f>HLOOKUP(TBL_CalcDarwin[[#This Row],[Fecha]],'Plantilla AEG ES'!$E$1:$HX$13,7,FALSE)</f>
        <v>0</v>
      </c>
      <c r="AI44" s="46">
        <f>HLOOKUP(TBL_CalcDarwin[[#This Row],[Fecha]],'Plantilla AEG ES'!$E$1:$HX$13,8,FALSE)</f>
        <v>0</v>
      </c>
      <c r="AJ44" s="46">
        <f>HLOOKUP(TBL_CalcDarwin[[#This Row],[Fecha]],'Plantilla AEG ES'!$E$1:$HX$13,9,FALSE)</f>
        <v>3</v>
      </c>
      <c r="AK44" s="46">
        <f>HLOOKUP(TBL_CalcDarwin[[#This Row],[Fecha]],'Plantilla AEG ES'!$E$1:$HX$13,10,FALSE)</f>
        <v>12</v>
      </c>
      <c r="AL44" s="46">
        <f>HLOOKUP(TBL_CalcDarwin[[#This Row],[Fecha]],'Plantilla AEG ES'!$E$1:$HX$13,11,FALSE)</f>
        <v>1</v>
      </c>
      <c r="AM44" s="46">
        <f>HLOOKUP(TBL_CalcDarwin[[#This Row],[Fecha]],'Plantilla AEG ES'!$E$1:$HX$13,12,FALSE)</f>
        <v>4</v>
      </c>
      <c r="AN44" s="46">
        <f>HLOOKUP(TBL_CalcDarwin[[#This Row],[Fecha]],'Plantilla AEG ES'!$E$1:$HX$13,13,FALSE)</f>
        <v>3</v>
      </c>
      <c r="AO44" s="37">
        <f>TBL_CalcDarwin[[#This Row],[Lomitas - Barra A - 5.2 - Cerro]]+TBL_CalcDarwin[[#This Row],[Lomitas - Barra A - 5.2 - Medio]]+TBL_CalcDarwin[[#This Row],[Lomitas - Barra A - 5.2 - Mar]]</f>
        <v>23</v>
      </c>
      <c r="AP4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90.908000000000001</v>
      </c>
      <c r="AR4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92.528000000000006</v>
      </c>
      <c r="AS44" s="37">
        <f>TBL_CalcDarwin[[#This Row],[Expansión - Barra A - 5.2 - Cerro]]+TBL_CalcDarwin[[#This Row],[Expansión - Barra A - 5.2 - Medio]]+TBL_CalcDarwin[[#This Row],[Expansión - Barra A - 5.2 - Mar]]</f>
        <v>3</v>
      </c>
      <c r="AT44" s="37">
        <f>TBL_CalcDarwin[[#This Row],[Expansión - Barra B - 5.2 - Cerro]]</f>
        <v>3</v>
      </c>
      <c r="AU4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8.66</v>
      </c>
      <c r="AV44" s="29">
        <f>TBL_CalcDarwin[[#This Row],[Expansión - Barra B - 5.2 - Cerro]]*TBL_CalcDarwin[[#This Row],[AEG 5.2 MW Cerro]]</f>
        <v>7.2269999999999994</v>
      </c>
      <c r="AZ44" s="18"/>
      <c r="BA44" s="18"/>
      <c r="BB44" s="18"/>
      <c r="BC44" s="18"/>
      <c r="BD44" s="18"/>
      <c r="BE44" s="18"/>
      <c r="BF44" s="18"/>
    </row>
    <row r="45" spans="2:80" ht="12" x14ac:dyDescent="0.2">
      <c r="B45" s="55">
        <f t="shared" si="0"/>
        <v>45614.79166666657</v>
      </c>
      <c r="C45" s="17">
        <f t="shared" si="3"/>
        <v>1.7916666666666676</v>
      </c>
      <c r="D45" s="34">
        <f>TBL_CalcDarwin[[#This Row],[Darwin PLOM
MW]]+TBL_CalcDarwin[[#This Row],[Darwin PLOME
MW]]</f>
        <v>213.613</v>
      </c>
      <c r="E45" s="34">
        <f>TBL_CalcDarwin[[#This Row],[PLOM MW TOTAL BARRA A]]+TBL_CalcDarwin[[#This Row],[PLOM MW TOTAL BARRA B]]</f>
        <v>194.93899999999999</v>
      </c>
      <c r="F45" s="34">
        <f>TBL_CalcDarwin[[#This Row],[PLOME MW TOTAL BARRA A]]+TBL_CalcDarwin[[#This Row],[PLOME MW TOTAL BARRA B]]</f>
        <v>18.673999999999999</v>
      </c>
      <c r="G45" s="48">
        <f>'Plantilla Datos'!D50</f>
        <v>9</v>
      </c>
      <c r="H45" s="48">
        <f>'Plantilla Datos'!E50</f>
        <v>11.2</v>
      </c>
      <c r="I45" s="49">
        <f>'Plantilla Datos'!F50</f>
        <v>17.399999999999999</v>
      </c>
      <c r="J45" s="47">
        <f>CEILING('Plantilla Datos'!$L$3*TBL_CalcDarwin[[#This Row],[Darwin Gusts
m/s]],0.5)</f>
        <v>8.5</v>
      </c>
      <c r="K45" s="47">
        <f>CEILING('Plantilla Datos'!$L$4*TBL_CalcDarwin[[#This Row],[Darwin Gusts
m/s]],0.5)</f>
        <v>10</v>
      </c>
      <c r="L45" s="47">
        <f>CEILING(TBL_CalcDarwin[[#This Row],[Darwin Gusts
m/s]],0.5)</f>
        <v>11.5</v>
      </c>
      <c r="M4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4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4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4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5.1040000000000001</v>
      </c>
      <c r="Q45" s="41">
        <f>INDEX(Curva_Temp[Temp],MATCH(TBL_CalcDarwin[[#This Row],[Darwin Temp.
°C]],Curva_Temp[Temp]))</f>
        <v>15</v>
      </c>
      <c r="R45" s="41">
        <f>INDEX(Curva_Temp[Warranted Power Curve for 
1.194Kg/m3 air density '[kW']
SG 5.0-145 (AM+1, 5.2MW) AT 
90M],MATCH(TBL_CalcDarwin[[#This Row],[Darwin Temp.
°C]],Curva_Temp[Temp]))</f>
        <v>5200</v>
      </c>
      <c r="S45" s="41" cm="1">
        <f t="array" ref="S45">INDEX(Curva_Temp[Temp],MATCH(TBL_CalcDarwin[[#This Row],[Darwin Temp.
°C]],Curva_Temp[Temp])+1)</f>
        <v>20</v>
      </c>
      <c r="T45" s="41" cm="1">
        <f t="array" ref="T45">INDEX(Curva_Temp[Warranted Power Curve for 
1.194Kg/m3 air density '[kW']
SG 5.0-145 (AM+1, 5.2MW) AT 
90M],MATCH(TBL_CalcDarwin[[#This Row],[Darwin Temp.
°C]],Curva_Temp[Temp])+1)</f>
        <v>5000</v>
      </c>
      <c r="U4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4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4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45" s="41">
        <f>INDEX(Curva_Temp[Temp],MATCH(TBL_CalcDarwin[[#This Row],[Darwin Temp.
°C]],Curva_Temp[Temp]))</f>
        <v>15</v>
      </c>
      <c r="Z45" s="41">
        <f>INDEX(Curva_Temp[Warranted Power Curve for 
1.194Kg/m3 air density '[kW']
SG 5.0-145 (AM 0, 5.0MW) AT 
90M],MATCH(TBL_CalcDarwin[[#This Row],[Darwin Temp.
°C]],Curva_Temp[Temp]))</f>
        <v>5000</v>
      </c>
      <c r="AA45" s="41" cm="1">
        <f t="array" ref="AA45">INDEX(Curva_Temp[Temp],MATCH(TBL_CalcDarwin[[#This Row],[Darwin Temp.
°C]],Curva_Temp[Temp])+1)</f>
        <v>20</v>
      </c>
      <c r="AB45" s="41" cm="1">
        <f t="array" ref="AB45">INDEX(Curva_Temp[Warranted Power Curve for 
1.194Kg/m3 air density '[kW']
SG 5.0-145 (AM 0, 5.0MW) AT 
90M],MATCH(TBL_CalcDarwin[[#This Row],[Darwin Temp.
°C]],Curva_Temp[Temp])+1)</f>
        <v>5000</v>
      </c>
      <c r="AC45" s="45">
        <f>HLOOKUP(TBL_CalcDarwin[[#This Row],[Fecha]],'Plantilla AEG ES'!$E$1:$HX$13,2,FALSE)</f>
        <v>6</v>
      </c>
      <c r="AD45" s="45">
        <f>HLOOKUP(TBL_CalcDarwin[[#This Row],[Fecha]],'Plantilla AEG ES'!$E$1:$HX$13,3,FALSE)</f>
        <v>7</v>
      </c>
      <c r="AE45" s="45">
        <f>HLOOKUP(TBL_CalcDarwin[[#This Row],[Fecha]],'Plantilla AEG ES'!$E$1:$HX$13,4,FALSE)</f>
        <v>10</v>
      </c>
      <c r="AF45" s="45">
        <f>HLOOKUP(TBL_CalcDarwin[[#This Row],[Fecha]],'Plantilla AEG ES'!$E$1:$HX$13,5,FALSE)</f>
        <v>2</v>
      </c>
      <c r="AG45" s="45">
        <f>HLOOKUP(TBL_CalcDarwin[[#This Row],[Fecha]],'Plantilla AEG ES'!$E$1:$HX$13,6,FALSE)</f>
        <v>1</v>
      </c>
      <c r="AH45" s="45">
        <f>HLOOKUP(TBL_CalcDarwin[[#This Row],[Fecha]],'Plantilla AEG ES'!$E$1:$HX$13,7,FALSE)</f>
        <v>0</v>
      </c>
      <c r="AI45" s="46">
        <f>HLOOKUP(TBL_CalcDarwin[[#This Row],[Fecha]],'Plantilla AEG ES'!$E$1:$HX$13,8,FALSE)</f>
        <v>0</v>
      </c>
      <c r="AJ45" s="46">
        <f>HLOOKUP(TBL_CalcDarwin[[#This Row],[Fecha]],'Plantilla AEG ES'!$E$1:$HX$13,9,FALSE)</f>
        <v>3</v>
      </c>
      <c r="AK45" s="46">
        <f>HLOOKUP(TBL_CalcDarwin[[#This Row],[Fecha]],'Plantilla AEG ES'!$E$1:$HX$13,10,FALSE)</f>
        <v>12</v>
      </c>
      <c r="AL45" s="46">
        <f>HLOOKUP(TBL_CalcDarwin[[#This Row],[Fecha]],'Plantilla AEG ES'!$E$1:$HX$13,11,FALSE)</f>
        <v>1</v>
      </c>
      <c r="AM45" s="46">
        <f>HLOOKUP(TBL_CalcDarwin[[#This Row],[Fecha]],'Plantilla AEG ES'!$E$1:$HX$13,12,FALSE)</f>
        <v>4</v>
      </c>
      <c r="AN45" s="46">
        <f>HLOOKUP(TBL_CalcDarwin[[#This Row],[Fecha]],'Plantilla AEG ES'!$E$1:$HX$13,13,FALSE)</f>
        <v>3</v>
      </c>
      <c r="AO45" s="37">
        <f>TBL_CalcDarwin[[#This Row],[Lomitas - Barra A - 5.2 - Cerro]]+TBL_CalcDarwin[[#This Row],[Lomitas - Barra A - 5.2 - Medio]]+TBL_CalcDarwin[[#This Row],[Lomitas - Barra A - 5.2 - Mar]]</f>
        <v>23</v>
      </c>
      <c r="AP4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98.295999999999992</v>
      </c>
      <c r="AR4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96.643000000000001</v>
      </c>
      <c r="AS45" s="37">
        <f>TBL_CalcDarwin[[#This Row],[Expansión - Barra A - 5.2 - Cerro]]+TBL_CalcDarwin[[#This Row],[Expansión - Barra A - 5.2 - Medio]]+TBL_CalcDarwin[[#This Row],[Expansión - Barra A - 5.2 - Mar]]</f>
        <v>3</v>
      </c>
      <c r="AT45" s="37">
        <f>TBL_CalcDarwin[[#This Row],[Expansión - Barra B - 5.2 - Cerro]]</f>
        <v>3</v>
      </c>
      <c r="AU4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10.039999999999999</v>
      </c>
      <c r="AV45" s="29">
        <f>TBL_CalcDarwin[[#This Row],[Expansión - Barra B - 5.2 - Cerro]]*TBL_CalcDarwin[[#This Row],[AEG 5.2 MW Cerro]]</f>
        <v>8.6340000000000003</v>
      </c>
      <c r="AZ45" s="18"/>
      <c r="BA45" s="18"/>
      <c r="BB45" s="18"/>
      <c r="BC45" s="18"/>
      <c r="BD45" s="18"/>
      <c r="BE45" s="18"/>
      <c r="BF45" s="18"/>
      <c r="BQ45" s="18">
        <v>690</v>
      </c>
      <c r="BS45" s="18">
        <f>BQ45/BQ46</f>
        <v>2.0909090909090908E-2</v>
      </c>
      <c r="BU45" s="18">
        <f>BQ46/BQ45</f>
        <v>47.826086956521742</v>
      </c>
      <c r="CB45" s="18">
        <f>33000*1.13</f>
        <v>37290</v>
      </c>
    </row>
    <row r="46" spans="2:80" ht="12" x14ac:dyDescent="0.2">
      <c r="B46" s="55">
        <f t="shared" si="0"/>
        <v>45614.833333333234</v>
      </c>
      <c r="C46" s="17">
        <f t="shared" si="3"/>
        <v>1.8333333333333344</v>
      </c>
      <c r="D46" s="34">
        <f>TBL_CalcDarwin[[#This Row],[Darwin PLOM
MW]]+TBL_CalcDarwin[[#This Row],[Darwin PLOME
MW]]</f>
        <v>199.32300000000001</v>
      </c>
      <c r="E46" s="34">
        <f>TBL_CalcDarwin[[#This Row],[PLOM MW TOTAL BARRA A]]+TBL_CalcDarwin[[#This Row],[PLOM MW TOTAL BARRA B]]</f>
        <v>183.43600000000001</v>
      </c>
      <c r="F46" s="34">
        <f>TBL_CalcDarwin[[#This Row],[PLOME MW TOTAL BARRA A]]+TBL_CalcDarwin[[#This Row],[PLOME MW TOTAL BARRA B]]</f>
        <v>15.887</v>
      </c>
      <c r="G46" s="48">
        <f>'Plantilla Datos'!D51</f>
        <v>8.6999999999999993</v>
      </c>
      <c r="H46" s="48">
        <f>'Plantilla Datos'!E51</f>
        <v>10.9</v>
      </c>
      <c r="I46" s="49">
        <f>'Plantilla Datos'!F51</f>
        <v>17.3</v>
      </c>
      <c r="J46" s="47">
        <f>CEILING('Plantilla Datos'!$L$3*TBL_CalcDarwin[[#This Row],[Darwin Gusts
m/s]],0.5)</f>
        <v>8</v>
      </c>
      <c r="K46" s="47">
        <f>CEILING('Plantilla Datos'!$L$4*TBL_CalcDarwin[[#This Row],[Darwin Gusts
m/s]],0.5)</f>
        <v>9.5</v>
      </c>
      <c r="L46" s="47">
        <f>CEILING(TBL_CalcDarwin[[#This Row],[Darwin Gusts
m/s]],0.5)</f>
        <v>11</v>
      </c>
      <c r="M4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4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4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4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46" s="41">
        <f>INDEX(Curva_Temp[Temp],MATCH(TBL_CalcDarwin[[#This Row],[Darwin Temp.
°C]],Curva_Temp[Temp]))</f>
        <v>15</v>
      </c>
      <c r="R46" s="41">
        <f>INDEX(Curva_Temp[Warranted Power Curve for 
1.194Kg/m3 air density '[kW']
SG 5.0-145 (AM+1, 5.2MW) AT 
90M],MATCH(TBL_CalcDarwin[[#This Row],[Darwin Temp.
°C]],Curva_Temp[Temp]))</f>
        <v>5200</v>
      </c>
      <c r="S46" s="41" cm="1">
        <f t="array" ref="S46">INDEX(Curva_Temp[Temp],MATCH(TBL_CalcDarwin[[#This Row],[Darwin Temp.
°C]],Curva_Temp[Temp])+1)</f>
        <v>20</v>
      </c>
      <c r="T46" s="41" cm="1">
        <f t="array" ref="T46">INDEX(Curva_Temp[Warranted Power Curve for 
1.194Kg/m3 air density '[kW']
SG 5.0-145 (AM+1, 5.2MW) AT 
90M],MATCH(TBL_CalcDarwin[[#This Row],[Darwin Temp.
°C]],Curva_Temp[Temp])+1)</f>
        <v>5000</v>
      </c>
      <c r="U4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4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4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46" s="41">
        <f>INDEX(Curva_Temp[Temp],MATCH(TBL_CalcDarwin[[#This Row],[Darwin Temp.
°C]],Curva_Temp[Temp]))</f>
        <v>15</v>
      </c>
      <c r="Z46" s="41">
        <f>INDEX(Curva_Temp[Warranted Power Curve for 
1.194Kg/m3 air density '[kW']
SG 5.0-145 (AM 0, 5.0MW) AT 
90M],MATCH(TBL_CalcDarwin[[#This Row],[Darwin Temp.
°C]],Curva_Temp[Temp]))</f>
        <v>5000</v>
      </c>
      <c r="AA46" s="41" cm="1">
        <f t="array" ref="AA46">INDEX(Curva_Temp[Temp],MATCH(TBL_CalcDarwin[[#This Row],[Darwin Temp.
°C]],Curva_Temp[Temp])+1)</f>
        <v>20</v>
      </c>
      <c r="AB46" s="41" cm="1">
        <f t="array" ref="AB46">INDEX(Curva_Temp[Warranted Power Curve for 
1.194Kg/m3 air density '[kW']
SG 5.0-145 (AM 0, 5.0MW) AT 
90M],MATCH(TBL_CalcDarwin[[#This Row],[Darwin Temp.
°C]],Curva_Temp[Temp])+1)</f>
        <v>5000</v>
      </c>
      <c r="AC46" s="45">
        <f>HLOOKUP(TBL_CalcDarwin[[#This Row],[Fecha]],'Plantilla AEG ES'!$E$1:$HX$13,2,FALSE)</f>
        <v>6</v>
      </c>
      <c r="AD46" s="45">
        <f>HLOOKUP(TBL_CalcDarwin[[#This Row],[Fecha]],'Plantilla AEG ES'!$E$1:$HX$13,3,FALSE)</f>
        <v>7</v>
      </c>
      <c r="AE46" s="45">
        <f>HLOOKUP(TBL_CalcDarwin[[#This Row],[Fecha]],'Plantilla AEG ES'!$E$1:$HX$13,4,FALSE)</f>
        <v>10</v>
      </c>
      <c r="AF46" s="45">
        <f>HLOOKUP(TBL_CalcDarwin[[#This Row],[Fecha]],'Plantilla AEG ES'!$E$1:$HX$13,5,FALSE)</f>
        <v>2</v>
      </c>
      <c r="AG46" s="45">
        <f>HLOOKUP(TBL_CalcDarwin[[#This Row],[Fecha]],'Plantilla AEG ES'!$E$1:$HX$13,6,FALSE)</f>
        <v>1</v>
      </c>
      <c r="AH46" s="45">
        <f>HLOOKUP(TBL_CalcDarwin[[#This Row],[Fecha]],'Plantilla AEG ES'!$E$1:$HX$13,7,FALSE)</f>
        <v>0</v>
      </c>
      <c r="AI46" s="46">
        <f>HLOOKUP(TBL_CalcDarwin[[#This Row],[Fecha]],'Plantilla AEG ES'!$E$1:$HX$13,8,FALSE)</f>
        <v>0</v>
      </c>
      <c r="AJ46" s="46">
        <f>HLOOKUP(TBL_CalcDarwin[[#This Row],[Fecha]],'Plantilla AEG ES'!$E$1:$HX$13,9,FALSE)</f>
        <v>3</v>
      </c>
      <c r="AK46" s="46">
        <f>HLOOKUP(TBL_CalcDarwin[[#This Row],[Fecha]],'Plantilla AEG ES'!$E$1:$HX$13,10,FALSE)</f>
        <v>12</v>
      </c>
      <c r="AL46" s="46">
        <f>HLOOKUP(TBL_CalcDarwin[[#This Row],[Fecha]],'Plantilla AEG ES'!$E$1:$HX$13,11,FALSE)</f>
        <v>1</v>
      </c>
      <c r="AM46" s="46">
        <f>HLOOKUP(TBL_CalcDarwin[[#This Row],[Fecha]],'Plantilla AEG ES'!$E$1:$HX$13,12,FALSE)</f>
        <v>4</v>
      </c>
      <c r="AN46" s="46">
        <f>HLOOKUP(TBL_CalcDarwin[[#This Row],[Fecha]],'Plantilla AEG ES'!$E$1:$HX$13,13,FALSE)</f>
        <v>3</v>
      </c>
      <c r="AO46" s="37">
        <f>TBL_CalcDarwin[[#This Row],[Lomitas - Barra A - 5.2 - Cerro]]+TBL_CalcDarwin[[#This Row],[Lomitas - Barra A - 5.2 - Medio]]+TBL_CalcDarwin[[#This Row],[Lomitas - Barra A - 5.2 - Mar]]</f>
        <v>23</v>
      </c>
      <c r="AP4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90.908000000000001</v>
      </c>
      <c r="AR4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92.528000000000006</v>
      </c>
      <c r="AS46" s="37">
        <f>TBL_CalcDarwin[[#This Row],[Expansión - Barra A - 5.2 - Cerro]]+TBL_CalcDarwin[[#This Row],[Expansión - Barra A - 5.2 - Medio]]+TBL_CalcDarwin[[#This Row],[Expansión - Barra A - 5.2 - Mar]]</f>
        <v>3</v>
      </c>
      <c r="AT46" s="37">
        <f>TBL_CalcDarwin[[#This Row],[Expansión - Barra B - 5.2 - Cerro]]</f>
        <v>3</v>
      </c>
      <c r="AU4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8.66</v>
      </c>
      <c r="AV46" s="29">
        <f>TBL_CalcDarwin[[#This Row],[Expansión - Barra B - 5.2 - Cerro]]*TBL_CalcDarwin[[#This Row],[AEG 5.2 MW Cerro]]</f>
        <v>7.2269999999999994</v>
      </c>
      <c r="AZ46" s="18"/>
      <c r="BA46" s="18"/>
      <c r="BB46" s="18"/>
      <c r="BC46" s="18"/>
      <c r="BD46" s="18"/>
      <c r="BE46" s="18"/>
      <c r="BF46" s="18"/>
      <c r="BQ46" s="18">
        <v>33000</v>
      </c>
      <c r="CB46" s="18">
        <f>33000*0.9</f>
        <v>29700</v>
      </c>
    </row>
    <row r="47" spans="2:80" ht="12" x14ac:dyDescent="0.2">
      <c r="B47" s="55">
        <f t="shared" si="0"/>
        <v>45614.874999999898</v>
      </c>
      <c r="C47" s="17">
        <f>C46+TIME(1,0,0)</f>
        <v>1.8750000000000011</v>
      </c>
      <c r="D47" s="34">
        <f>TBL_CalcDarwin[[#This Row],[Darwin PLOM
MW]]+TBL_CalcDarwin[[#This Row],[Darwin PLOME
MW]]</f>
        <v>199.32300000000001</v>
      </c>
      <c r="E47" s="34">
        <f>TBL_CalcDarwin[[#This Row],[PLOM MW TOTAL BARRA A]]+TBL_CalcDarwin[[#This Row],[PLOM MW TOTAL BARRA B]]</f>
        <v>183.43600000000001</v>
      </c>
      <c r="F47" s="34">
        <f>TBL_CalcDarwin[[#This Row],[PLOME MW TOTAL BARRA A]]+TBL_CalcDarwin[[#This Row],[PLOME MW TOTAL BARRA B]]</f>
        <v>15.887</v>
      </c>
      <c r="G47" s="48">
        <f>'Plantilla Datos'!D52</f>
        <v>8.5</v>
      </c>
      <c r="H47" s="48">
        <f>'Plantilla Datos'!E52</f>
        <v>10.6</v>
      </c>
      <c r="I47" s="49">
        <f>'Plantilla Datos'!F52</f>
        <v>17.100000000000001</v>
      </c>
      <c r="J47" s="47">
        <f>CEILING('Plantilla Datos'!$L$3*TBL_CalcDarwin[[#This Row],[Darwin Gusts
m/s]],0.5)</f>
        <v>8</v>
      </c>
      <c r="K47" s="47">
        <f>CEILING('Plantilla Datos'!$L$4*TBL_CalcDarwin[[#This Row],[Darwin Gusts
m/s]],0.5)</f>
        <v>9.5</v>
      </c>
      <c r="L47" s="47">
        <f>CEILING(TBL_CalcDarwin[[#This Row],[Darwin Gusts
m/s]],0.5)</f>
        <v>11</v>
      </c>
      <c r="M4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4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4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4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47" s="41">
        <f>INDEX(Curva_Temp[Temp],MATCH(TBL_CalcDarwin[[#This Row],[Darwin Temp.
°C]],Curva_Temp[Temp]))</f>
        <v>15</v>
      </c>
      <c r="R47" s="41">
        <f>INDEX(Curva_Temp[Warranted Power Curve for 
1.194Kg/m3 air density '[kW']
SG 5.0-145 (AM+1, 5.2MW) AT 
90M],MATCH(TBL_CalcDarwin[[#This Row],[Darwin Temp.
°C]],Curva_Temp[Temp]))</f>
        <v>5200</v>
      </c>
      <c r="S47" s="41" cm="1">
        <f t="array" ref="S47">INDEX(Curva_Temp[Temp],MATCH(TBL_CalcDarwin[[#This Row],[Darwin Temp.
°C]],Curva_Temp[Temp])+1)</f>
        <v>20</v>
      </c>
      <c r="T47" s="41" cm="1">
        <f t="array" ref="T47">INDEX(Curva_Temp[Warranted Power Curve for 
1.194Kg/m3 air density '[kW']
SG 5.0-145 (AM+1, 5.2MW) AT 
90M],MATCH(TBL_CalcDarwin[[#This Row],[Darwin Temp.
°C]],Curva_Temp[Temp])+1)</f>
        <v>5000</v>
      </c>
      <c r="U4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4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4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47" s="41">
        <f>INDEX(Curva_Temp[Temp],MATCH(TBL_CalcDarwin[[#This Row],[Darwin Temp.
°C]],Curva_Temp[Temp]))</f>
        <v>15</v>
      </c>
      <c r="Z47" s="41">
        <f>INDEX(Curva_Temp[Warranted Power Curve for 
1.194Kg/m3 air density '[kW']
SG 5.0-145 (AM 0, 5.0MW) AT 
90M],MATCH(TBL_CalcDarwin[[#This Row],[Darwin Temp.
°C]],Curva_Temp[Temp]))</f>
        <v>5000</v>
      </c>
      <c r="AA47" s="41" cm="1">
        <f t="array" ref="AA47">INDEX(Curva_Temp[Temp],MATCH(TBL_CalcDarwin[[#This Row],[Darwin Temp.
°C]],Curva_Temp[Temp])+1)</f>
        <v>20</v>
      </c>
      <c r="AB47" s="41" cm="1">
        <f t="array" ref="AB47">INDEX(Curva_Temp[Warranted Power Curve for 
1.194Kg/m3 air density '[kW']
SG 5.0-145 (AM 0, 5.0MW) AT 
90M],MATCH(TBL_CalcDarwin[[#This Row],[Darwin Temp.
°C]],Curva_Temp[Temp])+1)</f>
        <v>5000</v>
      </c>
      <c r="AC47" s="45">
        <f>HLOOKUP(TBL_CalcDarwin[[#This Row],[Fecha]],'Plantilla AEG ES'!$E$1:$HX$13,2,FALSE)</f>
        <v>6</v>
      </c>
      <c r="AD47" s="45">
        <f>HLOOKUP(TBL_CalcDarwin[[#This Row],[Fecha]],'Plantilla AEG ES'!$E$1:$HX$13,3,FALSE)</f>
        <v>7</v>
      </c>
      <c r="AE47" s="45">
        <f>HLOOKUP(TBL_CalcDarwin[[#This Row],[Fecha]],'Plantilla AEG ES'!$E$1:$HX$13,4,FALSE)</f>
        <v>10</v>
      </c>
      <c r="AF47" s="45">
        <f>HLOOKUP(TBL_CalcDarwin[[#This Row],[Fecha]],'Plantilla AEG ES'!$E$1:$HX$13,5,FALSE)</f>
        <v>2</v>
      </c>
      <c r="AG47" s="45">
        <f>HLOOKUP(TBL_CalcDarwin[[#This Row],[Fecha]],'Plantilla AEG ES'!$E$1:$HX$13,6,FALSE)</f>
        <v>1</v>
      </c>
      <c r="AH47" s="45">
        <f>HLOOKUP(TBL_CalcDarwin[[#This Row],[Fecha]],'Plantilla AEG ES'!$E$1:$HX$13,7,FALSE)</f>
        <v>0</v>
      </c>
      <c r="AI47" s="46">
        <f>HLOOKUP(TBL_CalcDarwin[[#This Row],[Fecha]],'Plantilla AEG ES'!$E$1:$HX$13,8,FALSE)</f>
        <v>0</v>
      </c>
      <c r="AJ47" s="46">
        <f>HLOOKUP(TBL_CalcDarwin[[#This Row],[Fecha]],'Plantilla AEG ES'!$E$1:$HX$13,9,FALSE)</f>
        <v>3</v>
      </c>
      <c r="AK47" s="46">
        <f>HLOOKUP(TBL_CalcDarwin[[#This Row],[Fecha]],'Plantilla AEG ES'!$E$1:$HX$13,10,FALSE)</f>
        <v>12</v>
      </c>
      <c r="AL47" s="46">
        <f>HLOOKUP(TBL_CalcDarwin[[#This Row],[Fecha]],'Plantilla AEG ES'!$E$1:$HX$13,11,FALSE)</f>
        <v>1</v>
      </c>
      <c r="AM47" s="46">
        <f>HLOOKUP(TBL_CalcDarwin[[#This Row],[Fecha]],'Plantilla AEG ES'!$E$1:$HX$13,12,FALSE)</f>
        <v>4</v>
      </c>
      <c r="AN47" s="46">
        <f>HLOOKUP(TBL_CalcDarwin[[#This Row],[Fecha]],'Plantilla AEG ES'!$E$1:$HX$13,13,FALSE)</f>
        <v>3</v>
      </c>
      <c r="AO47" s="37">
        <f>TBL_CalcDarwin[[#This Row],[Lomitas - Barra A - 5.2 - Cerro]]+TBL_CalcDarwin[[#This Row],[Lomitas - Barra A - 5.2 - Medio]]+TBL_CalcDarwin[[#This Row],[Lomitas - Barra A - 5.2 - Mar]]</f>
        <v>23</v>
      </c>
      <c r="AP4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90.908000000000001</v>
      </c>
      <c r="AR4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92.528000000000006</v>
      </c>
      <c r="AS47" s="37">
        <f>TBL_CalcDarwin[[#This Row],[Expansión - Barra A - 5.2 - Cerro]]+TBL_CalcDarwin[[#This Row],[Expansión - Barra A - 5.2 - Medio]]+TBL_CalcDarwin[[#This Row],[Expansión - Barra A - 5.2 - Mar]]</f>
        <v>3</v>
      </c>
      <c r="AT47" s="37">
        <f>TBL_CalcDarwin[[#This Row],[Expansión - Barra B - 5.2 - Cerro]]</f>
        <v>3</v>
      </c>
      <c r="AU4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8.66</v>
      </c>
      <c r="AV47" s="29">
        <f>TBL_CalcDarwin[[#This Row],[Expansión - Barra B - 5.2 - Cerro]]*TBL_CalcDarwin[[#This Row],[AEG 5.2 MW Cerro]]</f>
        <v>7.2269999999999994</v>
      </c>
      <c r="AZ47" s="18"/>
      <c r="BA47" s="18"/>
      <c r="BB47" s="18"/>
      <c r="BC47" s="18"/>
      <c r="BD47" s="18"/>
      <c r="BE47" s="18"/>
      <c r="BF47" s="18"/>
    </row>
    <row r="48" spans="2:80" ht="12" x14ac:dyDescent="0.2">
      <c r="B48" s="55">
        <f t="shared" si="0"/>
        <v>45614.916666666562</v>
      </c>
      <c r="C48" s="17">
        <f t="shared" ref="C48:C52" si="4">C47+TIME(1,0,0)</f>
        <v>1.9166666666666679</v>
      </c>
      <c r="D48" s="34">
        <f>TBL_CalcDarwin[[#This Row],[Darwin PLOM
MW]]+TBL_CalcDarwin[[#This Row],[Darwin PLOME
MW]]</f>
        <v>181.523</v>
      </c>
      <c r="E48" s="34">
        <f>TBL_CalcDarwin[[#This Row],[PLOM MW TOTAL BARRA A]]+TBL_CalcDarwin[[#This Row],[PLOM MW TOTAL BARRA B]]</f>
        <v>168.267</v>
      </c>
      <c r="F48" s="34">
        <f>TBL_CalcDarwin[[#This Row],[PLOME MW TOTAL BARRA A]]+TBL_CalcDarwin[[#This Row],[PLOME MW TOTAL BARRA B]]</f>
        <v>13.256</v>
      </c>
      <c r="G48" s="48">
        <f>'Plantilla Datos'!D53</f>
        <v>8.3000000000000007</v>
      </c>
      <c r="H48" s="48">
        <f>'Plantilla Datos'!E53</f>
        <v>10.3</v>
      </c>
      <c r="I48" s="49">
        <f>'Plantilla Datos'!F53</f>
        <v>17</v>
      </c>
      <c r="J48" s="47">
        <f>CEILING('Plantilla Datos'!$L$3*TBL_CalcDarwin[[#This Row],[Darwin Gusts
m/s]],0.5)</f>
        <v>7.5</v>
      </c>
      <c r="K48" s="47">
        <f>CEILING('Plantilla Datos'!$L$4*TBL_CalcDarwin[[#This Row],[Darwin Gusts
m/s]],0.5)</f>
        <v>9</v>
      </c>
      <c r="L48" s="47">
        <f>CEILING(TBL_CalcDarwin[[#This Row],[Darwin Gusts
m/s]],0.5)</f>
        <v>10.5</v>
      </c>
      <c r="M4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4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4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4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48" s="41">
        <f>INDEX(Curva_Temp[Temp],MATCH(TBL_CalcDarwin[[#This Row],[Darwin Temp.
°C]],Curva_Temp[Temp]))</f>
        <v>15</v>
      </c>
      <c r="R48" s="41">
        <f>INDEX(Curva_Temp[Warranted Power Curve for 
1.194Kg/m3 air density '[kW']
SG 5.0-145 (AM+1, 5.2MW) AT 
90M],MATCH(TBL_CalcDarwin[[#This Row],[Darwin Temp.
°C]],Curva_Temp[Temp]))</f>
        <v>5200</v>
      </c>
      <c r="S48" s="41" cm="1">
        <f t="array" ref="S48">INDEX(Curva_Temp[Temp],MATCH(TBL_CalcDarwin[[#This Row],[Darwin Temp.
°C]],Curva_Temp[Temp])+1)</f>
        <v>20</v>
      </c>
      <c r="T48" s="41" cm="1">
        <f t="array" ref="T48">INDEX(Curva_Temp[Warranted Power Curve for 
1.194Kg/m3 air density '[kW']
SG 5.0-145 (AM+1, 5.2MW) AT 
90M],MATCH(TBL_CalcDarwin[[#This Row],[Darwin Temp.
°C]],Curva_Temp[Temp])+1)</f>
        <v>5000</v>
      </c>
      <c r="U4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4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4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48" s="41">
        <f>INDEX(Curva_Temp[Temp],MATCH(TBL_CalcDarwin[[#This Row],[Darwin Temp.
°C]],Curva_Temp[Temp]))</f>
        <v>15</v>
      </c>
      <c r="Z48" s="41">
        <f>INDEX(Curva_Temp[Warranted Power Curve for 
1.194Kg/m3 air density '[kW']
SG 5.0-145 (AM 0, 5.0MW) AT 
90M],MATCH(TBL_CalcDarwin[[#This Row],[Darwin Temp.
°C]],Curva_Temp[Temp]))</f>
        <v>5000</v>
      </c>
      <c r="AA48" s="41" cm="1">
        <f t="array" ref="AA48">INDEX(Curva_Temp[Temp],MATCH(TBL_CalcDarwin[[#This Row],[Darwin Temp.
°C]],Curva_Temp[Temp])+1)</f>
        <v>20</v>
      </c>
      <c r="AB48" s="41" cm="1">
        <f t="array" ref="AB48">INDEX(Curva_Temp[Warranted Power Curve for 
1.194Kg/m3 air density '[kW']
SG 5.0-145 (AM 0, 5.0MW) AT 
90M],MATCH(TBL_CalcDarwin[[#This Row],[Darwin Temp.
°C]],Curva_Temp[Temp])+1)</f>
        <v>5000</v>
      </c>
      <c r="AC48" s="45">
        <f>HLOOKUP(TBL_CalcDarwin[[#This Row],[Fecha]],'Plantilla AEG ES'!$E$1:$HX$13,2,FALSE)</f>
        <v>6</v>
      </c>
      <c r="AD48" s="45">
        <f>HLOOKUP(TBL_CalcDarwin[[#This Row],[Fecha]],'Plantilla AEG ES'!$E$1:$HX$13,3,FALSE)</f>
        <v>7</v>
      </c>
      <c r="AE48" s="45">
        <f>HLOOKUP(TBL_CalcDarwin[[#This Row],[Fecha]],'Plantilla AEG ES'!$E$1:$HX$13,4,FALSE)</f>
        <v>10</v>
      </c>
      <c r="AF48" s="45">
        <f>HLOOKUP(TBL_CalcDarwin[[#This Row],[Fecha]],'Plantilla AEG ES'!$E$1:$HX$13,5,FALSE)</f>
        <v>2</v>
      </c>
      <c r="AG48" s="45">
        <f>HLOOKUP(TBL_CalcDarwin[[#This Row],[Fecha]],'Plantilla AEG ES'!$E$1:$HX$13,6,FALSE)</f>
        <v>1</v>
      </c>
      <c r="AH48" s="45">
        <f>HLOOKUP(TBL_CalcDarwin[[#This Row],[Fecha]],'Plantilla AEG ES'!$E$1:$HX$13,7,FALSE)</f>
        <v>0</v>
      </c>
      <c r="AI48" s="46">
        <f>HLOOKUP(TBL_CalcDarwin[[#This Row],[Fecha]],'Plantilla AEG ES'!$E$1:$HX$13,8,FALSE)</f>
        <v>0</v>
      </c>
      <c r="AJ48" s="46">
        <f>HLOOKUP(TBL_CalcDarwin[[#This Row],[Fecha]],'Plantilla AEG ES'!$E$1:$HX$13,9,FALSE)</f>
        <v>3</v>
      </c>
      <c r="AK48" s="46">
        <f>HLOOKUP(TBL_CalcDarwin[[#This Row],[Fecha]],'Plantilla AEG ES'!$E$1:$HX$13,10,FALSE)</f>
        <v>12</v>
      </c>
      <c r="AL48" s="46">
        <f>HLOOKUP(TBL_CalcDarwin[[#This Row],[Fecha]],'Plantilla AEG ES'!$E$1:$HX$13,11,FALSE)</f>
        <v>1</v>
      </c>
      <c r="AM48" s="46">
        <f>HLOOKUP(TBL_CalcDarwin[[#This Row],[Fecha]],'Plantilla AEG ES'!$E$1:$HX$13,12,FALSE)</f>
        <v>4</v>
      </c>
      <c r="AN48" s="46">
        <f>HLOOKUP(TBL_CalcDarwin[[#This Row],[Fecha]],'Plantilla AEG ES'!$E$1:$HX$13,13,FALSE)</f>
        <v>3</v>
      </c>
      <c r="AO48" s="37">
        <f>TBL_CalcDarwin[[#This Row],[Lomitas - Barra A - 5.2 - Cerro]]+TBL_CalcDarwin[[#This Row],[Lomitas - Barra A - 5.2 - Medio]]+TBL_CalcDarwin[[#This Row],[Lomitas - Barra A - 5.2 - Mar]]</f>
        <v>23</v>
      </c>
      <c r="AP4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82.06</v>
      </c>
      <c r="AR4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86.206999999999994</v>
      </c>
      <c r="AS48" s="37">
        <f>TBL_CalcDarwin[[#This Row],[Expansión - Barra A - 5.2 - Cerro]]+TBL_CalcDarwin[[#This Row],[Expansión - Barra A - 5.2 - Medio]]+TBL_CalcDarwin[[#This Row],[Expansión - Barra A - 5.2 - Mar]]</f>
        <v>3</v>
      </c>
      <c r="AT48" s="37">
        <f>TBL_CalcDarwin[[#This Row],[Expansión - Barra B - 5.2 - Cerro]]</f>
        <v>3</v>
      </c>
      <c r="AU4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7.3220000000000001</v>
      </c>
      <c r="AV48" s="29">
        <f>TBL_CalcDarwin[[#This Row],[Expansión - Barra B - 5.2 - Cerro]]*TBL_CalcDarwin[[#This Row],[AEG 5.2 MW Cerro]]</f>
        <v>5.9340000000000002</v>
      </c>
      <c r="AZ48" s="18"/>
      <c r="BA48" s="18"/>
      <c r="BB48" s="18"/>
      <c r="BC48" s="18"/>
      <c r="BD48" s="18"/>
      <c r="BE48" s="18"/>
      <c r="BF48" s="18"/>
    </row>
    <row r="49" spans="2:58" ht="12" x14ac:dyDescent="0.2">
      <c r="B49" s="55">
        <f t="shared" si="0"/>
        <v>45614.958333333227</v>
      </c>
      <c r="C49" s="17">
        <f t="shared" si="4"/>
        <v>1.9583333333333346</v>
      </c>
      <c r="D49" s="34">
        <f>TBL_CalcDarwin[[#This Row],[Darwin PLOM
MW]]+TBL_CalcDarwin[[#This Row],[Darwin PLOME
MW]]</f>
        <v>150.536</v>
      </c>
      <c r="E49" s="34">
        <f>TBL_CalcDarwin[[#This Row],[PLOM MW TOTAL BARRA A]]+TBL_CalcDarwin[[#This Row],[PLOM MW TOTAL BARRA B]]</f>
        <v>139.673</v>
      </c>
      <c r="F49" s="34">
        <f>TBL_CalcDarwin[[#This Row],[PLOME MW TOTAL BARRA A]]+TBL_CalcDarwin[[#This Row],[PLOME MW TOTAL BARRA B]]</f>
        <v>10.863</v>
      </c>
      <c r="G49" s="48">
        <f>'Plantilla Datos'!D54</f>
        <v>7.6</v>
      </c>
      <c r="H49" s="48">
        <f>'Plantilla Datos'!E54</f>
        <v>9.5</v>
      </c>
      <c r="I49" s="49">
        <f>'Plantilla Datos'!F54</f>
        <v>17</v>
      </c>
      <c r="J49" s="47">
        <f>CEILING('Plantilla Datos'!$L$3*TBL_CalcDarwin[[#This Row],[Darwin Gusts
m/s]],0.5)</f>
        <v>7</v>
      </c>
      <c r="K49" s="47">
        <f>CEILING('Plantilla Datos'!$L$4*TBL_CalcDarwin[[#This Row],[Darwin Gusts
m/s]],0.5)</f>
        <v>8.5</v>
      </c>
      <c r="L49" s="47">
        <f>CEILING(TBL_CalcDarwin[[#This Row],[Darwin Gusts
m/s]],0.5)</f>
        <v>9.5</v>
      </c>
      <c r="M4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4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4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4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49" s="41">
        <f>INDEX(Curva_Temp[Temp],MATCH(TBL_CalcDarwin[[#This Row],[Darwin Temp.
°C]],Curva_Temp[Temp]))</f>
        <v>15</v>
      </c>
      <c r="R49" s="41">
        <f>INDEX(Curva_Temp[Warranted Power Curve for 
1.194Kg/m3 air density '[kW']
SG 5.0-145 (AM+1, 5.2MW) AT 
90M],MATCH(TBL_CalcDarwin[[#This Row],[Darwin Temp.
°C]],Curva_Temp[Temp]))</f>
        <v>5200</v>
      </c>
      <c r="S49" s="41" cm="1">
        <f t="array" ref="S49">INDEX(Curva_Temp[Temp],MATCH(TBL_CalcDarwin[[#This Row],[Darwin Temp.
°C]],Curva_Temp[Temp])+1)</f>
        <v>20</v>
      </c>
      <c r="T49" s="41" cm="1">
        <f t="array" ref="T49">INDEX(Curva_Temp[Warranted Power Curve for 
1.194Kg/m3 air density '[kW']
SG 5.0-145 (AM+1, 5.2MW) AT 
90M],MATCH(TBL_CalcDarwin[[#This Row],[Darwin Temp.
°C]],Curva_Temp[Temp])+1)</f>
        <v>5000</v>
      </c>
      <c r="U4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4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4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49" s="41">
        <f>INDEX(Curva_Temp[Temp],MATCH(TBL_CalcDarwin[[#This Row],[Darwin Temp.
°C]],Curva_Temp[Temp]))</f>
        <v>15</v>
      </c>
      <c r="Z49" s="41">
        <f>INDEX(Curva_Temp[Warranted Power Curve for 
1.194Kg/m3 air density '[kW']
SG 5.0-145 (AM 0, 5.0MW) AT 
90M],MATCH(TBL_CalcDarwin[[#This Row],[Darwin Temp.
°C]],Curva_Temp[Temp]))</f>
        <v>5000</v>
      </c>
      <c r="AA49" s="41" cm="1">
        <f t="array" ref="AA49">INDEX(Curva_Temp[Temp],MATCH(TBL_CalcDarwin[[#This Row],[Darwin Temp.
°C]],Curva_Temp[Temp])+1)</f>
        <v>20</v>
      </c>
      <c r="AB49" s="41" cm="1">
        <f t="array" ref="AB49">INDEX(Curva_Temp[Warranted Power Curve for 
1.194Kg/m3 air density '[kW']
SG 5.0-145 (AM 0, 5.0MW) AT 
90M],MATCH(TBL_CalcDarwin[[#This Row],[Darwin Temp.
°C]],Curva_Temp[Temp])+1)</f>
        <v>5000</v>
      </c>
      <c r="AC49" s="45">
        <f>HLOOKUP(TBL_CalcDarwin[[#This Row],[Fecha]],'Plantilla AEG ES'!$E$1:$HX$13,2,FALSE)</f>
        <v>6</v>
      </c>
      <c r="AD49" s="45">
        <f>HLOOKUP(TBL_CalcDarwin[[#This Row],[Fecha]],'Plantilla AEG ES'!$E$1:$HX$13,3,FALSE)</f>
        <v>7</v>
      </c>
      <c r="AE49" s="45">
        <f>HLOOKUP(TBL_CalcDarwin[[#This Row],[Fecha]],'Plantilla AEG ES'!$E$1:$HX$13,4,FALSE)</f>
        <v>10</v>
      </c>
      <c r="AF49" s="45">
        <f>HLOOKUP(TBL_CalcDarwin[[#This Row],[Fecha]],'Plantilla AEG ES'!$E$1:$HX$13,5,FALSE)</f>
        <v>2</v>
      </c>
      <c r="AG49" s="45">
        <f>HLOOKUP(TBL_CalcDarwin[[#This Row],[Fecha]],'Plantilla AEG ES'!$E$1:$HX$13,6,FALSE)</f>
        <v>1</v>
      </c>
      <c r="AH49" s="45">
        <f>HLOOKUP(TBL_CalcDarwin[[#This Row],[Fecha]],'Plantilla AEG ES'!$E$1:$HX$13,7,FALSE)</f>
        <v>0</v>
      </c>
      <c r="AI49" s="46">
        <f>HLOOKUP(TBL_CalcDarwin[[#This Row],[Fecha]],'Plantilla AEG ES'!$E$1:$HX$13,8,FALSE)</f>
        <v>0</v>
      </c>
      <c r="AJ49" s="46">
        <f>HLOOKUP(TBL_CalcDarwin[[#This Row],[Fecha]],'Plantilla AEG ES'!$E$1:$HX$13,9,FALSE)</f>
        <v>3</v>
      </c>
      <c r="AK49" s="46">
        <f>HLOOKUP(TBL_CalcDarwin[[#This Row],[Fecha]],'Plantilla AEG ES'!$E$1:$HX$13,10,FALSE)</f>
        <v>12</v>
      </c>
      <c r="AL49" s="46">
        <f>HLOOKUP(TBL_CalcDarwin[[#This Row],[Fecha]],'Plantilla AEG ES'!$E$1:$HX$13,11,FALSE)</f>
        <v>1</v>
      </c>
      <c r="AM49" s="46">
        <f>HLOOKUP(TBL_CalcDarwin[[#This Row],[Fecha]],'Plantilla AEG ES'!$E$1:$HX$13,12,FALSE)</f>
        <v>4</v>
      </c>
      <c r="AN49" s="46">
        <f>HLOOKUP(TBL_CalcDarwin[[#This Row],[Fecha]],'Plantilla AEG ES'!$E$1:$HX$13,13,FALSE)</f>
        <v>3</v>
      </c>
      <c r="AO49" s="37">
        <f>TBL_CalcDarwin[[#This Row],[Lomitas - Barra A - 5.2 - Cerro]]+TBL_CalcDarwin[[#This Row],[Lomitas - Barra A - 5.2 - Medio]]+TBL_CalcDarwin[[#This Row],[Lomitas - Barra A - 5.2 - Mar]]</f>
        <v>23</v>
      </c>
      <c r="AP4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68.147999999999996</v>
      </c>
      <c r="AR4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71.525000000000006</v>
      </c>
      <c r="AS49" s="37">
        <f>TBL_CalcDarwin[[#This Row],[Expansión - Barra A - 5.2 - Cerro]]+TBL_CalcDarwin[[#This Row],[Expansión - Barra A - 5.2 - Medio]]+TBL_CalcDarwin[[#This Row],[Expansión - Barra A - 5.2 - Mar]]</f>
        <v>3</v>
      </c>
      <c r="AT49" s="37">
        <f>TBL_CalcDarwin[[#This Row],[Expansión - Barra B - 5.2 - Cerro]]</f>
        <v>3</v>
      </c>
      <c r="AU4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6.0720000000000001</v>
      </c>
      <c r="AV49" s="29">
        <f>TBL_CalcDarwin[[#This Row],[Expansión - Barra B - 5.2 - Cerro]]*TBL_CalcDarwin[[#This Row],[AEG 5.2 MW Cerro]]</f>
        <v>4.7910000000000004</v>
      </c>
      <c r="AZ49" s="18"/>
      <c r="BA49" s="18"/>
      <c r="BB49" s="18"/>
      <c r="BC49" s="18"/>
      <c r="BD49" s="18"/>
      <c r="BE49" s="18"/>
      <c r="BF49" s="18"/>
    </row>
    <row r="50" spans="2:58" ht="12" x14ac:dyDescent="0.2">
      <c r="B50" s="55">
        <f t="shared" si="0"/>
        <v>45614.999999999891</v>
      </c>
      <c r="C50" s="17">
        <f t="shared" si="4"/>
        <v>2.0000000000000013</v>
      </c>
      <c r="D50" s="34">
        <f>TBL_CalcDarwin[[#This Row],[Darwin PLOM
MW]]+TBL_CalcDarwin[[#This Row],[Darwin PLOME
MW]]</f>
        <v>110.57100000000001</v>
      </c>
      <c r="E50" s="34">
        <f>TBL_CalcDarwin[[#This Row],[PLOM MW TOTAL BARRA A]]+TBL_CalcDarwin[[#This Row],[PLOM MW TOTAL BARRA B]]</f>
        <v>106.06100000000001</v>
      </c>
      <c r="F50" s="34">
        <f>TBL_CalcDarwin[[#This Row],[PLOME MW TOTAL BARRA A]]+TBL_CalcDarwin[[#This Row],[PLOME MW TOTAL BARRA B]]</f>
        <v>4.51</v>
      </c>
      <c r="G50" s="48">
        <f>'Plantilla Datos'!D55</f>
        <v>6.8</v>
      </c>
      <c r="H50" s="48">
        <f>'Plantilla Datos'!E55</f>
        <v>8.6</v>
      </c>
      <c r="I50" s="49">
        <f>'Plantilla Datos'!F55</f>
        <v>17</v>
      </c>
      <c r="J50" s="47">
        <f>CEILING('Plantilla Datos'!$L$3*TBL_CalcDarwin[[#This Row],[Darwin Gusts
m/s]],0.5)</f>
        <v>6.5</v>
      </c>
      <c r="K50" s="47">
        <f>CEILING('Plantilla Datos'!$L$4*TBL_CalcDarwin[[#This Row],[Darwin Gusts
m/s]],0.5)</f>
        <v>7.5</v>
      </c>
      <c r="L50" s="47">
        <f>CEILING(TBL_CalcDarwin[[#This Row],[Darwin Gusts
m/s]],0.5)</f>
        <v>9</v>
      </c>
      <c r="M5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5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5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5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50" s="41">
        <f>INDEX(Curva_Temp[Temp],MATCH(TBL_CalcDarwin[[#This Row],[Darwin Temp.
°C]],Curva_Temp[Temp]))</f>
        <v>15</v>
      </c>
      <c r="R50" s="41">
        <f>INDEX(Curva_Temp[Warranted Power Curve for 
1.194Kg/m3 air density '[kW']
SG 5.0-145 (AM+1, 5.2MW) AT 
90M],MATCH(TBL_CalcDarwin[[#This Row],[Darwin Temp.
°C]],Curva_Temp[Temp]))</f>
        <v>5200</v>
      </c>
      <c r="S50" s="41" cm="1">
        <f t="array" ref="S50">INDEX(Curva_Temp[Temp],MATCH(TBL_CalcDarwin[[#This Row],[Darwin Temp.
°C]],Curva_Temp[Temp])+1)</f>
        <v>20</v>
      </c>
      <c r="T50" s="41" cm="1">
        <f t="array" ref="T50">INDEX(Curva_Temp[Warranted Power Curve for 
1.194Kg/m3 air density '[kW']
SG 5.0-145 (AM+1, 5.2MW) AT 
90M],MATCH(TBL_CalcDarwin[[#This Row],[Darwin Temp.
°C]],Curva_Temp[Temp])+1)</f>
        <v>5000</v>
      </c>
      <c r="U5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5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5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50" s="41">
        <f>INDEX(Curva_Temp[Temp],MATCH(TBL_CalcDarwin[[#This Row],[Darwin Temp.
°C]],Curva_Temp[Temp]))</f>
        <v>15</v>
      </c>
      <c r="Z50" s="41">
        <f>INDEX(Curva_Temp[Warranted Power Curve for 
1.194Kg/m3 air density '[kW']
SG 5.0-145 (AM 0, 5.0MW) AT 
90M],MATCH(TBL_CalcDarwin[[#This Row],[Darwin Temp.
°C]],Curva_Temp[Temp]))</f>
        <v>5000</v>
      </c>
      <c r="AA50" s="41" cm="1">
        <f t="array" ref="AA50">INDEX(Curva_Temp[Temp],MATCH(TBL_CalcDarwin[[#This Row],[Darwin Temp.
°C]],Curva_Temp[Temp])+1)</f>
        <v>20</v>
      </c>
      <c r="AB50" s="41" cm="1">
        <f t="array" ref="AB50">INDEX(Curva_Temp[Warranted Power Curve for 
1.194Kg/m3 air density '[kW']
SG 5.0-145 (AM 0, 5.0MW) AT 
90M],MATCH(TBL_CalcDarwin[[#This Row],[Darwin Temp.
°C]],Curva_Temp[Temp])+1)</f>
        <v>5000</v>
      </c>
      <c r="AC50" s="45">
        <f>HLOOKUP(TBL_CalcDarwin[[#This Row],[Fecha]],'Plantilla AEG ES'!$E$1:$HX$13,2,FALSE)</f>
        <v>5</v>
      </c>
      <c r="AD50" s="45">
        <f>HLOOKUP(TBL_CalcDarwin[[#This Row],[Fecha]],'Plantilla AEG ES'!$E$1:$HX$13,3,FALSE)</f>
        <v>6</v>
      </c>
      <c r="AE50" s="45">
        <f>HLOOKUP(TBL_CalcDarwin[[#This Row],[Fecha]],'Plantilla AEG ES'!$E$1:$HX$13,4,FALSE)</f>
        <v>9</v>
      </c>
      <c r="AF50" s="45">
        <f>HLOOKUP(TBL_CalcDarwin[[#This Row],[Fecha]],'Plantilla AEG ES'!$E$1:$HX$13,5,FALSE)</f>
        <v>1</v>
      </c>
      <c r="AG50" s="45">
        <f>HLOOKUP(TBL_CalcDarwin[[#This Row],[Fecha]],'Plantilla AEG ES'!$E$1:$HX$13,6,FALSE)</f>
        <v>1</v>
      </c>
      <c r="AH50" s="45">
        <f>HLOOKUP(TBL_CalcDarwin[[#This Row],[Fecha]],'Plantilla AEG ES'!$E$1:$HX$13,7,FALSE)</f>
        <v>0</v>
      </c>
      <c r="AI50" s="46">
        <f>HLOOKUP(TBL_CalcDarwin[[#This Row],[Fecha]],'Plantilla AEG ES'!$E$1:$HX$13,8,FALSE)</f>
        <v>0</v>
      </c>
      <c r="AJ50" s="46">
        <f>HLOOKUP(TBL_CalcDarwin[[#This Row],[Fecha]],'Plantilla AEG ES'!$E$1:$HX$13,9,FALSE)</f>
        <v>3</v>
      </c>
      <c r="AK50" s="46">
        <f>HLOOKUP(TBL_CalcDarwin[[#This Row],[Fecha]],'Plantilla AEG ES'!$E$1:$HX$13,10,FALSE)</f>
        <v>11</v>
      </c>
      <c r="AL50" s="46">
        <f>HLOOKUP(TBL_CalcDarwin[[#This Row],[Fecha]],'Plantilla AEG ES'!$E$1:$HX$13,11,FALSE)</f>
        <v>1</v>
      </c>
      <c r="AM50" s="46">
        <f>HLOOKUP(TBL_CalcDarwin[[#This Row],[Fecha]],'Plantilla AEG ES'!$E$1:$HX$13,12,FALSE)</f>
        <v>4</v>
      </c>
      <c r="AN50" s="46">
        <f>HLOOKUP(TBL_CalcDarwin[[#This Row],[Fecha]],'Plantilla AEG ES'!$E$1:$HX$13,13,FALSE)</f>
        <v>1</v>
      </c>
      <c r="AO50" s="37">
        <f>TBL_CalcDarwin[[#This Row],[Lomitas - Barra A - 5.2 - Cerro]]+TBL_CalcDarwin[[#This Row],[Lomitas - Barra A - 5.2 - Medio]]+TBL_CalcDarwin[[#This Row],[Lomitas - Barra A - 5.2 - Mar]]</f>
        <v>20</v>
      </c>
      <c r="AP5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5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48.492000000000004</v>
      </c>
      <c r="AR5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57.569000000000003</v>
      </c>
      <c r="AS50" s="37">
        <f>TBL_CalcDarwin[[#This Row],[Expansión - Barra A - 5.2 - Cerro]]+TBL_CalcDarwin[[#This Row],[Expansión - Barra A - 5.2 - Medio]]+TBL_CalcDarwin[[#This Row],[Expansión - Barra A - 5.2 - Mar]]</f>
        <v>2</v>
      </c>
      <c r="AT50" s="37">
        <f>TBL_CalcDarwin[[#This Row],[Expansión - Barra B - 5.2 - Cerro]]</f>
        <v>1</v>
      </c>
      <c r="AU5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50" s="29">
        <f>TBL_CalcDarwin[[#This Row],[Expansión - Barra B - 5.2 - Cerro]]*TBL_CalcDarwin[[#This Row],[AEG 5.2 MW Cerro]]</f>
        <v>1.266</v>
      </c>
      <c r="AZ50" s="18"/>
      <c r="BA50" s="18"/>
      <c r="BB50" s="18"/>
      <c r="BC50" s="18"/>
      <c r="BD50" s="18"/>
      <c r="BE50" s="18"/>
      <c r="BF50" s="18"/>
    </row>
    <row r="51" spans="2:58" ht="12" x14ac:dyDescent="0.2">
      <c r="B51" s="55">
        <f t="shared" si="0"/>
        <v>45615.041666666555</v>
      </c>
      <c r="C51" s="17">
        <f t="shared" si="4"/>
        <v>2.0416666666666679</v>
      </c>
      <c r="D51" s="34">
        <f>TBL_CalcDarwin[[#This Row],[Darwin PLOM
MW]]+TBL_CalcDarwin[[#This Row],[Darwin PLOME
MW]]</f>
        <v>81.605000000000004</v>
      </c>
      <c r="E51" s="34">
        <f>TBL_CalcDarwin[[#This Row],[PLOM MW TOTAL BARRA A]]+TBL_CalcDarwin[[#This Row],[PLOM MW TOTAL BARRA B]]</f>
        <v>78.042000000000002</v>
      </c>
      <c r="F51" s="34">
        <f>TBL_CalcDarwin[[#This Row],[PLOME MW TOTAL BARRA A]]+TBL_CalcDarwin[[#This Row],[PLOME MW TOTAL BARRA B]]</f>
        <v>3.5630000000000002</v>
      </c>
      <c r="G51" s="48">
        <f>'Plantilla Datos'!D56</f>
        <v>6.1</v>
      </c>
      <c r="H51" s="48">
        <f>'Plantilla Datos'!E56</f>
        <v>7.8</v>
      </c>
      <c r="I51" s="49">
        <f>'Plantilla Datos'!F56</f>
        <v>16.899999999999999</v>
      </c>
      <c r="J51" s="47">
        <f>CEILING('Plantilla Datos'!$L$3*TBL_CalcDarwin[[#This Row],[Darwin Gusts
m/s]],0.5)</f>
        <v>6</v>
      </c>
      <c r="K51" s="47">
        <f>CEILING('Plantilla Datos'!$L$4*TBL_CalcDarwin[[#This Row],[Darwin Gusts
m/s]],0.5)</f>
        <v>7</v>
      </c>
      <c r="L51" s="47">
        <f>CEILING(TBL_CalcDarwin[[#This Row],[Darwin Gusts
m/s]],0.5)</f>
        <v>8</v>
      </c>
      <c r="M5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5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5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5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51" s="41">
        <f>INDEX(Curva_Temp[Temp],MATCH(TBL_CalcDarwin[[#This Row],[Darwin Temp.
°C]],Curva_Temp[Temp]))</f>
        <v>15</v>
      </c>
      <c r="R51" s="41">
        <f>INDEX(Curva_Temp[Warranted Power Curve for 
1.194Kg/m3 air density '[kW']
SG 5.0-145 (AM+1, 5.2MW) AT 
90M],MATCH(TBL_CalcDarwin[[#This Row],[Darwin Temp.
°C]],Curva_Temp[Temp]))</f>
        <v>5200</v>
      </c>
      <c r="S51" s="41" cm="1">
        <f t="array" ref="S51">INDEX(Curva_Temp[Temp],MATCH(TBL_CalcDarwin[[#This Row],[Darwin Temp.
°C]],Curva_Temp[Temp])+1)</f>
        <v>20</v>
      </c>
      <c r="T51" s="41" cm="1">
        <f t="array" ref="T51">INDEX(Curva_Temp[Warranted Power Curve for 
1.194Kg/m3 air density '[kW']
SG 5.0-145 (AM+1, 5.2MW) AT 
90M],MATCH(TBL_CalcDarwin[[#This Row],[Darwin Temp.
°C]],Curva_Temp[Temp])+1)</f>
        <v>5000</v>
      </c>
      <c r="U5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5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5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51" s="41">
        <f>INDEX(Curva_Temp[Temp],MATCH(TBL_CalcDarwin[[#This Row],[Darwin Temp.
°C]],Curva_Temp[Temp]))</f>
        <v>15</v>
      </c>
      <c r="Z51" s="41">
        <f>INDEX(Curva_Temp[Warranted Power Curve for 
1.194Kg/m3 air density '[kW']
SG 5.0-145 (AM 0, 5.0MW) AT 
90M],MATCH(TBL_CalcDarwin[[#This Row],[Darwin Temp.
°C]],Curva_Temp[Temp]))</f>
        <v>5000</v>
      </c>
      <c r="AA51" s="41" cm="1">
        <f t="array" ref="AA51">INDEX(Curva_Temp[Temp],MATCH(TBL_CalcDarwin[[#This Row],[Darwin Temp.
°C]],Curva_Temp[Temp])+1)</f>
        <v>20</v>
      </c>
      <c r="AB51" s="41" cm="1">
        <f t="array" ref="AB51">INDEX(Curva_Temp[Warranted Power Curve for 
1.194Kg/m3 air density '[kW']
SG 5.0-145 (AM 0, 5.0MW) AT 
90M],MATCH(TBL_CalcDarwin[[#This Row],[Darwin Temp.
°C]],Curva_Temp[Temp])+1)</f>
        <v>5000</v>
      </c>
      <c r="AC51" s="45">
        <f>HLOOKUP(TBL_CalcDarwin[[#This Row],[Fecha]],'Plantilla AEG ES'!$E$1:$HX$13,2,FALSE)</f>
        <v>5</v>
      </c>
      <c r="AD51" s="45">
        <f>HLOOKUP(TBL_CalcDarwin[[#This Row],[Fecha]],'Plantilla AEG ES'!$E$1:$HX$13,3,FALSE)</f>
        <v>6</v>
      </c>
      <c r="AE51" s="45">
        <f>HLOOKUP(TBL_CalcDarwin[[#This Row],[Fecha]],'Plantilla AEG ES'!$E$1:$HX$13,4,FALSE)</f>
        <v>9</v>
      </c>
      <c r="AF51" s="45">
        <f>HLOOKUP(TBL_CalcDarwin[[#This Row],[Fecha]],'Plantilla AEG ES'!$E$1:$HX$13,5,FALSE)</f>
        <v>1</v>
      </c>
      <c r="AG51" s="45">
        <f>HLOOKUP(TBL_CalcDarwin[[#This Row],[Fecha]],'Plantilla AEG ES'!$E$1:$HX$13,6,FALSE)</f>
        <v>1</v>
      </c>
      <c r="AH51" s="45">
        <f>HLOOKUP(TBL_CalcDarwin[[#This Row],[Fecha]],'Plantilla AEG ES'!$E$1:$HX$13,7,FALSE)</f>
        <v>0</v>
      </c>
      <c r="AI51" s="46">
        <f>HLOOKUP(TBL_CalcDarwin[[#This Row],[Fecha]],'Plantilla AEG ES'!$E$1:$HX$13,8,FALSE)</f>
        <v>0</v>
      </c>
      <c r="AJ51" s="46">
        <f>HLOOKUP(TBL_CalcDarwin[[#This Row],[Fecha]],'Plantilla AEG ES'!$E$1:$HX$13,9,FALSE)</f>
        <v>3</v>
      </c>
      <c r="AK51" s="46">
        <f>HLOOKUP(TBL_CalcDarwin[[#This Row],[Fecha]],'Plantilla AEG ES'!$E$1:$HX$13,10,FALSE)</f>
        <v>11</v>
      </c>
      <c r="AL51" s="46">
        <f>HLOOKUP(TBL_CalcDarwin[[#This Row],[Fecha]],'Plantilla AEG ES'!$E$1:$HX$13,11,FALSE)</f>
        <v>1</v>
      </c>
      <c r="AM51" s="46">
        <f>HLOOKUP(TBL_CalcDarwin[[#This Row],[Fecha]],'Plantilla AEG ES'!$E$1:$HX$13,12,FALSE)</f>
        <v>4</v>
      </c>
      <c r="AN51" s="46">
        <f>HLOOKUP(TBL_CalcDarwin[[#This Row],[Fecha]],'Plantilla AEG ES'!$E$1:$HX$13,13,FALSE)</f>
        <v>1</v>
      </c>
      <c r="AO51" s="37">
        <f>TBL_CalcDarwin[[#This Row],[Lomitas - Barra A - 5.2 - Cerro]]+TBL_CalcDarwin[[#This Row],[Lomitas - Barra A - 5.2 - Medio]]+TBL_CalcDarwin[[#This Row],[Lomitas - Barra A - 5.2 - Mar]]</f>
        <v>20</v>
      </c>
      <c r="AP5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5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36.177999999999997</v>
      </c>
      <c r="AR5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41.863999999999997</v>
      </c>
      <c r="AS51" s="37">
        <f>TBL_CalcDarwin[[#This Row],[Expansión - Barra A - 5.2 - Cerro]]+TBL_CalcDarwin[[#This Row],[Expansión - Barra A - 5.2 - Medio]]+TBL_CalcDarwin[[#This Row],[Expansión - Barra A - 5.2 - Mar]]</f>
        <v>2</v>
      </c>
      <c r="AT51" s="37">
        <f>TBL_CalcDarwin[[#This Row],[Expansión - Barra B - 5.2 - Cerro]]</f>
        <v>1</v>
      </c>
      <c r="AU5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51" s="29">
        <f>TBL_CalcDarwin[[#This Row],[Expansión - Barra B - 5.2 - Cerro]]*TBL_CalcDarwin[[#This Row],[AEG 5.2 MW Cerro]]</f>
        <v>0.98299999999999998</v>
      </c>
      <c r="AZ51" s="18"/>
      <c r="BA51" s="18"/>
      <c r="BB51" s="18"/>
      <c r="BC51" s="18"/>
      <c r="BD51" s="18"/>
      <c r="BE51" s="18"/>
      <c r="BF51" s="18"/>
    </row>
    <row r="52" spans="2:58" ht="12" x14ac:dyDescent="0.2">
      <c r="B52" s="55">
        <f t="shared" si="0"/>
        <v>45615.083333333219</v>
      </c>
      <c r="C52" s="17">
        <f t="shared" si="4"/>
        <v>2.0833333333333344</v>
      </c>
      <c r="D52" s="34">
        <f>TBL_CalcDarwin[[#This Row],[Darwin PLOM
MW]]+TBL_CalcDarwin[[#This Row],[Darwin PLOME
MW]]</f>
        <v>54.105999999999995</v>
      </c>
      <c r="E52" s="34">
        <f>TBL_CalcDarwin[[#This Row],[PLOM MW TOTAL BARRA A]]+TBL_CalcDarwin[[#This Row],[PLOM MW TOTAL BARRA B]]</f>
        <v>51.632999999999996</v>
      </c>
      <c r="F52" s="34">
        <f>TBL_CalcDarwin[[#This Row],[PLOME MW TOTAL BARRA A]]+TBL_CalcDarwin[[#This Row],[PLOME MW TOTAL BARRA B]]</f>
        <v>2.4729999999999999</v>
      </c>
      <c r="G52" s="48">
        <f>'Plantilla Datos'!D57</f>
        <v>5.5</v>
      </c>
      <c r="H52" s="48">
        <f>'Plantilla Datos'!E57</f>
        <v>7</v>
      </c>
      <c r="I52" s="49">
        <f>'Plantilla Datos'!F57</f>
        <v>17</v>
      </c>
      <c r="J52" s="47">
        <f>CEILING('Plantilla Datos'!$L$3*TBL_CalcDarwin[[#This Row],[Darwin Gusts
m/s]],0.5)</f>
        <v>5.5</v>
      </c>
      <c r="K52" s="47">
        <f>CEILING('Plantilla Datos'!$L$4*TBL_CalcDarwin[[#This Row],[Darwin Gusts
m/s]],0.5)</f>
        <v>6</v>
      </c>
      <c r="L52" s="47">
        <f>CEILING(TBL_CalcDarwin[[#This Row],[Darwin Gusts
m/s]],0.5)</f>
        <v>7</v>
      </c>
      <c r="M5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5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5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5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52" s="41">
        <f>INDEX(Curva_Temp[Temp],MATCH(TBL_CalcDarwin[[#This Row],[Darwin Temp.
°C]],Curva_Temp[Temp]))</f>
        <v>15</v>
      </c>
      <c r="R52" s="41">
        <f>INDEX(Curva_Temp[Warranted Power Curve for 
1.194Kg/m3 air density '[kW']
SG 5.0-145 (AM+1, 5.2MW) AT 
90M],MATCH(TBL_CalcDarwin[[#This Row],[Darwin Temp.
°C]],Curva_Temp[Temp]))</f>
        <v>5200</v>
      </c>
      <c r="S52" s="41" cm="1">
        <f t="array" ref="S52">INDEX(Curva_Temp[Temp],MATCH(TBL_CalcDarwin[[#This Row],[Darwin Temp.
°C]],Curva_Temp[Temp])+1)</f>
        <v>20</v>
      </c>
      <c r="T52" s="41" cm="1">
        <f t="array" ref="T52">INDEX(Curva_Temp[Warranted Power Curve for 
1.194Kg/m3 air density '[kW']
SG 5.0-145 (AM+1, 5.2MW) AT 
90M],MATCH(TBL_CalcDarwin[[#This Row],[Darwin Temp.
°C]],Curva_Temp[Temp])+1)</f>
        <v>5000</v>
      </c>
      <c r="U5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5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5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52" s="41">
        <f>INDEX(Curva_Temp[Temp],MATCH(TBL_CalcDarwin[[#This Row],[Darwin Temp.
°C]],Curva_Temp[Temp]))</f>
        <v>15</v>
      </c>
      <c r="Z52" s="41">
        <f>INDEX(Curva_Temp[Warranted Power Curve for 
1.194Kg/m3 air density '[kW']
SG 5.0-145 (AM 0, 5.0MW) AT 
90M],MATCH(TBL_CalcDarwin[[#This Row],[Darwin Temp.
°C]],Curva_Temp[Temp]))</f>
        <v>5000</v>
      </c>
      <c r="AA52" s="41" cm="1">
        <f t="array" ref="AA52">INDEX(Curva_Temp[Temp],MATCH(TBL_CalcDarwin[[#This Row],[Darwin Temp.
°C]],Curva_Temp[Temp])+1)</f>
        <v>20</v>
      </c>
      <c r="AB52" s="41" cm="1">
        <f t="array" ref="AB52">INDEX(Curva_Temp[Warranted Power Curve for 
1.194Kg/m3 air density '[kW']
SG 5.0-145 (AM 0, 5.0MW) AT 
90M],MATCH(TBL_CalcDarwin[[#This Row],[Darwin Temp.
°C]],Curva_Temp[Temp])+1)</f>
        <v>5000</v>
      </c>
      <c r="AC52" s="45">
        <f>HLOOKUP(TBL_CalcDarwin[[#This Row],[Fecha]],'Plantilla AEG ES'!$E$1:$HX$13,2,FALSE)</f>
        <v>5</v>
      </c>
      <c r="AD52" s="45">
        <f>HLOOKUP(TBL_CalcDarwin[[#This Row],[Fecha]],'Plantilla AEG ES'!$E$1:$HX$13,3,FALSE)</f>
        <v>6</v>
      </c>
      <c r="AE52" s="45">
        <f>HLOOKUP(TBL_CalcDarwin[[#This Row],[Fecha]],'Plantilla AEG ES'!$E$1:$HX$13,4,FALSE)</f>
        <v>9</v>
      </c>
      <c r="AF52" s="45">
        <f>HLOOKUP(TBL_CalcDarwin[[#This Row],[Fecha]],'Plantilla AEG ES'!$E$1:$HX$13,5,FALSE)</f>
        <v>1</v>
      </c>
      <c r="AG52" s="45">
        <f>HLOOKUP(TBL_CalcDarwin[[#This Row],[Fecha]],'Plantilla AEG ES'!$E$1:$HX$13,6,FALSE)</f>
        <v>1</v>
      </c>
      <c r="AH52" s="45">
        <f>HLOOKUP(TBL_CalcDarwin[[#This Row],[Fecha]],'Plantilla AEG ES'!$E$1:$HX$13,7,FALSE)</f>
        <v>0</v>
      </c>
      <c r="AI52" s="46">
        <f>HLOOKUP(TBL_CalcDarwin[[#This Row],[Fecha]],'Plantilla AEG ES'!$E$1:$HX$13,8,FALSE)</f>
        <v>0</v>
      </c>
      <c r="AJ52" s="46">
        <f>HLOOKUP(TBL_CalcDarwin[[#This Row],[Fecha]],'Plantilla AEG ES'!$E$1:$HX$13,9,FALSE)</f>
        <v>3</v>
      </c>
      <c r="AK52" s="46">
        <f>HLOOKUP(TBL_CalcDarwin[[#This Row],[Fecha]],'Plantilla AEG ES'!$E$1:$HX$13,10,FALSE)</f>
        <v>11</v>
      </c>
      <c r="AL52" s="46">
        <f>HLOOKUP(TBL_CalcDarwin[[#This Row],[Fecha]],'Plantilla AEG ES'!$E$1:$HX$13,11,FALSE)</f>
        <v>1</v>
      </c>
      <c r="AM52" s="46">
        <f>HLOOKUP(TBL_CalcDarwin[[#This Row],[Fecha]],'Plantilla AEG ES'!$E$1:$HX$13,12,FALSE)</f>
        <v>4</v>
      </c>
      <c r="AN52" s="46">
        <f>HLOOKUP(TBL_CalcDarwin[[#This Row],[Fecha]],'Plantilla AEG ES'!$E$1:$HX$13,13,FALSE)</f>
        <v>1</v>
      </c>
      <c r="AO52" s="37">
        <f>TBL_CalcDarwin[[#This Row],[Lomitas - Barra A - 5.2 - Cerro]]+TBL_CalcDarwin[[#This Row],[Lomitas - Barra A - 5.2 - Medio]]+TBL_CalcDarwin[[#This Row],[Lomitas - Barra A - 5.2 - Mar]]</f>
        <v>20</v>
      </c>
      <c r="AP5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5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23.995999999999999</v>
      </c>
      <c r="AR5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27.636999999999997</v>
      </c>
      <c r="AS52" s="37">
        <f>TBL_CalcDarwin[[#This Row],[Expansión - Barra A - 5.2 - Cerro]]+TBL_CalcDarwin[[#This Row],[Expansión - Barra A - 5.2 - Medio]]+TBL_CalcDarwin[[#This Row],[Expansión - Barra A - 5.2 - Mar]]</f>
        <v>2</v>
      </c>
      <c r="AT52" s="37">
        <f>TBL_CalcDarwin[[#This Row],[Expansión - Barra B - 5.2 - Cerro]]</f>
        <v>1</v>
      </c>
      <c r="AU5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1.728</v>
      </c>
      <c r="AV52" s="29">
        <f>TBL_CalcDarwin[[#This Row],[Expansión - Barra B - 5.2 - Cerro]]*TBL_CalcDarwin[[#This Row],[AEG 5.2 MW Cerro]]</f>
        <v>0.745</v>
      </c>
      <c r="AZ52" s="18"/>
      <c r="BA52" s="18"/>
      <c r="BB52" s="18"/>
      <c r="BC52" s="18"/>
      <c r="BD52" s="18"/>
      <c r="BE52" s="18"/>
      <c r="BF52" s="18"/>
    </row>
    <row r="53" spans="2:58" ht="12" x14ac:dyDescent="0.2">
      <c r="B53" s="55">
        <f t="shared" si="0"/>
        <v>45615.124999999884</v>
      </c>
      <c r="C53" s="17">
        <f>C52+TIME(1,0,0)</f>
        <v>2.1250000000000009</v>
      </c>
      <c r="D53" s="34">
        <f>TBL_CalcDarwin[[#This Row],[Darwin PLOM
MW]]+TBL_CalcDarwin[[#This Row],[Darwin PLOME
MW]]</f>
        <v>40.875</v>
      </c>
      <c r="E53" s="34">
        <f>TBL_CalcDarwin[[#This Row],[PLOM MW TOTAL BARRA A]]+TBL_CalcDarwin[[#This Row],[PLOM MW TOTAL BARRA B]]</f>
        <v>39.366</v>
      </c>
      <c r="F53" s="34">
        <f>TBL_CalcDarwin[[#This Row],[PLOME MW TOTAL BARRA A]]+TBL_CalcDarwin[[#This Row],[PLOME MW TOTAL BARRA B]]</f>
        <v>1.5089999999999999</v>
      </c>
      <c r="G53" s="48">
        <f>'Plantilla Datos'!D58</f>
        <v>4.8</v>
      </c>
      <c r="H53" s="48">
        <f>'Plantilla Datos'!E58</f>
        <v>6.2</v>
      </c>
      <c r="I53" s="49">
        <f>'Plantilla Datos'!F58</f>
        <v>17</v>
      </c>
      <c r="J53" s="47">
        <f>CEILING('Plantilla Datos'!$L$3*TBL_CalcDarwin[[#This Row],[Darwin Gusts
m/s]],0.5)</f>
        <v>4.5</v>
      </c>
      <c r="K53" s="47">
        <f>CEILING('Plantilla Datos'!$L$4*TBL_CalcDarwin[[#This Row],[Darwin Gusts
m/s]],0.5)</f>
        <v>5.5</v>
      </c>
      <c r="L53" s="47">
        <f>CEILING(TBL_CalcDarwin[[#This Row],[Darwin Gusts
m/s]],0.5)</f>
        <v>6.5</v>
      </c>
      <c r="M5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5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5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5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53" s="41">
        <f>INDEX(Curva_Temp[Temp],MATCH(TBL_CalcDarwin[[#This Row],[Darwin Temp.
°C]],Curva_Temp[Temp]))</f>
        <v>15</v>
      </c>
      <c r="R53" s="41">
        <f>INDEX(Curva_Temp[Warranted Power Curve for 
1.194Kg/m3 air density '[kW']
SG 5.0-145 (AM+1, 5.2MW) AT 
90M],MATCH(TBL_CalcDarwin[[#This Row],[Darwin Temp.
°C]],Curva_Temp[Temp]))</f>
        <v>5200</v>
      </c>
      <c r="S53" s="41" cm="1">
        <f t="array" ref="S53">INDEX(Curva_Temp[Temp],MATCH(TBL_CalcDarwin[[#This Row],[Darwin Temp.
°C]],Curva_Temp[Temp])+1)</f>
        <v>20</v>
      </c>
      <c r="T53" s="41" cm="1">
        <f t="array" ref="T53">INDEX(Curva_Temp[Warranted Power Curve for 
1.194Kg/m3 air density '[kW']
SG 5.0-145 (AM+1, 5.2MW) AT 
90M],MATCH(TBL_CalcDarwin[[#This Row],[Darwin Temp.
°C]],Curva_Temp[Temp])+1)</f>
        <v>5000</v>
      </c>
      <c r="U5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5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5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53" s="41">
        <f>INDEX(Curva_Temp[Temp],MATCH(TBL_CalcDarwin[[#This Row],[Darwin Temp.
°C]],Curva_Temp[Temp]))</f>
        <v>15</v>
      </c>
      <c r="Z53" s="41">
        <f>INDEX(Curva_Temp[Warranted Power Curve for 
1.194Kg/m3 air density '[kW']
SG 5.0-145 (AM 0, 5.0MW) AT 
90M],MATCH(TBL_CalcDarwin[[#This Row],[Darwin Temp.
°C]],Curva_Temp[Temp]))</f>
        <v>5000</v>
      </c>
      <c r="AA53" s="41" cm="1">
        <f t="array" ref="AA53">INDEX(Curva_Temp[Temp],MATCH(TBL_CalcDarwin[[#This Row],[Darwin Temp.
°C]],Curva_Temp[Temp])+1)</f>
        <v>20</v>
      </c>
      <c r="AB53" s="41" cm="1">
        <f t="array" ref="AB53">INDEX(Curva_Temp[Warranted Power Curve for 
1.194Kg/m3 air density '[kW']
SG 5.0-145 (AM 0, 5.0MW) AT 
90M],MATCH(TBL_CalcDarwin[[#This Row],[Darwin Temp.
°C]],Curva_Temp[Temp])+1)</f>
        <v>5000</v>
      </c>
      <c r="AC53" s="45">
        <f>HLOOKUP(TBL_CalcDarwin[[#This Row],[Fecha]],'Plantilla AEG ES'!$E$1:$HX$13,2,FALSE)</f>
        <v>5</v>
      </c>
      <c r="AD53" s="45">
        <f>HLOOKUP(TBL_CalcDarwin[[#This Row],[Fecha]],'Plantilla AEG ES'!$E$1:$HX$13,3,FALSE)</f>
        <v>6</v>
      </c>
      <c r="AE53" s="45">
        <f>HLOOKUP(TBL_CalcDarwin[[#This Row],[Fecha]],'Plantilla AEG ES'!$E$1:$HX$13,4,FALSE)</f>
        <v>9</v>
      </c>
      <c r="AF53" s="45">
        <f>HLOOKUP(TBL_CalcDarwin[[#This Row],[Fecha]],'Plantilla AEG ES'!$E$1:$HX$13,5,FALSE)</f>
        <v>1</v>
      </c>
      <c r="AG53" s="45">
        <f>HLOOKUP(TBL_CalcDarwin[[#This Row],[Fecha]],'Plantilla AEG ES'!$E$1:$HX$13,6,FALSE)</f>
        <v>1</v>
      </c>
      <c r="AH53" s="45">
        <f>HLOOKUP(TBL_CalcDarwin[[#This Row],[Fecha]],'Plantilla AEG ES'!$E$1:$HX$13,7,FALSE)</f>
        <v>0</v>
      </c>
      <c r="AI53" s="46">
        <f>HLOOKUP(TBL_CalcDarwin[[#This Row],[Fecha]],'Plantilla AEG ES'!$E$1:$HX$13,8,FALSE)</f>
        <v>0</v>
      </c>
      <c r="AJ53" s="46">
        <f>HLOOKUP(TBL_CalcDarwin[[#This Row],[Fecha]],'Plantilla AEG ES'!$E$1:$HX$13,9,FALSE)</f>
        <v>3</v>
      </c>
      <c r="AK53" s="46">
        <f>HLOOKUP(TBL_CalcDarwin[[#This Row],[Fecha]],'Plantilla AEG ES'!$E$1:$HX$13,10,FALSE)</f>
        <v>11</v>
      </c>
      <c r="AL53" s="46">
        <f>HLOOKUP(TBL_CalcDarwin[[#This Row],[Fecha]],'Plantilla AEG ES'!$E$1:$HX$13,11,FALSE)</f>
        <v>1</v>
      </c>
      <c r="AM53" s="46">
        <f>HLOOKUP(TBL_CalcDarwin[[#This Row],[Fecha]],'Plantilla AEG ES'!$E$1:$HX$13,12,FALSE)</f>
        <v>4</v>
      </c>
      <c r="AN53" s="46">
        <f>HLOOKUP(TBL_CalcDarwin[[#This Row],[Fecha]],'Plantilla AEG ES'!$E$1:$HX$13,13,FALSE)</f>
        <v>1</v>
      </c>
      <c r="AO53" s="37">
        <f>TBL_CalcDarwin[[#This Row],[Lomitas - Barra A - 5.2 - Cerro]]+TBL_CalcDarwin[[#This Row],[Lomitas - Barra A - 5.2 - Medio]]+TBL_CalcDarwin[[#This Row],[Lomitas - Barra A - 5.2 - Mar]]</f>
        <v>20</v>
      </c>
      <c r="AP5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5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17.774000000000001</v>
      </c>
      <c r="AR5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21.591999999999999</v>
      </c>
      <c r="AS53" s="37">
        <f>TBL_CalcDarwin[[#This Row],[Expansión - Barra A - 5.2 - Cerro]]+TBL_CalcDarwin[[#This Row],[Expansión - Barra A - 5.2 - Medio]]+TBL_CalcDarwin[[#This Row],[Expansión - Barra A - 5.2 - Mar]]</f>
        <v>2</v>
      </c>
      <c r="AT53" s="37">
        <f>TBL_CalcDarwin[[#This Row],[Expansión - Barra B - 5.2 - Cerro]]</f>
        <v>1</v>
      </c>
      <c r="AU5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53" s="29">
        <f>TBL_CalcDarwin[[#This Row],[Expansión - Barra B - 5.2 - Cerro]]*TBL_CalcDarwin[[#This Row],[AEG 5.2 MW Cerro]]</f>
        <v>0.38200000000000001</v>
      </c>
      <c r="AZ53" s="18"/>
      <c r="BA53" s="18"/>
      <c r="BB53" s="18"/>
      <c r="BC53" s="18"/>
      <c r="BD53" s="18"/>
      <c r="BE53" s="18"/>
      <c r="BF53" s="18"/>
    </row>
    <row r="54" spans="2:58" ht="12" x14ac:dyDescent="0.2">
      <c r="B54" s="55">
        <f t="shared" si="0"/>
        <v>45615.166666666548</v>
      </c>
      <c r="C54" s="17">
        <f t="shared" ref="C54:C70" si="5">C53+TIME(1,0,0)</f>
        <v>2.1666666666666674</v>
      </c>
      <c r="D54" s="34">
        <f>TBL_CalcDarwin[[#This Row],[Darwin PLOM
MW]]+TBL_CalcDarwin[[#This Row],[Darwin PLOME
MW]]</f>
        <v>25.275000000000002</v>
      </c>
      <c r="E54" s="34">
        <f>TBL_CalcDarwin[[#This Row],[PLOM MW TOTAL BARRA A]]+TBL_CalcDarwin[[#This Row],[PLOM MW TOTAL BARRA B]]</f>
        <v>24.240000000000002</v>
      </c>
      <c r="F54" s="34">
        <f>TBL_CalcDarwin[[#This Row],[PLOME MW TOTAL BARRA A]]+TBL_CalcDarwin[[#This Row],[PLOME MW TOTAL BARRA B]]</f>
        <v>1.0350000000000001</v>
      </c>
      <c r="G54" s="48">
        <f>'Plantilla Datos'!D59</f>
        <v>4.2</v>
      </c>
      <c r="H54" s="48">
        <f>'Plantilla Datos'!E59</f>
        <v>5.4</v>
      </c>
      <c r="I54" s="49">
        <f>'Plantilla Datos'!F59</f>
        <v>17.100000000000001</v>
      </c>
      <c r="J54" s="47">
        <f>CEILING('Plantilla Datos'!$L$3*TBL_CalcDarwin[[#This Row],[Darwin Gusts
m/s]],0.5)</f>
        <v>4</v>
      </c>
      <c r="K54" s="47">
        <f>CEILING('Plantilla Datos'!$L$4*TBL_CalcDarwin[[#This Row],[Darwin Gusts
m/s]],0.5)</f>
        <v>5</v>
      </c>
      <c r="L54" s="47">
        <f>CEILING(TBL_CalcDarwin[[#This Row],[Darwin Gusts
m/s]],0.5)</f>
        <v>5.5</v>
      </c>
      <c r="M5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5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5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5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54" s="41">
        <f>INDEX(Curva_Temp[Temp],MATCH(TBL_CalcDarwin[[#This Row],[Darwin Temp.
°C]],Curva_Temp[Temp]))</f>
        <v>15</v>
      </c>
      <c r="R54" s="41">
        <f>INDEX(Curva_Temp[Warranted Power Curve for 
1.194Kg/m3 air density '[kW']
SG 5.0-145 (AM+1, 5.2MW) AT 
90M],MATCH(TBL_CalcDarwin[[#This Row],[Darwin Temp.
°C]],Curva_Temp[Temp]))</f>
        <v>5200</v>
      </c>
      <c r="S54" s="41" cm="1">
        <f t="array" ref="S54">INDEX(Curva_Temp[Temp],MATCH(TBL_CalcDarwin[[#This Row],[Darwin Temp.
°C]],Curva_Temp[Temp])+1)</f>
        <v>20</v>
      </c>
      <c r="T54" s="41" cm="1">
        <f t="array" ref="T54">INDEX(Curva_Temp[Warranted Power Curve for 
1.194Kg/m3 air density '[kW']
SG 5.0-145 (AM+1, 5.2MW) AT 
90M],MATCH(TBL_CalcDarwin[[#This Row],[Darwin Temp.
°C]],Curva_Temp[Temp])+1)</f>
        <v>5000</v>
      </c>
      <c r="U5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5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5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54" s="41">
        <f>INDEX(Curva_Temp[Temp],MATCH(TBL_CalcDarwin[[#This Row],[Darwin Temp.
°C]],Curva_Temp[Temp]))</f>
        <v>15</v>
      </c>
      <c r="Z54" s="41">
        <f>INDEX(Curva_Temp[Warranted Power Curve for 
1.194Kg/m3 air density '[kW']
SG 5.0-145 (AM 0, 5.0MW) AT 
90M],MATCH(TBL_CalcDarwin[[#This Row],[Darwin Temp.
°C]],Curva_Temp[Temp]))</f>
        <v>5000</v>
      </c>
      <c r="AA54" s="41" cm="1">
        <f t="array" ref="AA54">INDEX(Curva_Temp[Temp],MATCH(TBL_CalcDarwin[[#This Row],[Darwin Temp.
°C]],Curva_Temp[Temp])+1)</f>
        <v>20</v>
      </c>
      <c r="AB54" s="41" cm="1">
        <f t="array" ref="AB54">INDEX(Curva_Temp[Warranted Power Curve for 
1.194Kg/m3 air density '[kW']
SG 5.0-145 (AM 0, 5.0MW) AT 
90M],MATCH(TBL_CalcDarwin[[#This Row],[Darwin Temp.
°C]],Curva_Temp[Temp])+1)</f>
        <v>5000</v>
      </c>
      <c r="AC54" s="45">
        <f>HLOOKUP(TBL_CalcDarwin[[#This Row],[Fecha]],'Plantilla AEG ES'!$E$1:$HX$13,2,FALSE)</f>
        <v>5</v>
      </c>
      <c r="AD54" s="45">
        <f>HLOOKUP(TBL_CalcDarwin[[#This Row],[Fecha]],'Plantilla AEG ES'!$E$1:$HX$13,3,FALSE)</f>
        <v>6</v>
      </c>
      <c r="AE54" s="45">
        <f>HLOOKUP(TBL_CalcDarwin[[#This Row],[Fecha]],'Plantilla AEG ES'!$E$1:$HX$13,4,FALSE)</f>
        <v>9</v>
      </c>
      <c r="AF54" s="45">
        <f>HLOOKUP(TBL_CalcDarwin[[#This Row],[Fecha]],'Plantilla AEG ES'!$E$1:$HX$13,5,FALSE)</f>
        <v>1</v>
      </c>
      <c r="AG54" s="45">
        <f>HLOOKUP(TBL_CalcDarwin[[#This Row],[Fecha]],'Plantilla AEG ES'!$E$1:$HX$13,6,FALSE)</f>
        <v>1</v>
      </c>
      <c r="AH54" s="45">
        <f>HLOOKUP(TBL_CalcDarwin[[#This Row],[Fecha]],'Plantilla AEG ES'!$E$1:$HX$13,7,FALSE)</f>
        <v>0</v>
      </c>
      <c r="AI54" s="46">
        <f>HLOOKUP(TBL_CalcDarwin[[#This Row],[Fecha]],'Plantilla AEG ES'!$E$1:$HX$13,8,FALSE)</f>
        <v>0</v>
      </c>
      <c r="AJ54" s="46">
        <f>HLOOKUP(TBL_CalcDarwin[[#This Row],[Fecha]],'Plantilla AEG ES'!$E$1:$HX$13,9,FALSE)</f>
        <v>3</v>
      </c>
      <c r="AK54" s="46">
        <f>HLOOKUP(TBL_CalcDarwin[[#This Row],[Fecha]],'Plantilla AEG ES'!$E$1:$HX$13,10,FALSE)</f>
        <v>11</v>
      </c>
      <c r="AL54" s="46">
        <f>HLOOKUP(TBL_CalcDarwin[[#This Row],[Fecha]],'Plantilla AEG ES'!$E$1:$HX$13,11,FALSE)</f>
        <v>1</v>
      </c>
      <c r="AM54" s="46">
        <f>HLOOKUP(TBL_CalcDarwin[[#This Row],[Fecha]],'Plantilla AEG ES'!$E$1:$HX$13,12,FALSE)</f>
        <v>4</v>
      </c>
      <c r="AN54" s="46">
        <f>HLOOKUP(TBL_CalcDarwin[[#This Row],[Fecha]],'Plantilla AEG ES'!$E$1:$HX$13,13,FALSE)</f>
        <v>1</v>
      </c>
      <c r="AO54" s="37">
        <f>TBL_CalcDarwin[[#This Row],[Lomitas - Barra A - 5.2 - Cerro]]+TBL_CalcDarwin[[#This Row],[Lomitas - Barra A - 5.2 - Medio]]+TBL_CalcDarwin[[#This Row],[Lomitas - Barra A - 5.2 - Mar]]</f>
        <v>20</v>
      </c>
      <c r="AP5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5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11.207000000000001</v>
      </c>
      <c r="AR5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13.033000000000001</v>
      </c>
      <c r="AS54" s="37">
        <f>TBL_CalcDarwin[[#This Row],[Expansión - Barra A - 5.2 - Cerro]]+TBL_CalcDarwin[[#This Row],[Expansión - Barra A - 5.2 - Medio]]+TBL_CalcDarwin[[#This Row],[Expansión - Barra A - 5.2 - Mar]]</f>
        <v>2</v>
      </c>
      <c r="AT54" s="37">
        <f>TBL_CalcDarwin[[#This Row],[Expansión - Barra B - 5.2 - Cerro]]</f>
        <v>1</v>
      </c>
      <c r="AU5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54" s="29">
        <f>TBL_CalcDarwin[[#This Row],[Expansión - Barra B - 5.2 - Cerro]]*TBL_CalcDarwin[[#This Row],[AEG 5.2 MW Cerro]]</f>
        <v>0.24399999999999999</v>
      </c>
      <c r="AZ54" s="18"/>
      <c r="BA54" s="18"/>
      <c r="BB54" s="18"/>
      <c r="BC54" s="18"/>
      <c r="BD54" s="18"/>
      <c r="BE54" s="18"/>
      <c r="BF54" s="18"/>
    </row>
    <row r="55" spans="2:58" ht="12" x14ac:dyDescent="0.2">
      <c r="B55" s="55">
        <f t="shared" si="0"/>
        <v>45615.208333333212</v>
      </c>
      <c r="C55" s="17">
        <f t="shared" si="5"/>
        <v>2.2083333333333339</v>
      </c>
      <c r="D55" s="34">
        <f>TBL_CalcDarwin[[#This Row],[Darwin PLOM
MW]]+TBL_CalcDarwin[[#This Row],[Darwin PLOME
MW]]</f>
        <v>25.275000000000002</v>
      </c>
      <c r="E55" s="34">
        <f>TBL_CalcDarwin[[#This Row],[PLOM MW TOTAL BARRA A]]+TBL_CalcDarwin[[#This Row],[PLOM MW TOTAL BARRA B]]</f>
        <v>24.240000000000002</v>
      </c>
      <c r="F55" s="34">
        <f>TBL_CalcDarwin[[#This Row],[PLOME MW TOTAL BARRA A]]+TBL_CalcDarwin[[#This Row],[PLOME MW TOTAL BARRA B]]</f>
        <v>1.0350000000000001</v>
      </c>
      <c r="G55" s="48">
        <f>'Plantilla Datos'!D60</f>
        <v>4.2</v>
      </c>
      <c r="H55" s="48">
        <f>'Plantilla Datos'!E60</f>
        <v>5.5</v>
      </c>
      <c r="I55" s="49">
        <f>'Plantilla Datos'!F60</f>
        <v>17</v>
      </c>
      <c r="J55" s="47">
        <f>CEILING('Plantilla Datos'!$L$3*TBL_CalcDarwin[[#This Row],[Darwin Gusts
m/s]],0.5)</f>
        <v>4</v>
      </c>
      <c r="K55" s="47">
        <f>CEILING('Plantilla Datos'!$L$4*TBL_CalcDarwin[[#This Row],[Darwin Gusts
m/s]],0.5)</f>
        <v>5</v>
      </c>
      <c r="L55" s="47">
        <f>CEILING(TBL_CalcDarwin[[#This Row],[Darwin Gusts
m/s]],0.5)</f>
        <v>5.5</v>
      </c>
      <c r="M5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5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5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5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55" s="41">
        <f>INDEX(Curva_Temp[Temp],MATCH(TBL_CalcDarwin[[#This Row],[Darwin Temp.
°C]],Curva_Temp[Temp]))</f>
        <v>15</v>
      </c>
      <c r="R55" s="41">
        <f>INDEX(Curva_Temp[Warranted Power Curve for 
1.194Kg/m3 air density '[kW']
SG 5.0-145 (AM+1, 5.2MW) AT 
90M],MATCH(TBL_CalcDarwin[[#This Row],[Darwin Temp.
°C]],Curva_Temp[Temp]))</f>
        <v>5200</v>
      </c>
      <c r="S55" s="41" cm="1">
        <f t="array" ref="S55">INDEX(Curva_Temp[Temp],MATCH(TBL_CalcDarwin[[#This Row],[Darwin Temp.
°C]],Curva_Temp[Temp])+1)</f>
        <v>20</v>
      </c>
      <c r="T55" s="41" cm="1">
        <f t="array" ref="T55">INDEX(Curva_Temp[Warranted Power Curve for 
1.194Kg/m3 air density '[kW']
SG 5.0-145 (AM+1, 5.2MW) AT 
90M],MATCH(TBL_CalcDarwin[[#This Row],[Darwin Temp.
°C]],Curva_Temp[Temp])+1)</f>
        <v>5000</v>
      </c>
      <c r="U5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5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5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55" s="41">
        <f>INDEX(Curva_Temp[Temp],MATCH(TBL_CalcDarwin[[#This Row],[Darwin Temp.
°C]],Curva_Temp[Temp]))</f>
        <v>15</v>
      </c>
      <c r="Z55" s="41">
        <f>INDEX(Curva_Temp[Warranted Power Curve for 
1.194Kg/m3 air density '[kW']
SG 5.0-145 (AM 0, 5.0MW) AT 
90M],MATCH(TBL_CalcDarwin[[#This Row],[Darwin Temp.
°C]],Curva_Temp[Temp]))</f>
        <v>5000</v>
      </c>
      <c r="AA55" s="41" cm="1">
        <f t="array" ref="AA55">INDEX(Curva_Temp[Temp],MATCH(TBL_CalcDarwin[[#This Row],[Darwin Temp.
°C]],Curva_Temp[Temp])+1)</f>
        <v>20</v>
      </c>
      <c r="AB55" s="41" cm="1">
        <f t="array" ref="AB55">INDEX(Curva_Temp[Warranted Power Curve for 
1.194Kg/m3 air density '[kW']
SG 5.0-145 (AM 0, 5.0MW) AT 
90M],MATCH(TBL_CalcDarwin[[#This Row],[Darwin Temp.
°C]],Curva_Temp[Temp])+1)</f>
        <v>5000</v>
      </c>
      <c r="AC55" s="45">
        <f>HLOOKUP(TBL_CalcDarwin[[#This Row],[Fecha]],'Plantilla AEG ES'!$E$1:$HX$13,2,FALSE)</f>
        <v>5</v>
      </c>
      <c r="AD55" s="45">
        <f>HLOOKUP(TBL_CalcDarwin[[#This Row],[Fecha]],'Plantilla AEG ES'!$E$1:$HX$13,3,FALSE)</f>
        <v>6</v>
      </c>
      <c r="AE55" s="45">
        <f>HLOOKUP(TBL_CalcDarwin[[#This Row],[Fecha]],'Plantilla AEG ES'!$E$1:$HX$13,4,FALSE)</f>
        <v>9</v>
      </c>
      <c r="AF55" s="45">
        <f>HLOOKUP(TBL_CalcDarwin[[#This Row],[Fecha]],'Plantilla AEG ES'!$E$1:$HX$13,5,FALSE)</f>
        <v>1</v>
      </c>
      <c r="AG55" s="45">
        <f>HLOOKUP(TBL_CalcDarwin[[#This Row],[Fecha]],'Plantilla AEG ES'!$E$1:$HX$13,6,FALSE)</f>
        <v>1</v>
      </c>
      <c r="AH55" s="45">
        <f>HLOOKUP(TBL_CalcDarwin[[#This Row],[Fecha]],'Plantilla AEG ES'!$E$1:$HX$13,7,FALSE)</f>
        <v>0</v>
      </c>
      <c r="AI55" s="46">
        <f>HLOOKUP(TBL_CalcDarwin[[#This Row],[Fecha]],'Plantilla AEG ES'!$E$1:$HX$13,8,FALSE)</f>
        <v>0</v>
      </c>
      <c r="AJ55" s="46">
        <f>HLOOKUP(TBL_CalcDarwin[[#This Row],[Fecha]],'Plantilla AEG ES'!$E$1:$HX$13,9,FALSE)</f>
        <v>3</v>
      </c>
      <c r="AK55" s="46">
        <f>HLOOKUP(TBL_CalcDarwin[[#This Row],[Fecha]],'Plantilla AEG ES'!$E$1:$HX$13,10,FALSE)</f>
        <v>11</v>
      </c>
      <c r="AL55" s="46">
        <f>HLOOKUP(TBL_CalcDarwin[[#This Row],[Fecha]],'Plantilla AEG ES'!$E$1:$HX$13,11,FALSE)</f>
        <v>1</v>
      </c>
      <c r="AM55" s="46">
        <f>HLOOKUP(TBL_CalcDarwin[[#This Row],[Fecha]],'Plantilla AEG ES'!$E$1:$HX$13,12,FALSE)</f>
        <v>4</v>
      </c>
      <c r="AN55" s="46">
        <f>HLOOKUP(TBL_CalcDarwin[[#This Row],[Fecha]],'Plantilla AEG ES'!$E$1:$HX$13,13,FALSE)</f>
        <v>1</v>
      </c>
      <c r="AO55" s="37">
        <f>TBL_CalcDarwin[[#This Row],[Lomitas - Barra A - 5.2 - Cerro]]+TBL_CalcDarwin[[#This Row],[Lomitas - Barra A - 5.2 - Medio]]+TBL_CalcDarwin[[#This Row],[Lomitas - Barra A - 5.2 - Mar]]</f>
        <v>20</v>
      </c>
      <c r="AP5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5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11.207000000000001</v>
      </c>
      <c r="AR5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13.033000000000001</v>
      </c>
      <c r="AS55" s="37">
        <f>TBL_CalcDarwin[[#This Row],[Expansión - Barra A - 5.2 - Cerro]]+TBL_CalcDarwin[[#This Row],[Expansión - Barra A - 5.2 - Medio]]+TBL_CalcDarwin[[#This Row],[Expansión - Barra A - 5.2 - Mar]]</f>
        <v>2</v>
      </c>
      <c r="AT55" s="37">
        <f>TBL_CalcDarwin[[#This Row],[Expansión - Barra B - 5.2 - Cerro]]</f>
        <v>1</v>
      </c>
      <c r="AU5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55" s="29">
        <f>TBL_CalcDarwin[[#This Row],[Expansión - Barra B - 5.2 - Cerro]]*TBL_CalcDarwin[[#This Row],[AEG 5.2 MW Cerro]]</f>
        <v>0.24399999999999999</v>
      </c>
      <c r="AZ55" s="18"/>
      <c r="BA55" s="18"/>
      <c r="BB55" s="18"/>
      <c r="BC55" s="18"/>
      <c r="BD55" s="18"/>
      <c r="BE55" s="18"/>
      <c r="BF55" s="18"/>
    </row>
    <row r="56" spans="2:58" ht="12" x14ac:dyDescent="0.2">
      <c r="B56" s="55">
        <f t="shared" si="0"/>
        <v>45615.249999999876</v>
      </c>
      <c r="C56" s="17">
        <f t="shared" si="5"/>
        <v>2.2500000000000004</v>
      </c>
      <c r="D56" s="34">
        <f>TBL_CalcDarwin[[#This Row],[Darwin PLOM
MW]]+TBL_CalcDarwin[[#This Row],[Darwin PLOME
MW]]</f>
        <v>32.103000000000002</v>
      </c>
      <c r="E56" s="34">
        <f>TBL_CalcDarwin[[#This Row],[PLOM MW TOTAL BARRA A]]+TBL_CalcDarwin[[#This Row],[PLOM MW TOTAL BARRA B]]</f>
        <v>30.792000000000002</v>
      </c>
      <c r="F56" s="34">
        <f>TBL_CalcDarwin[[#This Row],[PLOME MW TOTAL BARRA A]]+TBL_CalcDarwin[[#This Row],[PLOME MW TOTAL BARRA B]]</f>
        <v>1.3109999999999999</v>
      </c>
      <c r="G56" s="48">
        <f>'Plantilla Datos'!D61</f>
        <v>4.3</v>
      </c>
      <c r="H56" s="48">
        <f>'Plantilla Datos'!E61</f>
        <v>5.6</v>
      </c>
      <c r="I56" s="49">
        <f>'Plantilla Datos'!F61</f>
        <v>17</v>
      </c>
      <c r="J56" s="47">
        <f>CEILING('Plantilla Datos'!$L$3*TBL_CalcDarwin[[#This Row],[Darwin Gusts
m/s]],0.5)</f>
        <v>4.5</v>
      </c>
      <c r="K56" s="47">
        <f>CEILING('Plantilla Datos'!$L$4*TBL_CalcDarwin[[#This Row],[Darwin Gusts
m/s]],0.5)</f>
        <v>5</v>
      </c>
      <c r="L56" s="47">
        <f>CEILING(TBL_CalcDarwin[[#This Row],[Darwin Gusts
m/s]],0.5)</f>
        <v>6</v>
      </c>
      <c r="M5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5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5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5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56" s="41">
        <f>INDEX(Curva_Temp[Temp],MATCH(TBL_CalcDarwin[[#This Row],[Darwin Temp.
°C]],Curva_Temp[Temp]))</f>
        <v>15</v>
      </c>
      <c r="R56" s="41">
        <f>INDEX(Curva_Temp[Warranted Power Curve for 
1.194Kg/m3 air density '[kW']
SG 5.0-145 (AM+1, 5.2MW) AT 
90M],MATCH(TBL_CalcDarwin[[#This Row],[Darwin Temp.
°C]],Curva_Temp[Temp]))</f>
        <v>5200</v>
      </c>
      <c r="S56" s="41" cm="1">
        <f t="array" ref="S56">INDEX(Curva_Temp[Temp],MATCH(TBL_CalcDarwin[[#This Row],[Darwin Temp.
°C]],Curva_Temp[Temp])+1)</f>
        <v>20</v>
      </c>
      <c r="T56" s="41" cm="1">
        <f t="array" ref="T56">INDEX(Curva_Temp[Warranted Power Curve for 
1.194Kg/m3 air density '[kW']
SG 5.0-145 (AM+1, 5.2MW) AT 
90M],MATCH(TBL_CalcDarwin[[#This Row],[Darwin Temp.
°C]],Curva_Temp[Temp])+1)</f>
        <v>5000</v>
      </c>
      <c r="U5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5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5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56" s="41">
        <f>INDEX(Curva_Temp[Temp],MATCH(TBL_CalcDarwin[[#This Row],[Darwin Temp.
°C]],Curva_Temp[Temp]))</f>
        <v>15</v>
      </c>
      <c r="Z56" s="41">
        <f>INDEX(Curva_Temp[Warranted Power Curve for 
1.194Kg/m3 air density '[kW']
SG 5.0-145 (AM 0, 5.0MW) AT 
90M],MATCH(TBL_CalcDarwin[[#This Row],[Darwin Temp.
°C]],Curva_Temp[Temp]))</f>
        <v>5000</v>
      </c>
      <c r="AA56" s="41" cm="1">
        <f t="array" ref="AA56">INDEX(Curva_Temp[Temp],MATCH(TBL_CalcDarwin[[#This Row],[Darwin Temp.
°C]],Curva_Temp[Temp])+1)</f>
        <v>20</v>
      </c>
      <c r="AB56" s="41" cm="1">
        <f t="array" ref="AB56">INDEX(Curva_Temp[Warranted Power Curve for 
1.194Kg/m3 air density '[kW']
SG 5.0-145 (AM 0, 5.0MW) AT 
90M],MATCH(TBL_CalcDarwin[[#This Row],[Darwin Temp.
°C]],Curva_Temp[Temp])+1)</f>
        <v>5000</v>
      </c>
      <c r="AC56" s="45">
        <f>HLOOKUP(TBL_CalcDarwin[[#This Row],[Fecha]],'Plantilla AEG ES'!$E$1:$HX$13,2,FALSE)</f>
        <v>5</v>
      </c>
      <c r="AD56" s="45">
        <f>HLOOKUP(TBL_CalcDarwin[[#This Row],[Fecha]],'Plantilla AEG ES'!$E$1:$HX$13,3,FALSE)</f>
        <v>6</v>
      </c>
      <c r="AE56" s="45">
        <f>HLOOKUP(TBL_CalcDarwin[[#This Row],[Fecha]],'Plantilla AEG ES'!$E$1:$HX$13,4,FALSE)</f>
        <v>9</v>
      </c>
      <c r="AF56" s="45">
        <f>HLOOKUP(TBL_CalcDarwin[[#This Row],[Fecha]],'Plantilla AEG ES'!$E$1:$HX$13,5,FALSE)</f>
        <v>1</v>
      </c>
      <c r="AG56" s="45">
        <f>HLOOKUP(TBL_CalcDarwin[[#This Row],[Fecha]],'Plantilla AEG ES'!$E$1:$HX$13,6,FALSE)</f>
        <v>1</v>
      </c>
      <c r="AH56" s="45">
        <f>HLOOKUP(TBL_CalcDarwin[[#This Row],[Fecha]],'Plantilla AEG ES'!$E$1:$HX$13,7,FALSE)</f>
        <v>0</v>
      </c>
      <c r="AI56" s="46">
        <f>HLOOKUP(TBL_CalcDarwin[[#This Row],[Fecha]],'Plantilla AEG ES'!$E$1:$HX$13,8,FALSE)</f>
        <v>0</v>
      </c>
      <c r="AJ56" s="46">
        <f>HLOOKUP(TBL_CalcDarwin[[#This Row],[Fecha]],'Plantilla AEG ES'!$E$1:$HX$13,9,FALSE)</f>
        <v>3</v>
      </c>
      <c r="AK56" s="46">
        <f>HLOOKUP(TBL_CalcDarwin[[#This Row],[Fecha]],'Plantilla AEG ES'!$E$1:$HX$13,10,FALSE)</f>
        <v>11</v>
      </c>
      <c r="AL56" s="46">
        <f>HLOOKUP(TBL_CalcDarwin[[#This Row],[Fecha]],'Plantilla AEG ES'!$E$1:$HX$13,11,FALSE)</f>
        <v>1</v>
      </c>
      <c r="AM56" s="46">
        <f>HLOOKUP(TBL_CalcDarwin[[#This Row],[Fecha]],'Plantilla AEG ES'!$E$1:$HX$13,12,FALSE)</f>
        <v>4</v>
      </c>
      <c r="AN56" s="46">
        <f>HLOOKUP(TBL_CalcDarwin[[#This Row],[Fecha]],'Plantilla AEG ES'!$E$1:$HX$13,13,FALSE)</f>
        <v>1</v>
      </c>
      <c r="AO56" s="37">
        <f>TBL_CalcDarwin[[#This Row],[Lomitas - Barra A - 5.2 - Cerro]]+TBL_CalcDarwin[[#This Row],[Lomitas - Barra A - 5.2 - Medio]]+TBL_CalcDarwin[[#This Row],[Lomitas - Barra A - 5.2 - Mar]]</f>
        <v>20</v>
      </c>
      <c r="AP5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5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14.039</v>
      </c>
      <c r="AR5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16.753</v>
      </c>
      <c r="AS56" s="37">
        <f>TBL_CalcDarwin[[#This Row],[Expansión - Barra A - 5.2 - Cerro]]+TBL_CalcDarwin[[#This Row],[Expansión - Barra A - 5.2 - Medio]]+TBL_CalcDarwin[[#This Row],[Expansión - Barra A - 5.2 - Mar]]</f>
        <v>2</v>
      </c>
      <c r="AT56" s="37">
        <f>TBL_CalcDarwin[[#This Row],[Expansión - Barra B - 5.2 - Cerro]]</f>
        <v>1</v>
      </c>
      <c r="AU5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56" s="29">
        <f>TBL_CalcDarwin[[#This Row],[Expansión - Barra B - 5.2 - Cerro]]*TBL_CalcDarwin[[#This Row],[AEG 5.2 MW Cerro]]</f>
        <v>0.38200000000000001</v>
      </c>
      <c r="AZ56" s="18"/>
      <c r="BA56" s="18"/>
      <c r="BB56" s="18"/>
      <c r="BC56" s="18"/>
      <c r="BD56" s="18"/>
      <c r="BE56" s="18"/>
      <c r="BF56" s="18"/>
    </row>
    <row r="57" spans="2:58" ht="12" x14ac:dyDescent="0.2">
      <c r="B57" s="55">
        <f t="shared" si="0"/>
        <v>45615.291666666541</v>
      </c>
      <c r="C57" s="17">
        <f t="shared" si="5"/>
        <v>2.291666666666667</v>
      </c>
      <c r="D57" s="34">
        <f>TBL_CalcDarwin[[#This Row],[Darwin PLOM
MW]]+TBL_CalcDarwin[[#This Row],[Darwin PLOME
MW]]</f>
        <v>32.103000000000002</v>
      </c>
      <c r="E57" s="34">
        <f>TBL_CalcDarwin[[#This Row],[PLOM MW TOTAL BARRA A]]+TBL_CalcDarwin[[#This Row],[PLOM MW TOTAL BARRA B]]</f>
        <v>30.792000000000002</v>
      </c>
      <c r="F57" s="34">
        <f>TBL_CalcDarwin[[#This Row],[PLOME MW TOTAL BARRA A]]+TBL_CalcDarwin[[#This Row],[PLOME MW TOTAL BARRA B]]</f>
        <v>1.3109999999999999</v>
      </c>
      <c r="G57" s="48">
        <f>'Plantilla Datos'!D62</f>
        <v>4.4000000000000004</v>
      </c>
      <c r="H57" s="48">
        <f>'Plantilla Datos'!E62</f>
        <v>5.7</v>
      </c>
      <c r="I57" s="49">
        <f>'Plantilla Datos'!F62</f>
        <v>16.8</v>
      </c>
      <c r="J57" s="47">
        <f>CEILING('Plantilla Datos'!$L$3*TBL_CalcDarwin[[#This Row],[Darwin Gusts
m/s]],0.5)</f>
        <v>4.5</v>
      </c>
      <c r="K57" s="47">
        <f>CEILING('Plantilla Datos'!$L$4*TBL_CalcDarwin[[#This Row],[Darwin Gusts
m/s]],0.5)</f>
        <v>5</v>
      </c>
      <c r="L57" s="47">
        <f>CEILING(TBL_CalcDarwin[[#This Row],[Darwin Gusts
m/s]],0.5)</f>
        <v>6</v>
      </c>
      <c r="M5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5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5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5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57" s="41">
        <f>INDEX(Curva_Temp[Temp],MATCH(TBL_CalcDarwin[[#This Row],[Darwin Temp.
°C]],Curva_Temp[Temp]))</f>
        <v>15</v>
      </c>
      <c r="R57" s="41">
        <f>INDEX(Curva_Temp[Warranted Power Curve for 
1.194Kg/m3 air density '[kW']
SG 5.0-145 (AM+1, 5.2MW) AT 
90M],MATCH(TBL_CalcDarwin[[#This Row],[Darwin Temp.
°C]],Curva_Temp[Temp]))</f>
        <v>5200</v>
      </c>
      <c r="S57" s="41" cm="1">
        <f t="array" ref="S57">INDEX(Curva_Temp[Temp],MATCH(TBL_CalcDarwin[[#This Row],[Darwin Temp.
°C]],Curva_Temp[Temp])+1)</f>
        <v>20</v>
      </c>
      <c r="T57" s="41" cm="1">
        <f t="array" ref="T57">INDEX(Curva_Temp[Warranted Power Curve for 
1.194Kg/m3 air density '[kW']
SG 5.0-145 (AM+1, 5.2MW) AT 
90M],MATCH(TBL_CalcDarwin[[#This Row],[Darwin Temp.
°C]],Curva_Temp[Temp])+1)</f>
        <v>5000</v>
      </c>
      <c r="U5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5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5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57" s="41">
        <f>INDEX(Curva_Temp[Temp],MATCH(TBL_CalcDarwin[[#This Row],[Darwin Temp.
°C]],Curva_Temp[Temp]))</f>
        <v>15</v>
      </c>
      <c r="Z57" s="41">
        <f>INDEX(Curva_Temp[Warranted Power Curve for 
1.194Kg/m3 air density '[kW']
SG 5.0-145 (AM 0, 5.0MW) AT 
90M],MATCH(TBL_CalcDarwin[[#This Row],[Darwin Temp.
°C]],Curva_Temp[Temp]))</f>
        <v>5000</v>
      </c>
      <c r="AA57" s="41" cm="1">
        <f t="array" ref="AA57">INDEX(Curva_Temp[Temp],MATCH(TBL_CalcDarwin[[#This Row],[Darwin Temp.
°C]],Curva_Temp[Temp])+1)</f>
        <v>20</v>
      </c>
      <c r="AB57" s="41" cm="1">
        <f t="array" ref="AB57">INDEX(Curva_Temp[Warranted Power Curve for 
1.194Kg/m3 air density '[kW']
SG 5.0-145 (AM 0, 5.0MW) AT 
90M],MATCH(TBL_CalcDarwin[[#This Row],[Darwin Temp.
°C]],Curva_Temp[Temp])+1)</f>
        <v>5000</v>
      </c>
      <c r="AC57" s="45">
        <f>HLOOKUP(TBL_CalcDarwin[[#This Row],[Fecha]],'Plantilla AEG ES'!$E$1:$HX$13,2,FALSE)</f>
        <v>5</v>
      </c>
      <c r="AD57" s="45">
        <f>HLOOKUP(TBL_CalcDarwin[[#This Row],[Fecha]],'Plantilla AEG ES'!$E$1:$HX$13,3,FALSE)</f>
        <v>6</v>
      </c>
      <c r="AE57" s="45">
        <f>HLOOKUP(TBL_CalcDarwin[[#This Row],[Fecha]],'Plantilla AEG ES'!$E$1:$HX$13,4,FALSE)</f>
        <v>9</v>
      </c>
      <c r="AF57" s="45">
        <f>HLOOKUP(TBL_CalcDarwin[[#This Row],[Fecha]],'Plantilla AEG ES'!$E$1:$HX$13,5,FALSE)</f>
        <v>1</v>
      </c>
      <c r="AG57" s="45">
        <f>HLOOKUP(TBL_CalcDarwin[[#This Row],[Fecha]],'Plantilla AEG ES'!$E$1:$HX$13,6,FALSE)</f>
        <v>1</v>
      </c>
      <c r="AH57" s="45">
        <f>HLOOKUP(TBL_CalcDarwin[[#This Row],[Fecha]],'Plantilla AEG ES'!$E$1:$HX$13,7,FALSE)</f>
        <v>0</v>
      </c>
      <c r="AI57" s="46">
        <f>HLOOKUP(TBL_CalcDarwin[[#This Row],[Fecha]],'Plantilla AEG ES'!$E$1:$HX$13,8,FALSE)</f>
        <v>0</v>
      </c>
      <c r="AJ57" s="46">
        <f>HLOOKUP(TBL_CalcDarwin[[#This Row],[Fecha]],'Plantilla AEG ES'!$E$1:$HX$13,9,FALSE)</f>
        <v>3</v>
      </c>
      <c r="AK57" s="46">
        <f>HLOOKUP(TBL_CalcDarwin[[#This Row],[Fecha]],'Plantilla AEG ES'!$E$1:$HX$13,10,FALSE)</f>
        <v>11</v>
      </c>
      <c r="AL57" s="46">
        <f>HLOOKUP(TBL_CalcDarwin[[#This Row],[Fecha]],'Plantilla AEG ES'!$E$1:$HX$13,11,FALSE)</f>
        <v>1</v>
      </c>
      <c r="AM57" s="46">
        <f>HLOOKUP(TBL_CalcDarwin[[#This Row],[Fecha]],'Plantilla AEG ES'!$E$1:$HX$13,12,FALSE)</f>
        <v>4</v>
      </c>
      <c r="AN57" s="46">
        <f>HLOOKUP(TBL_CalcDarwin[[#This Row],[Fecha]],'Plantilla AEG ES'!$E$1:$HX$13,13,FALSE)</f>
        <v>1</v>
      </c>
      <c r="AO57" s="37">
        <f>TBL_CalcDarwin[[#This Row],[Lomitas - Barra A - 5.2 - Cerro]]+TBL_CalcDarwin[[#This Row],[Lomitas - Barra A - 5.2 - Medio]]+TBL_CalcDarwin[[#This Row],[Lomitas - Barra A - 5.2 - Mar]]</f>
        <v>20</v>
      </c>
      <c r="AP5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5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14.039</v>
      </c>
      <c r="AR5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16.753</v>
      </c>
      <c r="AS57" s="37">
        <f>TBL_CalcDarwin[[#This Row],[Expansión - Barra A - 5.2 - Cerro]]+TBL_CalcDarwin[[#This Row],[Expansión - Barra A - 5.2 - Medio]]+TBL_CalcDarwin[[#This Row],[Expansión - Barra A - 5.2 - Mar]]</f>
        <v>2</v>
      </c>
      <c r="AT57" s="37">
        <f>TBL_CalcDarwin[[#This Row],[Expansión - Barra B - 5.2 - Cerro]]</f>
        <v>1</v>
      </c>
      <c r="AU5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57" s="29">
        <f>TBL_CalcDarwin[[#This Row],[Expansión - Barra B - 5.2 - Cerro]]*TBL_CalcDarwin[[#This Row],[AEG 5.2 MW Cerro]]</f>
        <v>0.38200000000000001</v>
      </c>
      <c r="AZ57" s="18"/>
      <c r="BA57" s="18"/>
      <c r="BB57" s="18"/>
      <c r="BC57" s="18"/>
      <c r="BD57" s="18"/>
      <c r="BE57" s="18"/>
      <c r="BF57" s="18"/>
    </row>
    <row r="58" spans="2:58" ht="12" x14ac:dyDescent="0.2">
      <c r="B58" s="55">
        <f t="shared" si="0"/>
        <v>45615.333333333205</v>
      </c>
      <c r="C58" s="17">
        <f t="shared" si="5"/>
        <v>2.3333333333333335</v>
      </c>
      <c r="D58" s="34">
        <f>TBL_CalcDarwin[[#This Row],[Darwin PLOM
MW]]+TBL_CalcDarwin[[#This Row],[Darwin PLOME
MW]]</f>
        <v>52.518000000000001</v>
      </c>
      <c r="E58" s="34">
        <f>TBL_CalcDarwin[[#This Row],[PLOM MW TOTAL BARRA A]]+TBL_CalcDarwin[[#This Row],[PLOM MW TOTAL BARRA B]]</f>
        <v>50.441000000000003</v>
      </c>
      <c r="F58" s="34">
        <f>TBL_CalcDarwin[[#This Row],[PLOME MW TOTAL BARRA A]]+TBL_CalcDarwin[[#This Row],[PLOME MW TOTAL BARRA B]]</f>
        <v>2.077</v>
      </c>
      <c r="G58" s="48">
        <f>'Plantilla Datos'!D63</f>
        <v>5.2</v>
      </c>
      <c r="H58" s="48">
        <f>'Plantilla Datos'!E63</f>
        <v>6.7</v>
      </c>
      <c r="I58" s="49">
        <f>'Plantilla Datos'!F63</f>
        <v>17.399999999999999</v>
      </c>
      <c r="J58" s="47">
        <f>CEILING('Plantilla Datos'!$L$3*TBL_CalcDarwin[[#This Row],[Darwin Gusts
m/s]],0.5)</f>
        <v>5</v>
      </c>
      <c r="K58" s="47">
        <f>CEILING('Plantilla Datos'!$L$4*TBL_CalcDarwin[[#This Row],[Darwin Gusts
m/s]],0.5)</f>
        <v>6</v>
      </c>
      <c r="L58" s="47">
        <f>CEILING(TBL_CalcDarwin[[#This Row],[Darwin Gusts
m/s]],0.5)</f>
        <v>7</v>
      </c>
      <c r="M5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5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5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5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58" s="41">
        <f>INDEX(Curva_Temp[Temp],MATCH(TBL_CalcDarwin[[#This Row],[Darwin Temp.
°C]],Curva_Temp[Temp]))</f>
        <v>15</v>
      </c>
      <c r="R58" s="41">
        <f>INDEX(Curva_Temp[Warranted Power Curve for 
1.194Kg/m3 air density '[kW']
SG 5.0-145 (AM+1, 5.2MW) AT 
90M],MATCH(TBL_CalcDarwin[[#This Row],[Darwin Temp.
°C]],Curva_Temp[Temp]))</f>
        <v>5200</v>
      </c>
      <c r="S58" s="41" cm="1">
        <f t="array" ref="S58">INDEX(Curva_Temp[Temp],MATCH(TBL_CalcDarwin[[#This Row],[Darwin Temp.
°C]],Curva_Temp[Temp])+1)</f>
        <v>20</v>
      </c>
      <c r="T58" s="41" cm="1">
        <f t="array" ref="T58">INDEX(Curva_Temp[Warranted Power Curve for 
1.194Kg/m3 air density '[kW']
SG 5.0-145 (AM+1, 5.2MW) AT 
90M],MATCH(TBL_CalcDarwin[[#This Row],[Darwin Temp.
°C]],Curva_Temp[Temp])+1)</f>
        <v>5000</v>
      </c>
      <c r="U5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5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5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58" s="41">
        <f>INDEX(Curva_Temp[Temp],MATCH(TBL_CalcDarwin[[#This Row],[Darwin Temp.
°C]],Curva_Temp[Temp]))</f>
        <v>15</v>
      </c>
      <c r="Z58" s="41">
        <f>INDEX(Curva_Temp[Warranted Power Curve for 
1.194Kg/m3 air density '[kW']
SG 5.0-145 (AM 0, 5.0MW) AT 
90M],MATCH(TBL_CalcDarwin[[#This Row],[Darwin Temp.
°C]],Curva_Temp[Temp]))</f>
        <v>5000</v>
      </c>
      <c r="AA58" s="41" cm="1">
        <f t="array" ref="AA58">INDEX(Curva_Temp[Temp],MATCH(TBL_CalcDarwin[[#This Row],[Darwin Temp.
°C]],Curva_Temp[Temp])+1)</f>
        <v>20</v>
      </c>
      <c r="AB58" s="41" cm="1">
        <f t="array" ref="AB58">INDEX(Curva_Temp[Warranted Power Curve for 
1.194Kg/m3 air density '[kW']
SG 5.0-145 (AM 0, 5.0MW) AT 
90M],MATCH(TBL_CalcDarwin[[#This Row],[Darwin Temp.
°C]],Curva_Temp[Temp])+1)</f>
        <v>5000</v>
      </c>
      <c r="AC58" s="45">
        <f>HLOOKUP(TBL_CalcDarwin[[#This Row],[Fecha]],'Plantilla AEG ES'!$E$1:$HX$13,2,FALSE)</f>
        <v>5</v>
      </c>
      <c r="AD58" s="45">
        <f>HLOOKUP(TBL_CalcDarwin[[#This Row],[Fecha]],'Plantilla AEG ES'!$E$1:$HX$13,3,FALSE)</f>
        <v>6</v>
      </c>
      <c r="AE58" s="45">
        <f>HLOOKUP(TBL_CalcDarwin[[#This Row],[Fecha]],'Plantilla AEG ES'!$E$1:$HX$13,4,FALSE)</f>
        <v>9</v>
      </c>
      <c r="AF58" s="45">
        <f>HLOOKUP(TBL_CalcDarwin[[#This Row],[Fecha]],'Plantilla AEG ES'!$E$1:$HX$13,5,FALSE)</f>
        <v>1</v>
      </c>
      <c r="AG58" s="45">
        <f>HLOOKUP(TBL_CalcDarwin[[#This Row],[Fecha]],'Plantilla AEG ES'!$E$1:$HX$13,6,FALSE)</f>
        <v>1</v>
      </c>
      <c r="AH58" s="45">
        <f>HLOOKUP(TBL_CalcDarwin[[#This Row],[Fecha]],'Plantilla AEG ES'!$E$1:$HX$13,7,FALSE)</f>
        <v>0</v>
      </c>
      <c r="AI58" s="46">
        <f>HLOOKUP(TBL_CalcDarwin[[#This Row],[Fecha]],'Plantilla AEG ES'!$E$1:$HX$13,8,FALSE)</f>
        <v>0</v>
      </c>
      <c r="AJ58" s="46">
        <f>HLOOKUP(TBL_CalcDarwin[[#This Row],[Fecha]],'Plantilla AEG ES'!$E$1:$HX$13,9,FALSE)</f>
        <v>3</v>
      </c>
      <c r="AK58" s="46">
        <f>HLOOKUP(TBL_CalcDarwin[[#This Row],[Fecha]],'Plantilla AEG ES'!$E$1:$HX$13,10,FALSE)</f>
        <v>11</v>
      </c>
      <c r="AL58" s="46">
        <f>HLOOKUP(TBL_CalcDarwin[[#This Row],[Fecha]],'Plantilla AEG ES'!$E$1:$HX$13,11,FALSE)</f>
        <v>1</v>
      </c>
      <c r="AM58" s="46">
        <f>HLOOKUP(TBL_CalcDarwin[[#This Row],[Fecha]],'Plantilla AEG ES'!$E$1:$HX$13,12,FALSE)</f>
        <v>4</v>
      </c>
      <c r="AN58" s="46">
        <f>HLOOKUP(TBL_CalcDarwin[[#This Row],[Fecha]],'Plantilla AEG ES'!$E$1:$HX$13,13,FALSE)</f>
        <v>1</v>
      </c>
      <c r="AO58" s="37">
        <f>TBL_CalcDarwin[[#This Row],[Lomitas - Barra A - 5.2 - Cerro]]+TBL_CalcDarwin[[#This Row],[Lomitas - Barra A - 5.2 - Medio]]+TBL_CalcDarwin[[#This Row],[Lomitas - Barra A - 5.2 - Mar]]</f>
        <v>20</v>
      </c>
      <c r="AP5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5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23.006</v>
      </c>
      <c r="AR5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27.434999999999999</v>
      </c>
      <c r="AS58" s="37">
        <f>TBL_CalcDarwin[[#This Row],[Expansión - Barra A - 5.2 - Cerro]]+TBL_CalcDarwin[[#This Row],[Expansión - Barra A - 5.2 - Medio]]+TBL_CalcDarwin[[#This Row],[Expansión - Barra A - 5.2 - Mar]]</f>
        <v>2</v>
      </c>
      <c r="AT58" s="37">
        <f>TBL_CalcDarwin[[#This Row],[Expansión - Barra B - 5.2 - Cerro]]</f>
        <v>1</v>
      </c>
      <c r="AU5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58" s="29">
        <f>TBL_CalcDarwin[[#This Row],[Expansión - Barra B - 5.2 - Cerro]]*TBL_CalcDarwin[[#This Row],[AEG 5.2 MW Cerro]]</f>
        <v>0.54700000000000004</v>
      </c>
      <c r="AZ58" s="18"/>
      <c r="BA58" s="18"/>
      <c r="BB58" s="18"/>
      <c r="BC58" s="18"/>
      <c r="BD58" s="18"/>
      <c r="BE58" s="18"/>
      <c r="BF58" s="18"/>
    </row>
    <row r="59" spans="2:58" ht="12" x14ac:dyDescent="0.2">
      <c r="B59" s="55">
        <f t="shared" si="0"/>
        <v>45615.374999999869</v>
      </c>
      <c r="C59" s="17">
        <f t="shared" si="5"/>
        <v>2.375</v>
      </c>
      <c r="D59" s="34">
        <f>TBL_CalcDarwin[[#This Row],[Darwin PLOM
MW]]+TBL_CalcDarwin[[#This Row],[Darwin PLOME
MW]]</f>
        <v>81.605000000000004</v>
      </c>
      <c r="E59" s="34">
        <f>TBL_CalcDarwin[[#This Row],[PLOM MW TOTAL BARRA A]]+TBL_CalcDarwin[[#This Row],[PLOM MW TOTAL BARRA B]]</f>
        <v>78.042000000000002</v>
      </c>
      <c r="F59" s="34">
        <f>TBL_CalcDarwin[[#This Row],[PLOME MW TOTAL BARRA A]]+TBL_CalcDarwin[[#This Row],[PLOME MW TOTAL BARRA B]]</f>
        <v>3.5630000000000002</v>
      </c>
      <c r="G59" s="48">
        <f>'Plantilla Datos'!D64</f>
        <v>6</v>
      </c>
      <c r="H59" s="48">
        <f>'Plantilla Datos'!E64</f>
        <v>7.7</v>
      </c>
      <c r="I59" s="49">
        <f>'Plantilla Datos'!F64</f>
        <v>18</v>
      </c>
      <c r="J59" s="47">
        <f>CEILING('Plantilla Datos'!$L$3*TBL_CalcDarwin[[#This Row],[Darwin Gusts
m/s]],0.5)</f>
        <v>6</v>
      </c>
      <c r="K59" s="47">
        <f>CEILING('Plantilla Datos'!$L$4*TBL_CalcDarwin[[#This Row],[Darwin Gusts
m/s]],0.5)</f>
        <v>7</v>
      </c>
      <c r="L59" s="47">
        <f>CEILING(TBL_CalcDarwin[[#This Row],[Darwin Gusts
m/s]],0.5)</f>
        <v>8</v>
      </c>
      <c r="M5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</v>
      </c>
      <c r="N5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5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5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59" s="41">
        <f>INDEX(Curva_Temp[Temp],MATCH(TBL_CalcDarwin[[#This Row],[Darwin Temp.
°C]],Curva_Temp[Temp]))</f>
        <v>15</v>
      </c>
      <c r="R59" s="41">
        <f>INDEX(Curva_Temp[Warranted Power Curve for 
1.194Kg/m3 air density '[kW']
SG 5.0-145 (AM+1, 5.2MW) AT 
90M],MATCH(TBL_CalcDarwin[[#This Row],[Darwin Temp.
°C]],Curva_Temp[Temp]))</f>
        <v>5200</v>
      </c>
      <c r="S59" s="41" cm="1">
        <f t="array" ref="S59">INDEX(Curva_Temp[Temp],MATCH(TBL_CalcDarwin[[#This Row],[Darwin Temp.
°C]],Curva_Temp[Temp])+1)</f>
        <v>20</v>
      </c>
      <c r="T59" s="41" cm="1">
        <f t="array" ref="T59">INDEX(Curva_Temp[Warranted Power Curve for 
1.194Kg/m3 air density '[kW']
SG 5.0-145 (AM+1, 5.2MW) AT 
90M],MATCH(TBL_CalcDarwin[[#This Row],[Darwin Temp.
°C]],Curva_Temp[Temp])+1)</f>
        <v>5000</v>
      </c>
      <c r="U5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5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5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59" s="41">
        <f>INDEX(Curva_Temp[Temp],MATCH(TBL_CalcDarwin[[#This Row],[Darwin Temp.
°C]],Curva_Temp[Temp]))</f>
        <v>15</v>
      </c>
      <c r="Z59" s="41">
        <f>INDEX(Curva_Temp[Warranted Power Curve for 
1.194Kg/m3 air density '[kW']
SG 5.0-145 (AM 0, 5.0MW) AT 
90M],MATCH(TBL_CalcDarwin[[#This Row],[Darwin Temp.
°C]],Curva_Temp[Temp]))</f>
        <v>5000</v>
      </c>
      <c r="AA59" s="41" cm="1">
        <f t="array" ref="AA59">INDEX(Curva_Temp[Temp],MATCH(TBL_CalcDarwin[[#This Row],[Darwin Temp.
°C]],Curva_Temp[Temp])+1)</f>
        <v>20</v>
      </c>
      <c r="AB59" s="41" cm="1">
        <f t="array" ref="AB59">INDEX(Curva_Temp[Warranted Power Curve for 
1.194Kg/m3 air density '[kW']
SG 5.0-145 (AM 0, 5.0MW) AT 
90M],MATCH(TBL_CalcDarwin[[#This Row],[Darwin Temp.
°C]],Curva_Temp[Temp])+1)</f>
        <v>5000</v>
      </c>
      <c r="AC59" s="45">
        <f>HLOOKUP(TBL_CalcDarwin[[#This Row],[Fecha]],'Plantilla AEG ES'!$E$1:$HX$13,2,FALSE)</f>
        <v>5</v>
      </c>
      <c r="AD59" s="45">
        <f>HLOOKUP(TBL_CalcDarwin[[#This Row],[Fecha]],'Plantilla AEG ES'!$E$1:$HX$13,3,FALSE)</f>
        <v>6</v>
      </c>
      <c r="AE59" s="45">
        <f>HLOOKUP(TBL_CalcDarwin[[#This Row],[Fecha]],'Plantilla AEG ES'!$E$1:$HX$13,4,FALSE)</f>
        <v>9</v>
      </c>
      <c r="AF59" s="45">
        <f>HLOOKUP(TBL_CalcDarwin[[#This Row],[Fecha]],'Plantilla AEG ES'!$E$1:$HX$13,5,FALSE)</f>
        <v>1</v>
      </c>
      <c r="AG59" s="45">
        <f>HLOOKUP(TBL_CalcDarwin[[#This Row],[Fecha]],'Plantilla AEG ES'!$E$1:$HX$13,6,FALSE)</f>
        <v>1</v>
      </c>
      <c r="AH59" s="45">
        <f>HLOOKUP(TBL_CalcDarwin[[#This Row],[Fecha]],'Plantilla AEG ES'!$E$1:$HX$13,7,FALSE)</f>
        <v>0</v>
      </c>
      <c r="AI59" s="46">
        <f>HLOOKUP(TBL_CalcDarwin[[#This Row],[Fecha]],'Plantilla AEG ES'!$E$1:$HX$13,8,FALSE)</f>
        <v>0</v>
      </c>
      <c r="AJ59" s="46">
        <f>HLOOKUP(TBL_CalcDarwin[[#This Row],[Fecha]],'Plantilla AEG ES'!$E$1:$HX$13,9,FALSE)</f>
        <v>3</v>
      </c>
      <c r="AK59" s="46">
        <f>HLOOKUP(TBL_CalcDarwin[[#This Row],[Fecha]],'Plantilla AEG ES'!$E$1:$HX$13,10,FALSE)</f>
        <v>11</v>
      </c>
      <c r="AL59" s="46">
        <f>HLOOKUP(TBL_CalcDarwin[[#This Row],[Fecha]],'Plantilla AEG ES'!$E$1:$HX$13,11,FALSE)</f>
        <v>1</v>
      </c>
      <c r="AM59" s="46">
        <f>HLOOKUP(TBL_CalcDarwin[[#This Row],[Fecha]],'Plantilla AEG ES'!$E$1:$HX$13,12,FALSE)</f>
        <v>4</v>
      </c>
      <c r="AN59" s="46">
        <f>HLOOKUP(TBL_CalcDarwin[[#This Row],[Fecha]],'Plantilla AEG ES'!$E$1:$HX$13,13,FALSE)</f>
        <v>1</v>
      </c>
      <c r="AO59" s="37">
        <f>TBL_CalcDarwin[[#This Row],[Lomitas - Barra A - 5.2 - Cerro]]+TBL_CalcDarwin[[#This Row],[Lomitas - Barra A - 5.2 - Medio]]+TBL_CalcDarwin[[#This Row],[Lomitas - Barra A - 5.2 - Mar]]</f>
        <v>20</v>
      </c>
      <c r="AP5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5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36.177999999999997</v>
      </c>
      <c r="AR5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41.863999999999997</v>
      </c>
      <c r="AS59" s="37">
        <f>TBL_CalcDarwin[[#This Row],[Expansión - Barra A - 5.2 - Cerro]]+TBL_CalcDarwin[[#This Row],[Expansión - Barra A - 5.2 - Medio]]+TBL_CalcDarwin[[#This Row],[Expansión - Barra A - 5.2 - Mar]]</f>
        <v>2</v>
      </c>
      <c r="AT59" s="37">
        <f>TBL_CalcDarwin[[#This Row],[Expansión - Barra B - 5.2 - Cerro]]</f>
        <v>1</v>
      </c>
      <c r="AU5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59" s="29">
        <f>TBL_CalcDarwin[[#This Row],[Expansión - Barra B - 5.2 - Cerro]]*TBL_CalcDarwin[[#This Row],[AEG 5.2 MW Cerro]]</f>
        <v>0.98299999999999998</v>
      </c>
      <c r="AZ59" s="18"/>
      <c r="BA59" s="18"/>
      <c r="BB59" s="18"/>
      <c r="BC59" s="18"/>
      <c r="BD59" s="18"/>
      <c r="BE59" s="18"/>
      <c r="BF59" s="18"/>
    </row>
    <row r="60" spans="2:58" ht="12" x14ac:dyDescent="0.2">
      <c r="B60" s="55">
        <f t="shared" si="0"/>
        <v>45615.416666666533</v>
      </c>
      <c r="C60" s="17">
        <f t="shared" si="5"/>
        <v>2.4166666666666665</v>
      </c>
      <c r="D60" s="34">
        <f>TBL_CalcDarwin[[#This Row],[Darwin PLOM
MW]]+TBL_CalcDarwin[[#This Row],[Darwin PLOME
MW]]</f>
        <v>110.57100000000001</v>
      </c>
      <c r="E60" s="34">
        <f>TBL_CalcDarwin[[#This Row],[PLOM MW TOTAL BARRA A]]+TBL_CalcDarwin[[#This Row],[PLOM MW TOTAL BARRA B]]</f>
        <v>106.06100000000001</v>
      </c>
      <c r="F60" s="34">
        <f>TBL_CalcDarwin[[#This Row],[PLOME MW TOTAL BARRA A]]+TBL_CalcDarwin[[#This Row],[PLOME MW TOTAL BARRA B]]</f>
        <v>4.51</v>
      </c>
      <c r="G60" s="48">
        <f>'Plantilla Datos'!D65</f>
        <v>6.9</v>
      </c>
      <c r="H60" s="48">
        <f>'Plantilla Datos'!E65</f>
        <v>8.6999999999999993</v>
      </c>
      <c r="I60" s="49">
        <f>'Plantilla Datos'!F65</f>
        <v>18.600000000000001</v>
      </c>
      <c r="J60" s="47">
        <f>CEILING('Plantilla Datos'!$L$3*TBL_CalcDarwin[[#This Row],[Darwin Gusts
m/s]],0.5)</f>
        <v>6.5</v>
      </c>
      <c r="K60" s="47">
        <f>CEILING('Plantilla Datos'!$L$4*TBL_CalcDarwin[[#This Row],[Darwin Gusts
m/s]],0.5)</f>
        <v>7.5</v>
      </c>
      <c r="L60" s="47">
        <f>CEILING(TBL_CalcDarwin[[#This Row],[Darwin Gusts
m/s]],0.5)</f>
        <v>9</v>
      </c>
      <c r="M6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5.056</v>
      </c>
      <c r="N6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6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6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60" s="41">
        <f>INDEX(Curva_Temp[Temp],MATCH(TBL_CalcDarwin[[#This Row],[Darwin Temp.
°C]],Curva_Temp[Temp]))</f>
        <v>15</v>
      </c>
      <c r="R60" s="41">
        <f>INDEX(Curva_Temp[Warranted Power Curve for 
1.194Kg/m3 air density '[kW']
SG 5.0-145 (AM+1, 5.2MW) AT 
90M],MATCH(TBL_CalcDarwin[[#This Row],[Darwin Temp.
°C]],Curva_Temp[Temp]))</f>
        <v>5200</v>
      </c>
      <c r="S60" s="41" cm="1">
        <f t="array" ref="S60">INDEX(Curva_Temp[Temp],MATCH(TBL_CalcDarwin[[#This Row],[Darwin Temp.
°C]],Curva_Temp[Temp])+1)</f>
        <v>20</v>
      </c>
      <c r="T60" s="41" cm="1">
        <f t="array" ref="T60">INDEX(Curva_Temp[Warranted Power Curve for 
1.194Kg/m3 air density '[kW']
SG 5.0-145 (AM+1, 5.2MW) AT 
90M],MATCH(TBL_CalcDarwin[[#This Row],[Darwin Temp.
°C]],Curva_Temp[Temp])+1)</f>
        <v>5000</v>
      </c>
      <c r="U6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6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6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60" s="41">
        <f>INDEX(Curva_Temp[Temp],MATCH(TBL_CalcDarwin[[#This Row],[Darwin Temp.
°C]],Curva_Temp[Temp]))</f>
        <v>15</v>
      </c>
      <c r="Z60" s="41">
        <f>INDEX(Curva_Temp[Warranted Power Curve for 
1.194Kg/m3 air density '[kW']
SG 5.0-145 (AM 0, 5.0MW) AT 
90M],MATCH(TBL_CalcDarwin[[#This Row],[Darwin Temp.
°C]],Curva_Temp[Temp]))</f>
        <v>5000</v>
      </c>
      <c r="AA60" s="41" cm="1">
        <f t="array" ref="AA60">INDEX(Curva_Temp[Temp],MATCH(TBL_CalcDarwin[[#This Row],[Darwin Temp.
°C]],Curva_Temp[Temp])+1)</f>
        <v>20</v>
      </c>
      <c r="AB60" s="41" cm="1">
        <f t="array" ref="AB60">INDEX(Curva_Temp[Warranted Power Curve for 
1.194Kg/m3 air density '[kW']
SG 5.0-145 (AM 0, 5.0MW) AT 
90M],MATCH(TBL_CalcDarwin[[#This Row],[Darwin Temp.
°C]],Curva_Temp[Temp])+1)</f>
        <v>5000</v>
      </c>
      <c r="AC60" s="45">
        <f>HLOOKUP(TBL_CalcDarwin[[#This Row],[Fecha]],'Plantilla AEG ES'!$E$1:$HX$13,2,FALSE)</f>
        <v>5</v>
      </c>
      <c r="AD60" s="45">
        <f>HLOOKUP(TBL_CalcDarwin[[#This Row],[Fecha]],'Plantilla AEG ES'!$E$1:$HX$13,3,FALSE)</f>
        <v>6</v>
      </c>
      <c r="AE60" s="45">
        <f>HLOOKUP(TBL_CalcDarwin[[#This Row],[Fecha]],'Plantilla AEG ES'!$E$1:$HX$13,4,FALSE)</f>
        <v>9</v>
      </c>
      <c r="AF60" s="45">
        <f>HLOOKUP(TBL_CalcDarwin[[#This Row],[Fecha]],'Plantilla AEG ES'!$E$1:$HX$13,5,FALSE)</f>
        <v>1</v>
      </c>
      <c r="AG60" s="45">
        <f>HLOOKUP(TBL_CalcDarwin[[#This Row],[Fecha]],'Plantilla AEG ES'!$E$1:$HX$13,6,FALSE)</f>
        <v>1</v>
      </c>
      <c r="AH60" s="45">
        <f>HLOOKUP(TBL_CalcDarwin[[#This Row],[Fecha]],'Plantilla AEG ES'!$E$1:$HX$13,7,FALSE)</f>
        <v>0</v>
      </c>
      <c r="AI60" s="46">
        <f>HLOOKUP(TBL_CalcDarwin[[#This Row],[Fecha]],'Plantilla AEG ES'!$E$1:$HX$13,8,FALSE)</f>
        <v>0</v>
      </c>
      <c r="AJ60" s="46">
        <f>HLOOKUP(TBL_CalcDarwin[[#This Row],[Fecha]],'Plantilla AEG ES'!$E$1:$HX$13,9,FALSE)</f>
        <v>3</v>
      </c>
      <c r="AK60" s="46">
        <f>HLOOKUP(TBL_CalcDarwin[[#This Row],[Fecha]],'Plantilla AEG ES'!$E$1:$HX$13,10,FALSE)</f>
        <v>11</v>
      </c>
      <c r="AL60" s="46">
        <f>HLOOKUP(TBL_CalcDarwin[[#This Row],[Fecha]],'Plantilla AEG ES'!$E$1:$HX$13,11,FALSE)</f>
        <v>1</v>
      </c>
      <c r="AM60" s="46">
        <f>HLOOKUP(TBL_CalcDarwin[[#This Row],[Fecha]],'Plantilla AEG ES'!$E$1:$HX$13,12,FALSE)</f>
        <v>4</v>
      </c>
      <c r="AN60" s="46">
        <f>HLOOKUP(TBL_CalcDarwin[[#This Row],[Fecha]],'Plantilla AEG ES'!$E$1:$HX$13,13,FALSE)</f>
        <v>1</v>
      </c>
      <c r="AO60" s="37">
        <f>TBL_CalcDarwin[[#This Row],[Lomitas - Barra A - 5.2 - Cerro]]+TBL_CalcDarwin[[#This Row],[Lomitas - Barra A - 5.2 - Medio]]+TBL_CalcDarwin[[#This Row],[Lomitas - Barra A - 5.2 - Mar]]</f>
        <v>20</v>
      </c>
      <c r="AP6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6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48.492000000000004</v>
      </c>
      <c r="AR6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57.569000000000003</v>
      </c>
      <c r="AS60" s="37">
        <f>TBL_CalcDarwin[[#This Row],[Expansión - Barra A - 5.2 - Cerro]]+TBL_CalcDarwin[[#This Row],[Expansión - Barra A - 5.2 - Medio]]+TBL_CalcDarwin[[#This Row],[Expansión - Barra A - 5.2 - Mar]]</f>
        <v>2</v>
      </c>
      <c r="AT60" s="37">
        <f>TBL_CalcDarwin[[#This Row],[Expansión - Barra B - 5.2 - Cerro]]</f>
        <v>1</v>
      </c>
      <c r="AU6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60" s="29">
        <f>TBL_CalcDarwin[[#This Row],[Expansión - Barra B - 5.2 - Cerro]]*TBL_CalcDarwin[[#This Row],[AEG 5.2 MW Cerro]]</f>
        <v>1.266</v>
      </c>
      <c r="AZ60" s="18"/>
      <c r="BA60" s="18"/>
      <c r="BB60" s="18"/>
      <c r="BC60" s="18"/>
      <c r="BD60" s="18"/>
      <c r="BE60" s="18"/>
      <c r="BF60" s="18"/>
    </row>
    <row r="61" spans="2:58" ht="12" x14ac:dyDescent="0.2">
      <c r="B61" s="55">
        <f t="shared" si="0"/>
        <v>45615.458333333198</v>
      </c>
      <c r="C61" s="17">
        <f t="shared" si="5"/>
        <v>2.458333333333333</v>
      </c>
      <c r="D61" s="34">
        <f>TBL_CalcDarwin[[#This Row],[Darwin PLOM
MW]]+TBL_CalcDarwin[[#This Row],[Darwin PLOME
MW]]</f>
        <v>115.91500000000001</v>
      </c>
      <c r="E61" s="34">
        <f>TBL_CalcDarwin[[#This Row],[PLOM MW TOTAL BARRA A]]+TBL_CalcDarwin[[#This Row],[PLOM MW TOTAL BARRA B]]</f>
        <v>111.405</v>
      </c>
      <c r="F61" s="34">
        <f>TBL_CalcDarwin[[#This Row],[PLOME MW TOTAL BARRA A]]+TBL_CalcDarwin[[#This Row],[PLOME MW TOTAL BARRA B]]</f>
        <v>4.51</v>
      </c>
      <c r="G61" s="48">
        <f>'Plantilla Datos'!D66</f>
        <v>6.9</v>
      </c>
      <c r="H61" s="48">
        <f>'Plantilla Datos'!E66</f>
        <v>8.6999999999999993</v>
      </c>
      <c r="I61" s="49">
        <f>'Plantilla Datos'!F66</f>
        <v>18.8</v>
      </c>
      <c r="J61" s="47">
        <f>CEILING('Plantilla Datos'!$L$3*TBL_CalcDarwin[[#This Row],[Darwin Gusts
m/s]],0.5)</f>
        <v>6.5</v>
      </c>
      <c r="K61" s="47">
        <f>CEILING('Plantilla Datos'!$L$4*TBL_CalcDarwin[[#This Row],[Darwin Gusts
m/s]],0.5)</f>
        <v>7.5</v>
      </c>
      <c r="L61" s="47">
        <f>CEILING(TBL_CalcDarwin[[#This Row],[Darwin Gusts
m/s]],0.5)</f>
        <v>9</v>
      </c>
      <c r="M6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5.048</v>
      </c>
      <c r="N6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6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6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61" s="41">
        <f>INDEX(Curva_Temp[Temp],MATCH(TBL_CalcDarwin[[#This Row],[Darwin Temp.
°C]],Curva_Temp[Temp]))</f>
        <v>15</v>
      </c>
      <c r="R61" s="41">
        <f>INDEX(Curva_Temp[Warranted Power Curve for 
1.194Kg/m3 air density '[kW']
SG 5.0-145 (AM+1, 5.2MW) AT 
90M],MATCH(TBL_CalcDarwin[[#This Row],[Darwin Temp.
°C]],Curva_Temp[Temp]))</f>
        <v>5200</v>
      </c>
      <c r="S61" s="41" cm="1">
        <f t="array" ref="S61">INDEX(Curva_Temp[Temp],MATCH(TBL_CalcDarwin[[#This Row],[Darwin Temp.
°C]],Curva_Temp[Temp])+1)</f>
        <v>20</v>
      </c>
      <c r="T61" s="41" cm="1">
        <f t="array" ref="T61">INDEX(Curva_Temp[Warranted Power Curve for 
1.194Kg/m3 air density '[kW']
SG 5.0-145 (AM+1, 5.2MW) AT 
90M],MATCH(TBL_CalcDarwin[[#This Row],[Darwin Temp.
°C]],Curva_Temp[Temp])+1)</f>
        <v>5000</v>
      </c>
      <c r="U6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6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6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61" s="41">
        <f>INDEX(Curva_Temp[Temp],MATCH(TBL_CalcDarwin[[#This Row],[Darwin Temp.
°C]],Curva_Temp[Temp]))</f>
        <v>15</v>
      </c>
      <c r="Z61" s="41">
        <f>INDEX(Curva_Temp[Warranted Power Curve for 
1.194Kg/m3 air density '[kW']
SG 5.0-145 (AM 0, 5.0MW) AT 
90M],MATCH(TBL_CalcDarwin[[#This Row],[Darwin Temp.
°C]],Curva_Temp[Temp]))</f>
        <v>5000</v>
      </c>
      <c r="AA61" s="41" cm="1">
        <f t="array" ref="AA61">INDEX(Curva_Temp[Temp],MATCH(TBL_CalcDarwin[[#This Row],[Darwin Temp.
°C]],Curva_Temp[Temp])+1)</f>
        <v>20</v>
      </c>
      <c r="AB61" s="41" cm="1">
        <f t="array" ref="AB61">INDEX(Curva_Temp[Warranted Power Curve for 
1.194Kg/m3 air density '[kW']
SG 5.0-145 (AM 0, 5.0MW) AT 
90M],MATCH(TBL_CalcDarwin[[#This Row],[Darwin Temp.
°C]],Curva_Temp[Temp])+1)</f>
        <v>5000</v>
      </c>
      <c r="AC61" s="45">
        <f>HLOOKUP(TBL_CalcDarwin[[#This Row],[Fecha]],'Plantilla AEG ES'!$E$1:$HX$13,2,FALSE)</f>
        <v>5</v>
      </c>
      <c r="AD61" s="45">
        <f>HLOOKUP(TBL_CalcDarwin[[#This Row],[Fecha]],'Plantilla AEG ES'!$E$1:$HX$13,3,FALSE)</f>
        <v>7</v>
      </c>
      <c r="AE61" s="45">
        <f>HLOOKUP(TBL_CalcDarwin[[#This Row],[Fecha]],'Plantilla AEG ES'!$E$1:$HX$13,4,FALSE)</f>
        <v>10</v>
      </c>
      <c r="AF61" s="45">
        <f>HLOOKUP(TBL_CalcDarwin[[#This Row],[Fecha]],'Plantilla AEG ES'!$E$1:$HX$13,5,FALSE)</f>
        <v>1</v>
      </c>
      <c r="AG61" s="45">
        <f>HLOOKUP(TBL_CalcDarwin[[#This Row],[Fecha]],'Plantilla AEG ES'!$E$1:$HX$13,6,FALSE)</f>
        <v>1</v>
      </c>
      <c r="AH61" s="45">
        <f>HLOOKUP(TBL_CalcDarwin[[#This Row],[Fecha]],'Plantilla AEG ES'!$E$1:$HX$13,7,FALSE)</f>
        <v>0</v>
      </c>
      <c r="AI61" s="46">
        <f>HLOOKUP(TBL_CalcDarwin[[#This Row],[Fecha]],'Plantilla AEG ES'!$E$1:$HX$13,8,FALSE)</f>
        <v>0</v>
      </c>
      <c r="AJ61" s="46">
        <f>HLOOKUP(TBL_CalcDarwin[[#This Row],[Fecha]],'Plantilla AEG ES'!$E$1:$HX$13,9,FALSE)</f>
        <v>3</v>
      </c>
      <c r="AK61" s="46">
        <f>HLOOKUP(TBL_CalcDarwin[[#This Row],[Fecha]],'Plantilla AEG ES'!$E$1:$HX$13,10,FALSE)</f>
        <v>11</v>
      </c>
      <c r="AL61" s="46">
        <f>HLOOKUP(TBL_CalcDarwin[[#This Row],[Fecha]],'Plantilla AEG ES'!$E$1:$HX$13,11,FALSE)</f>
        <v>1</v>
      </c>
      <c r="AM61" s="46">
        <f>HLOOKUP(TBL_CalcDarwin[[#This Row],[Fecha]],'Plantilla AEG ES'!$E$1:$HX$13,12,FALSE)</f>
        <v>4</v>
      </c>
      <c r="AN61" s="46">
        <f>HLOOKUP(TBL_CalcDarwin[[#This Row],[Fecha]],'Plantilla AEG ES'!$E$1:$HX$13,13,FALSE)</f>
        <v>1</v>
      </c>
      <c r="AO61" s="37">
        <f>TBL_CalcDarwin[[#This Row],[Lomitas - Barra A - 5.2 - Cerro]]+TBL_CalcDarwin[[#This Row],[Lomitas - Barra A - 5.2 - Medio]]+TBL_CalcDarwin[[#This Row],[Lomitas - Barra A - 5.2 - Mar]]</f>
        <v>22</v>
      </c>
      <c r="AP6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6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53.836000000000006</v>
      </c>
      <c r="AR6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57.569000000000003</v>
      </c>
      <c r="AS61" s="37">
        <f>TBL_CalcDarwin[[#This Row],[Expansión - Barra A - 5.2 - Cerro]]+TBL_CalcDarwin[[#This Row],[Expansión - Barra A - 5.2 - Medio]]+TBL_CalcDarwin[[#This Row],[Expansión - Barra A - 5.2 - Mar]]</f>
        <v>2</v>
      </c>
      <c r="AT61" s="37">
        <f>TBL_CalcDarwin[[#This Row],[Expansión - Barra B - 5.2 - Cerro]]</f>
        <v>1</v>
      </c>
      <c r="AU6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61" s="29">
        <f>TBL_CalcDarwin[[#This Row],[Expansión - Barra B - 5.2 - Cerro]]*TBL_CalcDarwin[[#This Row],[AEG 5.2 MW Cerro]]</f>
        <v>1.266</v>
      </c>
      <c r="AZ61" s="18"/>
      <c r="BA61" s="18"/>
      <c r="BB61" s="18"/>
      <c r="BC61" s="18"/>
      <c r="BD61" s="18"/>
      <c r="BE61" s="18"/>
      <c r="BF61" s="18"/>
    </row>
    <row r="62" spans="2:58" ht="12" x14ac:dyDescent="0.2">
      <c r="B62" s="55">
        <f t="shared" si="0"/>
        <v>45615.499999999862</v>
      </c>
      <c r="C62" s="17">
        <f t="shared" si="5"/>
        <v>2.4999999999999996</v>
      </c>
      <c r="D62" s="34">
        <f>TBL_CalcDarwin[[#This Row],[Darwin PLOM
MW]]+TBL_CalcDarwin[[#This Row],[Darwin PLOME
MW]]</f>
        <v>137.999</v>
      </c>
      <c r="E62" s="34">
        <f>TBL_CalcDarwin[[#This Row],[PLOM MW TOTAL BARRA A]]+TBL_CalcDarwin[[#This Row],[PLOM MW TOTAL BARRA B]]</f>
        <v>133.489</v>
      </c>
      <c r="F62" s="34">
        <f>TBL_CalcDarwin[[#This Row],[PLOME MW TOTAL BARRA A]]+TBL_CalcDarwin[[#This Row],[PLOME MW TOTAL BARRA B]]</f>
        <v>4.51</v>
      </c>
      <c r="G62" s="48">
        <f>'Plantilla Datos'!D67</f>
        <v>7</v>
      </c>
      <c r="H62" s="48">
        <f>'Plantilla Datos'!E67</f>
        <v>8.8000000000000007</v>
      </c>
      <c r="I62" s="49">
        <f>'Plantilla Datos'!F67</f>
        <v>19</v>
      </c>
      <c r="J62" s="47">
        <f>CEILING('Plantilla Datos'!$L$3*TBL_CalcDarwin[[#This Row],[Darwin Gusts
m/s]],0.5)</f>
        <v>6.5</v>
      </c>
      <c r="K62" s="47">
        <f>CEILING('Plantilla Datos'!$L$4*TBL_CalcDarwin[[#This Row],[Darwin Gusts
m/s]],0.5)</f>
        <v>7.5</v>
      </c>
      <c r="L62" s="47">
        <f>CEILING(TBL_CalcDarwin[[#This Row],[Darwin Gusts
m/s]],0.5)</f>
        <v>9</v>
      </c>
      <c r="M6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</v>
      </c>
      <c r="N6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6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6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62" s="41">
        <f>INDEX(Curva_Temp[Temp],MATCH(TBL_CalcDarwin[[#This Row],[Darwin Temp.
°C]],Curva_Temp[Temp]))</f>
        <v>15</v>
      </c>
      <c r="R62" s="41">
        <f>INDEX(Curva_Temp[Warranted Power Curve for 
1.194Kg/m3 air density '[kW']
SG 5.0-145 (AM+1, 5.2MW) AT 
90M],MATCH(TBL_CalcDarwin[[#This Row],[Darwin Temp.
°C]],Curva_Temp[Temp]))</f>
        <v>5200</v>
      </c>
      <c r="S62" s="41" cm="1">
        <f t="array" ref="S62">INDEX(Curva_Temp[Temp],MATCH(TBL_CalcDarwin[[#This Row],[Darwin Temp.
°C]],Curva_Temp[Temp])+1)</f>
        <v>20</v>
      </c>
      <c r="T62" s="41" cm="1">
        <f t="array" ref="T62">INDEX(Curva_Temp[Warranted Power Curve for 
1.194Kg/m3 air density '[kW']
SG 5.0-145 (AM+1, 5.2MW) AT 
90M],MATCH(TBL_CalcDarwin[[#This Row],[Darwin Temp.
°C]],Curva_Temp[Temp])+1)</f>
        <v>5000</v>
      </c>
      <c r="U6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6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6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62" s="41">
        <f>INDEX(Curva_Temp[Temp],MATCH(TBL_CalcDarwin[[#This Row],[Darwin Temp.
°C]],Curva_Temp[Temp]))</f>
        <v>15</v>
      </c>
      <c r="Z62" s="41">
        <f>INDEX(Curva_Temp[Warranted Power Curve for 
1.194Kg/m3 air density '[kW']
SG 5.0-145 (AM 0, 5.0MW) AT 
90M],MATCH(TBL_CalcDarwin[[#This Row],[Darwin Temp.
°C]],Curva_Temp[Temp]))</f>
        <v>5000</v>
      </c>
      <c r="AA62" s="41" cm="1">
        <f t="array" ref="AA62">INDEX(Curva_Temp[Temp],MATCH(TBL_CalcDarwin[[#This Row],[Darwin Temp.
°C]],Curva_Temp[Temp])+1)</f>
        <v>20</v>
      </c>
      <c r="AB62" s="41" cm="1">
        <f t="array" ref="AB62">INDEX(Curva_Temp[Warranted Power Curve for 
1.194Kg/m3 air density '[kW']
SG 5.0-145 (AM 0, 5.0MW) AT 
90M],MATCH(TBL_CalcDarwin[[#This Row],[Darwin Temp.
°C]],Curva_Temp[Temp])+1)</f>
        <v>5000</v>
      </c>
      <c r="AC62" s="45">
        <f>HLOOKUP(TBL_CalcDarwin[[#This Row],[Fecha]],'Plantilla AEG ES'!$E$1:$HX$13,2,FALSE)</f>
        <v>5</v>
      </c>
      <c r="AD62" s="45">
        <f>HLOOKUP(TBL_CalcDarwin[[#This Row],[Fecha]],'Plantilla AEG ES'!$E$1:$HX$13,3,FALSE)</f>
        <v>8</v>
      </c>
      <c r="AE62" s="45">
        <f>HLOOKUP(TBL_CalcDarwin[[#This Row],[Fecha]],'Plantilla AEG ES'!$E$1:$HX$13,4,FALSE)</f>
        <v>12</v>
      </c>
      <c r="AF62" s="45">
        <f>HLOOKUP(TBL_CalcDarwin[[#This Row],[Fecha]],'Plantilla AEG ES'!$E$1:$HX$13,5,FALSE)</f>
        <v>1</v>
      </c>
      <c r="AG62" s="45">
        <f>HLOOKUP(TBL_CalcDarwin[[#This Row],[Fecha]],'Plantilla AEG ES'!$E$1:$HX$13,6,FALSE)</f>
        <v>1</v>
      </c>
      <c r="AH62" s="45">
        <f>HLOOKUP(TBL_CalcDarwin[[#This Row],[Fecha]],'Plantilla AEG ES'!$E$1:$HX$13,7,FALSE)</f>
        <v>0</v>
      </c>
      <c r="AI62" s="46">
        <f>HLOOKUP(TBL_CalcDarwin[[#This Row],[Fecha]],'Plantilla AEG ES'!$E$1:$HX$13,8,FALSE)</f>
        <v>0</v>
      </c>
      <c r="AJ62" s="46">
        <f>HLOOKUP(TBL_CalcDarwin[[#This Row],[Fecha]],'Plantilla AEG ES'!$E$1:$HX$13,9,FALSE)</f>
        <v>3</v>
      </c>
      <c r="AK62" s="46">
        <f>HLOOKUP(TBL_CalcDarwin[[#This Row],[Fecha]],'Plantilla AEG ES'!$E$1:$HX$13,10,FALSE)</f>
        <v>12</v>
      </c>
      <c r="AL62" s="46">
        <f>HLOOKUP(TBL_CalcDarwin[[#This Row],[Fecha]],'Plantilla AEG ES'!$E$1:$HX$13,11,FALSE)</f>
        <v>1</v>
      </c>
      <c r="AM62" s="46">
        <f>HLOOKUP(TBL_CalcDarwin[[#This Row],[Fecha]],'Plantilla AEG ES'!$E$1:$HX$13,12,FALSE)</f>
        <v>7</v>
      </c>
      <c r="AN62" s="46">
        <f>HLOOKUP(TBL_CalcDarwin[[#This Row],[Fecha]],'Plantilla AEG ES'!$E$1:$HX$13,13,FALSE)</f>
        <v>1</v>
      </c>
      <c r="AO62" s="37">
        <f>TBL_CalcDarwin[[#This Row],[Lomitas - Barra A - 5.2 - Cerro]]+TBL_CalcDarwin[[#This Row],[Lomitas - Barra A - 5.2 - Medio]]+TBL_CalcDarwin[[#This Row],[Lomitas - Barra A - 5.2 - Mar]]</f>
        <v>25</v>
      </c>
      <c r="AP6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6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62" s="37">
        <f>TBL_CalcDarwin[[#This Row],[Expansión - Barra A - 5.2 - Cerro]]+TBL_CalcDarwin[[#This Row],[Expansión - Barra A - 5.2 - Medio]]+TBL_CalcDarwin[[#This Row],[Expansión - Barra A - 5.2 - Mar]]</f>
        <v>2</v>
      </c>
      <c r="AT62" s="37">
        <f>TBL_CalcDarwin[[#This Row],[Expansión - Barra B - 5.2 - Cerro]]</f>
        <v>1</v>
      </c>
      <c r="AU6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62" s="29">
        <f>TBL_CalcDarwin[[#This Row],[Expansión - Barra B - 5.2 - Cerro]]*TBL_CalcDarwin[[#This Row],[AEG 5.2 MW Cerro]]</f>
        <v>1.266</v>
      </c>
      <c r="AZ62" s="18"/>
      <c r="BA62" s="18"/>
      <c r="BB62" s="18"/>
      <c r="BC62" s="18"/>
      <c r="BD62" s="18"/>
      <c r="BE62" s="18"/>
      <c r="BF62" s="18"/>
    </row>
    <row r="63" spans="2:58" ht="12" x14ac:dyDescent="0.2">
      <c r="B63" s="55">
        <f t="shared" si="0"/>
        <v>45615.541666666526</v>
      </c>
      <c r="C63" s="17">
        <f t="shared" si="5"/>
        <v>2.5416666666666661</v>
      </c>
      <c r="D63" s="34">
        <f>TBL_CalcDarwin[[#This Row],[Darwin PLOM
MW]]+TBL_CalcDarwin[[#This Row],[Darwin PLOME
MW]]</f>
        <v>143.17100000000002</v>
      </c>
      <c r="E63" s="34">
        <f>TBL_CalcDarwin[[#This Row],[PLOM MW TOTAL BARRA A]]+TBL_CalcDarwin[[#This Row],[PLOM MW TOTAL BARRA B]]</f>
        <v>138.23000000000002</v>
      </c>
      <c r="F63" s="34">
        <f>TBL_CalcDarwin[[#This Row],[PLOME MW TOTAL BARRA A]]+TBL_CalcDarwin[[#This Row],[PLOME MW TOTAL BARRA B]]</f>
        <v>4.9409999999999998</v>
      </c>
      <c r="G63" s="48">
        <f>'Plantilla Datos'!D68</f>
        <v>7.1</v>
      </c>
      <c r="H63" s="48">
        <f>'Plantilla Datos'!E68</f>
        <v>8.9</v>
      </c>
      <c r="I63" s="49">
        <f>'Plantilla Datos'!F68</f>
        <v>19.100000000000001</v>
      </c>
      <c r="J63" s="47">
        <f>CEILING('Plantilla Datos'!$L$3*TBL_CalcDarwin[[#This Row],[Darwin Gusts
m/s]],0.5)</f>
        <v>6.5</v>
      </c>
      <c r="K63" s="47">
        <f>CEILING('Plantilla Datos'!$L$4*TBL_CalcDarwin[[#This Row],[Darwin Gusts
m/s]],0.5)</f>
        <v>8</v>
      </c>
      <c r="L63" s="47">
        <f>CEILING(TBL_CalcDarwin[[#This Row],[Darwin Gusts
m/s]],0.5)</f>
        <v>9</v>
      </c>
      <c r="M6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5.0359999999999996</v>
      </c>
      <c r="N6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6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6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63" s="41">
        <f>INDEX(Curva_Temp[Temp],MATCH(TBL_CalcDarwin[[#This Row],[Darwin Temp.
°C]],Curva_Temp[Temp]))</f>
        <v>15</v>
      </c>
      <c r="R63" s="41">
        <f>INDEX(Curva_Temp[Warranted Power Curve for 
1.194Kg/m3 air density '[kW']
SG 5.0-145 (AM+1, 5.2MW) AT 
90M],MATCH(TBL_CalcDarwin[[#This Row],[Darwin Temp.
°C]],Curva_Temp[Temp]))</f>
        <v>5200</v>
      </c>
      <c r="S63" s="41" cm="1">
        <f t="array" ref="S63">INDEX(Curva_Temp[Temp],MATCH(TBL_CalcDarwin[[#This Row],[Darwin Temp.
°C]],Curva_Temp[Temp])+1)</f>
        <v>20</v>
      </c>
      <c r="T63" s="41" cm="1">
        <f t="array" ref="T63">INDEX(Curva_Temp[Warranted Power Curve for 
1.194Kg/m3 air density '[kW']
SG 5.0-145 (AM+1, 5.2MW) AT 
90M],MATCH(TBL_CalcDarwin[[#This Row],[Darwin Temp.
°C]],Curva_Temp[Temp])+1)</f>
        <v>5000</v>
      </c>
      <c r="U6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6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6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63" s="41">
        <f>INDEX(Curva_Temp[Temp],MATCH(TBL_CalcDarwin[[#This Row],[Darwin Temp.
°C]],Curva_Temp[Temp]))</f>
        <v>15</v>
      </c>
      <c r="Z63" s="41">
        <f>INDEX(Curva_Temp[Warranted Power Curve for 
1.194Kg/m3 air density '[kW']
SG 5.0-145 (AM 0, 5.0MW) AT 
90M],MATCH(TBL_CalcDarwin[[#This Row],[Darwin Temp.
°C]],Curva_Temp[Temp]))</f>
        <v>5000</v>
      </c>
      <c r="AA63" s="41" cm="1">
        <f t="array" ref="AA63">INDEX(Curva_Temp[Temp],MATCH(TBL_CalcDarwin[[#This Row],[Darwin Temp.
°C]],Curva_Temp[Temp])+1)</f>
        <v>20</v>
      </c>
      <c r="AB63" s="41" cm="1">
        <f t="array" ref="AB63">INDEX(Curva_Temp[Warranted Power Curve for 
1.194Kg/m3 air density '[kW']
SG 5.0-145 (AM 0, 5.0MW) AT 
90M],MATCH(TBL_CalcDarwin[[#This Row],[Darwin Temp.
°C]],Curva_Temp[Temp])+1)</f>
        <v>5000</v>
      </c>
      <c r="AC63" s="45">
        <f>HLOOKUP(TBL_CalcDarwin[[#This Row],[Fecha]],'Plantilla AEG ES'!$E$1:$HX$13,2,FALSE)</f>
        <v>5</v>
      </c>
      <c r="AD63" s="45">
        <f>HLOOKUP(TBL_CalcDarwin[[#This Row],[Fecha]],'Plantilla AEG ES'!$E$1:$HX$13,3,FALSE)</f>
        <v>8</v>
      </c>
      <c r="AE63" s="45">
        <f>HLOOKUP(TBL_CalcDarwin[[#This Row],[Fecha]],'Plantilla AEG ES'!$E$1:$HX$13,4,FALSE)</f>
        <v>12</v>
      </c>
      <c r="AF63" s="45">
        <f>HLOOKUP(TBL_CalcDarwin[[#This Row],[Fecha]],'Plantilla AEG ES'!$E$1:$HX$13,5,FALSE)</f>
        <v>1</v>
      </c>
      <c r="AG63" s="45">
        <f>HLOOKUP(TBL_CalcDarwin[[#This Row],[Fecha]],'Plantilla AEG ES'!$E$1:$HX$13,6,FALSE)</f>
        <v>1</v>
      </c>
      <c r="AH63" s="45">
        <f>HLOOKUP(TBL_CalcDarwin[[#This Row],[Fecha]],'Plantilla AEG ES'!$E$1:$HX$13,7,FALSE)</f>
        <v>0</v>
      </c>
      <c r="AI63" s="46">
        <f>HLOOKUP(TBL_CalcDarwin[[#This Row],[Fecha]],'Plantilla AEG ES'!$E$1:$HX$13,8,FALSE)</f>
        <v>0</v>
      </c>
      <c r="AJ63" s="46">
        <f>HLOOKUP(TBL_CalcDarwin[[#This Row],[Fecha]],'Plantilla AEG ES'!$E$1:$HX$13,9,FALSE)</f>
        <v>3</v>
      </c>
      <c r="AK63" s="46">
        <f>HLOOKUP(TBL_CalcDarwin[[#This Row],[Fecha]],'Plantilla AEG ES'!$E$1:$HX$13,10,FALSE)</f>
        <v>12</v>
      </c>
      <c r="AL63" s="46">
        <f>HLOOKUP(TBL_CalcDarwin[[#This Row],[Fecha]],'Plantilla AEG ES'!$E$1:$HX$13,11,FALSE)</f>
        <v>1</v>
      </c>
      <c r="AM63" s="46">
        <f>HLOOKUP(TBL_CalcDarwin[[#This Row],[Fecha]],'Plantilla AEG ES'!$E$1:$HX$13,12,FALSE)</f>
        <v>7</v>
      </c>
      <c r="AN63" s="46">
        <f>HLOOKUP(TBL_CalcDarwin[[#This Row],[Fecha]],'Plantilla AEG ES'!$E$1:$HX$13,13,FALSE)</f>
        <v>1</v>
      </c>
      <c r="AO63" s="37">
        <f>TBL_CalcDarwin[[#This Row],[Lomitas - Barra A - 5.2 - Cerro]]+TBL_CalcDarwin[[#This Row],[Lomitas - Barra A - 5.2 - Medio]]+TBL_CalcDarwin[[#This Row],[Lomitas - Barra A - 5.2 - Mar]]</f>
        <v>25</v>
      </c>
      <c r="AP6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6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63" s="37">
        <f>TBL_CalcDarwin[[#This Row],[Expansión - Barra A - 5.2 - Cerro]]+TBL_CalcDarwin[[#This Row],[Expansión - Barra A - 5.2 - Medio]]+TBL_CalcDarwin[[#This Row],[Expansión - Barra A - 5.2 - Mar]]</f>
        <v>2</v>
      </c>
      <c r="AT63" s="37">
        <f>TBL_CalcDarwin[[#This Row],[Expansión - Barra B - 5.2 - Cerro]]</f>
        <v>1</v>
      </c>
      <c r="AU6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63" s="29">
        <f>TBL_CalcDarwin[[#This Row],[Expansión - Barra B - 5.2 - Cerro]]*TBL_CalcDarwin[[#This Row],[AEG 5.2 MW Cerro]]</f>
        <v>1.266</v>
      </c>
      <c r="AZ63" s="18"/>
      <c r="BA63" s="18"/>
      <c r="BB63" s="18"/>
      <c r="BC63" s="18"/>
      <c r="BD63" s="18"/>
      <c r="BE63" s="18"/>
      <c r="BF63" s="18"/>
    </row>
    <row r="64" spans="2:58" ht="12" x14ac:dyDescent="0.2">
      <c r="B64" s="55">
        <f t="shared" si="0"/>
        <v>45615.58333333319</v>
      </c>
      <c r="C64" s="17">
        <f t="shared" si="5"/>
        <v>2.5833333333333326</v>
      </c>
      <c r="D64" s="34">
        <f>TBL_CalcDarwin[[#This Row],[Darwin PLOM
MW]]+TBL_CalcDarwin[[#This Row],[Darwin PLOME
MW]]</f>
        <v>160.476</v>
      </c>
      <c r="E64" s="34">
        <f>TBL_CalcDarwin[[#This Row],[PLOM MW TOTAL BARRA A]]+TBL_CalcDarwin[[#This Row],[PLOM MW TOTAL BARRA B]]</f>
        <v>154.87299999999999</v>
      </c>
      <c r="F64" s="34">
        <f>TBL_CalcDarwin[[#This Row],[PLOME MW TOTAL BARRA A]]+TBL_CalcDarwin[[#This Row],[PLOME MW TOTAL BARRA B]]</f>
        <v>5.6029999999999998</v>
      </c>
      <c r="G64" s="48">
        <f>'Plantilla Datos'!D69</f>
        <v>7.3</v>
      </c>
      <c r="H64" s="48">
        <f>'Plantilla Datos'!E69</f>
        <v>9.1</v>
      </c>
      <c r="I64" s="49">
        <f>'Plantilla Datos'!F69</f>
        <v>19</v>
      </c>
      <c r="J64" s="47">
        <f>CEILING('Plantilla Datos'!$L$3*TBL_CalcDarwin[[#This Row],[Darwin Gusts
m/s]],0.5)</f>
        <v>7</v>
      </c>
      <c r="K64" s="47">
        <f>CEILING('Plantilla Datos'!$L$4*TBL_CalcDarwin[[#This Row],[Darwin Gusts
m/s]],0.5)</f>
        <v>8</v>
      </c>
      <c r="L64" s="47">
        <f>CEILING(TBL_CalcDarwin[[#This Row],[Darwin Gusts
m/s]],0.5)</f>
        <v>9.5</v>
      </c>
      <c r="M6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</v>
      </c>
      <c r="N6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6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6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64" s="41">
        <f>INDEX(Curva_Temp[Temp],MATCH(TBL_CalcDarwin[[#This Row],[Darwin Temp.
°C]],Curva_Temp[Temp]))</f>
        <v>15</v>
      </c>
      <c r="R64" s="41">
        <f>INDEX(Curva_Temp[Warranted Power Curve for 
1.194Kg/m3 air density '[kW']
SG 5.0-145 (AM+1, 5.2MW) AT 
90M],MATCH(TBL_CalcDarwin[[#This Row],[Darwin Temp.
°C]],Curva_Temp[Temp]))</f>
        <v>5200</v>
      </c>
      <c r="S64" s="41" cm="1">
        <f t="array" ref="S64">INDEX(Curva_Temp[Temp],MATCH(TBL_CalcDarwin[[#This Row],[Darwin Temp.
°C]],Curva_Temp[Temp])+1)</f>
        <v>20</v>
      </c>
      <c r="T64" s="41" cm="1">
        <f t="array" ref="T64">INDEX(Curva_Temp[Warranted Power Curve for 
1.194Kg/m3 air density '[kW']
SG 5.0-145 (AM+1, 5.2MW) AT 
90M],MATCH(TBL_CalcDarwin[[#This Row],[Darwin Temp.
°C]],Curva_Temp[Temp])+1)</f>
        <v>5000</v>
      </c>
      <c r="U6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6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6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64" s="41">
        <f>INDEX(Curva_Temp[Temp],MATCH(TBL_CalcDarwin[[#This Row],[Darwin Temp.
°C]],Curva_Temp[Temp]))</f>
        <v>15</v>
      </c>
      <c r="Z64" s="41">
        <f>INDEX(Curva_Temp[Warranted Power Curve for 
1.194Kg/m3 air density '[kW']
SG 5.0-145 (AM 0, 5.0MW) AT 
90M],MATCH(TBL_CalcDarwin[[#This Row],[Darwin Temp.
°C]],Curva_Temp[Temp]))</f>
        <v>5000</v>
      </c>
      <c r="AA64" s="41" cm="1">
        <f t="array" ref="AA64">INDEX(Curva_Temp[Temp],MATCH(TBL_CalcDarwin[[#This Row],[Darwin Temp.
°C]],Curva_Temp[Temp])+1)</f>
        <v>20</v>
      </c>
      <c r="AB64" s="41" cm="1">
        <f t="array" ref="AB64">INDEX(Curva_Temp[Warranted Power Curve for 
1.194Kg/m3 air density '[kW']
SG 5.0-145 (AM 0, 5.0MW) AT 
90M],MATCH(TBL_CalcDarwin[[#This Row],[Darwin Temp.
°C]],Curva_Temp[Temp])+1)</f>
        <v>5000</v>
      </c>
      <c r="AC64" s="45">
        <f>HLOOKUP(TBL_CalcDarwin[[#This Row],[Fecha]],'Plantilla AEG ES'!$E$1:$HX$13,2,FALSE)</f>
        <v>5</v>
      </c>
      <c r="AD64" s="45">
        <f>HLOOKUP(TBL_CalcDarwin[[#This Row],[Fecha]],'Plantilla AEG ES'!$E$1:$HX$13,3,FALSE)</f>
        <v>8</v>
      </c>
      <c r="AE64" s="45">
        <f>HLOOKUP(TBL_CalcDarwin[[#This Row],[Fecha]],'Plantilla AEG ES'!$E$1:$HX$13,4,FALSE)</f>
        <v>12</v>
      </c>
      <c r="AF64" s="45">
        <f>HLOOKUP(TBL_CalcDarwin[[#This Row],[Fecha]],'Plantilla AEG ES'!$E$1:$HX$13,5,FALSE)</f>
        <v>1</v>
      </c>
      <c r="AG64" s="45">
        <f>HLOOKUP(TBL_CalcDarwin[[#This Row],[Fecha]],'Plantilla AEG ES'!$E$1:$HX$13,6,FALSE)</f>
        <v>1</v>
      </c>
      <c r="AH64" s="45">
        <f>HLOOKUP(TBL_CalcDarwin[[#This Row],[Fecha]],'Plantilla AEG ES'!$E$1:$HX$13,7,FALSE)</f>
        <v>0</v>
      </c>
      <c r="AI64" s="46">
        <f>HLOOKUP(TBL_CalcDarwin[[#This Row],[Fecha]],'Plantilla AEG ES'!$E$1:$HX$13,8,FALSE)</f>
        <v>0</v>
      </c>
      <c r="AJ64" s="46">
        <f>HLOOKUP(TBL_CalcDarwin[[#This Row],[Fecha]],'Plantilla AEG ES'!$E$1:$HX$13,9,FALSE)</f>
        <v>3</v>
      </c>
      <c r="AK64" s="46">
        <f>HLOOKUP(TBL_CalcDarwin[[#This Row],[Fecha]],'Plantilla AEG ES'!$E$1:$HX$13,10,FALSE)</f>
        <v>12</v>
      </c>
      <c r="AL64" s="46">
        <f>HLOOKUP(TBL_CalcDarwin[[#This Row],[Fecha]],'Plantilla AEG ES'!$E$1:$HX$13,11,FALSE)</f>
        <v>1</v>
      </c>
      <c r="AM64" s="46">
        <f>HLOOKUP(TBL_CalcDarwin[[#This Row],[Fecha]],'Plantilla AEG ES'!$E$1:$HX$13,12,FALSE)</f>
        <v>7</v>
      </c>
      <c r="AN64" s="46">
        <f>HLOOKUP(TBL_CalcDarwin[[#This Row],[Fecha]],'Plantilla AEG ES'!$E$1:$HX$13,13,FALSE)</f>
        <v>1</v>
      </c>
      <c r="AO64" s="37">
        <f>TBL_CalcDarwin[[#This Row],[Lomitas - Barra A - 5.2 - Cerro]]+TBL_CalcDarwin[[#This Row],[Lomitas - Barra A - 5.2 - Medio]]+TBL_CalcDarwin[[#This Row],[Lomitas - Barra A - 5.2 - Mar]]</f>
        <v>25</v>
      </c>
      <c r="AP6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6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64" s="37">
        <f>TBL_CalcDarwin[[#This Row],[Expansión - Barra A - 5.2 - Cerro]]+TBL_CalcDarwin[[#This Row],[Expansión - Barra A - 5.2 - Medio]]+TBL_CalcDarwin[[#This Row],[Expansión - Barra A - 5.2 - Mar]]</f>
        <v>2</v>
      </c>
      <c r="AT64" s="37">
        <f>TBL_CalcDarwin[[#This Row],[Expansión - Barra B - 5.2 - Cerro]]</f>
        <v>1</v>
      </c>
      <c r="AU6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64" s="29">
        <f>TBL_CalcDarwin[[#This Row],[Expansión - Barra B - 5.2 - Cerro]]*TBL_CalcDarwin[[#This Row],[AEG 5.2 MW Cerro]]</f>
        <v>1.597</v>
      </c>
      <c r="AZ64" s="18"/>
      <c r="BA64" s="18"/>
      <c r="BB64" s="18"/>
      <c r="BC64" s="18"/>
      <c r="BD64" s="18"/>
      <c r="BE64" s="18"/>
      <c r="BF64" s="18"/>
    </row>
    <row r="65" spans="2:58" ht="12" x14ac:dyDescent="0.2">
      <c r="B65" s="55">
        <f t="shared" si="0"/>
        <v>45615.624999999854</v>
      </c>
      <c r="C65" s="17">
        <f t="shared" si="5"/>
        <v>2.6249999999999991</v>
      </c>
      <c r="D65" s="34">
        <f>TBL_CalcDarwin[[#This Row],[Darwin PLOM
MW]]+TBL_CalcDarwin[[#This Row],[Darwin PLOME
MW]]</f>
        <v>166.10399999999998</v>
      </c>
      <c r="E65" s="34">
        <f>TBL_CalcDarwin[[#This Row],[PLOM MW TOTAL BARRA A]]+TBL_CalcDarwin[[#This Row],[PLOM MW TOTAL BARRA B]]</f>
        <v>160.03199999999998</v>
      </c>
      <c r="F65" s="34">
        <f>TBL_CalcDarwin[[#This Row],[PLOME MW TOTAL BARRA A]]+TBL_CalcDarwin[[#This Row],[PLOME MW TOTAL BARRA B]]</f>
        <v>6.0719999999999992</v>
      </c>
      <c r="G65" s="48">
        <f>'Plantilla Datos'!D70</f>
        <v>7.5</v>
      </c>
      <c r="H65" s="48">
        <f>'Plantilla Datos'!E70</f>
        <v>9.4</v>
      </c>
      <c r="I65" s="49">
        <f>'Plantilla Datos'!F70</f>
        <v>18.8</v>
      </c>
      <c r="J65" s="47">
        <f>CEILING('Plantilla Datos'!$L$3*TBL_CalcDarwin[[#This Row],[Darwin Gusts
m/s]],0.5)</f>
        <v>7</v>
      </c>
      <c r="K65" s="47">
        <f>CEILING('Plantilla Datos'!$L$4*TBL_CalcDarwin[[#This Row],[Darwin Gusts
m/s]],0.5)</f>
        <v>8.5</v>
      </c>
      <c r="L65" s="47">
        <f>CEILING(TBL_CalcDarwin[[#This Row],[Darwin Gusts
m/s]],0.5)</f>
        <v>9.5</v>
      </c>
      <c r="M6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5.048</v>
      </c>
      <c r="N6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6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6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65" s="41">
        <f>INDEX(Curva_Temp[Temp],MATCH(TBL_CalcDarwin[[#This Row],[Darwin Temp.
°C]],Curva_Temp[Temp]))</f>
        <v>15</v>
      </c>
      <c r="R65" s="41">
        <f>INDEX(Curva_Temp[Warranted Power Curve for 
1.194Kg/m3 air density '[kW']
SG 5.0-145 (AM+1, 5.2MW) AT 
90M],MATCH(TBL_CalcDarwin[[#This Row],[Darwin Temp.
°C]],Curva_Temp[Temp]))</f>
        <v>5200</v>
      </c>
      <c r="S65" s="41" cm="1">
        <f t="array" ref="S65">INDEX(Curva_Temp[Temp],MATCH(TBL_CalcDarwin[[#This Row],[Darwin Temp.
°C]],Curva_Temp[Temp])+1)</f>
        <v>20</v>
      </c>
      <c r="T65" s="41" cm="1">
        <f t="array" ref="T65">INDEX(Curva_Temp[Warranted Power Curve for 
1.194Kg/m3 air density '[kW']
SG 5.0-145 (AM+1, 5.2MW) AT 
90M],MATCH(TBL_CalcDarwin[[#This Row],[Darwin Temp.
°C]],Curva_Temp[Temp])+1)</f>
        <v>5000</v>
      </c>
      <c r="U6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6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6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65" s="41">
        <f>INDEX(Curva_Temp[Temp],MATCH(TBL_CalcDarwin[[#This Row],[Darwin Temp.
°C]],Curva_Temp[Temp]))</f>
        <v>15</v>
      </c>
      <c r="Z65" s="41">
        <f>INDEX(Curva_Temp[Warranted Power Curve for 
1.194Kg/m3 air density '[kW']
SG 5.0-145 (AM 0, 5.0MW) AT 
90M],MATCH(TBL_CalcDarwin[[#This Row],[Darwin Temp.
°C]],Curva_Temp[Temp]))</f>
        <v>5000</v>
      </c>
      <c r="AA65" s="41" cm="1">
        <f t="array" ref="AA65">INDEX(Curva_Temp[Temp],MATCH(TBL_CalcDarwin[[#This Row],[Darwin Temp.
°C]],Curva_Temp[Temp])+1)</f>
        <v>20</v>
      </c>
      <c r="AB65" s="41" cm="1">
        <f t="array" ref="AB65">INDEX(Curva_Temp[Warranted Power Curve for 
1.194Kg/m3 air density '[kW']
SG 5.0-145 (AM 0, 5.0MW) AT 
90M],MATCH(TBL_CalcDarwin[[#This Row],[Darwin Temp.
°C]],Curva_Temp[Temp])+1)</f>
        <v>5000</v>
      </c>
      <c r="AC65" s="45">
        <f>HLOOKUP(TBL_CalcDarwin[[#This Row],[Fecha]],'Plantilla AEG ES'!$E$1:$HX$13,2,FALSE)</f>
        <v>5</v>
      </c>
      <c r="AD65" s="45">
        <f>HLOOKUP(TBL_CalcDarwin[[#This Row],[Fecha]],'Plantilla AEG ES'!$E$1:$HX$13,3,FALSE)</f>
        <v>8</v>
      </c>
      <c r="AE65" s="45">
        <f>HLOOKUP(TBL_CalcDarwin[[#This Row],[Fecha]],'Plantilla AEG ES'!$E$1:$HX$13,4,FALSE)</f>
        <v>12</v>
      </c>
      <c r="AF65" s="45">
        <f>HLOOKUP(TBL_CalcDarwin[[#This Row],[Fecha]],'Plantilla AEG ES'!$E$1:$HX$13,5,FALSE)</f>
        <v>1</v>
      </c>
      <c r="AG65" s="45">
        <f>HLOOKUP(TBL_CalcDarwin[[#This Row],[Fecha]],'Plantilla AEG ES'!$E$1:$HX$13,6,FALSE)</f>
        <v>1</v>
      </c>
      <c r="AH65" s="45">
        <f>HLOOKUP(TBL_CalcDarwin[[#This Row],[Fecha]],'Plantilla AEG ES'!$E$1:$HX$13,7,FALSE)</f>
        <v>0</v>
      </c>
      <c r="AI65" s="46">
        <f>HLOOKUP(TBL_CalcDarwin[[#This Row],[Fecha]],'Plantilla AEG ES'!$E$1:$HX$13,8,FALSE)</f>
        <v>0</v>
      </c>
      <c r="AJ65" s="46">
        <f>HLOOKUP(TBL_CalcDarwin[[#This Row],[Fecha]],'Plantilla AEG ES'!$E$1:$HX$13,9,FALSE)</f>
        <v>3</v>
      </c>
      <c r="AK65" s="46">
        <f>HLOOKUP(TBL_CalcDarwin[[#This Row],[Fecha]],'Plantilla AEG ES'!$E$1:$HX$13,10,FALSE)</f>
        <v>12</v>
      </c>
      <c r="AL65" s="46">
        <f>HLOOKUP(TBL_CalcDarwin[[#This Row],[Fecha]],'Plantilla AEG ES'!$E$1:$HX$13,11,FALSE)</f>
        <v>1</v>
      </c>
      <c r="AM65" s="46">
        <f>HLOOKUP(TBL_CalcDarwin[[#This Row],[Fecha]],'Plantilla AEG ES'!$E$1:$HX$13,12,FALSE)</f>
        <v>7</v>
      </c>
      <c r="AN65" s="46">
        <f>HLOOKUP(TBL_CalcDarwin[[#This Row],[Fecha]],'Plantilla AEG ES'!$E$1:$HX$13,13,FALSE)</f>
        <v>1</v>
      </c>
      <c r="AO65" s="37">
        <f>TBL_CalcDarwin[[#This Row],[Lomitas - Barra A - 5.2 - Cerro]]+TBL_CalcDarwin[[#This Row],[Lomitas - Barra A - 5.2 - Medio]]+TBL_CalcDarwin[[#This Row],[Lomitas - Barra A - 5.2 - Mar]]</f>
        <v>25</v>
      </c>
      <c r="AP6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6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65" s="37">
        <f>TBL_CalcDarwin[[#This Row],[Expansión - Barra A - 5.2 - Cerro]]+TBL_CalcDarwin[[#This Row],[Expansión - Barra A - 5.2 - Medio]]+TBL_CalcDarwin[[#This Row],[Expansión - Barra A - 5.2 - Mar]]</f>
        <v>2</v>
      </c>
      <c r="AT65" s="37">
        <f>TBL_CalcDarwin[[#This Row],[Expansión - Barra B - 5.2 - Cerro]]</f>
        <v>1</v>
      </c>
      <c r="AU6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65" s="29">
        <f>TBL_CalcDarwin[[#This Row],[Expansión - Barra B - 5.2 - Cerro]]*TBL_CalcDarwin[[#This Row],[AEG 5.2 MW Cerro]]</f>
        <v>1.597</v>
      </c>
      <c r="AZ65" s="18"/>
      <c r="BA65" s="18"/>
      <c r="BB65" s="18"/>
      <c r="BC65" s="18"/>
      <c r="BD65" s="18"/>
      <c r="BE65" s="18"/>
      <c r="BF65" s="18"/>
    </row>
    <row r="66" spans="2:58" ht="12" x14ac:dyDescent="0.2">
      <c r="B66" s="55">
        <f t="shared" si="0"/>
        <v>45615.666666666519</v>
      </c>
      <c r="C66" s="17">
        <f t="shared" si="5"/>
        <v>2.6666666666666656</v>
      </c>
      <c r="D66" s="34">
        <f>TBL_CalcDarwin[[#This Row],[Darwin PLOM
MW]]+TBL_CalcDarwin[[#This Row],[Darwin PLOME
MW]]</f>
        <v>179.61</v>
      </c>
      <c r="E66" s="34">
        <f>TBL_CalcDarwin[[#This Row],[PLOM MW TOTAL BARRA A]]+TBL_CalcDarwin[[#This Row],[PLOM MW TOTAL BARRA B]]</f>
        <v>173.53800000000001</v>
      </c>
      <c r="F66" s="34">
        <f>TBL_CalcDarwin[[#This Row],[PLOME MW TOTAL BARRA A]]+TBL_CalcDarwin[[#This Row],[PLOME MW TOTAL BARRA B]]</f>
        <v>6.0719999999999992</v>
      </c>
      <c r="G66" s="48">
        <f>'Plantilla Datos'!D71</f>
        <v>7.7</v>
      </c>
      <c r="H66" s="48">
        <f>'Plantilla Datos'!E71</f>
        <v>9.6</v>
      </c>
      <c r="I66" s="49">
        <f>'Plantilla Datos'!F71</f>
        <v>18.600000000000001</v>
      </c>
      <c r="J66" s="47">
        <f>CEILING('Plantilla Datos'!$L$3*TBL_CalcDarwin[[#This Row],[Darwin Gusts
m/s]],0.5)</f>
        <v>7</v>
      </c>
      <c r="K66" s="47">
        <f>CEILING('Plantilla Datos'!$L$4*TBL_CalcDarwin[[#This Row],[Darwin Gusts
m/s]],0.5)</f>
        <v>8.5</v>
      </c>
      <c r="L66" s="47">
        <f>CEILING(TBL_CalcDarwin[[#This Row],[Darwin Gusts
m/s]],0.5)</f>
        <v>10</v>
      </c>
      <c r="M6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5.056</v>
      </c>
      <c r="N6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6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6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66" s="41">
        <f>INDEX(Curva_Temp[Temp],MATCH(TBL_CalcDarwin[[#This Row],[Darwin Temp.
°C]],Curva_Temp[Temp]))</f>
        <v>15</v>
      </c>
      <c r="R66" s="41">
        <f>INDEX(Curva_Temp[Warranted Power Curve for 
1.194Kg/m3 air density '[kW']
SG 5.0-145 (AM+1, 5.2MW) AT 
90M],MATCH(TBL_CalcDarwin[[#This Row],[Darwin Temp.
°C]],Curva_Temp[Temp]))</f>
        <v>5200</v>
      </c>
      <c r="S66" s="41" cm="1">
        <f t="array" ref="S66">INDEX(Curva_Temp[Temp],MATCH(TBL_CalcDarwin[[#This Row],[Darwin Temp.
°C]],Curva_Temp[Temp])+1)</f>
        <v>20</v>
      </c>
      <c r="T66" s="41" cm="1">
        <f t="array" ref="T66">INDEX(Curva_Temp[Warranted Power Curve for 
1.194Kg/m3 air density '[kW']
SG 5.0-145 (AM+1, 5.2MW) AT 
90M],MATCH(TBL_CalcDarwin[[#This Row],[Darwin Temp.
°C]],Curva_Temp[Temp])+1)</f>
        <v>5000</v>
      </c>
      <c r="U6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6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6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66" s="41">
        <f>INDEX(Curva_Temp[Temp],MATCH(TBL_CalcDarwin[[#This Row],[Darwin Temp.
°C]],Curva_Temp[Temp]))</f>
        <v>15</v>
      </c>
      <c r="Z66" s="41">
        <f>INDEX(Curva_Temp[Warranted Power Curve for 
1.194Kg/m3 air density '[kW']
SG 5.0-145 (AM 0, 5.0MW) AT 
90M],MATCH(TBL_CalcDarwin[[#This Row],[Darwin Temp.
°C]],Curva_Temp[Temp]))</f>
        <v>5000</v>
      </c>
      <c r="AA66" s="41" cm="1">
        <f t="array" ref="AA66">INDEX(Curva_Temp[Temp],MATCH(TBL_CalcDarwin[[#This Row],[Darwin Temp.
°C]],Curva_Temp[Temp])+1)</f>
        <v>20</v>
      </c>
      <c r="AB66" s="41" cm="1">
        <f t="array" ref="AB66">INDEX(Curva_Temp[Warranted Power Curve for 
1.194Kg/m3 air density '[kW']
SG 5.0-145 (AM 0, 5.0MW) AT 
90M],MATCH(TBL_CalcDarwin[[#This Row],[Darwin Temp.
°C]],Curva_Temp[Temp])+1)</f>
        <v>5000</v>
      </c>
      <c r="AC66" s="45">
        <f>HLOOKUP(TBL_CalcDarwin[[#This Row],[Fecha]],'Plantilla AEG ES'!$E$1:$HX$13,2,FALSE)</f>
        <v>5</v>
      </c>
      <c r="AD66" s="45">
        <f>HLOOKUP(TBL_CalcDarwin[[#This Row],[Fecha]],'Plantilla AEG ES'!$E$1:$HX$13,3,FALSE)</f>
        <v>8</v>
      </c>
      <c r="AE66" s="45">
        <f>HLOOKUP(TBL_CalcDarwin[[#This Row],[Fecha]],'Plantilla AEG ES'!$E$1:$HX$13,4,FALSE)</f>
        <v>12</v>
      </c>
      <c r="AF66" s="45">
        <f>HLOOKUP(TBL_CalcDarwin[[#This Row],[Fecha]],'Plantilla AEG ES'!$E$1:$HX$13,5,FALSE)</f>
        <v>1</v>
      </c>
      <c r="AG66" s="45">
        <f>HLOOKUP(TBL_CalcDarwin[[#This Row],[Fecha]],'Plantilla AEG ES'!$E$1:$HX$13,6,FALSE)</f>
        <v>1</v>
      </c>
      <c r="AH66" s="45">
        <f>HLOOKUP(TBL_CalcDarwin[[#This Row],[Fecha]],'Plantilla AEG ES'!$E$1:$HX$13,7,FALSE)</f>
        <v>0</v>
      </c>
      <c r="AI66" s="46">
        <f>HLOOKUP(TBL_CalcDarwin[[#This Row],[Fecha]],'Plantilla AEG ES'!$E$1:$HX$13,8,FALSE)</f>
        <v>0</v>
      </c>
      <c r="AJ66" s="46">
        <f>HLOOKUP(TBL_CalcDarwin[[#This Row],[Fecha]],'Plantilla AEG ES'!$E$1:$HX$13,9,FALSE)</f>
        <v>3</v>
      </c>
      <c r="AK66" s="46">
        <f>HLOOKUP(TBL_CalcDarwin[[#This Row],[Fecha]],'Plantilla AEG ES'!$E$1:$HX$13,10,FALSE)</f>
        <v>12</v>
      </c>
      <c r="AL66" s="46">
        <f>HLOOKUP(TBL_CalcDarwin[[#This Row],[Fecha]],'Plantilla AEG ES'!$E$1:$HX$13,11,FALSE)</f>
        <v>1</v>
      </c>
      <c r="AM66" s="46">
        <f>HLOOKUP(TBL_CalcDarwin[[#This Row],[Fecha]],'Plantilla AEG ES'!$E$1:$HX$13,12,FALSE)</f>
        <v>7</v>
      </c>
      <c r="AN66" s="46">
        <f>HLOOKUP(TBL_CalcDarwin[[#This Row],[Fecha]],'Plantilla AEG ES'!$E$1:$HX$13,13,FALSE)</f>
        <v>1</v>
      </c>
      <c r="AO66" s="37">
        <f>TBL_CalcDarwin[[#This Row],[Lomitas - Barra A - 5.2 - Cerro]]+TBL_CalcDarwin[[#This Row],[Lomitas - Barra A - 5.2 - Medio]]+TBL_CalcDarwin[[#This Row],[Lomitas - Barra A - 5.2 - Mar]]</f>
        <v>25</v>
      </c>
      <c r="AP6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6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66" s="37">
        <f>TBL_CalcDarwin[[#This Row],[Expansión - Barra A - 5.2 - Cerro]]+TBL_CalcDarwin[[#This Row],[Expansión - Barra A - 5.2 - Medio]]+TBL_CalcDarwin[[#This Row],[Expansión - Barra A - 5.2 - Mar]]</f>
        <v>2</v>
      </c>
      <c r="AT66" s="37">
        <f>TBL_CalcDarwin[[#This Row],[Expansión - Barra B - 5.2 - Cerro]]</f>
        <v>1</v>
      </c>
      <c r="AU6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66" s="29">
        <f>TBL_CalcDarwin[[#This Row],[Expansión - Barra B - 5.2 - Cerro]]*TBL_CalcDarwin[[#This Row],[AEG 5.2 MW Cerro]]</f>
        <v>1.597</v>
      </c>
      <c r="AZ66" s="18"/>
      <c r="BA66" s="18"/>
      <c r="BB66" s="18"/>
      <c r="BC66" s="18"/>
      <c r="BD66" s="18"/>
      <c r="BE66" s="18"/>
      <c r="BF66" s="18"/>
    </row>
    <row r="67" spans="2:58" ht="12" x14ac:dyDescent="0.2">
      <c r="B67" s="55">
        <f t="shared" si="0"/>
        <v>45615.708333333183</v>
      </c>
      <c r="C67" s="17">
        <f t="shared" si="5"/>
        <v>2.7083333333333321</v>
      </c>
      <c r="D67" s="34">
        <f>TBL_CalcDarwin[[#This Row],[Darwin PLOM
MW]]+TBL_CalcDarwin[[#This Row],[Darwin PLOME
MW]]</f>
        <v>166.10399999999998</v>
      </c>
      <c r="E67" s="34">
        <f>TBL_CalcDarwin[[#This Row],[PLOM MW TOTAL BARRA A]]+TBL_CalcDarwin[[#This Row],[PLOM MW TOTAL BARRA B]]</f>
        <v>160.03199999999998</v>
      </c>
      <c r="F67" s="34">
        <f>TBL_CalcDarwin[[#This Row],[PLOME MW TOTAL BARRA A]]+TBL_CalcDarwin[[#This Row],[PLOME MW TOTAL BARRA B]]</f>
        <v>6.0719999999999992</v>
      </c>
      <c r="G67" s="48">
        <f>'Plantilla Datos'!D72</f>
        <v>7.5</v>
      </c>
      <c r="H67" s="48">
        <f>'Plantilla Datos'!E72</f>
        <v>9.4</v>
      </c>
      <c r="I67" s="49">
        <f>'Plantilla Datos'!F72</f>
        <v>18.3</v>
      </c>
      <c r="J67" s="47">
        <f>CEILING('Plantilla Datos'!$L$3*TBL_CalcDarwin[[#This Row],[Darwin Gusts
m/s]],0.5)</f>
        <v>7</v>
      </c>
      <c r="K67" s="47">
        <f>CEILING('Plantilla Datos'!$L$4*TBL_CalcDarwin[[#This Row],[Darwin Gusts
m/s]],0.5)</f>
        <v>8.5</v>
      </c>
      <c r="L67" s="47">
        <f>CEILING(TBL_CalcDarwin[[#This Row],[Darwin Gusts
m/s]],0.5)</f>
        <v>9.5</v>
      </c>
      <c r="M6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5.0679999999999996</v>
      </c>
      <c r="N6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6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6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67" s="41">
        <f>INDEX(Curva_Temp[Temp],MATCH(TBL_CalcDarwin[[#This Row],[Darwin Temp.
°C]],Curva_Temp[Temp]))</f>
        <v>15</v>
      </c>
      <c r="R67" s="41">
        <f>INDEX(Curva_Temp[Warranted Power Curve for 
1.194Kg/m3 air density '[kW']
SG 5.0-145 (AM+1, 5.2MW) AT 
90M],MATCH(TBL_CalcDarwin[[#This Row],[Darwin Temp.
°C]],Curva_Temp[Temp]))</f>
        <v>5200</v>
      </c>
      <c r="S67" s="41" cm="1">
        <f t="array" ref="S67">INDEX(Curva_Temp[Temp],MATCH(TBL_CalcDarwin[[#This Row],[Darwin Temp.
°C]],Curva_Temp[Temp])+1)</f>
        <v>20</v>
      </c>
      <c r="T67" s="41" cm="1">
        <f t="array" ref="T67">INDEX(Curva_Temp[Warranted Power Curve for 
1.194Kg/m3 air density '[kW']
SG 5.0-145 (AM+1, 5.2MW) AT 
90M],MATCH(TBL_CalcDarwin[[#This Row],[Darwin Temp.
°C]],Curva_Temp[Temp])+1)</f>
        <v>5000</v>
      </c>
      <c r="U6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6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6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67" s="41">
        <f>INDEX(Curva_Temp[Temp],MATCH(TBL_CalcDarwin[[#This Row],[Darwin Temp.
°C]],Curva_Temp[Temp]))</f>
        <v>15</v>
      </c>
      <c r="Z67" s="41">
        <f>INDEX(Curva_Temp[Warranted Power Curve for 
1.194Kg/m3 air density '[kW']
SG 5.0-145 (AM 0, 5.0MW) AT 
90M],MATCH(TBL_CalcDarwin[[#This Row],[Darwin Temp.
°C]],Curva_Temp[Temp]))</f>
        <v>5000</v>
      </c>
      <c r="AA67" s="41" cm="1">
        <f t="array" ref="AA67">INDEX(Curva_Temp[Temp],MATCH(TBL_CalcDarwin[[#This Row],[Darwin Temp.
°C]],Curva_Temp[Temp])+1)</f>
        <v>20</v>
      </c>
      <c r="AB67" s="41" cm="1">
        <f t="array" ref="AB67">INDEX(Curva_Temp[Warranted Power Curve for 
1.194Kg/m3 air density '[kW']
SG 5.0-145 (AM 0, 5.0MW) AT 
90M],MATCH(TBL_CalcDarwin[[#This Row],[Darwin Temp.
°C]],Curva_Temp[Temp])+1)</f>
        <v>5000</v>
      </c>
      <c r="AC67" s="45">
        <f>HLOOKUP(TBL_CalcDarwin[[#This Row],[Fecha]],'Plantilla AEG ES'!$E$1:$HX$13,2,FALSE)</f>
        <v>5</v>
      </c>
      <c r="AD67" s="45">
        <f>HLOOKUP(TBL_CalcDarwin[[#This Row],[Fecha]],'Plantilla AEG ES'!$E$1:$HX$13,3,FALSE)</f>
        <v>8</v>
      </c>
      <c r="AE67" s="45">
        <f>HLOOKUP(TBL_CalcDarwin[[#This Row],[Fecha]],'Plantilla AEG ES'!$E$1:$HX$13,4,FALSE)</f>
        <v>12</v>
      </c>
      <c r="AF67" s="45">
        <f>HLOOKUP(TBL_CalcDarwin[[#This Row],[Fecha]],'Plantilla AEG ES'!$E$1:$HX$13,5,FALSE)</f>
        <v>1</v>
      </c>
      <c r="AG67" s="45">
        <f>HLOOKUP(TBL_CalcDarwin[[#This Row],[Fecha]],'Plantilla AEG ES'!$E$1:$HX$13,6,FALSE)</f>
        <v>1</v>
      </c>
      <c r="AH67" s="45">
        <f>HLOOKUP(TBL_CalcDarwin[[#This Row],[Fecha]],'Plantilla AEG ES'!$E$1:$HX$13,7,FALSE)</f>
        <v>0</v>
      </c>
      <c r="AI67" s="46">
        <f>HLOOKUP(TBL_CalcDarwin[[#This Row],[Fecha]],'Plantilla AEG ES'!$E$1:$HX$13,8,FALSE)</f>
        <v>0</v>
      </c>
      <c r="AJ67" s="46">
        <f>HLOOKUP(TBL_CalcDarwin[[#This Row],[Fecha]],'Plantilla AEG ES'!$E$1:$HX$13,9,FALSE)</f>
        <v>3</v>
      </c>
      <c r="AK67" s="46">
        <f>HLOOKUP(TBL_CalcDarwin[[#This Row],[Fecha]],'Plantilla AEG ES'!$E$1:$HX$13,10,FALSE)</f>
        <v>12</v>
      </c>
      <c r="AL67" s="46">
        <f>HLOOKUP(TBL_CalcDarwin[[#This Row],[Fecha]],'Plantilla AEG ES'!$E$1:$HX$13,11,FALSE)</f>
        <v>1</v>
      </c>
      <c r="AM67" s="46">
        <f>HLOOKUP(TBL_CalcDarwin[[#This Row],[Fecha]],'Plantilla AEG ES'!$E$1:$HX$13,12,FALSE)</f>
        <v>7</v>
      </c>
      <c r="AN67" s="46">
        <f>HLOOKUP(TBL_CalcDarwin[[#This Row],[Fecha]],'Plantilla AEG ES'!$E$1:$HX$13,13,FALSE)</f>
        <v>1</v>
      </c>
      <c r="AO67" s="37">
        <f>TBL_CalcDarwin[[#This Row],[Lomitas - Barra A - 5.2 - Cerro]]+TBL_CalcDarwin[[#This Row],[Lomitas - Barra A - 5.2 - Medio]]+TBL_CalcDarwin[[#This Row],[Lomitas - Barra A - 5.2 - Mar]]</f>
        <v>25</v>
      </c>
      <c r="AP6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6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67" s="37">
        <f>TBL_CalcDarwin[[#This Row],[Expansión - Barra A - 5.2 - Cerro]]+TBL_CalcDarwin[[#This Row],[Expansión - Barra A - 5.2 - Medio]]+TBL_CalcDarwin[[#This Row],[Expansión - Barra A - 5.2 - Mar]]</f>
        <v>2</v>
      </c>
      <c r="AT67" s="37">
        <f>TBL_CalcDarwin[[#This Row],[Expansión - Barra B - 5.2 - Cerro]]</f>
        <v>1</v>
      </c>
      <c r="AU6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67" s="29">
        <f>TBL_CalcDarwin[[#This Row],[Expansión - Barra B - 5.2 - Cerro]]*TBL_CalcDarwin[[#This Row],[AEG 5.2 MW Cerro]]</f>
        <v>1.597</v>
      </c>
      <c r="AZ67" s="18"/>
      <c r="BA67" s="18"/>
      <c r="BB67" s="18"/>
      <c r="BC67" s="18"/>
      <c r="BD67" s="18"/>
      <c r="BE67" s="18"/>
      <c r="BF67" s="18"/>
    </row>
    <row r="68" spans="2:58" ht="12" x14ac:dyDescent="0.2">
      <c r="B68" s="55">
        <f t="shared" si="0"/>
        <v>45615.749999999847</v>
      </c>
      <c r="C68" s="17">
        <f t="shared" si="5"/>
        <v>2.7499999999999987</v>
      </c>
      <c r="D68" s="34">
        <f>TBL_CalcDarwin[[#This Row],[Darwin PLOM
MW]]+TBL_CalcDarwin[[#This Row],[Darwin PLOME
MW]]</f>
        <v>160.476</v>
      </c>
      <c r="E68" s="34">
        <f>TBL_CalcDarwin[[#This Row],[PLOM MW TOTAL BARRA A]]+TBL_CalcDarwin[[#This Row],[PLOM MW TOTAL BARRA B]]</f>
        <v>154.87299999999999</v>
      </c>
      <c r="F68" s="34">
        <f>TBL_CalcDarwin[[#This Row],[PLOME MW TOTAL BARRA A]]+TBL_CalcDarwin[[#This Row],[PLOME MW TOTAL BARRA B]]</f>
        <v>5.6029999999999998</v>
      </c>
      <c r="G68" s="48">
        <f>'Plantilla Datos'!D73</f>
        <v>7.4</v>
      </c>
      <c r="H68" s="48">
        <f>'Plantilla Datos'!E73</f>
        <v>9.3000000000000007</v>
      </c>
      <c r="I68" s="49">
        <f>'Plantilla Datos'!F73</f>
        <v>18</v>
      </c>
      <c r="J68" s="47">
        <f>CEILING('Plantilla Datos'!$L$3*TBL_CalcDarwin[[#This Row],[Darwin Gusts
m/s]],0.5)</f>
        <v>7</v>
      </c>
      <c r="K68" s="47">
        <f>CEILING('Plantilla Datos'!$L$4*TBL_CalcDarwin[[#This Row],[Darwin Gusts
m/s]],0.5)</f>
        <v>8</v>
      </c>
      <c r="L68" s="47">
        <f>CEILING(TBL_CalcDarwin[[#This Row],[Darwin Gusts
m/s]],0.5)</f>
        <v>9.5</v>
      </c>
      <c r="M6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</v>
      </c>
      <c r="N6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6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6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68" s="41">
        <f>INDEX(Curva_Temp[Temp],MATCH(TBL_CalcDarwin[[#This Row],[Darwin Temp.
°C]],Curva_Temp[Temp]))</f>
        <v>15</v>
      </c>
      <c r="R68" s="41">
        <f>INDEX(Curva_Temp[Warranted Power Curve for 
1.194Kg/m3 air density '[kW']
SG 5.0-145 (AM+1, 5.2MW) AT 
90M],MATCH(TBL_CalcDarwin[[#This Row],[Darwin Temp.
°C]],Curva_Temp[Temp]))</f>
        <v>5200</v>
      </c>
      <c r="S68" s="41" cm="1">
        <f t="array" ref="S68">INDEX(Curva_Temp[Temp],MATCH(TBL_CalcDarwin[[#This Row],[Darwin Temp.
°C]],Curva_Temp[Temp])+1)</f>
        <v>20</v>
      </c>
      <c r="T68" s="41" cm="1">
        <f t="array" ref="T68">INDEX(Curva_Temp[Warranted Power Curve for 
1.194Kg/m3 air density '[kW']
SG 5.0-145 (AM+1, 5.2MW) AT 
90M],MATCH(TBL_CalcDarwin[[#This Row],[Darwin Temp.
°C]],Curva_Temp[Temp])+1)</f>
        <v>5000</v>
      </c>
      <c r="U6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6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6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68" s="41">
        <f>INDEX(Curva_Temp[Temp],MATCH(TBL_CalcDarwin[[#This Row],[Darwin Temp.
°C]],Curva_Temp[Temp]))</f>
        <v>15</v>
      </c>
      <c r="Z68" s="41">
        <f>INDEX(Curva_Temp[Warranted Power Curve for 
1.194Kg/m3 air density '[kW']
SG 5.0-145 (AM 0, 5.0MW) AT 
90M],MATCH(TBL_CalcDarwin[[#This Row],[Darwin Temp.
°C]],Curva_Temp[Temp]))</f>
        <v>5000</v>
      </c>
      <c r="AA68" s="41" cm="1">
        <f t="array" ref="AA68">INDEX(Curva_Temp[Temp],MATCH(TBL_CalcDarwin[[#This Row],[Darwin Temp.
°C]],Curva_Temp[Temp])+1)</f>
        <v>20</v>
      </c>
      <c r="AB68" s="41" cm="1">
        <f t="array" ref="AB68">INDEX(Curva_Temp[Warranted Power Curve for 
1.194Kg/m3 air density '[kW']
SG 5.0-145 (AM 0, 5.0MW) AT 
90M],MATCH(TBL_CalcDarwin[[#This Row],[Darwin Temp.
°C]],Curva_Temp[Temp])+1)</f>
        <v>5000</v>
      </c>
      <c r="AC68" s="45">
        <f>HLOOKUP(TBL_CalcDarwin[[#This Row],[Fecha]],'Plantilla AEG ES'!$E$1:$HX$13,2,FALSE)</f>
        <v>5</v>
      </c>
      <c r="AD68" s="45">
        <f>HLOOKUP(TBL_CalcDarwin[[#This Row],[Fecha]],'Plantilla AEG ES'!$E$1:$HX$13,3,FALSE)</f>
        <v>8</v>
      </c>
      <c r="AE68" s="45">
        <f>HLOOKUP(TBL_CalcDarwin[[#This Row],[Fecha]],'Plantilla AEG ES'!$E$1:$HX$13,4,FALSE)</f>
        <v>12</v>
      </c>
      <c r="AF68" s="45">
        <f>HLOOKUP(TBL_CalcDarwin[[#This Row],[Fecha]],'Plantilla AEG ES'!$E$1:$HX$13,5,FALSE)</f>
        <v>1</v>
      </c>
      <c r="AG68" s="45">
        <f>HLOOKUP(TBL_CalcDarwin[[#This Row],[Fecha]],'Plantilla AEG ES'!$E$1:$HX$13,6,FALSE)</f>
        <v>1</v>
      </c>
      <c r="AH68" s="45">
        <f>HLOOKUP(TBL_CalcDarwin[[#This Row],[Fecha]],'Plantilla AEG ES'!$E$1:$HX$13,7,FALSE)</f>
        <v>0</v>
      </c>
      <c r="AI68" s="46">
        <f>HLOOKUP(TBL_CalcDarwin[[#This Row],[Fecha]],'Plantilla AEG ES'!$E$1:$HX$13,8,FALSE)</f>
        <v>0</v>
      </c>
      <c r="AJ68" s="46">
        <f>HLOOKUP(TBL_CalcDarwin[[#This Row],[Fecha]],'Plantilla AEG ES'!$E$1:$HX$13,9,FALSE)</f>
        <v>3</v>
      </c>
      <c r="AK68" s="46">
        <f>HLOOKUP(TBL_CalcDarwin[[#This Row],[Fecha]],'Plantilla AEG ES'!$E$1:$HX$13,10,FALSE)</f>
        <v>12</v>
      </c>
      <c r="AL68" s="46">
        <f>HLOOKUP(TBL_CalcDarwin[[#This Row],[Fecha]],'Plantilla AEG ES'!$E$1:$HX$13,11,FALSE)</f>
        <v>1</v>
      </c>
      <c r="AM68" s="46">
        <f>HLOOKUP(TBL_CalcDarwin[[#This Row],[Fecha]],'Plantilla AEG ES'!$E$1:$HX$13,12,FALSE)</f>
        <v>7</v>
      </c>
      <c r="AN68" s="46">
        <f>HLOOKUP(TBL_CalcDarwin[[#This Row],[Fecha]],'Plantilla AEG ES'!$E$1:$HX$13,13,FALSE)</f>
        <v>1</v>
      </c>
      <c r="AO68" s="37">
        <f>TBL_CalcDarwin[[#This Row],[Lomitas - Barra A - 5.2 - Cerro]]+TBL_CalcDarwin[[#This Row],[Lomitas - Barra A - 5.2 - Medio]]+TBL_CalcDarwin[[#This Row],[Lomitas - Barra A - 5.2 - Mar]]</f>
        <v>25</v>
      </c>
      <c r="AP6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6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68" s="37">
        <f>TBL_CalcDarwin[[#This Row],[Expansión - Barra A - 5.2 - Cerro]]+TBL_CalcDarwin[[#This Row],[Expansión - Barra A - 5.2 - Medio]]+TBL_CalcDarwin[[#This Row],[Expansión - Barra A - 5.2 - Mar]]</f>
        <v>2</v>
      </c>
      <c r="AT68" s="37">
        <f>TBL_CalcDarwin[[#This Row],[Expansión - Barra B - 5.2 - Cerro]]</f>
        <v>1</v>
      </c>
      <c r="AU6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68" s="29">
        <f>TBL_CalcDarwin[[#This Row],[Expansión - Barra B - 5.2 - Cerro]]*TBL_CalcDarwin[[#This Row],[AEG 5.2 MW Cerro]]</f>
        <v>1.597</v>
      </c>
      <c r="AZ68" s="18"/>
      <c r="BA68" s="18"/>
      <c r="BB68" s="18"/>
      <c r="BC68" s="18"/>
      <c r="BD68" s="18"/>
      <c r="BE68" s="18"/>
      <c r="BF68" s="18"/>
    </row>
    <row r="69" spans="2:58" ht="12" x14ac:dyDescent="0.2">
      <c r="B69" s="55">
        <f t="shared" si="0"/>
        <v>45615.791666666511</v>
      </c>
      <c r="C69" s="17">
        <f t="shared" si="5"/>
        <v>2.7916666666666652</v>
      </c>
      <c r="D69" s="34">
        <f>TBL_CalcDarwin[[#This Row],[Darwin PLOM
MW]]+TBL_CalcDarwin[[#This Row],[Darwin PLOME
MW]]</f>
        <v>160.476</v>
      </c>
      <c r="E69" s="34">
        <f>TBL_CalcDarwin[[#This Row],[PLOM MW TOTAL BARRA A]]+TBL_CalcDarwin[[#This Row],[PLOM MW TOTAL BARRA B]]</f>
        <v>154.87299999999999</v>
      </c>
      <c r="F69" s="34">
        <f>TBL_CalcDarwin[[#This Row],[PLOME MW TOTAL BARRA A]]+TBL_CalcDarwin[[#This Row],[PLOME MW TOTAL BARRA B]]</f>
        <v>5.6029999999999998</v>
      </c>
      <c r="G69" s="48">
        <f>'Plantilla Datos'!D74</f>
        <v>7.3</v>
      </c>
      <c r="H69" s="48">
        <f>'Plantilla Datos'!E74</f>
        <v>9.1</v>
      </c>
      <c r="I69" s="49">
        <f>'Plantilla Datos'!F74</f>
        <v>17.5</v>
      </c>
      <c r="J69" s="47">
        <f>CEILING('Plantilla Datos'!$L$3*TBL_CalcDarwin[[#This Row],[Darwin Gusts
m/s]],0.5)</f>
        <v>7</v>
      </c>
      <c r="K69" s="47">
        <f>CEILING('Plantilla Datos'!$L$4*TBL_CalcDarwin[[#This Row],[Darwin Gusts
m/s]],0.5)</f>
        <v>8</v>
      </c>
      <c r="L69" s="47">
        <f>CEILING(TBL_CalcDarwin[[#This Row],[Darwin Gusts
m/s]],0.5)</f>
        <v>9.5</v>
      </c>
      <c r="M6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6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6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6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69" s="41">
        <f>INDEX(Curva_Temp[Temp],MATCH(TBL_CalcDarwin[[#This Row],[Darwin Temp.
°C]],Curva_Temp[Temp]))</f>
        <v>15</v>
      </c>
      <c r="R69" s="41">
        <f>INDEX(Curva_Temp[Warranted Power Curve for 
1.194Kg/m3 air density '[kW']
SG 5.0-145 (AM+1, 5.2MW) AT 
90M],MATCH(TBL_CalcDarwin[[#This Row],[Darwin Temp.
°C]],Curva_Temp[Temp]))</f>
        <v>5200</v>
      </c>
      <c r="S69" s="41" cm="1">
        <f t="array" ref="S69">INDEX(Curva_Temp[Temp],MATCH(TBL_CalcDarwin[[#This Row],[Darwin Temp.
°C]],Curva_Temp[Temp])+1)</f>
        <v>20</v>
      </c>
      <c r="T69" s="41" cm="1">
        <f t="array" ref="T69">INDEX(Curva_Temp[Warranted Power Curve for 
1.194Kg/m3 air density '[kW']
SG 5.0-145 (AM+1, 5.2MW) AT 
90M],MATCH(TBL_CalcDarwin[[#This Row],[Darwin Temp.
°C]],Curva_Temp[Temp])+1)</f>
        <v>5000</v>
      </c>
      <c r="U6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6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6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69" s="41">
        <f>INDEX(Curva_Temp[Temp],MATCH(TBL_CalcDarwin[[#This Row],[Darwin Temp.
°C]],Curva_Temp[Temp]))</f>
        <v>15</v>
      </c>
      <c r="Z69" s="41">
        <f>INDEX(Curva_Temp[Warranted Power Curve for 
1.194Kg/m3 air density '[kW']
SG 5.0-145 (AM 0, 5.0MW) AT 
90M],MATCH(TBL_CalcDarwin[[#This Row],[Darwin Temp.
°C]],Curva_Temp[Temp]))</f>
        <v>5000</v>
      </c>
      <c r="AA69" s="41" cm="1">
        <f t="array" ref="AA69">INDEX(Curva_Temp[Temp],MATCH(TBL_CalcDarwin[[#This Row],[Darwin Temp.
°C]],Curva_Temp[Temp])+1)</f>
        <v>20</v>
      </c>
      <c r="AB69" s="41" cm="1">
        <f t="array" ref="AB69">INDEX(Curva_Temp[Warranted Power Curve for 
1.194Kg/m3 air density '[kW']
SG 5.0-145 (AM 0, 5.0MW) AT 
90M],MATCH(TBL_CalcDarwin[[#This Row],[Darwin Temp.
°C]],Curva_Temp[Temp])+1)</f>
        <v>5000</v>
      </c>
      <c r="AC69" s="45">
        <f>HLOOKUP(TBL_CalcDarwin[[#This Row],[Fecha]],'Plantilla AEG ES'!$E$1:$HX$13,2,FALSE)</f>
        <v>5</v>
      </c>
      <c r="AD69" s="45">
        <f>HLOOKUP(TBL_CalcDarwin[[#This Row],[Fecha]],'Plantilla AEG ES'!$E$1:$HX$13,3,FALSE)</f>
        <v>8</v>
      </c>
      <c r="AE69" s="45">
        <f>HLOOKUP(TBL_CalcDarwin[[#This Row],[Fecha]],'Plantilla AEG ES'!$E$1:$HX$13,4,FALSE)</f>
        <v>12</v>
      </c>
      <c r="AF69" s="45">
        <f>HLOOKUP(TBL_CalcDarwin[[#This Row],[Fecha]],'Plantilla AEG ES'!$E$1:$HX$13,5,FALSE)</f>
        <v>1</v>
      </c>
      <c r="AG69" s="45">
        <f>HLOOKUP(TBL_CalcDarwin[[#This Row],[Fecha]],'Plantilla AEG ES'!$E$1:$HX$13,6,FALSE)</f>
        <v>1</v>
      </c>
      <c r="AH69" s="45">
        <f>HLOOKUP(TBL_CalcDarwin[[#This Row],[Fecha]],'Plantilla AEG ES'!$E$1:$HX$13,7,FALSE)</f>
        <v>0</v>
      </c>
      <c r="AI69" s="46">
        <f>HLOOKUP(TBL_CalcDarwin[[#This Row],[Fecha]],'Plantilla AEG ES'!$E$1:$HX$13,8,FALSE)</f>
        <v>0</v>
      </c>
      <c r="AJ69" s="46">
        <f>HLOOKUP(TBL_CalcDarwin[[#This Row],[Fecha]],'Plantilla AEG ES'!$E$1:$HX$13,9,FALSE)</f>
        <v>3</v>
      </c>
      <c r="AK69" s="46">
        <f>HLOOKUP(TBL_CalcDarwin[[#This Row],[Fecha]],'Plantilla AEG ES'!$E$1:$HX$13,10,FALSE)</f>
        <v>12</v>
      </c>
      <c r="AL69" s="46">
        <f>HLOOKUP(TBL_CalcDarwin[[#This Row],[Fecha]],'Plantilla AEG ES'!$E$1:$HX$13,11,FALSE)</f>
        <v>1</v>
      </c>
      <c r="AM69" s="46">
        <f>HLOOKUP(TBL_CalcDarwin[[#This Row],[Fecha]],'Plantilla AEG ES'!$E$1:$HX$13,12,FALSE)</f>
        <v>7</v>
      </c>
      <c r="AN69" s="46">
        <f>HLOOKUP(TBL_CalcDarwin[[#This Row],[Fecha]],'Plantilla AEG ES'!$E$1:$HX$13,13,FALSE)</f>
        <v>1</v>
      </c>
      <c r="AO69" s="37">
        <f>TBL_CalcDarwin[[#This Row],[Lomitas - Barra A - 5.2 - Cerro]]+TBL_CalcDarwin[[#This Row],[Lomitas - Barra A - 5.2 - Medio]]+TBL_CalcDarwin[[#This Row],[Lomitas - Barra A - 5.2 - Mar]]</f>
        <v>25</v>
      </c>
      <c r="AP6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6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69" s="37">
        <f>TBL_CalcDarwin[[#This Row],[Expansión - Barra A - 5.2 - Cerro]]+TBL_CalcDarwin[[#This Row],[Expansión - Barra A - 5.2 - Medio]]+TBL_CalcDarwin[[#This Row],[Expansión - Barra A - 5.2 - Mar]]</f>
        <v>2</v>
      </c>
      <c r="AT69" s="37">
        <f>TBL_CalcDarwin[[#This Row],[Expansión - Barra B - 5.2 - Cerro]]</f>
        <v>1</v>
      </c>
      <c r="AU6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69" s="29">
        <f>TBL_CalcDarwin[[#This Row],[Expansión - Barra B - 5.2 - Cerro]]*TBL_CalcDarwin[[#This Row],[AEG 5.2 MW Cerro]]</f>
        <v>1.597</v>
      </c>
      <c r="AZ69" s="18"/>
      <c r="BA69" s="18"/>
      <c r="BB69" s="18"/>
      <c r="BC69" s="18"/>
      <c r="BD69" s="18"/>
      <c r="BE69" s="18"/>
      <c r="BF69" s="18"/>
    </row>
    <row r="70" spans="2:58" ht="12" x14ac:dyDescent="0.2">
      <c r="B70" s="55">
        <f t="shared" ref="B70:B133" si="6">B69+TIME(1,0,0)</f>
        <v>45615.833333333176</v>
      </c>
      <c r="C70" s="17">
        <f t="shared" si="5"/>
        <v>2.8333333333333317</v>
      </c>
      <c r="D70" s="34">
        <f>TBL_CalcDarwin[[#This Row],[Darwin PLOM
MW]]+TBL_CalcDarwin[[#This Row],[Darwin PLOME
MW]]</f>
        <v>160.476</v>
      </c>
      <c r="E70" s="34">
        <f>TBL_CalcDarwin[[#This Row],[PLOM MW TOTAL BARRA A]]+TBL_CalcDarwin[[#This Row],[PLOM MW TOTAL BARRA B]]</f>
        <v>154.87299999999999</v>
      </c>
      <c r="F70" s="34">
        <f>TBL_CalcDarwin[[#This Row],[PLOME MW TOTAL BARRA A]]+TBL_CalcDarwin[[#This Row],[PLOME MW TOTAL BARRA B]]</f>
        <v>5.6029999999999998</v>
      </c>
      <c r="G70" s="48">
        <f>'Plantilla Datos'!D75</f>
        <v>7.4</v>
      </c>
      <c r="H70" s="48">
        <f>'Plantilla Datos'!E75</f>
        <v>9.3000000000000007</v>
      </c>
      <c r="I70" s="49">
        <f>'Plantilla Datos'!F75</f>
        <v>17.3</v>
      </c>
      <c r="J70" s="47">
        <f>CEILING('Plantilla Datos'!$L$3*TBL_CalcDarwin[[#This Row],[Darwin Gusts
m/s]],0.5)</f>
        <v>7</v>
      </c>
      <c r="K70" s="47">
        <f>CEILING('Plantilla Datos'!$L$4*TBL_CalcDarwin[[#This Row],[Darwin Gusts
m/s]],0.5)</f>
        <v>8</v>
      </c>
      <c r="L70" s="47">
        <f>CEILING(TBL_CalcDarwin[[#This Row],[Darwin Gusts
m/s]],0.5)</f>
        <v>9.5</v>
      </c>
      <c r="M7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7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7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7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70" s="41">
        <f>INDEX(Curva_Temp[Temp],MATCH(TBL_CalcDarwin[[#This Row],[Darwin Temp.
°C]],Curva_Temp[Temp]))</f>
        <v>15</v>
      </c>
      <c r="R70" s="41">
        <f>INDEX(Curva_Temp[Warranted Power Curve for 
1.194Kg/m3 air density '[kW']
SG 5.0-145 (AM+1, 5.2MW) AT 
90M],MATCH(TBL_CalcDarwin[[#This Row],[Darwin Temp.
°C]],Curva_Temp[Temp]))</f>
        <v>5200</v>
      </c>
      <c r="S70" s="41" cm="1">
        <f t="array" ref="S70">INDEX(Curva_Temp[Temp],MATCH(TBL_CalcDarwin[[#This Row],[Darwin Temp.
°C]],Curva_Temp[Temp])+1)</f>
        <v>20</v>
      </c>
      <c r="T70" s="41" cm="1">
        <f t="array" ref="T70">INDEX(Curva_Temp[Warranted Power Curve for 
1.194Kg/m3 air density '[kW']
SG 5.0-145 (AM+1, 5.2MW) AT 
90M],MATCH(TBL_CalcDarwin[[#This Row],[Darwin Temp.
°C]],Curva_Temp[Temp])+1)</f>
        <v>5000</v>
      </c>
      <c r="U7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7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7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70" s="41">
        <f>INDEX(Curva_Temp[Temp],MATCH(TBL_CalcDarwin[[#This Row],[Darwin Temp.
°C]],Curva_Temp[Temp]))</f>
        <v>15</v>
      </c>
      <c r="Z70" s="41">
        <f>INDEX(Curva_Temp[Warranted Power Curve for 
1.194Kg/m3 air density '[kW']
SG 5.0-145 (AM 0, 5.0MW) AT 
90M],MATCH(TBL_CalcDarwin[[#This Row],[Darwin Temp.
°C]],Curva_Temp[Temp]))</f>
        <v>5000</v>
      </c>
      <c r="AA70" s="41" cm="1">
        <f t="array" ref="AA70">INDEX(Curva_Temp[Temp],MATCH(TBL_CalcDarwin[[#This Row],[Darwin Temp.
°C]],Curva_Temp[Temp])+1)</f>
        <v>20</v>
      </c>
      <c r="AB70" s="41" cm="1">
        <f t="array" ref="AB70">INDEX(Curva_Temp[Warranted Power Curve for 
1.194Kg/m3 air density '[kW']
SG 5.0-145 (AM 0, 5.0MW) AT 
90M],MATCH(TBL_CalcDarwin[[#This Row],[Darwin Temp.
°C]],Curva_Temp[Temp])+1)</f>
        <v>5000</v>
      </c>
      <c r="AC70" s="45">
        <f>HLOOKUP(TBL_CalcDarwin[[#This Row],[Fecha]],'Plantilla AEG ES'!$E$1:$HX$13,2,FALSE)</f>
        <v>5</v>
      </c>
      <c r="AD70" s="45">
        <f>HLOOKUP(TBL_CalcDarwin[[#This Row],[Fecha]],'Plantilla AEG ES'!$E$1:$HX$13,3,FALSE)</f>
        <v>8</v>
      </c>
      <c r="AE70" s="45">
        <f>HLOOKUP(TBL_CalcDarwin[[#This Row],[Fecha]],'Plantilla AEG ES'!$E$1:$HX$13,4,FALSE)</f>
        <v>12</v>
      </c>
      <c r="AF70" s="45">
        <f>HLOOKUP(TBL_CalcDarwin[[#This Row],[Fecha]],'Plantilla AEG ES'!$E$1:$HX$13,5,FALSE)</f>
        <v>1</v>
      </c>
      <c r="AG70" s="45">
        <f>HLOOKUP(TBL_CalcDarwin[[#This Row],[Fecha]],'Plantilla AEG ES'!$E$1:$HX$13,6,FALSE)</f>
        <v>1</v>
      </c>
      <c r="AH70" s="45">
        <f>HLOOKUP(TBL_CalcDarwin[[#This Row],[Fecha]],'Plantilla AEG ES'!$E$1:$HX$13,7,FALSE)</f>
        <v>0</v>
      </c>
      <c r="AI70" s="46">
        <f>HLOOKUP(TBL_CalcDarwin[[#This Row],[Fecha]],'Plantilla AEG ES'!$E$1:$HX$13,8,FALSE)</f>
        <v>0</v>
      </c>
      <c r="AJ70" s="46">
        <f>HLOOKUP(TBL_CalcDarwin[[#This Row],[Fecha]],'Plantilla AEG ES'!$E$1:$HX$13,9,FALSE)</f>
        <v>3</v>
      </c>
      <c r="AK70" s="46">
        <f>HLOOKUP(TBL_CalcDarwin[[#This Row],[Fecha]],'Plantilla AEG ES'!$E$1:$HX$13,10,FALSE)</f>
        <v>12</v>
      </c>
      <c r="AL70" s="46">
        <f>HLOOKUP(TBL_CalcDarwin[[#This Row],[Fecha]],'Plantilla AEG ES'!$E$1:$HX$13,11,FALSE)</f>
        <v>1</v>
      </c>
      <c r="AM70" s="46">
        <f>HLOOKUP(TBL_CalcDarwin[[#This Row],[Fecha]],'Plantilla AEG ES'!$E$1:$HX$13,12,FALSE)</f>
        <v>7</v>
      </c>
      <c r="AN70" s="46">
        <f>HLOOKUP(TBL_CalcDarwin[[#This Row],[Fecha]],'Plantilla AEG ES'!$E$1:$HX$13,13,FALSE)</f>
        <v>1</v>
      </c>
      <c r="AO70" s="37">
        <f>TBL_CalcDarwin[[#This Row],[Lomitas - Barra A - 5.2 - Cerro]]+TBL_CalcDarwin[[#This Row],[Lomitas - Barra A - 5.2 - Medio]]+TBL_CalcDarwin[[#This Row],[Lomitas - Barra A - 5.2 - Mar]]</f>
        <v>25</v>
      </c>
      <c r="AP7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7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70" s="37">
        <f>TBL_CalcDarwin[[#This Row],[Expansión - Barra A - 5.2 - Cerro]]+TBL_CalcDarwin[[#This Row],[Expansión - Barra A - 5.2 - Medio]]+TBL_CalcDarwin[[#This Row],[Expansión - Barra A - 5.2 - Mar]]</f>
        <v>2</v>
      </c>
      <c r="AT70" s="37">
        <f>TBL_CalcDarwin[[#This Row],[Expansión - Barra B - 5.2 - Cerro]]</f>
        <v>1</v>
      </c>
      <c r="AU7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70" s="29">
        <f>TBL_CalcDarwin[[#This Row],[Expansión - Barra B - 5.2 - Cerro]]*TBL_CalcDarwin[[#This Row],[AEG 5.2 MW Cerro]]</f>
        <v>1.597</v>
      </c>
      <c r="AZ70" s="18"/>
      <c r="BA70" s="18"/>
      <c r="BB70" s="18"/>
      <c r="BC70" s="18"/>
      <c r="BD70" s="18"/>
      <c r="BE70" s="18"/>
      <c r="BF70" s="18"/>
    </row>
    <row r="71" spans="2:58" ht="12" x14ac:dyDescent="0.2">
      <c r="B71" s="55">
        <f t="shared" si="6"/>
        <v>45615.87499999984</v>
      </c>
      <c r="C71" s="17">
        <f>C70+TIME(1,0,0)</f>
        <v>2.8749999999999982</v>
      </c>
      <c r="D71" s="34">
        <f>TBL_CalcDarwin[[#This Row],[Darwin PLOM
MW]]+TBL_CalcDarwin[[#This Row],[Darwin PLOME
MW]]</f>
        <v>166.10399999999998</v>
      </c>
      <c r="E71" s="34">
        <f>TBL_CalcDarwin[[#This Row],[PLOM MW TOTAL BARRA A]]+TBL_CalcDarwin[[#This Row],[PLOM MW TOTAL BARRA B]]</f>
        <v>160.03199999999998</v>
      </c>
      <c r="F71" s="34">
        <f>TBL_CalcDarwin[[#This Row],[PLOME MW TOTAL BARRA A]]+TBL_CalcDarwin[[#This Row],[PLOME MW TOTAL BARRA B]]</f>
        <v>6.0719999999999992</v>
      </c>
      <c r="G71" s="48">
        <f>'Plantilla Datos'!D76</f>
        <v>7.5</v>
      </c>
      <c r="H71" s="48">
        <f>'Plantilla Datos'!E76</f>
        <v>9.4</v>
      </c>
      <c r="I71" s="49">
        <f>'Plantilla Datos'!F76</f>
        <v>17.100000000000001</v>
      </c>
      <c r="J71" s="47">
        <f>CEILING('Plantilla Datos'!$L$3*TBL_CalcDarwin[[#This Row],[Darwin Gusts
m/s]],0.5)</f>
        <v>7</v>
      </c>
      <c r="K71" s="47">
        <f>CEILING('Plantilla Datos'!$L$4*TBL_CalcDarwin[[#This Row],[Darwin Gusts
m/s]],0.5)</f>
        <v>8.5</v>
      </c>
      <c r="L71" s="47">
        <f>CEILING(TBL_CalcDarwin[[#This Row],[Darwin Gusts
m/s]],0.5)</f>
        <v>9.5</v>
      </c>
      <c r="M7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7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7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7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71" s="41">
        <f>INDEX(Curva_Temp[Temp],MATCH(TBL_CalcDarwin[[#This Row],[Darwin Temp.
°C]],Curva_Temp[Temp]))</f>
        <v>15</v>
      </c>
      <c r="R71" s="41">
        <f>INDEX(Curva_Temp[Warranted Power Curve for 
1.194Kg/m3 air density '[kW']
SG 5.0-145 (AM+1, 5.2MW) AT 
90M],MATCH(TBL_CalcDarwin[[#This Row],[Darwin Temp.
°C]],Curva_Temp[Temp]))</f>
        <v>5200</v>
      </c>
      <c r="S71" s="41" cm="1">
        <f t="array" ref="S71">INDEX(Curva_Temp[Temp],MATCH(TBL_CalcDarwin[[#This Row],[Darwin Temp.
°C]],Curva_Temp[Temp])+1)</f>
        <v>20</v>
      </c>
      <c r="T71" s="41" cm="1">
        <f t="array" ref="T71">INDEX(Curva_Temp[Warranted Power Curve for 
1.194Kg/m3 air density '[kW']
SG 5.0-145 (AM+1, 5.2MW) AT 
90M],MATCH(TBL_CalcDarwin[[#This Row],[Darwin Temp.
°C]],Curva_Temp[Temp])+1)</f>
        <v>5000</v>
      </c>
      <c r="U7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7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7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71" s="41">
        <f>INDEX(Curva_Temp[Temp],MATCH(TBL_CalcDarwin[[#This Row],[Darwin Temp.
°C]],Curva_Temp[Temp]))</f>
        <v>15</v>
      </c>
      <c r="Z71" s="41">
        <f>INDEX(Curva_Temp[Warranted Power Curve for 
1.194Kg/m3 air density '[kW']
SG 5.0-145 (AM 0, 5.0MW) AT 
90M],MATCH(TBL_CalcDarwin[[#This Row],[Darwin Temp.
°C]],Curva_Temp[Temp]))</f>
        <v>5000</v>
      </c>
      <c r="AA71" s="41" cm="1">
        <f t="array" ref="AA71">INDEX(Curva_Temp[Temp],MATCH(TBL_CalcDarwin[[#This Row],[Darwin Temp.
°C]],Curva_Temp[Temp])+1)</f>
        <v>20</v>
      </c>
      <c r="AB71" s="41" cm="1">
        <f t="array" ref="AB71">INDEX(Curva_Temp[Warranted Power Curve for 
1.194Kg/m3 air density '[kW']
SG 5.0-145 (AM 0, 5.0MW) AT 
90M],MATCH(TBL_CalcDarwin[[#This Row],[Darwin Temp.
°C]],Curva_Temp[Temp])+1)</f>
        <v>5000</v>
      </c>
      <c r="AC71" s="45">
        <f>HLOOKUP(TBL_CalcDarwin[[#This Row],[Fecha]],'Plantilla AEG ES'!$E$1:$HX$13,2,FALSE)</f>
        <v>5</v>
      </c>
      <c r="AD71" s="45">
        <f>HLOOKUP(TBL_CalcDarwin[[#This Row],[Fecha]],'Plantilla AEG ES'!$E$1:$HX$13,3,FALSE)</f>
        <v>8</v>
      </c>
      <c r="AE71" s="45">
        <f>HLOOKUP(TBL_CalcDarwin[[#This Row],[Fecha]],'Plantilla AEG ES'!$E$1:$HX$13,4,FALSE)</f>
        <v>12</v>
      </c>
      <c r="AF71" s="45">
        <f>HLOOKUP(TBL_CalcDarwin[[#This Row],[Fecha]],'Plantilla AEG ES'!$E$1:$HX$13,5,FALSE)</f>
        <v>1</v>
      </c>
      <c r="AG71" s="45">
        <f>HLOOKUP(TBL_CalcDarwin[[#This Row],[Fecha]],'Plantilla AEG ES'!$E$1:$HX$13,6,FALSE)</f>
        <v>1</v>
      </c>
      <c r="AH71" s="45">
        <f>HLOOKUP(TBL_CalcDarwin[[#This Row],[Fecha]],'Plantilla AEG ES'!$E$1:$HX$13,7,FALSE)</f>
        <v>0</v>
      </c>
      <c r="AI71" s="46">
        <f>HLOOKUP(TBL_CalcDarwin[[#This Row],[Fecha]],'Plantilla AEG ES'!$E$1:$HX$13,8,FALSE)</f>
        <v>0</v>
      </c>
      <c r="AJ71" s="46">
        <f>HLOOKUP(TBL_CalcDarwin[[#This Row],[Fecha]],'Plantilla AEG ES'!$E$1:$HX$13,9,FALSE)</f>
        <v>3</v>
      </c>
      <c r="AK71" s="46">
        <f>HLOOKUP(TBL_CalcDarwin[[#This Row],[Fecha]],'Plantilla AEG ES'!$E$1:$HX$13,10,FALSE)</f>
        <v>12</v>
      </c>
      <c r="AL71" s="46">
        <f>HLOOKUP(TBL_CalcDarwin[[#This Row],[Fecha]],'Plantilla AEG ES'!$E$1:$HX$13,11,FALSE)</f>
        <v>1</v>
      </c>
      <c r="AM71" s="46">
        <f>HLOOKUP(TBL_CalcDarwin[[#This Row],[Fecha]],'Plantilla AEG ES'!$E$1:$HX$13,12,FALSE)</f>
        <v>7</v>
      </c>
      <c r="AN71" s="46">
        <f>HLOOKUP(TBL_CalcDarwin[[#This Row],[Fecha]],'Plantilla AEG ES'!$E$1:$HX$13,13,FALSE)</f>
        <v>1</v>
      </c>
      <c r="AO71" s="37">
        <f>TBL_CalcDarwin[[#This Row],[Lomitas - Barra A - 5.2 - Cerro]]+TBL_CalcDarwin[[#This Row],[Lomitas - Barra A - 5.2 - Medio]]+TBL_CalcDarwin[[#This Row],[Lomitas - Barra A - 5.2 - Mar]]</f>
        <v>25</v>
      </c>
      <c r="AP7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7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71" s="37">
        <f>TBL_CalcDarwin[[#This Row],[Expansión - Barra A - 5.2 - Cerro]]+TBL_CalcDarwin[[#This Row],[Expansión - Barra A - 5.2 - Medio]]+TBL_CalcDarwin[[#This Row],[Expansión - Barra A - 5.2 - Mar]]</f>
        <v>2</v>
      </c>
      <c r="AT71" s="37">
        <f>TBL_CalcDarwin[[#This Row],[Expansión - Barra B - 5.2 - Cerro]]</f>
        <v>1</v>
      </c>
      <c r="AU7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71" s="29">
        <f>TBL_CalcDarwin[[#This Row],[Expansión - Barra B - 5.2 - Cerro]]*TBL_CalcDarwin[[#This Row],[AEG 5.2 MW Cerro]]</f>
        <v>1.597</v>
      </c>
      <c r="AZ71" s="18"/>
      <c r="BA71" s="18"/>
      <c r="BB71" s="18"/>
      <c r="BC71" s="18"/>
      <c r="BD71" s="18"/>
      <c r="BE71" s="18"/>
      <c r="BF71" s="18"/>
    </row>
    <row r="72" spans="2:58" ht="12" x14ac:dyDescent="0.2">
      <c r="B72" s="55">
        <f t="shared" si="6"/>
        <v>45615.916666666504</v>
      </c>
      <c r="C72" s="17">
        <f t="shared" ref="C72:C76" si="7">C71+TIME(1,0,0)</f>
        <v>2.9166666666666647</v>
      </c>
      <c r="D72" s="34">
        <f>TBL_CalcDarwin[[#This Row],[Darwin PLOM
MW]]+TBL_CalcDarwin[[#This Row],[Darwin PLOME
MW]]</f>
        <v>166.10399999999998</v>
      </c>
      <c r="E72" s="34">
        <f>TBL_CalcDarwin[[#This Row],[PLOM MW TOTAL BARRA A]]+TBL_CalcDarwin[[#This Row],[PLOM MW TOTAL BARRA B]]</f>
        <v>160.03199999999998</v>
      </c>
      <c r="F72" s="34">
        <f>TBL_CalcDarwin[[#This Row],[PLOME MW TOTAL BARRA A]]+TBL_CalcDarwin[[#This Row],[PLOME MW TOTAL BARRA B]]</f>
        <v>6.0719999999999992</v>
      </c>
      <c r="G72" s="48">
        <f>'Plantilla Datos'!D77</f>
        <v>7.6</v>
      </c>
      <c r="H72" s="48">
        <f>'Plantilla Datos'!E77</f>
        <v>9.5</v>
      </c>
      <c r="I72" s="49">
        <f>'Plantilla Datos'!F77</f>
        <v>16.899999999999999</v>
      </c>
      <c r="J72" s="47">
        <f>CEILING('Plantilla Datos'!$L$3*TBL_CalcDarwin[[#This Row],[Darwin Gusts
m/s]],0.5)</f>
        <v>7</v>
      </c>
      <c r="K72" s="47">
        <f>CEILING('Plantilla Datos'!$L$4*TBL_CalcDarwin[[#This Row],[Darwin Gusts
m/s]],0.5)</f>
        <v>8.5</v>
      </c>
      <c r="L72" s="47">
        <f>CEILING(TBL_CalcDarwin[[#This Row],[Darwin Gusts
m/s]],0.5)</f>
        <v>9.5</v>
      </c>
      <c r="M7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7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7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7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72" s="41">
        <f>INDEX(Curva_Temp[Temp],MATCH(TBL_CalcDarwin[[#This Row],[Darwin Temp.
°C]],Curva_Temp[Temp]))</f>
        <v>15</v>
      </c>
      <c r="R72" s="41">
        <f>INDEX(Curva_Temp[Warranted Power Curve for 
1.194Kg/m3 air density '[kW']
SG 5.0-145 (AM+1, 5.2MW) AT 
90M],MATCH(TBL_CalcDarwin[[#This Row],[Darwin Temp.
°C]],Curva_Temp[Temp]))</f>
        <v>5200</v>
      </c>
      <c r="S72" s="41" cm="1">
        <f t="array" ref="S72">INDEX(Curva_Temp[Temp],MATCH(TBL_CalcDarwin[[#This Row],[Darwin Temp.
°C]],Curva_Temp[Temp])+1)</f>
        <v>20</v>
      </c>
      <c r="T72" s="41" cm="1">
        <f t="array" ref="T72">INDEX(Curva_Temp[Warranted Power Curve for 
1.194Kg/m3 air density '[kW']
SG 5.0-145 (AM+1, 5.2MW) AT 
90M],MATCH(TBL_CalcDarwin[[#This Row],[Darwin Temp.
°C]],Curva_Temp[Temp])+1)</f>
        <v>5000</v>
      </c>
      <c r="U7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7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7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72" s="41">
        <f>INDEX(Curva_Temp[Temp],MATCH(TBL_CalcDarwin[[#This Row],[Darwin Temp.
°C]],Curva_Temp[Temp]))</f>
        <v>15</v>
      </c>
      <c r="Z72" s="41">
        <f>INDEX(Curva_Temp[Warranted Power Curve for 
1.194Kg/m3 air density '[kW']
SG 5.0-145 (AM 0, 5.0MW) AT 
90M],MATCH(TBL_CalcDarwin[[#This Row],[Darwin Temp.
°C]],Curva_Temp[Temp]))</f>
        <v>5000</v>
      </c>
      <c r="AA72" s="41" cm="1">
        <f t="array" ref="AA72">INDEX(Curva_Temp[Temp],MATCH(TBL_CalcDarwin[[#This Row],[Darwin Temp.
°C]],Curva_Temp[Temp])+1)</f>
        <v>20</v>
      </c>
      <c r="AB72" s="41" cm="1">
        <f t="array" ref="AB72">INDEX(Curva_Temp[Warranted Power Curve for 
1.194Kg/m3 air density '[kW']
SG 5.0-145 (AM 0, 5.0MW) AT 
90M],MATCH(TBL_CalcDarwin[[#This Row],[Darwin Temp.
°C]],Curva_Temp[Temp])+1)</f>
        <v>5000</v>
      </c>
      <c r="AC72" s="45">
        <f>HLOOKUP(TBL_CalcDarwin[[#This Row],[Fecha]],'Plantilla AEG ES'!$E$1:$HX$13,2,FALSE)</f>
        <v>5</v>
      </c>
      <c r="AD72" s="45">
        <f>HLOOKUP(TBL_CalcDarwin[[#This Row],[Fecha]],'Plantilla AEG ES'!$E$1:$HX$13,3,FALSE)</f>
        <v>8</v>
      </c>
      <c r="AE72" s="45">
        <f>HLOOKUP(TBL_CalcDarwin[[#This Row],[Fecha]],'Plantilla AEG ES'!$E$1:$HX$13,4,FALSE)</f>
        <v>12</v>
      </c>
      <c r="AF72" s="45">
        <f>HLOOKUP(TBL_CalcDarwin[[#This Row],[Fecha]],'Plantilla AEG ES'!$E$1:$HX$13,5,FALSE)</f>
        <v>1</v>
      </c>
      <c r="AG72" s="45">
        <f>HLOOKUP(TBL_CalcDarwin[[#This Row],[Fecha]],'Plantilla AEG ES'!$E$1:$HX$13,6,FALSE)</f>
        <v>1</v>
      </c>
      <c r="AH72" s="45">
        <f>HLOOKUP(TBL_CalcDarwin[[#This Row],[Fecha]],'Plantilla AEG ES'!$E$1:$HX$13,7,FALSE)</f>
        <v>0</v>
      </c>
      <c r="AI72" s="46">
        <f>HLOOKUP(TBL_CalcDarwin[[#This Row],[Fecha]],'Plantilla AEG ES'!$E$1:$HX$13,8,FALSE)</f>
        <v>0</v>
      </c>
      <c r="AJ72" s="46">
        <f>HLOOKUP(TBL_CalcDarwin[[#This Row],[Fecha]],'Plantilla AEG ES'!$E$1:$HX$13,9,FALSE)</f>
        <v>3</v>
      </c>
      <c r="AK72" s="46">
        <f>HLOOKUP(TBL_CalcDarwin[[#This Row],[Fecha]],'Plantilla AEG ES'!$E$1:$HX$13,10,FALSE)</f>
        <v>12</v>
      </c>
      <c r="AL72" s="46">
        <f>HLOOKUP(TBL_CalcDarwin[[#This Row],[Fecha]],'Plantilla AEG ES'!$E$1:$HX$13,11,FALSE)</f>
        <v>1</v>
      </c>
      <c r="AM72" s="46">
        <f>HLOOKUP(TBL_CalcDarwin[[#This Row],[Fecha]],'Plantilla AEG ES'!$E$1:$HX$13,12,FALSE)</f>
        <v>7</v>
      </c>
      <c r="AN72" s="46">
        <f>HLOOKUP(TBL_CalcDarwin[[#This Row],[Fecha]],'Plantilla AEG ES'!$E$1:$HX$13,13,FALSE)</f>
        <v>1</v>
      </c>
      <c r="AO72" s="37">
        <f>TBL_CalcDarwin[[#This Row],[Lomitas - Barra A - 5.2 - Cerro]]+TBL_CalcDarwin[[#This Row],[Lomitas - Barra A - 5.2 - Medio]]+TBL_CalcDarwin[[#This Row],[Lomitas - Barra A - 5.2 - Mar]]</f>
        <v>25</v>
      </c>
      <c r="AP7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7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72" s="37">
        <f>TBL_CalcDarwin[[#This Row],[Expansión - Barra A - 5.2 - Cerro]]+TBL_CalcDarwin[[#This Row],[Expansión - Barra A - 5.2 - Medio]]+TBL_CalcDarwin[[#This Row],[Expansión - Barra A - 5.2 - Mar]]</f>
        <v>2</v>
      </c>
      <c r="AT72" s="37">
        <f>TBL_CalcDarwin[[#This Row],[Expansión - Barra B - 5.2 - Cerro]]</f>
        <v>1</v>
      </c>
      <c r="AU7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72" s="29">
        <f>TBL_CalcDarwin[[#This Row],[Expansión - Barra B - 5.2 - Cerro]]*TBL_CalcDarwin[[#This Row],[AEG 5.2 MW Cerro]]</f>
        <v>1.597</v>
      </c>
      <c r="AZ72" s="18"/>
      <c r="BA72" s="18"/>
      <c r="BB72" s="18"/>
      <c r="BC72" s="18"/>
      <c r="BD72" s="18"/>
      <c r="BE72" s="18"/>
      <c r="BF72" s="18"/>
    </row>
    <row r="73" spans="2:58" ht="12" x14ac:dyDescent="0.2">
      <c r="B73" s="55">
        <f t="shared" si="6"/>
        <v>45615.958333333168</v>
      </c>
      <c r="C73" s="17">
        <f t="shared" si="7"/>
        <v>2.9583333333333313</v>
      </c>
      <c r="D73" s="34">
        <f>TBL_CalcDarwin[[#This Row],[Darwin PLOM
MW]]+TBL_CalcDarwin[[#This Row],[Darwin PLOME
MW]]</f>
        <v>160.476</v>
      </c>
      <c r="E73" s="34">
        <f>TBL_CalcDarwin[[#This Row],[PLOM MW TOTAL BARRA A]]+TBL_CalcDarwin[[#This Row],[PLOM MW TOTAL BARRA B]]</f>
        <v>154.87299999999999</v>
      </c>
      <c r="F73" s="34">
        <f>TBL_CalcDarwin[[#This Row],[PLOME MW TOTAL BARRA A]]+TBL_CalcDarwin[[#This Row],[PLOME MW TOTAL BARRA B]]</f>
        <v>5.6029999999999998</v>
      </c>
      <c r="G73" s="48">
        <f>'Plantilla Datos'!D78</f>
        <v>7.3</v>
      </c>
      <c r="H73" s="48">
        <f>'Plantilla Datos'!E78</f>
        <v>9.1999999999999993</v>
      </c>
      <c r="I73" s="49">
        <f>'Plantilla Datos'!F78</f>
        <v>16.8</v>
      </c>
      <c r="J73" s="47">
        <f>CEILING('Plantilla Datos'!$L$3*TBL_CalcDarwin[[#This Row],[Darwin Gusts
m/s]],0.5)</f>
        <v>7</v>
      </c>
      <c r="K73" s="47">
        <f>CEILING('Plantilla Datos'!$L$4*TBL_CalcDarwin[[#This Row],[Darwin Gusts
m/s]],0.5)</f>
        <v>8</v>
      </c>
      <c r="L73" s="47">
        <f>CEILING(TBL_CalcDarwin[[#This Row],[Darwin Gusts
m/s]],0.5)</f>
        <v>9.5</v>
      </c>
      <c r="M7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7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7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7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73" s="41">
        <f>INDEX(Curva_Temp[Temp],MATCH(TBL_CalcDarwin[[#This Row],[Darwin Temp.
°C]],Curva_Temp[Temp]))</f>
        <v>15</v>
      </c>
      <c r="R73" s="41">
        <f>INDEX(Curva_Temp[Warranted Power Curve for 
1.194Kg/m3 air density '[kW']
SG 5.0-145 (AM+1, 5.2MW) AT 
90M],MATCH(TBL_CalcDarwin[[#This Row],[Darwin Temp.
°C]],Curva_Temp[Temp]))</f>
        <v>5200</v>
      </c>
      <c r="S73" s="41" cm="1">
        <f t="array" ref="S73">INDEX(Curva_Temp[Temp],MATCH(TBL_CalcDarwin[[#This Row],[Darwin Temp.
°C]],Curva_Temp[Temp])+1)</f>
        <v>20</v>
      </c>
      <c r="T73" s="41" cm="1">
        <f t="array" ref="T73">INDEX(Curva_Temp[Warranted Power Curve for 
1.194Kg/m3 air density '[kW']
SG 5.0-145 (AM+1, 5.2MW) AT 
90M],MATCH(TBL_CalcDarwin[[#This Row],[Darwin Temp.
°C]],Curva_Temp[Temp])+1)</f>
        <v>5000</v>
      </c>
      <c r="U7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7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7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73" s="41">
        <f>INDEX(Curva_Temp[Temp],MATCH(TBL_CalcDarwin[[#This Row],[Darwin Temp.
°C]],Curva_Temp[Temp]))</f>
        <v>15</v>
      </c>
      <c r="Z73" s="41">
        <f>INDEX(Curva_Temp[Warranted Power Curve for 
1.194Kg/m3 air density '[kW']
SG 5.0-145 (AM 0, 5.0MW) AT 
90M],MATCH(TBL_CalcDarwin[[#This Row],[Darwin Temp.
°C]],Curva_Temp[Temp]))</f>
        <v>5000</v>
      </c>
      <c r="AA73" s="41" cm="1">
        <f t="array" ref="AA73">INDEX(Curva_Temp[Temp],MATCH(TBL_CalcDarwin[[#This Row],[Darwin Temp.
°C]],Curva_Temp[Temp])+1)</f>
        <v>20</v>
      </c>
      <c r="AB73" s="41" cm="1">
        <f t="array" ref="AB73">INDEX(Curva_Temp[Warranted Power Curve for 
1.194Kg/m3 air density '[kW']
SG 5.0-145 (AM 0, 5.0MW) AT 
90M],MATCH(TBL_CalcDarwin[[#This Row],[Darwin Temp.
°C]],Curva_Temp[Temp])+1)</f>
        <v>5000</v>
      </c>
      <c r="AC73" s="45">
        <f>HLOOKUP(TBL_CalcDarwin[[#This Row],[Fecha]],'Plantilla AEG ES'!$E$1:$HX$13,2,FALSE)</f>
        <v>5</v>
      </c>
      <c r="AD73" s="45">
        <f>HLOOKUP(TBL_CalcDarwin[[#This Row],[Fecha]],'Plantilla AEG ES'!$E$1:$HX$13,3,FALSE)</f>
        <v>8</v>
      </c>
      <c r="AE73" s="45">
        <f>HLOOKUP(TBL_CalcDarwin[[#This Row],[Fecha]],'Plantilla AEG ES'!$E$1:$HX$13,4,FALSE)</f>
        <v>12</v>
      </c>
      <c r="AF73" s="45">
        <f>HLOOKUP(TBL_CalcDarwin[[#This Row],[Fecha]],'Plantilla AEG ES'!$E$1:$HX$13,5,FALSE)</f>
        <v>1</v>
      </c>
      <c r="AG73" s="45">
        <f>HLOOKUP(TBL_CalcDarwin[[#This Row],[Fecha]],'Plantilla AEG ES'!$E$1:$HX$13,6,FALSE)</f>
        <v>1</v>
      </c>
      <c r="AH73" s="45">
        <f>HLOOKUP(TBL_CalcDarwin[[#This Row],[Fecha]],'Plantilla AEG ES'!$E$1:$HX$13,7,FALSE)</f>
        <v>0</v>
      </c>
      <c r="AI73" s="46">
        <f>HLOOKUP(TBL_CalcDarwin[[#This Row],[Fecha]],'Plantilla AEG ES'!$E$1:$HX$13,8,FALSE)</f>
        <v>0</v>
      </c>
      <c r="AJ73" s="46">
        <f>HLOOKUP(TBL_CalcDarwin[[#This Row],[Fecha]],'Plantilla AEG ES'!$E$1:$HX$13,9,FALSE)</f>
        <v>3</v>
      </c>
      <c r="AK73" s="46">
        <f>HLOOKUP(TBL_CalcDarwin[[#This Row],[Fecha]],'Plantilla AEG ES'!$E$1:$HX$13,10,FALSE)</f>
        <v>12</v>
      </c>
      <c r="AL73" s="46">
        <f>HLOOKUP(TBL_CalcDarwin[[#This Row],[Fecha]],'Plantilla AEG ES'!$E$1:$HX$13,11,FALSE)</f>
        <v>1</v>
      </c>
      <c r="AM73" s="46">
        <f>HLOOKUP(TBL_CalcDarwin[[#This Row],[Fecha]],'Plantilla AEG ES'!$E$1:$HX$13,12,FALSE)</f>
        <v>7</v>
      </c>
      <c r="AN73" s="46">
        <f>HLOOKUP(TBL_CalcDarwin[[#This Row],[Fecha]],'Plantilla AEG ES'!$E$1:$HX$13,13,FALSE)</f>
        <v>1</v>
      </c>
      <c r="AO73" s="37">
        <f>TBL_CalcDarwin[[#This Row],[Lomitas - Barra A - 5.2 - Cerro]]+TBL_CalcDarwin[[#This Row],[Lomitas - Barra A - 5.2 - Medio]]+TBL_CalcDarwin[[#This Row],[Lomitas - Barra A - 5.2 - Mar]]</f>
        <v>25</v>
      </c>
      <c r="AP7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7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73" s="37">
        <f>TBL_CalcDarwin[[#This Row],[Expansión - Barra A - 5.2 - Cerro]]+TBL_CalcDarwin[[#This Row],[Expansión - Barra A - 5.2 - Medio]]+TBL_CalcDarwin[[#This Row],[Expansión - Barra A - 5.2 - Mar]]</f>
        <v>2</v>
      </c>
      <c r="AT73" s="37">
        <f>TBL_CalcDarwin[[#This Row],[Expansión - Barra B - 5.2 - Cerro]]</f>
        <v>1</v>
      </c>
      <c r="AU7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73" s="29">
        <f>TBL_CalcDarwin[[#This Row],[Expansión - Barra B - 5.2 - Cerro]]*TBL_CalcDarwin[[#This Row],[AEG 5.2 MW Cerro]]</f>
        <v>1.597</v>
      </c>
      <c r="AZ73" s="18"/>
      <c r="BA73" s="18"/>
      <c r="BB73" s="18"/>
      <c r="BC73" s="18"/>
      <c r="BD73" s="18"/>
      <c r="BE73" s="18"/>
      <c r="BF73" s="18"/>
    </row>
    <row r="74" spans="2:58" ht="12" x14ac:dyDescent="0.2">
      <c r="B74" s="55">
        <f t="shared" si="6"/>
        <v>45615.999999999833</v>
      </c>
      <c r="C74" s="17">
        <f t="shared" si="7"/>
        <v>2.9999999999999978</v>
      </c>
      <c r="D74" s="34">
        <f>TBL_CalcDarwin[[#This Row],[Darwin PLOM
MW]]+TBL_CalcDarwin[[#This Row],[Darwin PLOME
MW]]</f>
        <v>137.39600000000002</v>
      </c>
      <c r="E74" s="34">
        <f>TBL_CalcDarwin[[#This Row],[PLOM MW TOTAL BARRA A]]+TBL_CalcDarwin[[#This Row],[PLOM MW TOTAL BARRA B]]</f>
        <v>132.45500000000001</v>
      </c>
      <c r="F74" s="34">
        <f>TBL_CalcDarwin[[#This Row],[PLOME MW TOTAL BARRA A]]+TBL_CalcDarwin[[#This Row],[PLOME MW TOTAL BARRA B]]</f>
        <v>4.9409999999999998</v>
      </c>
      <c r="G74" s="48">
        <f>'Plantilla Datos'!D79</f>
        <v>7</v>
      </c>
      <c r="H74" s="48">
        <f>'Plantilla Datos'!E79</f>
        <v>8.9</v>
      </c>
      <c r="I74" s="49">
        <f>'Plantilla Datos'!F79</f>
        <v>16.600000000000001</v>
      </c>
      <c r="J74" s="47">
        <f>CEILING('Plantilla Datos'!$L$3*TBL_CalcDarwin[[#This Row],[Darwin Gusts
m/s]],0.5)</f>
        <v>6.5</v>
      </c>
      <c r="K74" s="47">
        <f>CEILING('Plantilla Datos'!$L$4*TBL_CalcDarwin[[#This Row],[Darwin Gusts
m/s]],0.5)</f>
        <v>8</v>
      </c>
      <c r="L74" s="47">
        <f>CEILING(TBL_CalcDarwin[[#This Row],[Darwin Gusts
m/s]],0.5)</f>
        <v>9</v>
      </c>
      <c r="M7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7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7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7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74" s="41">
        <f>INDEX(Curva_Temp[Temp],MATCH(TBL_CalcDarwin[[#This Row],[Darwin Temp.
°C]],Curva_Temp[Temp]))</f>
        <v>15</v>
      </c>
      <c r="R74" s="41">
        <f>INDEX(Curva_Temp[Warranted Power Curve for 
1.194Kg/m3 air density '[kW']
SG 5.0-145 (AM+1, 5.2MW) AT 
90M],MATCH(TBL_CalcDarwin[[#This Row],[Darwin Temp.
°C]],Curva_Temp[Temp]))</f>
        <v>5200</v>
      </c>
      <c r="S74" s="41" cm="1">
        <f t="array" ref="S74">INDEX(Curva_Temp[Temp],MATCH(TBL_CalcDarwin[[#This Row],[Darwin Temp.
°C]],Curva_Temp[Temp])+1)</f>
        <v>20</v>
      </c>
      <c r="T74" s="41" cm="1">
        <f t="array" ref="T74">INDEX(Curva_Temp[Warranted Power Curve for 
1.194Kg/m3 air density '[kW']
SG 5.0-145 (AM+1, 5.2MW) AT 
90M],MATCH(TBL_CalcDarwin[[#This Row],[Darwin Temp.
°C]],Curva_Temp[Temp])+1)</f>
        <v>5000</v>
      </c>
      <c r="U7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7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7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74" s="41">
        <f>INDEX(Curva_Temp[Temp],MATCH(TBL_CalcDarwin[[#This Row],[Darwin Temp.
°C]],Curva_Temp[Temp]))</f>
        <v>15</v>
      </c>
      <c r="Z74" s="41">
        <f>INDEX(Curva_Temp[Warranted Power Curve for 
1.194Kg/m3 air density '[kW']
SG 5.0-145 (AM 0, 5.0MW) AT 
90M],MATCH(TBL_CalcDarwin[[#This Row],[Darwin Temp.
°C]],Curva_Temp[Temp]))</f>
        <v>5000</v>
      </c>
      <c r="AA74" s="41" cm="1">
        <f t="array" ref="AA74">INDEX(Curva_Temp[Temp],MATCH(TBL_CalcDarwin[[#This Row],[Darwin Temp.
°C]],Curva_Temp[Temp])+1)</f>
        <v>20</v>
      </c>
      <c r="AB74" s="41" cm="1">
        <f t="array" ref="AB74">INDEX(Curva_Temp[Warranted Power Curve for 
1.194Kg/m3 air density '[kW']
SG 5.0-145 (AM 0, 5.0MW) AT 
90M],MATCH(TBL_CalcDarwin[[#This Row],[Darwin Temp.
°C]],Curva_Temp[Temp])+1)</f>
        <v>5000</v>
      </c>
      <c r="AC74" s="45">
        <f>HLOOKUP(TBL_CalcDarwin[[#This Row],[Fecha]],'Plantilla AEG ES'!$E$1:$HX$13,2,FALSE)</f>
        <v>5</v>
      </c>
      <c r="AD74" s="45">
        <f>HLOOKUP(TBL_CalcDarwin[[#This Row],[Fecha]],'Plantilla AEG ES'!$E$1:$HX$13,3,FALSE)</f>
        <v>7</v>
      </c>
      <c r="AE74" s="45">
        <f>HLOOKUP(TBL_CalcDarwin[[#This Row],[Fecha]],'Plantilla AEG ES'!$E$1:$HX$13,4,FALSE)</f>
        <v>11</v>
      </c>
      <c r="AF74" s="45">
        <f>HLOOKUP(TBL_CalcDarwin[[#This Row],[Fecha]],'Plantilla AEG ES'!$E$1:$HX$13,5,FALSE)</f>
        <v>1</v>
      </c>
      <c r="AG74" s="45">
        <f>HLOOKUP(TBL_CalcDarwin[[#This Row],[Fecha]],'Plantilla AEG ES'!$E$1:$HX$13,6,FALSE)</f>
        <v>1</v>
      </c>
      <c r="AH74" s="45">
        <f>HLOOKUP(TBL_CalcDarwin[[#This Row],[Fecha]],'Plantilla AEG ES'!$E$1:$HX$13,7,FALSE)</f>
        <v>0</v>
      </c>
      <c r="AI74" s="46">
        <f>HLOOKUP(TBL_CalcDarwin[[#This Row],[Fecha]],'Plantilla AEG ES'!$E$1:$HX$13,8,FALSE)</f>
        <v>0</v>
      </c>
      <c r="AJ74" s="46">
        <f>HLOOKUP(TBL_CalcDarwin[[#This Row],[Fecha]],'Plantilla AEG ES'!$E$1:$HX$13,9,FALSE)</f>
        <v>3</v>
      </c>
      <c r="AK74" s="46">
        <f>HLOOKUP(TBL_CalcDarwin[[#This Row],[Fecha]],'Plantilla AEG ES'!$E$1:$HX$13,10,FALSE)</f>
        <v>12</v>
      </c>
      <c r="AL74" s="46">
        <f>HLOOKUP(TBL_CalcDarwin[[#This Row],[Fecha]],'Plantilla AEG ES'!$E$1:$HX$13,11,FALSE)</f>
        <v>1</v>
      </c>
      <c r="AM74" s="46">
        <f>HLOOKUP(TBL_CalcDarwin[[#This Row],[Fecha]],'Plantilla AEG ES'!$E$1:$HX$13,12,FALSE)</f>
        <v>7</v>
      </c>
      <c r="AN74" s="46">
        <f>HLOOKUP(TBL_CalcDarwin[[#This Row],[Fecha]],'Plantilla AEG ES'!$E$1:$HX$13,13,FALSE)</f>
        <v>1</v>
      </c>
      <c r="AO74" s="37">
        <f>TBL_CalcDarwin[[#This Row],[Lomitas - Barra A - 5.2 - Cerro]]+TBL_CalcDarwin[[#This Row],[Lomitas - Barra A - 5.2 - Medio]]+TBL_CalcDarwin[[#This Row],[Lomitas - Barra A - 5.2 - Mar]]</f>
        <v>23</v>
      </c>
      <c r="AP7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60.219000000000001</v>
      </c>
      <c r="AR7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74" s="37">
        <f>TBL_CalcDarwin[[#This Row],[Expansión - Barra A - 5.2 - Cerro]]+TBL_CalcDarwin[[#This Row],[Expansión - Barra A - 5.2 - Medio]]+TBL_CalcDarwin[[#This Row],[Expansión - Barra A - 5.2 - Mar]]</f>
        <v>2</v>
      </c>
      <c r="AT74" s="37">
        <f>TBL_CalcDarwin[[#This Row],[Expansión - Barra B - 5.2 - Cerro]]</f>
        <v>1</v>
      </c>
      <c r="AU7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74" s="29">
        <f>TBL_CalcDarwin[[#This Row],[Expansión - Barra B - 5.2 - Cerro]]*TBL_CalcDarwin[[#This Row],[AEG 5.2 MW Cerro]]</f>
        <v>1.266</v>
      </c>
      <c r="AZ74" s="18"/>
      <c r="BA74" s="18"/>
      <c r="BB74" s="18"/>
      <c r="BC74" s="18"/>
      <c r="BD74" s="18"/>
      <c r="BE74" s="18"/>
      <c r="BF74" s="18"/>
    </row>
    <row r="75" spans="2:58" ht="12" x14ac:dyDescent="0.2">
      <c r="B75" s="55">
        <f t="shared" si="6"/>
        <v>45616.041666666497</v>
      </c>
      <c r="C75" s="17">
        <f t="shared" si="7"/>
        <v>3.0416666666666643</v>
      </c>
      <c r="D75" s="34">
        <f>TBL_CalcDarwin[[#This Row],[Darwin PLOM
MW]]+TBL_CalcDarwin[[#This Row],[Darwin PLOME
MW]]</f>
        <v>118.092</v>
      </c>
      <c r="E75" s="34">
        <f>TBL_CalcDarwin[[#This Row],[PLOM MW TOTAL BARRA A]]+TBL_CalcDarwin[[#This Row],[PLOM MW TOTAL BARRA B]]</f>
        <v>113.58199999999999</v>
      </c>
      <c r="F75" s="34">
        <f>TBL_CalcDarwin[[#This Row],[PLOME MW TOTAL BARRA A]]+TBL_CalcDarwin[[#This Row],[PLOME MW TOTAL BARRA B]]</f>
        <v>4.51</v>
      </c>
      <c r="G75" s="48">
        <f>'Plantilla Datos'!D80</f>
        <v>6.8</v>
      </c>
      <c r="H75" s="48">
        <f>'Plantilla Datos'!E80</f>
        <v>8.5</v>
      </c>
      <c r="I75" s="49">
        <f>'Plantilla Datos'!F80</f>
        <v>16.5</v>
      </c>
      <c r="J75" s="47">
        <f>CEILING('Plantilla Datos'!$L$3*TBL_CalcDarwin[[#This Row],[Darwin Gusts
m/s]],0.5)</f>
        <v>6.5</v>
      </c>
      <c r="K75" s="47">
        <f>CEILING('Plantilla Datos'!$L$4*TBL_CalcDarwin[[#This Row],[Darwin Gusts
m/s]],0.5)</f>
        <v>7.5</v>
      </c>
      <c r="L75" s="47">
        <f>CEILING(TBL_CalcDarwin[[#This Row],[Darwin Gusts
m/s]],0.5)</f>
        <v>8.5</v>
      </c>
      <c r="M7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7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7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7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75" s="41">
        <f>INDEX(Curva_Temp[Temp],MATCH(TBL_CalcDarwin[[#This Row],[Darwin Temp.
°C]],Curva_Temp[Temp]))</f>
        <v>15</v>
      </c>
      <c r="R75" s="41">
        <f>INDEX(Curva_Temp[Warranted Power Curve for 
1.194Kg/m3 air density '[kW']
SG 5.0-145 (AM+1, 5.2MW) AT 
90M],MATCH(TBL_CalcDarwin[[#This Row],[Darwin Temp.
°C]],Curva_Temp[Temp]))</f>
        <v>5200</v>
      </c>
      <c r="S75" s="41" cm="1">
        <f t="array" ref="S75">INDEX(Curva_Temp[Temp],MATCH(TBL_CalcDarwin[[#This Row],[Darwin Temp.
°C]],Curva_Temp[Temp])+1)</f>
        <v>20</v>
      </c>
      <c r="T75" s="41" cm="1">
        <f t="array" ref="T75">INDEX(Curva_Temp[Warranted Power Curve for 
1.194Kg/m3 air density '[kW']
SG 5.0-145 (AM+1, 5.2MW) AT 
90M],MATCH(TBL_CalcDarwin[[#This Row],[Darwin Temp.
°C]],Curva_Temp[Temp])+1)</f>
        <v>5000</v>
      </c>
      <c r="U7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7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7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75" s="41">
        <f>INDEX(Curva_Temp[Temp],MATCH(TBL_CalcDarwin[[#This Row],[Darwin Temp.
°C]],Curva_Temp[Temp]))</f>
        <v>15</v>
      </c>
      <c r="Z75" s="41">
        <f>INDEX(Curva_Temp[Warranted Power Curve for 
1.194Kg/m3 air density '[kW']
SG 5.0-145 (AM 0, 5.0MW) AT 
90M],MATCH(TBL_CalcDarwin[[#This Row],[Darwin Temp.
°C]],Curva_Temp[Temp]))</f>
        <v>5000</v>
      </c>
      <c r="AA75" s="41" cm="1">
        <f t="array" ref="AA75">INDEX(Curva_Temp[Temp],MATCH(TBL_CalcDarwin[[#This Row],[Darwin Temp.
°C]],Curva_Temp[Temp])+1)</f>
        <v>20</v>
      </c>
      <c r="AB75" s="41" cm="1">
        <f t="array" ref="AB75">INDEX(Curva_Temp[Warranted Power Curve for 
1.194Kg/m3 air density '[kW']
SG 5.0-145 (AM 0, 5.0MW) AT 
90M],MATCH(TBL_CalcDarwin[[#This Row],[Darwin Temp.
°C]],Curva_Temp[Temp])+1)</f>
        <v>5000</v>
      </c>
      <c r="AC75" s="45">
        <f>HLOOKUP(TBL_CalcDarwin[[#This Row],[Fecha]],'Plantilla AEG ES'!$E$1:$HX$13,2,FALSE)</f>
        <v>5</v>
      </c>
      <c r="AD75" s="45">
        <f>HLOOKUP(TBL_CalcDarwin[[#This Row],[Fecha]],'Plantilla AEG ES'!$E$1:$HX$13,3,FALSE)</f>
        <v>7</v>
      </c>
      <c r="AE75" s="45">
        <f>HLOOKUP(TBL_CalcDarwin[[#This Row],[Fecha]],'Plantilla AEG ES'!$E$1:$HX$13,4,FALSE)</f>
        <v>11</v>
      </c>
      <c r="AF75" s="45">
        <f>HLOOKUP(TBL_CalcDarwin[[#This Row],[Fecha]],'Plantilla AEG ES'!$E$1:$HX$13,5,FALSE)</f>
        <v>1</v>
      </c>
      <c r="AG75" s="45">
        <f>HLOOKUP(TBL_CalcDarwin[[#This Row],[Fecha]],'Plantilla AEG ES'!$E$1:$HX$13,6,FALSE)</f>
        <v>1</v>
      </c>
      <c r="AH75" s="45">
        <f>HLOOKUP(TBL_CalcDarwin[[#This Row],[Fecha]],'Plantilla AEG ES'!$E$1:$HX$13,7,FALSE)</f>
        <v>0</v>
      </c>
      <c r="AI75" s="46">
        <f>HLOOKUP(TBL_CalcDarwin[[#This Row],[Fecha]],'Plantilla AEG ES'!$E$1:$HX$13,8,FALSE)</f>
        <v>0</v>
      </c>
      <c r="AJ75" s="46">
        <f>HLOOKUP(TBL_CalcDarwin[[#This Row],[Fecha]],'Plantilla AEG ES'!$E$1:$HX$13,9,FALSE)</f>
        <v>3</v>
      </c>
      <c r="AK75" s="46">
        <f>HLOOKUP(TBL_CalcDarwin[[#This Row],[Fecha]],'Plantilla AEG ES'!$E$1:$HX$13,10,FALSE)</f>
        <v>12</v>
      </c>
      <c r="AL75" s="46">
        <f>HLOOKUP(TBL_CalcDarwin[[#This Row],[Fecha]],'Plantilla AEG ES'!$E$1:$HX$13,11,FALSE)</f>
        <v>1</v>
      </c>
      <c r="AM75" s="46">
        <f>HLOOKUP(TBL_CalcDarwin[[#This Row],[Fecha]],'Plantilla AEG ES'!$E$1:$HX$13,12,FALSE)</f>
        <v>7</v>
      </c>
      <c r="AN75" s="46">
        <f>HLOOKUP(TBL_CalcDarwin[[#This Row],[Fecha]],'Plantilla AEG ES'!$E$1:$HX$13,13,FALSE)</f>
        <v>1</v>
      </c>
      <c r="AO75" s="37">
        <f>TBL_CalcDarwin[[#This Row],[Lomitas - Barra A - 5.2 - Cerro]]+TBL_CalcDarwin[[#This Row],[Lomitas - Barra A - 5.2 - Medio]]+TBL_CalcDarwin[[#This Row],[Lomitas - Barra A - 5.2 - Mar]]</f>
        <v>23</v>
      </c>
      <c r="AP7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51.834000000000003</v>
      </c>
      <c r="AR7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75" s="37">
        <f>TBL_CalcDarwin[[#This Row],[Expansión - Barra A - 5.2 - Cerro]]+TBL_CalcDarwin[[#This Row],[Expansión - Barra A - 5.2 - Medio]]+TBL_CalcDarwin[[#This Row],[Expansión - Barra A - 5.2 - Mar]]</f>
        <v>2</v>
      </c>
      <c r="AT75" s="37">
        <f>TBL_CalcDarwin[[#This Row],[Expansión - Barra B - 5.2 - Cerro]]</f>
        <v>1</v>
      </c>
      <c r="AU7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75" s="29">
        <f>TBL_CalcDarwin[[#This Row],[Expansión - Barra B - 5.2 - Cerro]]*TBL_CalcDarwin[[#This Row],[AEG 5.2 MW Cerro]]</f>
        <v>1.266</v>
      </c>
      <c r="AZ75" s="18"/>
      <c r="BA75" s="18"/>
      <c r="BB75" s="18"/>
      <c r="BC75" s="18"/>
      <c r="BD75" s="18"/>
      <c r="BE75" s="18"/>
      <c r="BF75" s="18"/>
    </row>
    <row r="76" spans="2:58" ht="12" x14ac:dyDescent="0.2">
      <c r="B76" s="55">
        <f t="shared" si="6"/>
        <v>45616.083333333161</v>
      </c>
      <c r="C76" s="17">
        <f t="shared" si="7"/>
        <v>3.0833333333333308</v>
      </c>
      <c r="D76" s="34">
        <f>TBL_CalcDarwin[[#This Row],[Darwin PLOM
MW]]+TBL_CalcDarwin[[#This Row],[Darwin PLOME
MW]]</f>
        <v>92.074999999999989</v>
      </c>
      <c r="E76" s="34">
        <f>TBL_CalcDarwin[[#This Row],[PLOM MW TOTAL BARRA A]]+TBL_CalcDarwin[[#This Row],[PLOM MW TOTAL BARRA B]]</f>
        <v>89.318999999999988</v>
      </c>
      <c r="F76" s="34">
        <f>TBL_CalcDarwin[[#This Row],[PLOME MW TOTAL BARRA A]]+TBL_CalcDarwin[[#This Row],[PLOME MW TOTAL BARRA B]]</f>
        <v>2.7560000000000002</v>
      </c>
      <c r="G76" s="48">
        <f>'Plantilla Datos'!D81</f>
        <v>6</v>
      </c>
      <c r="H76" s="48">
        <f>'Plantilla Datos'!E81</f>
        <v>7.6</v>
      </c>
      <c r="I76" s="49">
        <f>'Plantilla Datos'!F81</f>
        <v>16.399999999999999</v>
      </c>
      <c r="J76" s="47">
        <f>CEILING('Plantilla Datos'!$L$3*TBL_CalcDarwin[[#This Row],[Darwin Gusts
m/s]],0.5)</f>
        <v>5.5</v>
      </c>
      <c r="K76" s="47">
        <f>CEILING('Plantilla Datos'!$L$4*TBL_CalcDarwin[[#This Row],[Darwin Gusts
m/s]],0.5)</f>
        <v>6.5</v>
      </c>
      <c r="L76" s="47">
        <f>CEILING(TBL_CalcDarwin[[#This Row],[Darwin Gusts
m/s]],0.5)</f>
        <v>8</v>
      </c>
      <c r="M7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7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7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7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76" s="41">
        <f>INDEX(Curva_Temp[Temp],MATCH(TBL_CalcDarwin[[#This Row],[Darwin Temp.
°C]],Curva_Temp[Temp]))</f>
        <v>15</v>
      </c>
      <c r="R76" s="41">
        <f>INDEX(Curva_Temp[Warranted Power Curve for 
1.194Kg/m3 air density '[kW']
SG 5.0-145 (AM+1, 5.2MW) AT 
90M],MATCH(TBL_CalcDarwin[[#This Row],[Darwin Temp.
°C]],Curva_Temp[Temp]))</f>
        <v>5200</v>
      </c>
      <c r="S76" s="41" cm="1">
        <f t="array" ref="S76">INDEX(Curva_Temp[Temp],MATCH(TBL_CalcDarwin[[#This Row],[Darwin Temp.
°C]],Curva_Temp[Temp])+1)</f>
        <v>20</v>
      </c>
      <c r="T76" s="41" cm="1">
        <f t="array" ref="T76">INDEX(Curva_Temp[Warranted Power Curve for 
1.194Kg/m3 air density '[kW']
SG 5.0-145 (AM+1, 5.2MW) AT 
90M],MATCH(TBL_CalcDarwin[[#This Row],[Darwin Temp.
°C]],Curva_Temp[Temp])+1)</f>
        <v>5000</v>
      </c>
      <c r="U7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7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7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76" s="41">
        <f>INDEX(Curva_Temp[Temp],MATCH(TBL_CalcDarwin[[#This Row],[Darwin Temp.
°C]],Curva_Temp[Temp]))</f>
        <v>15</v>
      </c>
      <c r="Z76" s="41">
        <f>INDEX(Curva_Temp[Warranted Power Curve for 
1.194Kg/m3 air density '[kW']
SG 5.0-145 (AM 0, 5.0MW) AT 
90M],MATCH(TBL_CalcDarwin[[#This Row],[Darwin Temp.
°C]],Curva_Temp[Temp]))</f>
        <v>5000</v>
      </c>
      <c r="AA76" s="41" cm="1">
        <f t="array" ref="AA76">INDEX(Curva_Temp[Temp],MATCH(TBL_CalcDarwin[[#This Row],[Darwin Temp.
°C]],Curva_Temp[Temp])+1)</f>
        <v>20</v>
      </c>
      <c r="AB76" s="41" cm="1">
        <f t="array" ref="AB76">INDEX(Curva_Temp[Warranted Power Curve for 
1.194Kg/m3 air density '[kW']
SG 5.0-145 (AM 0, 5.0MW) AT 
90M],MATCH(TBL_CalcDarwin[[#This Row],[Darwin Temp.
°C]],Curva_Temp[Temp])+1)</f>
        <v>5000</v>
      </c>
      <c r="AC76" s="45">
        <f>HLOOKUP(TBL_CalcDarwin[[#This Row],[Fecha]],'Plantilla AEG ES'!$E$1:$HX$13,2,FALSE)</f>
        <v>5</v>
      </c>
      <c r="AD76" s="45">
        <f>HLOOKUP(TBL_CalcDarwin[[#This Row],[Fecha]],'Plantilla AEG ES'!$E$1:$HX$13,3,FALSE)</f>
        <v>7</v>
      </c>
      <c r="AE76" s="45">
        <f>HLOOKUP(TBL_CalcDarwin[[#This Row],[Fecha]],'Plantilla AEG ES'!$E$1:$HX$13,4,FALSE)</f>
        <v>11</v>
      </c>
      <c r="AF76" s="45">
        <f>HLOOKUP(TBL_CalcDarwin[[#This Row],[Fecha]],'Plantilla AEG ES'!$E$1:$HX$13,5,FALSE)</f>
        <v>1</v>
      </c>
      <c r="AG76" s="45">
        <f>HLOOKUP(TBL_CalcDarwin[[#This Row],[Fecha]],'Plantilla AEG ES'!$E$1:$HX$13,6,FALSE)</f>
        <v>1</v>
      </c>
      <c r="AH76" s="45">
        <f>HLOOKUP(TBL_CalcDarwin[[#This Row],[Fecha]],'Plantilla AEG ES'!$E$1:$HX$13,7,FALSE)</f>
        <v>0</v>
      </c>
      <c r="AI76" s="46">
        <f>HLOOKUP(TBL_CalcDarwin[[#This Row],[Fecha]],'Plantilla AEG ES'!$E$1:$HX$13,8,FALSE)</f>
        <v>0</v>
      </c>
      <c r="AJ76" s="46">
        <f>HLOOKUP(TBL_CalcDarwin[[#This Row],[Fecha]],'Plantilla AEG ES'!$E$1:$HX$13,9,FALSE)</f>
        <v>3</v>
      </c>
      <c r="AK76" s="46">
        <f>HLOOKUP(TBL_CalcDarwin[[#This Row],[Fecha]],'Plantilla AEG ES'!$E$1:$HX$13,10,FALSE)</f>
        <v>12</v>
      </c>
      <c r="AL76" s="46">
        <f>HLOOKUP(TBL_CalcDarwin[[#This Row],[Fecha]],'Plantilla AEG ES'!$E$1:$HX$13,11,FALSE)</f>
        <v>1</v>
      </c>
      <c r="AM76" s="46">
        <f>HLOOKUP(TBL_CalcDarwin[[#This Row],[Fecha]],'Plantilla AEG ES'!$E$1:$HX$13,12,FALSE)</f>
        <v>7</v>
      </c>
      <c r="AN76" s="46">
        <f>HLOOKUP(TBL_CalcDarwin[[#This Row],[Fecha]],'Plantilla AEG ES'!$E$1:$HX$13,13,FALSE)</f>
        <v>1</v>
      </c>
      <c r="AO76" s="37">
        <f>TBL_CalcDarwin[[#This Row],[Lomitas - Barra A - 5.2 - Cerro]]+TBL_CalcDarwin[[#This Row],[Lomitas - Barra A - 5.2 - Medio]]+TBL_CalcDarwin[[#This Row],[Lomitas - Barra A - 5.2 - Mar]]</f>
        <v>23</v>
      </c>
      <c r="AP7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39.085999999999999</v>
      </c>
      <c r="AR7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50.232999999999997</v>
      </c>
      <c r="AS76" s="37">
        <f>TBL_CalcDarwin[[#This Row],[Expansión - Barra A - 5.2 - Cerro]]+TBL_CalcDarwin[[#This Row],[Expansión - Barra A - 5.2 - Medio]]+TBL_CalcDarwin[[#This Row],[Expansión - Barra A - 5.2 - Mar]]</f>
        <v>2</v>
      </c>
      <c r="AT76" s="37">
        <f>TBL_CalcDarwin[[#This Row],[Expansión - Barra B - 5.2 - Cerro]]</f>
        <v>1</v>
      </c>
      <c r="AU7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76" s="29">
        <f>TBL_CalcDarwin[[#This Row],[Expansión - Barra B - 5.2 - Cerro]]*TBL_CalcDarwin[[#This Row],[AEG 5.2 MW Cerro]]</f>
        <v>0.745</v>
      </c>
      <c r="AZ76" s="18"/>
      <c r="BA76" s="18"/>
      <c r="BB76" s="18"/>
      <c r="BC76" s="18"/>
      <c r="BD76" s="18"/>
      <c r="BE76" s="18"/>
      <c r="BF76" s="18"/>
    </row>
    <row r="77" spans="2:58" ht="12" x14ac:dyDescent="0.2">
      <c r="B77" s="55">
        <f t="shared" si="6"/>
        <v>45616.124999999825</v>
      </c>
      <c r="C77" s="17">
        <f>C76+TIME(1,0,0)</f>
        <v>3.1249999999999973</v>
      </c>
      <c r="D77" s="34">
        <f>TBL_CalcDarwin[[#This Row],[Darwin PLOM
MW]]+TBL_CalcDarwin[[#This Row],[Darwin PLOME
MW]]</f>
        <v>63.076999999999998</v>
      </c>
      <c r="E77" s="34">
        <f>TBL_CalcDarwin[[#This Row],[PLOM MW TOTAL BARRA A]]+TBL_CalcDarwin[[#This Row],[PLOM MW TOTAL BARRA B]]</f>
        <v>61</v>
      </c>
      <c r="F77" s="34">
        <f>TBL_CalcDarwin[[#This Row],[PLOME MW TOTAL BARRA A]]+TBL_CalcDarwin[[#This Row],[PLOME MW TOTAL BARRA B]]</f>
        <v>2.077</v>
      </c>
      <c r="G77" s="48">
        <f>'Plantilla Datos'!D82</f>
        <v>5.3</v>
      </c>
      <c r="H77" s="48">
        <f>'Plantilla Datos'!E82</f>
        <v>6.7</v>
      </c>
      <c r="I77" s="49">
        <f>'Plantilla Datos'!F82</f>
        <v>16.399999999999999</v>
      </c>
      <c r="J77" s="47">
        <f>CEILING('Plantilla Datos'!$L$3*TBL_CalcDarwin[[#This Row],[Darwin Gusts
m/s]],0.5)</f>
        <v>5</v>
      </c>
      <c r="K77" s="47">
        <f>CEILING('Plantilla Datos'!$L$4*TBL_CalcDarwin[[#This Row],[Darwin Gusts
m/s]],0.5)</f>
        <v>6</v>
      </c>
      <c r="L77" s="47">
        <f>CEILING(TBL_CalcDarwin[[#This Row],[Darwin Gusts
m/s]],0.5)</f>
        <v>7</v>
      </c>
      <c r="M7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7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7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7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77" s="41">
        <f>INDEX(Curva_Temp[Temp],MATCH(TBL_CalcDarwin[[#This Row],[Darwin Temp.
°C]],Curva_Temp[Temp]))</f>
        <v>15</v>
      </c>
      <c r="R77" s="41">
        <f>INDEX(Curva_Temp[Warranted Power Curve for 
1.194Kg/m3 air density '[kW']
SG 5.0-145 (AM+1, 5.2MW) AT 
90M],MATCH(TBL_CalcDarwin[[#This Row],[Darwin Temp.
°C]],Curva_Temp[Temp]))</f>
        <v>5200</v>
      </c>
      <c r="S77" s="41" cm="1">
        <f t="array" ref="S77">INDEX(Curva_Temp[Temp],MATCH(TBL_CalcDarwin[[#This Row],[Darwin Temp.
°C]],Curva_Temp[Temp])+1)</f>
        <v>20</v>
      </c>
      <c r="T77" s="41" cm="1">
        <f t="array" ref="T77">INDEX(Curva_Temp[Warranted Power Curve for 
1.194Kg/m3 air density '[kW']
SG 5.0-145 (AM+1, 5.2MW) AT 
90M],MATCH(TBL_CalcDarwin[[#This Row],[Darwin Temp.
°C]],Curva_Temp[Temp])+1)</f>
        <v>5000</v>
      </c>
      <c r="U7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7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7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77" s="41">
        <f>INDEX(Curva_Temp[Temp],MATCH(TBL_CalcDarwin[[#This Row],[Darwin Temp.
°C]],Curva_Temp[Temp]))</f>
        <v>15</v>
      </c>
      <c r="Z77" s="41">
        <f>INDEX(Curva_Temp[Warranted Power Curve for 
1.194Kg/m3 air density '[kW']
SG 5.0-145 (AM 0, 5.0MW) AT 
90M],MATCH(TBL_CalcDarwin[[#This Row],[Darwin Temp.
°C]],Curva_Temp[Temp]))</f>
        <v>5000</v>
      </c>
      <c r="AA77" s="41" cm="1">
        <f t="array" ref="AA77">INDEX(Curva_Temp[Temp],MATCH(TBL_CalcDarwin[[#This Row],[Darwin Temp.
°C]],Curva_Temp[Temp])+1)</f>
        <v>20</v>
      </c>
      <c r="AB77" s="41" cm="1">
        <f t="array" ref="AB77">INDEX(Curva_Temp[Warranted Power Curve for 
1.194Kg/m3 air density '[kW']
SG 5.0-145 (AM 0, 5.0MW) AT 
90M],MATCH(TBL_CalcDarwin[[#This Row],[Darwin Temp.
°C]],Curva_Temp[Temp])+1)</f>
        <v>5000</v>
      </c>
      <c r="AC77" s="45">
        <f>HLOOKUP(TBL_CalcDarwin[[#This Row],[Fecha]],'Plantilla AEG ES'!$E$1:$HX$13,2,FALSE)</f>
        <v>5</v>
      </c>
      <c r="AD77" s="45">
        <f>HLOOKUP(TBL_CalcDarwin[[#This Row],[Fecha]],'Plantilla AEG ES'!$E$1:$HX$13,3,FALSE)</f>
        <v>7</v>
      </c>
      <c r="AE77" s="45">
        <f>HLOOKUP(TBL_CalcDarwin[[#This Row],[Fecha]],'Plantilla AEG ES'!$E$1:$HX$13,4,FALSE)</f>
        <v>11</v>
      </c>
      <c r="AF77" s="45">
        <f>HLOOKUP(TBL_CalcDarwin[[#This Row],[Fecha]],'Plantilla AEG ES'!$E$1:$HX$13,5,FALSE)</f>
        <v>1</v>
      </c>
      <c r="AG77" s="45">
        <f>HLOOKUP(TBL_CalcDarwin[[#This Row],[Fecha]],'Plantilla AEG ES'!$E$1:$HX$13,6,FALSE)</f>
        <v>1</v>
      </c>
      <c r="AH77" s="45">
        <f>HLOOKUP(TBL_CalcDarwin[[#This Row],[Fecha]],'Plantilla AEG ES'!$E$1:$HX$13,7,FALSE)</f>
        <v>0</v>
      </c>
      <c r="AI77" s="46">
        <f>HLOOKUP(TBL_CalcDarwin[[#This Row],[Fecha]],'Plantilla AEG ES'!$E$1:$HX$13,8,FALSE)</f>
        <v>0</v>
      </c>
      <c r="AJ77" s="46">
        <f>HLOOKUP(TBL_CalcDarwin[[#This Row],[Fecha]],'Plantilla AEG ES'!$E$1:$HX$13,9,FALSE)</f>
        <v>3</v>
      </c>
      <c r="AK77" s="46">
        <f>HLOOKUP(TBL_CalcDarwin[[#This Row],[Fecha]],'Plantilla AEG ES'!$E$1:$HX$13,10,FALSE)</f>
        <v>12</v>
      </c>
      <c r="AL77" s="46">
        <f>HLOOKUP(TBL_CalcDarwin[[#This Row],[Fecha]],'Plantilla AEG ES'!$E$1:$HX$13,11,FALSE)</f>
        <v>1</v>
      </c>
      <c r="AM77" s="46">
        <f>HLOOKUP(TBL_CalcDarwin[[#This Row],[Fecha]],'Plantilla AEG ES'!$E$1:$HX$13,12,FALSE)</f>
        <v>7</v>
      </c>
      <c r="AN77" s="46">
        <f>HLOOKUP(TBL_CalcDarwin[[#This Row],[Fecha]],'Plantilla AEG ES'!$E$1:$HX$13,13,FALSE)</f>
        <v>1</v>
      </c>
      <c r="AO77" s="37">
        <f>TBL_CalcDarwin[[#This Row],[Lomitas - Barra A - 5.2 - Cerro]]+TBL_CalcDarwin[[#This Row],[Lomitas - Barra A - 5.2 - Medio]]+TBL_CalcDarwin[[#This Row],[Lomitas - Barra A - 5.2 - Mar]]</f>
        <v>23</v>
      </c>
      <c r="AP7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7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77" s="37">
        <f>TBL_CalcDarwin[[#This Row],[Expansión - Barra A - 5.2 - Cerro]]+TBL_CalcDarwin[[#This Row],[Expansión - Barra A - 5.2 - Medio]]+TBL_CalcDarwin[[#This Row],[Expansión - Barra A - 5.2 - Mar]]</f>
        <v>2</v>
      </c>
      <c r="AT77" s="37">
        <f>TBL_CalcDarwin[[#This Row],[Expansión - Barra B - 5.2 - Cerro]]</f>
        <v>1</v>
      </c>
      <c r="AU7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77" s="29">
        <f>TBL_CalcDarwin[[#This Row],[Expansión - Barra B - 5.2 - Cerro]]*TBL_CalcDarwin[[#This Row],[AEG 5.2 MW Cerro]]</f>
        <v>0.54700000000000004</v>
      </c>
      <c r="AZ77" s="18"/>
      <c r="BA77" s="18"/>
      <c r="BB77" s="18"/>
      <c r="BC77" s="18"/>
      <c r="BD77" s="18"/>
      <c r="BE77" s="18"/>
      <c r="BF77" s="18"/>
    </row>
    <row r="78" spans="2:58" ht="12" x14ac:dyDescent="0.2">
      <c r="B78" s="55">
        <f t="shared" si="6"/>
        <v>45616.16666666649</v>
      </c>
      <c r="C78" s="17">
        <f t="shared" ref="C78:C94" si="8">C77+TIME(1,0,0)</f>
        <v>3.1666666666666639</v>
      </c>
      <c r="D78" s="34">
        <f>TBL_CalcDarwin[[#This Row],[Darwin PLOM
MW]]+TBL_CalcDarwin[[#This Row],[Darwin PLOME
MW]]</f>
        <v>38.544999999999995</v>
      </c>
      <c r="E78" s="34">
        <f>TBL_CalcDarwin[[#This Row],[PLOM MW TOTAL BARRA A]]+TBL_CalcDarwin[[#This Row],[PLOM MW TOTAL BARRA B]]</f>
        <v>37.233999999999995</v>
      </c>
      <c r="F78" s="34">
        <f>TBL_CalcDarwin[[#This Row],[PLOME MW TOTAL BARRA A]]+TBL_CalcDarwin[[#This Row],[PLOME MW TOTAL BARRA B]]</f>
        <v>1.3109999999999999</v>
      </c>
      <c r="G78" s="48">
        <f>'Plantilla Datos'!D83</f>
        <v>4.5</v>
      </c>
      <c r="H78" s="48">
        <f>'Plantilla Datos'!E83</f>
        <v>5.8</v>
      </c>
      <c r="I78" s="49">
        <f>'Plantilla Datos'!F83</f>
        <v>16.3</v>
      </c>
      <c r="J78" s="47">
        <f>CEILING('Plantilla Datos'!$L$3*TBL_CalcDarwin[[#This Row],[Darwin Gusts
m/s]],0.5)</f>
        <v>4.5</v>
      </c>
      <c r="K78" s="47">
        <f>CEILING('Plantilla Datos'!$L$4*TBL_CalcDarwin[[#This Row],[Darwin Gusts
m/s]],0.5)</f>
        <v>5</v>
      </c>
      <c r="L78" s="47">
        <f>CEILING(TBL_CalcDarwin[[#This Row],[Darwin Gusts
m/s]],0.5)</f>
        <v>6</v>
      </c>
      <c r="M7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7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7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7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78" s="41">
        <f>INDEX(Curva_Temp[Temp],MATCH(TBL_CalcDarwin[[#This Row],[Darwin Temp.
°C]],Curva_Temp[Temp]))</f>
        <v>15</v>
      </c>
      <c r="R78" s="41">
        <f>INDEX(Curva_Temp[Warranted Power Curve for 
1.194Kg/m3 air density '[kW']
SG 5.0-145 (AM+1, 5.2MW) AT 
90M],MATCH(TBL_CalcDarwin[[#This Row],[Darwin Temp.
°C]],Curva_Temp[Temp]))</f>
        <v>5200</v>
      </c>
      <c r="S78" s="41" cm="1">
        <f t="array" ref="S78">INDEX(Curva_Temp[Temp],MATCH(TBL_CalcDarwin[[#This Row],[Darwin Temp.
°C]],Curva_Temp[Temp])+1)</f>
        <v>20</v>
      </c>
      <c r="T78" s="41" cm="1">
        <f t="array" ref="T78">INDEX(Curva_Temp[Warranted Power Curve for 
1.194Kg/m3 air density '[kW']
SG 5.0-145 (AM+1, 5.2MW) AT 
90M],MATCH(TBL_CalcDarwin[[#This Row],[Darwin Temp.
°C]],Curva_Temp[Temp])+1)</f>
        <v>5000</v>
      </c>
      <c r="U7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7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7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78" s="41">
        <f>INDEX(Curva_Temp[Temp],MATCH(TBL_CalcDarwin[[#This Row],[Darwin Temp.
°C]],Curva_Temp[Temp]))</f>
        <v>15</v>
      </c>
      <c r="Z78" s="41">
        <f>INDEX(Curva_Temp[Warranted Power Curve for 
1.194Kg/m3 air density '[kW']
SG 5.0-145 (AM 0, 5.0MW) AT 
90M],MATCH(TBL_CalcDarwin[[#This Row],[Darwin Temp.
°C]],Curva_Temp[Temp]))</f>
        <v>5000</v>
      </c>
      <c r="AA78" s="41" cm="1">
        <f t="array" ref="AA78">INDEX(Curva_Temp[Temp],MATCH(TBL_CalcDarwin[[#This Row],[Darwin Temp.
°C]],Curva_Temp[Temp])+1)</f>
        <v>20</v>
      </c>
      <c r="AB78" s="41" cm="1">
        <f t="array" ref="AB78">INDEX(Curva_Temp[Warranted Power Curve for 
1.194Kg/m3 air density '[kW']
SG 5.0-145 (AM 0, 5.0MW) AT 
90M],MATCH(TBL_CalcDarwin[[#This Row],[Darwin Temp.
°C]],Curva_Temp[Temp])+1)</f>
        <v>5000</v>
      </c>
      <c r="AC78" s="45">
        <f>HLOOKUP(TBL_CalcDarwin[[#This Row],[Fecha]],'Plantilla AEG ES'!$E$1:$HX$13,2,FALSE)</f>
        <v>5</v>
      </c>
      <c r="AD78" s="45">
        <f>HLOOKUP(TBL_CalcDarwin[[#This Row],[Fecha]],'Plantilla AEG ES'!$E$1:$HX$13,3,FALSE)</f>
        <v>7</v>
      </c>
      <c r="AE78" s="45">
        <f>HLOOKUP(TBL_CalcDarwin[[#This Row],[Fecha]],'Plantilla AEG ES'!$E$1:$HX$13,4,FALSE)</f>
        <v>11</v>
      </c>
      <c r="AF78" s="45">
        <f>HLOOKUP(TBL_CalcDarwin[[#This Row],[Fecha]],'Plantilla AEG ES'!$E$1:$HX$13,5,FALSE)</f>
        <v>1</v>
      </c>
      <c r="AG78" s="45">
        <f>HLOOKUP(TBL_CalcDarwin[[#This Row],[Fecha]],'Plantilla AEG ES'!$E$1:$HX$13,6,FALSE)</f>
        <v>1</v>
      </c>
      <c r="AH78" s="45">
        <f>HLOOKUP(TBL_CalcDarwin[[#This Row],[Fecha]],'Plantilla AEG ES'!$E$1:$HX$13,7,FALSE)</f>
        <v>0</v>
      </c>
      <c r="AI78" s="46">
        <f>HLOOKUP(TBL_CalcDarwin[[#This Row],[Fecha]],'Plantilla AEG ES'!$E$1:$HX$13,8,FALSE)</f>
        <v>0</v>
      </c>
      <c r="AJ78" s="46">
        <f>HLOOKUP(TBL_CalcDarwin[[#This Row],[Fecha]],'Plantilla AEG ES'!$E$1:$HX$13,9,FALSE)</f>
        <v>3</v>
      </c>
      <c r="AK78" s="46">
        <f>HLOOKUP(TBL_CalcDarwin[[#This Row],[Fecha]],'Plantilla AEG ES'!$E$1:$HX$13,10,FALSE)</f>
        <v>12</v>
      </c>
      <c r="AL78" s="46">
        <f>HLOOKUP(TBL_CalcDarwin[[#This Row],[Fecha]],'Plantilla AEG ES'!$E$1:$HX$13,11,FALSE)</f>
        <v>1</v>
      </c>
      <c r="AM78" s="46">
        <f>HLOOKUP(TBL_CalcDarwin[[#This Row],[Fecha]],'Plantilla AEG ES'!$E$1:$HX$13,12,FALSE)</f>
        <v>7</v>
      </c>
      <c r="AN78" s="46">
        <f>HLOOKUP(TBL_CalcDarwin[[#This Row],[Fecha]],'Plantilla AEG ES'!$E$1:$HX$13,13,FALSE)</f>
        <v>1</v>
      </c>
      <c r="AO78" s="37">
        <f>TBL_CalcDarwin[[#This Row],[Lomitas - Barra A - 5.2 - Cerro]]+TBL_CalcDarwin[[#This Row],[Lomitas - Barra A - 5.2 - Medio]]+TBL_CalcDarwin[[#This Row],[Lomitas - Barra A - 5.2 - Mar]]</f>
        <v>23</v>
      </c>
      <c r="AP7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7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78" s="37">
        <f>TBL_CalcDarwin[[#This Row],[Expansión - Barra A - 5.2 - Cerro]]+TBL_CalcDarwin[[#This Row],[Expansión - Barra A - 5.2 - Medio]]+TBL_CalcDarwin[[#This Row],[Expansión - Barra A - 5.2 - Mar]]</f>
        <v>2</v>
      </c>
      <c r="AT78" s="37">
        <f>TBL_CalcDarwin[[#This Row],[Expansión - Barra B - 5.2 - Cerro]]</f>
        <v>1</v>
      </c>
      <c r="AU7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78" s="29">
        <f>TBL_CalcDarwin[[#This Row],[Expansión - Barra B - 5.2 - Cerro]]*TBL_CalcDarwin[[#This Row],[AEG 5.2 MW Cerro]]</f>
        <v>0.38200000000000001</v>
      </c>
      <c r="AZ78" s="18"/>
      <c r="BA78" s="18"/>
      <c r="BB78" s="18"/>
      <c r="BC78" s="18"/>
      <c r="BD78" s="18"/>
      <c r="BE78" s="18"/>
      <c r="BF78" s="18"/>
    </row>
    <row r="79" spans="2:58" ht="12" x14ac:dyDescent="0.2">
      <c r="B79" s="55">
        <f t="shared" si="6"/>
        <v>45616.208333333154</v>
      </c>
      <c r="C79" s="17">
        <f t="shared" si="8"/>
        <v>3.2083333333333304</v>
      </c>
      <c r="D79" s="34">
        <f>TBL_CalcDarwin[[#This Row],[Darwin PLOM
MW]]+TBL_CalcDarwin[[#This Row],[Darwin PLOME
MW]]</f>
        <v>38.544999999999995</v>
      </c>
      <c r="E79" s="34">
        <f>TBL_CalcDarwin[[#This Row],[PLOM MW TOTAL BARRA A]]+TBL_CalcDarwin[[#This Row],[PLOM MW TOTAL BARRA B]]</f>
        <v>37.233999999999995</v>
      </c>
      <c r="F79" s="34">
        <f>TBL_CalcDarwin[[#This Row],[PLOME MW TOTAL BARRA A]]+TBL_CalcDarwin[[#This Row],[PLOME MW TOTAL BARRA B]]</f>
        <v>1.3109999999999999</v>
      </c>
      <c r="G79" s="48">
        <f>'Plantilla Datos'!D84</f>
        <v>4.5</v>
      </c>
      <c r="H79" s="48">
        <f>'Plantilla Datos'!E84</f>
        <v>5.8</v>
      </c>
      <c r="I79" s="49">
        <f>'Plantilla Datos'!F84</f>
        <v>16.399999999999999</v>
      </c>
      <c r="J79" s="47">
        <f>CEILING('Plantilla Datos'!$L$3*TBL_CalcDarwin[[#This Row],[Darwin Gusts
m/s]],0.5)</f>
        <v>4.5</v>
      </c>
      <c r="K79" s="47">
        <f>CEILING('Plantilla Datos'!$L$4*TBL_CalcDarwin[[#This Row],[Darwin Gusts
m/s]],0.5)</f>
        <v>5</v>
      </c>
      <c r="L79" s="47">
        <f>CEILING(TBL_CalcDarwin[[#This Row],[Darwin Gusts
m/s]],0.5)</f>
        <v>6</v>
      </c>
      <c r="M7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7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7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7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79" s="41">
        <f>INDEX(Curva_Temp[Temp],MATCH(TBL_CalcDarwin[[#This Row],[Darwin Temp.
°C]],Curva_Temp[Temp]))</f>
        <v>15</v>
      </c>
      <c r="R79" s="41">
        <f>INDEX(Curva_Temp[Warranted Power Curve for 
1.194Kg/m3 air density '[kW']
SG 5.0-145 (AM+1, 5.2MW) AT 
90M],MATCH(TBL_CalcDarwin[[#This Row],[Darwin Temp.
°C]],Curva_Temp[Temp]))</f>
        <v>5200</v>
      </c>
      <c r="S79" s="41" cm="1">
        <f t="array" ref="S79">INDEX(Curva_Temp[Temp],MATCH(TBL_CalcDarwin[[#This Row],[Darwin Temp.
°C]],Curva_Temp[Temp])+1)</f>
        <v>20</v>
      </c>
      <c r="T79" s="41" cm="1">
        <f t="array" ref="T79">INDEX(Curva_Temp[Warranted Power Curve for 
1.194Kg/m3 air density '[kW']
SG 5.0-145 (AM+1, 5.2MW) AT 
90M],MATCH(TBL_CalcDarwin[[#This Row],[Darwin Temp.
°C]],Curva_Temp[Temp])+1)</f>
        <v>5000</v>
      </c>
      <c r="U7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7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7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79" s="41">
        <f>INDEX(Curva_Temp[Temp],MATCH(TBL_CalcDarwin[[#This Row],[Darwin Temp.
°C]],Curva_Temp[Temp]))</f>
        <v>15</v>
      </c>
      <c r="Z79" s="41">
        <f>INDEX(Curva_Temp[Warranted Power Curve for 
1.194Kg/m3 air density '[kW']
SG 5.0-145 (AM 0, 5.0MW) AT 
90M],MATCH(TBL_CalcDarwin[[#This Row],[Darwin Temp.
°C]],Curva_Temp[Temp]))</f>
        <v>5000</v>
      </c>
      <c r="AA79" s="41" cm="1">
        <f t="array" ref="AA79">INDEX(Curva_Temp[Temp],MATCH(TBL_CalcDarwin[[#This Row],[Darwin Temp.
°C]],Curva_Temp[Temp])+1)</f>
        <v>20</v>
      </c>
      <c r="AB79" s="41" cm="1">
        <f t="array" ref="AB79">INDEX(Curva_Temp[Warranted Power Curve for 
1.194Kg/m3 air density '[kW']
SG 5.0-145 (AM 0, 5.0MW) AT 
90M],MATCH(TBL_CalcDarwin[[#This Row],[Darwin Temp.
°C]],Curva_Temp[Temp])+1)</f>
        <v>5000</v>
      </c>
      <c r="AC79" s="45">
        <f>HLOOKUP(TBL_CalcDarwin[[#This Row],[Fecha]],'Plantilla AEG ES'!$E$1:$HX$13,2,FALSE)</f>
        <v>5</v>
      </c>
      <c r="AD79" s="45">
        <f>HLOOKUP(TBL_CalcDarwin[[#This Row],[Fecha]],'Plantilla AEG ES'!$E$1:$HX$13,3,FALSE)</f>
        <v>7</v>
      </c>
      <c r="AE79" s="45">
        <f>HLOOKUP(TBL_CalcDarwin[[#This Row],[Fecha]],'Plantilla AEG ES'!$E$1:$HX$13,4,FALSE)</f>
        <v>11</v>
      </c>
      <c r="AF79" s="45">
        <f>HLOOKUP(TBL_CalcDarwin[[#This Row],[Fecha]],'Plantilla AEG ES'!$E$1:$HX$13,5,FALSE)</f>
        <v>1</v>
      </c>
      <c r="AG79" s="45">
        <f>HLOOKUP(TBL_CalcDarwin[[#This Row],[Fecha]],'Plantilla AEG ES'!$E$1:$HX$13,6,FALSE)</f>
        <v>1</v>
      </c>
      <c r="AH79" s="45">
        <f>HLOOKUP(TBL_CalcDarwin[[#This Row],[Fecha]],'Plantilla AEG ES'!$E$1:$HX$13,7,FALSE)</f>
        <v>0</v>
      </c>
      <c r="AI79" s="46">
        <f>HLOOKUP(TBL_CalcDarwin[[#This Row],[Fecha]],'Plantilla AEG ES'!$E$1:$HX$13,8,FALSE)</f>
        <v>0</v>
      </c>
      <c r="AJ79" s="46">
        <f>HLOOKUP(TBL_CalcDarwin[[#This Row],[Fecha]],'Plantilla AEG ES'!$E$1:$HX$13,9,FALSE)</f>
        <v>3</v>
      </c>
      <c r="AK79" s="46">
        <f>HLOOKUP(TBL_CalcDarwin[[#This Row],[Fecha]],'Plantilla AEG ES'!$E$1:$HX$13,10,FALSE)</f>
        <v>12</v>
      </c>
      <c r="AL79" s="46">
        <f>HLOOKUP(TBL_CalcDarwin[[#This Row],[Fecha]],'Plantilla AEG ES'!$E$1:$HX$13,11,FALSE)</f>
        <v>1</v>
      </c>
      <c r="AM79" s="46">
        <f>HLOOKUP(TBL_CalcDarwin[[#This Row],[Fecha]],'Plantilla AEG ES'!$E$1:$HX$13,12,FALSE)</f>
        <v>7</v>
      </c>
      <c r="AN79" s="46">
        <f>HLOOKUP(TBL_CalcDarwin[[#This Row],[Fecha]],'Plantilla AEG ES'!$E$1:$HX$13,13,FALSE)</f>
        <v>1</v>
      </c>
      <c r="AO79" s="37">
        <f>TBL_CalcDarwin[[#This Row],[Lomitas - Barra A - 5.2 - Cerro]]+TBL_CalcDarwin[[#This Row],[Lomitas - Barra A - 5.2 - Medio]]+TBL_CalcDarwin[[#This Row],[Lomitas - Barra A - 5.2 - Mar]]</f>
        <v>23</v>
      </c>
      <c r="AP7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7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79" s="37">
        <f>TBL_CalcDarwin[[#This Row],[Expansión - Barra A - 5.2 - Cerro]]+TBL_CalcDarwin[[#This Row],[Expansión - Barra A - 5.2 - Medio]]+TBL_CalcDarwin[[#This Row],[Expansión - Barra A - 5.2 - Mar]]</f>
        <v>2</v>
      </c>
      <c r="AT79" s="37">
        <f>TBL_CalcDarwin[[#This Row],[Expansión - Barra B - 5.2 - Cerro]]</f>
        <v>1</v>
      </c>
      <c r="AU7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79" s="29">
        <f>TBL_CalcDarwin[[#This Row],[Expansión - Barra B - 5.2 - Cerro]]*TBL_CalcDarwin[[#This Row],[AEG 5.2 MW Cerro]]</f>
        <v>0.38200000000000001</v>
      </c>
      <c r="AZ79" s="18"/>
      <c r="BA79" s="18"/>
      <c r="BB79" s="18"/>
      <c r="BC79" s="18"/>
      <c r="BD79" s="18"/>
      <c r="BE79" s="18"/>
      <c r="BF79" s="18"/>
    </row>
    <row r="80" spans="2:58" ht="12" x14ac:dyDescent="0.2">
      <c r="B80" s="55">
        <f t="shared" si="6"/>
        <v>45616.249999999818</v>
      </c>
      <c r="C80" s="17">
        <f t="shared" si="8"/>
        <v>3.2499999999999969</v>
      </c>
      <c r="D80" s="34">
        <f>TBL_CalcDarwin[[#This Row],[Darwin PLOM
MW]]+TBL_CalcDarwin[[#This Row],[Darwin PLOME
MW]]</f>
        <v>40.722999999999999</v>
      </c>
      <c r="E80" s="34">
        <f>TBL_CalcDarwin[[#This Row],[PLOM MW TOTAL BARRA A]]+TBL_CalcDarwin[[#This Row],[PLOM MW TOTAL BARRA B]]</f>
        <v>39.213999999999999</v>
      </c>
      <c r="F80" s="34">
        <f>TBL_CalcDarwin[[#This Row],[PLOME MW TOTAL BARRA A]]+TBL_CalcDarwin[[#This Row],[PLOME MW TOTAL BARRA B]]</f>
        <v>1.5089999999999999</v>
      </c>
      <c r="G80" s="48">
        <f>'Plantilla Datos'!D85</f>
        <v>4.5</v>
      </c>
      <c r="H80" s="48">
        <f>'Plantilla Datos'!E85</f>
        <v>5.9</v>
      </c>
      <c r="I80" s="49">
        <f>'Plantilla Datos'!F85</f>
        <v>16.600000000000001</v>
      </c>
      <c r="J80" s="47">
        <f>CEILING('Plantilla Datos'!$L$3*TBL_CalcDarwin[[#This Row],[Darwin Gusts
m/s]],0.5)</f>
        <v>4.5</v>
      </c>
      <c r="K80" s="47">
        <f>CEILING('Plantilla Datos'!$L$4*TBL_CalcDarwin[[#This Row],[Darwin Gusts
m/s]],0.5)</f>
        <v>5.5</v>
      </c>
      <c r="L80" s="47">
        <f>CEILING(TBL_CalcDarwin[[#This Row],[Darwin Gusts
m/s]],0.5)</f>
        <v>6</v>
      </c>
      <c r="M8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8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8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8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80" s="41">
        <f>INDEX(Curva_Temp[Temp],MATCH(TBL_CalcDarwin[[#This Row],[Darwin Temp.
°C]],Curva_Temp[Temp]))</f>
        <v>15</v>
      </c>
      <c r="R80" s="41">
        <f>INDEX(Curva_Temp[Warranted Power Curve for 
1.194Kg/m3 air density '[kW']
SG 5.0-145 (AM+1, 5.2MW) AT 
90M],MATCH(TBL_CalcDarwin[[#This Row],[Darwin Temp.
°C]],Curva_Temp[Temp]))</f>
        <v>5200</v>
      </c>
      <c r="S80" s="41" cm="1">
        <f t="array" ref="S80">INDEX(Curva_Temp[Temp],MATCH(TBL_CalcDarwin[[#This Row],[Darwin Temp.
°C]],Curva_Temp[Temp])+1)</f>
        <v>20</v>
      </c>
      <c r="T80" s="41" cm="1">
        <f t="array" ref="T80">INDEX(Curva_Temp[Warranted Power Curve for 
1.194Kg/m3 air density '[kW']
SG 5.0-145 (AM+1, 5.2MW) AT 
90M],MATCH(TBL_CalcDarwin[[#This Row],[Darwin Temp.
°C]],Curva_Temp[Temp])+1)</f>
        <v>5000</v>
      </c>
      <c r="U8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8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8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80" s="41">
        <f>INDEX(Curva_Temp[Temp],MATCH(TBL_CalcDarwin[[#This Row],[Darwin Temp.
°C]],Curva_Temp[Temp]))</f>
        <v>15</v>
      </c>
      <c r="Z80" s="41">
        <f>INDEX(Curva_Temp[Warranted Power Curve for 
1.194Kg/m3 air density '[kW']
SG 5.0-145 (AM 0, 5.0MW) AT 
90M],MATCH(TBL_CalcDarwin[[#This Row],[Darwin Temp.
°C]],Curva_Temp[Temp]))</f>
        <v>5000</v>
      </c>
      <c r="AA80" s="41" cm="1">
        <f t="array" ref="AA80">INDEX(Curva_Temp[Temp],MATCH(TBL_CalcDarwin[[#This Row],[Darwin Temp.
°C]],Curva_Temp[Temp])+1)</f>
        <v>20</v>
      </c>
      <c r="AB80" s="41" cm="1">
        <f t="array" ref="AB80">INDEX(Curva_Temp[Warranted Power Curve for 
1.194Kg/m3 air density '[kW']
SG 5.0-145 (AM 0, 5.0MW) AT 
90M],MATCH(TBL_CalcDarwin[[#This Row],[Darwin Temp.
°C]],Curva_Temp[Temp])+1)</f>
        <v>5000</v>
      </c>
      <c r="AC80" s="45">
        <f>HLOOKUP(TBL_CalcDarwin[[#This Row],[Fecha]],'Plantilla AEG ES'!$E$1:$HX$13,2,FALSE)</f>
        <v>5</v>
      </c>
      <c r="AD80" s="45">
        <f>HLOOKUP(TBL_CalcDarwin[[#This Row],[Fecha]],'Plantilla AEG ES'!$E$1:$HX$13,3,FALSE)</f>
        <v>7</v>
      </c>
      <c r="AE80" s="45">
        <f>HLOOKUP(TBL_CalcDarwin[[#This Row],[Fecha]],'Plantilla AEG ES'!$E$1:$HX$13,4,FALSE)</f>
        <v>11</v>
      </c>
      <c r="AF80" s="45">
        <f>HLOOKUP(TBL_CalcDarwin[[#This Row],[Fecha]],'Plantilla AEG ES'!$E$1:$HX$13,5,FALSE)</f>
        <v>1</v>
      </c>
      <c r="AG80" s="45">
        <f>HLOOKUP(TBL_CalcDarwin[[#This Row],[Fecha]],'Plantilla AEG ES'!$E$1:$HX$13,6,FALSE)</f>
        <v>1</v>
      </c>
      <c r="AH80" s="45">
        <f>HLOOKUP(TBL_CalcDarwin[[#This Row],[Fecha]],'Plantilla AEG ES'!$E$1:$HX$13,7,FALSE)</f>
        <v>0</v>
      </c>
      <c r="AI80" s="46">
        <f>HLOOKUP(TBL_CalcDarwin[[#This Row],[Fecha]],'Plantilla AEG ES'!$E$1:$HX$13,8,FALSE)</f>
        <v>0</v>
      </c>
      <c r="AJ80" s="46">
        <f>HLOOKUP(TBL_CalcDarwin[[#This Row],[Fecha]],'Plantilla AEG ES'!$E$1:$HX$13,9,FALSE)</f>
        <v>3</v>
      </c>
      <c r="AK80" s="46">
        <f>HLOOKUP(TBL_CalcDarwin[[#This Row],[Fecha]],'Plantilla AEG ES'!$E$1:$HX$13,10,FALSE)</f>
        <v>12</v>
      </c>
      <c r="AL80" s="46">
        <f>HLOOKUP(TBL_CalcDarwin[[#This Row],[Fecha]],'Plantilla AEG ES'!$E$1:$HX$13,11,FALSE)</f>
        <v>1</v>
      </c>
      <c r="AM80" s="46">
        <f>HLOOKUP(TBL_CalcDarwin[[#This Row],[Fecha]],'Plantilla AEG ES'!$E$1:$HX$13,12,FALSE)</f>
        <v>7</v>
      </c>
      <c r="AN80" s="46">
        <f>HLOOKUP(TBL_CalcDarwin[[#This Row],[Fecha]],'Plantilla AEG ES'!$E$1:$HX$13,13,FALSE)</f>
        <v>1</v>
      </c>
      <c r="AO80" s="37">
        <f>TBL_CalcDarwin[[#This Row],[Lomitas - Barra A - 5.2 - Cerro]]+TBL_CalcDarwin[[#This Row],[Lomitas - Barra A - 5.2 - Medio]]+TBL_CalcDarwin[[#This Row],[Lomitas - Barra A - 5.2 - Mar]]</f>
        <v>23</v>
      </c>
      <c r="AP8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17.938000000000002</v>
      </c>
      <c r="AR8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80" s="37">
        <f>TBL_CalcDarwin[[#This Row],[Expansión - Barra A - 5.2 - Cerro]]+TBL_CalcDarwin[[#This Row],[Expansión - Barra A - 5.2 - Medio]]+TBL_CalcDarwin[[#This Row],[Expansión - Barra A - 5.2 - Mar]]</f>
        <v>2</v>
      </c>
      <c r="AT80" s="37">
        <f>TBL_CalcDarwin[[#This Row],[Expansión - Barra B - 5.2 - Cerro]]</f>
        <v>1</v>
      </c>
      <c r="AU8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80" s="29">
        <f>TBL_CalcDarwin[[#This Row],[Expansión - Barra B - 5.2 - Cerro]]*TBL_CalcDarwin[[#This Row],[AEG 5.2 MW Cerro]]</f>
        <v>0.38200000000000001</v>
      </c>
      <c r="AZ80" s="18"/>
      <c r="BA80" s="18"/>
      <c r="BB80" s="18"/>
      <c r="BC80" s="18"/>
      <c r="BD80" s="18"/>
      <c r="BE80" s="18"/>
      <c r="BF80" s="18"/>
    </row>
    <row r="81" spans="2:58" ht="12" x14ac:dyDescent="0.2">
      <c r="B81" s="55">
        <f t="shared" si="6"/>
        <v>45616.291666666482</v>
      </c>
      <c r="C81" s="17">
        <f t="shared" si="8"/>
        <v>3.2916666666666634</v>
      </c>
      <c r="D81" s="34">
        <f>TBL_CalcDarwin[[#This Row],[Darwin PLOM
MW]]+TBL_CalcDarwin[[#This Row],[Darwin PLOME
MW]]</f>
        <v>49.213000000000001</v>
      </c>
      <c r="E81" s="34">
        <f>TBL_CalcDarwin[[#This Row],[PLOM MW TOTAL BARRA A]]+TBL_CalcDarwin[[#This Row],[PLOM MW TOTAL BARRA B]]</f>
        <v>47.704000000000001</v>
      </c>
      <c r="F81" s="34">
        <f>TBL_CalcDarwin[[#This Row],[PLOME MW TOTAL BARRA A]]+TBL_CalcDarwin[[#This Row],[PLOME MW TOTAL BARRA B]]</f>
        <v>1.5089999999999999</v>
      </c>
      <c r="G81" s="48">
        <f>'Plantilla Datos'!D86</f>
        <v>4.5999999999999996</v>
      </c>
      <c r="H81" s="48">
        <f>'Plantilla Datos'!E86</f>
        <v>6.1</v>
      </c>
      <c r="I81" s="49">
        <f>'Plantilla Datos'!F86</f>
        <v>16.7</v>
      </c>
      <c r="J81" s="47">
        <f>CEILING('Plantilla Datos'!$L$3*TBL_CalcDarwin[[#This Row],[Darwin Gusts
m/s]],0.5)</f>
        <v>4.5</v>
      </c>
      <c r="K81" s="47">
        <f>CEILING('Plantilla Datos'!$L$4*TBL_CalcDarwin[[#This Row],[Darwin Gusts
m/s]],0.5)</f>
        <v>5.5</v>
      </c>
      <c r="L81" s="47">
        <f>CEILING(TBL_CalcDarwin[[#This Row],[Darwin Gusts
m/s]],0.5)</f>
        <v>6.5</v>
      </c>
      <c r="M8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8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8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8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81" s="41">
        <f>INDEX(Curva_Temp[Temp],MATCH(TBL_CalcDarwin[[#This Row],[Darwin Temp.
°C]],Curva_Temp[Temp]))</f>
        <v>15</v>
      </c>
      <c r="R81" s="41">
        <f>INDEX(Curva_Temp[Warranted Power Curve for 
1.194Kg/m3 air density '[kW']
SG 5.0-145 (AM+1, 5.2MW) AT 
90M],MATCH(TBL_CalcDarwin[[#This Row],[Darwin Temp.
°C]],Curva_Temp[Temp]))</f>
        <v>5200</v>
      </c>
      <c r="S81" s="41" cm="1">
        <f t="array" ref="S81">INDEX(Curva_Temp[Temp],MATCH(TBL_CalcDarwin[[#This Row],[Darwin Temp.
°C]],Curva_Temp[Temp])+1)</f>
        <v>20</v>
      </c>
      <c r="T81" s="41" cm="1">
        <f t="array" ref="T81">INDEX(Curva_Temp[Warranted Power Curve for 
1.194Kg/m3 air density '[kW']
SG 5.0-145 (AM+1, 5.2MW) AT 
90M],MATCH(TBL_CalcDarwin[[#This Row],[Darwin Temp.
°C]],Curva_Temp[Temp])+1)</f>
        <v>5000</v>
      </c>
      <c r="U8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8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8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81" s="41">
        <f>INDEX(Curva_Temp[Temp],MATCH(TBL_CalcDarwin[[#This Row],[Darwin Temp.
°C]],Curva_Temp[Temp]))</f>
        <v>15</v>
      </c>
      <c r="Z81" s="41">
        <f>INDEX(Curva_Temp[Warranted Power Curve for 
1.194Kg/m3 air density '[kW']
SG 5.0-145 (AM 0, 5.0MW) AT 
90M],MATCH(TBL_CalcDarwin[[#This Row],[Darwin Temp.
°C]],Curva_Temp[Temp]))</f>
        <v>5000</v>
      </c>
      <c r="AA81" s="41" cm="1">
        <f t="array" ref="AA81">INDEX(Curva_Temp[Temp],MATCH(TBL_CalcDarwin[[#This Row],[Darwin Temp.
°C]],Curva_Temp[Temp])+1)</f>
        <v>20</v>
      </c>
      <c r="AB81" s="41" cm="1">
        <f t="array" ref="AB81">INDEX(Curva_Temp[Warranted Power Curve for 
1.194Kg/m3 air density '[kW']
SG 5.0-145 (AM 0, 5.0MW) AT 
90M],MATCH(TBL_CalcDarwin[[#This Row],[Darwin Temp.
°C]],Curva_Temp[Temp])+1)</f>
        <v>5000</v>
      </c>
      <c r="AC81" s="45">
        <f>HLOOKUP(TBL_CalcDarwin[[#This Row],[Fecha]],'Plantilla AEG ES'!$E$1:$HX$13,2,FALSE)</f>
        <v>5</v>
      </c>
      <c r="AD81" s="45">
        <f>HLOOKUP(TBL_CalcDarwin[[#This Row],[Fecha]],'Plantilla AEG ES'!$E$1:$HX$13,3,FALSE)</f>
        <v>7</v>
      </c>
      <c r="AE81" s="45">
        <f>HLOOKUP(TBL_CalcDarwin[[#This Row],[Fecha]],'Plantilla AEG ES'!$E$1:$HX$13,4,FALSE)</f>
        <v>11</v>
      </c>
      <c r="AF81" s="45">
        <f>HLOOKUP(TBL_CalcDarwin[[#This Row],[Fecha]],'Plantilla AEG ES'!$E$1:$HX$13,5,FALSE)</f>
        <v>1</v>
      </c>
      <c r="AG81" s="45">
        <f>HLOOKUP(TBL_CalcDarwin[[#This Row],[Fecha]],'Plantilla AEG ES'!$E$1:$HX$13,6,FALSE)</f>
        <v>1</v>
      </c>
      <c r="AH81" s="45">
        <f>HLOOKUP(TBL_CalcDarwin[[#This Row],[Fecha]],'Plantilla AEG ES'!$E$1:$HX$13,7,FALSE)</f>
        <v>0</v>
      </c>
      <c r="AI81" s="46">
        <f>HLOOKUP(TBL_CalcDarwin[[#This Row],[Fecha]],'Plantilla AEG ES'!$E$1:$HX$13,8,FALSE)</f>
        <v>0</v>
      </c>
      <c r="AJ81" s="46">
        <f>HLOOKUP(TBL_CalcDarwin[[#This Row],[Fecha]],'Plantilla AEG ES'!$E$1:$HX$13,9,FALSE)</f>
        <v>3</v>
      </c>
      <c r="AK81" s="46">
        <f>HLOOKUP(TBL_CalcDarwin[[#This Row],[Fecha]],'Plantilla AEG ES'!$E$1:$HX$13,10,FALSE)</f>
        <v>12</v>
      </c>
      <c r="AL81" s="46">
        <f>HLOOKUP(TBL_CalcDarwin[[#This Row],[Fecha]],'Plantilla AEG ES'!$E$1:$HX$13,11,FALSE)</f>
        <v>1</v>
      </c>
      <c r="AM81" s="46">
        <f>HLOOKUP(TBL_CalcDarwin[[#This Row],[Fecha]],'Plantilla AEG ES'!$E$1:$HX$13,12,FALSE)</f>
        <v>7</v>
      </c>
      <c r="AN81" s="46">
        <f>HLOOKUP(TBL_CalcDarwin[[#This Row],[Fecha]],'Plantilla AEG ES'!$E$1:$HX$13,13,FALSE)</f>
        <v>1</v>
      </c>
      <c r="AO81" s="37">
        <f>TBL_CalcDarwin[[#This Row],[Lomitas - Barra A - 5.2 - Cerro]]+TBL_CalcDarwin[[#This Row],[Lomitas - Barra A - 5.2 - Medio]]+TBL_CalcDarwin[[#This Row],[Lomitas - Barra A - 5.2 - Mar]]</f>
        <v>23</v>
      </c>
      <c r="AP8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21.051000000000002</v>
      </c>
      <c r="AR8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81" s="37">
        <f>TBL_CalcDarwin[[#This Row],[Expansión - Barra A - 5.2 - Cerro]]+TBL_CalcDarwin[[#This Row],[Expansión - Barra A - 5.2 - Medio]]+TBL_CalcDarwin[[#This Row],[Expansión - Barra A - 5.2 - Mar]]</f>
        <v>2</v>
      </c>
      <c r="AT81" s="37">
        <f>TBL_CalcDarwin[[#This Row],[Expansión - Barra B - 5.2 - Cerro]]</f>
        <v>1</v>
      </c>
      <c r="AU8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81" s="29">
        <f>TBL_CalcDarwin[[#This Row],[Expansión - Barra B - 5.2 - Cerro]]*TBL_CalcDarwin[[#This Row],[AEG 5.2 MW Cerro]]</f>
        <v>0.38200000000000001</v>
      </c>
      <c r="AZ81" s="18"/>
      <c r="BA81" s="18"/>
      <c r="BB81" s="18"/>
      <c r="BC81" s="18"/>
      <c r="BD81" s="18"/>
      <c r="BE81" s="18"/>
      <c r="BF81" s="18"/>
    </row>
    <row r="82" spans="2:58" ht="12" x14ac:dyDescent="0.2">
      <c r="B82" s="55">
        <f t="shared" si="6"/>
        <v>45616.333333333147</v>
      </c>
      <c r="C82" s="17">
        <f t="shared" si="8"/>
        <v>3.3333333333333299</v>
      </c>
      <c r="D82" s="34">
        <f>TBL_CalcDarwin[[#This Row],[Darwin PLOM
MW]]+TBL_CalcDarwin[[#This Row],[Darwin PLOME
MW]]</f>
        <v>50.536000000000001</v>
      </c>
      <c r="E82" s="34">
        <f>TBL_CalcDarwin[[#This Row],[PLOM MW TOTAL BARRA A]]+TBL_CalcDarwin[[#This Row],[PLOM MW TOTAL BARRA B]]</f>
        <v>48.697000000000003</v>
      </c>
      <c r="F82" s="34">
        <f>TBL_CalcDarwin[[#This Row],[PLOME MW TOTAL BARRA A]]+TBL_CalcDarwin[[#This Row],[PLOME MW TOTAL BARRA B]]</f>
        <v>1.839</v>
      </c>
      <c r="G82" s="48">
        <f>'Plantilla Datos'!D87</f>
        <v>5</v>
      </c>
      <c r="H82" s="48">
        <f>'Plantilla Datos'!E87</f>
        <v>6.4</v>
      </c>
      <c r="I82" s="49">
        <f>'Plantilla Datos'!F87</f>
        <v>17.5</v>
      </c>
      <c r="J82" s="47">
        <f>CEILING('Plantilla Datos'!$L$3*TBL_CalcDarwin[[#This Row],[Darwin Gusts
m/s]],0.5)</f>
        <v>5</v>
      </c>
      <c r="K82" s="47">
        <f>CEILING('Plantilla Datos'!$L$4*TBL_CalcDarwin[[#This Row],[Darwin Gusts
m/s]],0.5)</f>
        <v>5.5</v>
      </c>
      <c r="L82" s="47">
        <f>CEILING(TBL_CalcDarwin[[#This Row],[Darwin Gusts
m/s]],0.5)</f>
        <v>6.5</v>
      </c>
      <c r="M8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8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8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8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82" s="41">
        <f>INDEX(Curva_Temp[Temp],MATCH(TBL_CalcDarwin[[#This Row],[Darwin Temp.
°C]],Curva_Temp[Temp]))</f>
        <v>15</v>
      </c>
      <c r="R82" s="41">
        <f>INDEX(Curva_Temp[Warranted Power Curve for 
1.194Kg/m3 air density '[kW']
SG 5.0-145 (AM+1, 5.2MW) AT 
90M],MATCH(TBL_CalcDarwin[[#This Row],[Darwin Temp.
°C]],Curva_Temp[Temp]))</f>
        <v>5200</v>
      </c>
      <c r="S82" s="41" cm="1">
        <f t="array" ref="S82">INDEX(Curva_Temp[Temp],MATCH(TBL_CalcDarwin[[#This Row],[Darwin Temp.
°C]],Curva_Temp[Temp])+1)</f>
        <v>20</v>
      </c>
      <c r="T82" s="41" cm="1">
        <f t="array" ref="T82">INDEX(Curva_Temp[Warranted Power Curve for 
1.194Kg/m3 air density '[kW']
SG 5.0-145 (AM+1, 5.2MW) AT 
90M],MATCH(TBL_CalcDarwin[[#This Row],[Darwin Temp.
°C]],Curva_Temp[Temp])+1)</f>
        <v>5000</v>
      </c>
      <c r="U8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8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8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82" s="41">
        <f>INDEX(Curva_Temp[Temp],MATCH(TBL_CalcDarwin[[#This Row],[Darwin Temp.
°C]],Curva_Temp[Temp]))</f>
        <v>15</v>
      </c>
      <c r="Z82" s="41">
        <f>INDEX(Curva_Temp[Warranted Power Curve for 
1.194Kg/m3 air density '[kW']
SG 5.0-145 (AM 0, 5.0MW) AT 
90M],MATCH(TBL_CalcDarwin[[#This Row],[Darwin Temp.
°C]],Curva_Temp[Temp]))</f>
        <v>5000</v>
      </c>
      <c r="AA82" s="41" cm="1">
        <f t="array" ref="AA82">INDEX(Curva_Temp[Temp],MATCH(TBL_CalcDarwin[[#This Row],[Darwin Temp.
°C]],Curva_Temp[Temp])+1)</f>
        <v>20</v>
      </c>
      <c r="AB82" s="41" cm="1">
        <f t="array" ref="AB82">INDEX(Curva_Temp[Warranted Power Curve for 
1.194Kg/m3 air density '[kW']
SG 5.0-145 (AM 0, 5.0MW) AT 
90M],MATCH(TBL_CalcDarwin[[#This Row],[Darwin Temp.
°C]],Curva_Temp[Temp])+1)</f>
        <v>5000</v>
      </c>
      <c r="AC82" s="45">
        <f>HLOOKUP(TBL_CalcDarwin[[#This Row],[Fecha]],'Plantilla AEG ES'!$E$1:$HX$13,2,FALSE)</f>
        <v>5</v>
      </c>
      <c r="AD82" s="45">
        <f>HLOOKUP(TBL_CalcDarwin[[#This Row],[Fecha]],'Plantilla AEG ES'!$E$1:$HX$13,3,FALSE)</f>
        <v>7</v>
      </c>
      <c r="AE82" s="45">
        <f>HLOOKUP(TBL_CalcDarwin[[#This Row],[Fecha]],'Plantilla AEG ES'!$E$1:$HX$13,4,FALSE)</f>
        <v>11</v>
      </c>
      <c r="AF82" s="45">
        <f>HLOOKUP(TBL_CalcDarwin[[#This Row],[Fecha]],'Plantilla AEG ES'!$E$1:$HX$13,5,FALSE)</f>
        <v>1</v>
      </c>
      <c r="AG82" s="45">
        <f>HLOOKUP(TBL_CalcDarwin[[#This Row],[Fecha]],'Plantilla AEG ES'!$E$1:$HX$13,6,FALSE)</f>
        <v>1</v>
      </c>
      <c r="AH82" s="45">
        <f>HLOOKUP(TBL_CalcDarwin[[#This Row],[Fecha]],'Plantilla AEG ES'!$E$1:$HX$13,7,FALSE)</f>
        <v>0</v>
      </c>
      <c r="AI82" s="46">
        <f>HLOOKUP(TBL_CalcDarwin[[#This Row],[Fecha]],'Plantilla AEG ES'!$E$1:$HX$13,8,FALSE)</f>
        <v>0</v>
      </c>
      <c r="AJ82" s="46">
        <f>HLOOKUP(TBL_CalcDarwin[[#This Row],[Fecha]],'Plantilla AEG ES'!$E$1:$HX$13,9,FALSE)</f>
        <v>3</v>
      </c>
      <c r="AK82" s="46">
        <f>HLOOKUP(TBL_CalcDarwin[[#This Row],[Fecha]],'Plantilla AEG ES'!$E$1:$HX$13,10,FALSE)</f>
        <v>12</v>
      </c>
      <c r="AL82" s="46">
        <f>HLOOKUP(TBL_CalcDarwin[[#This Row],[Fecha]],'Plantilla AEG ES'!$E$1:$HX$13,11,FALSE)</f>
        <v>1</v>
      </c>
      <c r="AM82" s="46">
        <f>HLOOKUP(TBL_CalcDarwin[[#This Row],[Fecha]],'Plantilla AEG ES'!$E$1:$HX$13,12,FALSE)</f>
        <v>7</v>
      </c>
      <c r="AN82" s="46">
        <f>HLOOKUP(TBL_CalcDarwin[[#This Row],[Fecha]],'Plantilla AEG ES'!$E$1:$HX$13,13,FALSE)</f>
        <v>1</v>
      </c>
      <c r="AO82" s="37">
        <f>TBL_CalcDarwin[[#This Row],[Lomitas - Barra A - 5.2 - Cerro]]+TBL_CalcDarwin[[#This Row],[Lomitas - Barra A - 5.2 - Medio]]+TBL_CalcDarwin[[#This Row],[Lomitas - Barra A - 5.2 - Mar]]</f>
        <v>23</v>
      </c>
      <c r="AP8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21.876000000000001</v>
      </c>
      <c r="AR8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82" s="37">
        <f>TBL_CalcDarwin[[#This Row],[Expansión - Barra A - 5.2 - Cerro]]+TBL_CalcDarwin[[#This Row],[Expansión - Barra A - 5.2 - Medio]]+TBL_CalcDarwin[[#This Row],[Expansión - Barra A - 5.2 - Mar]]</f>
        <v>2</v>
      </c>
      <c r="AT82" s="37">
        <f>TBL_CalcDarwin[[#This Row],[Expansión - Barra B - 5.2 - Cerro]]</f>
        <v>1</v>
      </c>
      <c r="AU8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82" s="29">
        <f>TBL_CalcDarwin[[#This Row],[Expansión - Barra B - 5.2 - Cerro]]*TBL_CalcDarwin[[#This Row],[AEG 5.2 MW Cerro]]</f>
        <v>0.54700000000000004</v>
      </c>
      <c r="AZ82" s="18"/>
      <c r="BA82" s="18"/>
      <c r="BB82" s="18"/>
      <c r="BC82" s="18"/>
      <c r="BD82" s="18"/>
      <c r="BE82" s="18"/>
      <c r="BF82" s="18"/>
    </row>
    <row r="83" spans="2:58" ht="12" x14ac:dyDescent="0.2">
      <c r="B83" s="55">
        <f t="shared" si="6"/>
        <v>45616.374999999811</v>
      </c>
      <c r="C83" s="17">
        <f t="shared" si="8"/>
        <v>3.3749999999999964</v>
      </c>
      <c r="D83" s="34">
        <f>TBL_CalcDarwin[[#This Row],[Darwin PLOM
MW]]+TBL_CalcDarwin[[#This Row],[Darwin PLOME
MW]]</f>
        <v>63.076999999999998</v>
      </c>
      <c r="E83" s="34">
        <f>TBL_CalcDarwin[[#This Row],[PLOM MW TOTAL BARRA A]]+TBL_CalcDarwin[[#This Row],[PLOM MW TOTAL BARRA B]]</f>
        <v>61</v>
      </c>
      <c r="F83" s="34">
        <f>TBL_CalcDarwin[[#This Row],[PLOME MW TOTAL BARRA A]]+TBL_CalcDarwin[[#This Row],[PLOME MW TOTAL BARRA B]]</f>
        <v>2.077</v>
      </c>
      <c r="G83" s="48">
        <f>'Plantilla Datos'!D88</f>
        <v>5.4</v>
      </c>
      <c r="H83" s="48">
        <f>'Plantilla Datos'!E88</f>
        <v>6.9</v>
      </c>
      <c r="I83" s="49">
        <f>'Plantilla Datos'!F88</f>
        <v>18.399999999999999</v>
      </c>
      <c r="J83" s="47">
        <f>CEILING('Plantilla Datos'!$L$3*TBL_CalcDarwin[[#This Row],[Darwin Gusts
m/s]],0.5)</f>
        <v>5</v>
      </c>
      <c r="K83" s="47">
        <f>CEILING('Plantilla Datos'!$L$4*TBL_CalcDarwin[[#This Row],[Darwin Gusts
m/s]],0.5)</f>
        <v>6</v>
      </c>
      <c r="L83" s="47">
        <f>CEILING(TBL_CalcDarwin[[#This Row],[Darwin Gusts
m/s]],0.5)</f>
        <v>7</v>
      </c>
      <c r="M8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5.0640000000000001</v>
      </c>
      <c r="N8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8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8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83" s="41">
        <f>INDEX(Curva_Temp[Temp],MATCH(TBL_CalcDarwin[[#This Row],[Darwin Temp.
°C]],Curva_Temp[Temp]))</f>
        <v>15</v>
      </c>
      <c r="R83" s="41">
        <f>INDEX(Curva_Temp[Warranted Power Curve for 
1.194Kg/m3 air density '[kW']
SG 5.0-145 (AM+1, 5.2MW) AT 
90M],MATCH(TBL_CalcDarwin[[#This Row],[Darwin Temp.
°C]],Curva_Temp[Temp]))</f>
        <v>5200</v>
      </c>
      <c r="S83" s="41" cm="1">
        <f t="array" ref="S83">INDEX(Curva_Temp[Temp],MATCH(TBL_CalcDarwin[[#This Row],[Darwin Temp.
°C]],Curva_Temp[Temp])+1)</f>
        <v>20</v>
      </c>
      <c r="T83" s="41" cm="1">
        <f t="array" ref="T83">INDEX(Curva_Temp[Warranted Power Curve for 
1.194Kg/m3 air density '[kW']
SG 5.0-145 (AM+1, 5.2MW) AT 
90M],MATCH(TBL_CalcDarwin[[#This Row],[Darwin Temp.
°C]],Curva_Temp[Temp])+1)</f>
        <v>5000</v>
      </c>
      <c r="U8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8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8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83" s="41">
        <f>INDEX(Curva_Temp[Temp],MATCH(TBL_CalcDarwin[[#This Row],[Darwin Temp.
°C]],Curva_Temp[Temp]))</f>
        <v>15</v>
      </c>
      <c r="Z83" s="41">
        <f>INDEX(Curva_Temp[Warranted Power Curve for 
1.194Kg/m3 air density '[kW']
SG 5.0-145 (AM 0, 5.0MW) AT 
90M],MATCH(TBL_CalcDarwin[[#This Row],[Darwin Temp.
°C]],Curva_Temp[Temp]))</f>
        <v>5000</v>
      </c>
      <c r="AA83" s="41" cm="1">
        <f t="array" ref="AA83">INDEX(Curva_Temp[Temp],MATCH(TBL_CalcDarwin[[#This Row],[Darwin Temp.
°C]],Curva_Temp[Temp])+1)</f>
        <v>20</v>
      </c>
      <c r="AB83" s="41" cm="1">
        <f t="array" ref="AB83">INDEX(Curva_Temp[Warranted Power Curve for 
1.194Kg/m3 air density '[kW']
SG 5.0-145 (AM 0, 5.0MW) AT 
90M],MATCH(TBL_CalcDarwin[[#This Row],[Darwin Temp.
°C]],Curva_Temp[Temp])+1)</f>
        <v>5000</v>
      </c>
      <c r="AC83" s="45">
        <f>HLOOKUP(TBL_CalcDarwin[[#This Row],[Fecha]],'Plantilla AEG ES'!$E$1:$HX$13,2,FALSE)</f>
        <v>5</v>
      </c>
      <c r="AD83" s="45">
        <f>HLOOKUP(TBL_CalcDarwin[[#This Row],[Fecha]],'Plantilla AEG ES'!$E$1:$HX$13,3,FALSE)</f>
        <v>7</v>
      </c>
      <c r="AE83" s="45">
        <f>HLOOKUP(TBL_CalcDarwin[[#This Row],[Fecha]],'Plantilla AEG ES'!$E$1:$HX$13,4,FALSE)</f>
        <v>11</v>
      </c>
      <c r="AF83" s="45">
        <f>HLOOKUP(TBL_CalcDarwin[[#This Row],[Fecha]],'Plantilla AEG ES'!$E$1:$HX$13,5,FALSE)</f>
        <v>1</v>
      </c>
      <c r="AG83" s="45">
        <f>HLOOKUP(TBL_CalcDarwin[[#This Row],[Fecha]],'Plantilla AEG ES'!$E$1:$HX$13,6,FALSE)</f>
        <v>1</v>
      </c>
      <c r="AH83" s="45">
        <f>HLOOKUP(TBL_CalcDarwin[[#This Row],[Fecha]],'Plantilla AEG ES'!$E$1:$HX$13,7,FALSE)</f>
        <v>0</v>
      </c>
      <c r="AI83" s="46">
        <f>HLOOKUP(TBL_CalcDarwin[[#This Row],[Fecha]],'Plantilla AEG ES'!$E$1:$HX$13,8,FALSE)</f>
        <v>0</v>
      </c>
      <c r="AJ83" s="46">
        <f>HLOOKUP(TBL_CalcDarwin[[#This Row],[Fecha]],'Plantilla AEG ES'!$E$1:$HX$13,9,FALSE)</f>
        <v>3</v>
      </c>
      <c r="AK83" s="46">
        <f>HLOOKUP(TBL_CalcDarwin[[#This Row],[Fecha]],'Plantilla AEG ES'!$E$1:$HX$13,10,FALSE)</f>
        <v>12</v>
      </c>
      <c r="AL83" s="46">
        <f>HLOOKUP(TBL_CalcDarwin[[#This Row],[Fecha]],'Plantilla AEG ES'!$E$1:$HX$13,11,FALSE)</f>
        <v>1</v>
      </c>
      <c r="AM83" s="46">
        <f>HLOOKUP(TBL_CalcDarwin[[#This Row],[Fecha]],'Plantilla AEG ES'!$E$1:$HX$13,12,FALSE)</f>
        <v>7</v>
      </c>
      <c r="AN83" s="46">
        <f>HLOOKUP(TBL_CalcDarwin[[#This Row],[Fecha]],'Plantilla AEG ES'!$E$1:$HX$13,13,FALSE)</f>
        <v>1</v>
      </c>
      <c r="AO83" s="37">
        <f>TBL_CalcDarwin[[#This Row],[Lomitas - Barra A - 5.2 - Cerro]]+TBL_CalcDarwin[[#This Row],[Lomitas - Barra A - 5.2 - Medio]]+TBL_CalcDarwin[[#This Row],[Lomitas - Barra A - 5.2 - Mar]]</f>
        <v>23</v>
      </c>
      <c r="AP8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8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83" s="37">
        <f>TBL_CalcDarwin[[#This Row],[Expansión - Barra A - 5.2 - Cerro]]+TBL_CalcDarwin[[#This Row],[Expansión - Barra A - 5.2 - Medio]]+TBL_CalcDarwin[[#This Row],[Expansión - Barra A - 5.2 - Mar]]</f>
        <v>2</v>
      </c>
      <c r="AT83" s="37">
        <f>TBL_CalcDarwin[[#This Row],[Expansión - Barra B - 5.2 - Cerro]]</f>
        <v>1</v>
      </c>
      <c r="AU8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83" s="29">
        <f>TBL_CalcDarwin[[#This Row],[Expansión - Barra B - 5.2 - Cerro]]*TBL_CalcDarwin[[#This Row],[AEG 5.2 MW Cerro]]</f>
        <v>0.54700000000000004</v>
      </c>
      <c r="AZ83" s="18"/>
      <c r="BA83" s="18"/>
      <c r="BB83" s="18"/>
      <c r="BC83" s="18"/>
      <c r="BD83" s="18"/>
      <c r="BE83" s="18"/>
      <c r="BF83" s="18"/>
    </row>
    <row r="84" spans="2:58" ht="12" x14ac:dyDescent="0.2">
      <c r="B84" s="55">
        <f t="shared" si="6"/>
        <v>45616.416666666475</v>
      </c>
      <c r="C84" s="17">
        <f t="shared" si="8"/>
        <v>3.416666666666663</v>
      </c>
      <c r="D84" s="34">
        <f>TBL_CalcDarwin[[#This Row],[Darwin PLOM
MW]]+TBL_CalcDarwin[[#This Row],[Darwin PLOME
MW]]</f>
        <v>79.186999999999998</v>
      </c>
      <c r="E84" s="34">
        <f>TBL_CalcDarwin[[#This Row],[PLOM MW TOTAL BARRA A]]+TBL_CalcDarwin[[#This Row],[PLOM MW TOTAL BARRA B]]</f>
        <v>76.430999999999997</v>
      </c>
      <c r="F84" s="34">
        <f>TBL_CalcDarwin[[#This Row],[PLOME MW TOTAL BARRA A]]+TBL_CalcDarwin[[#This Row],[PLOME MW TOTAL BARRA B]]</f>
        <v>2.7560000000000002</v>
      </c>
      <c r="G84" s="48">
        <f>'Plantilla Datos'!D89</f>
        <v>5.8</v>
      </c>
      <c r="H84" s="48">
        <f>'Plantilla Datos'!E89</f>
        <v>7.4</v>
      </c>
      <c r="I84" s="49">
        <f>'Plantilla Datos'!F89</f>
        <v>19.399999999999999</v>
      </c>
      <c r="J84" s="47">
        <f>CEILING('Plantilla Datos'!$L$3*TBL_CalcDarwin[[#This Row],[Darwin Gusts
m/s]],0.5)</f>
        <v>5.5</v>
      </c>
      <c r="K84" s="47">
        <f>CEILING('Plantilla Datos'!$L$4*TBL_CalcDarwin[[#This Row],[Darwin Gusts
m/s]],0.5)</f>
        <v>6.5</v>
      </c>
      <c r="L84" s="47">
        <f>CEILING(TBL_CalcDarwin[[#This Row],[Darwin Gusts
m/s]],0.5)</f>
        <v>7.5</v>
      </c>
      <c r="M8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5.024</v>
      </c>
      <c r="N8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8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8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84" s="41">
        <f>INDEX(Curva_Temp[Temp],MATCH(TBL_CalcDarwin[[#This Row],[Darwin Temp.
°C]],Curva_Temp[Temp]))</f>
        <v>15</v>
      </c>
      <c r="R84" s="41">
        <f>INDEX(Curva_Temp[Warranted Power Curve for 
1.194Kg/m3 air density '[kW']
SG 5.0-145 (AM+1, 5.2MW) AT 
90M],MATCH(TBL_CalcDarwin[[#This Row],[Darwin Temp.
°C]],Curva_Temp[Temp]))</f>
        <v>5200</v>
      </c>
      <c r="S84" s="41" cm="1">
        <f t="array" ref="S84">INDEX(Curva_Temp[Temp],MATCH(TBL_CalcDarwin[[#This Row],[Darwin Temp.
°C]],Curva_Temp[Temp])+1)</f>
        <v>20</v>
      </c>
      <c r="T84" s="41" cm="1">
        <f t="array" ref="T84">INDEX(Curva_Temp[Warranted Power Curve for 
1.194Kg/m3 air density '[kW']
SG 5.0-145 (AM+1, 5.2MW) AT 
90M],MATCH(TBL_CalcDarwin[[#This Row],[Darwin Temp.
°C]],Curva_Temp[Temp])+1)</f>
        <v>5000</v>
      </c>
      <c r="U8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8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8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84" s="41">
        <f>INDEX(Curva_Temp[Temp],MATCH(TBL_CalcDarwin[[#This Row],[Darwin Temp.
°C]],Curva_Temp[Temp]))</f>
        <v>15</v>
      </c>
      <c r="Z84" s="41">
        <f>INDEX(Curva_Temp[Warranted Power Curve for 
1.194Kg/m3 air density '[kW']
SG 5.0-145 (AM 0, 5.0MW) AT 
90M],MATCH(TBL_CalcDarwin[[#This Row],[Darwin Temp.
°C]],Curva_Temp[Temp]))</f>
        <v>5000</v>
      </c>
      <c r="AA84" s="41" cm="1">
        <f t="array" ref="AA84">INDEX(Curva_Temp[Temp],MATCH(TBL_CalcDarwin[[#This Row],[Darwin Temp.
°C]],Curva_Temp[Temp])+1)</f>
        <v>20</v>
      </c>
      <c r="AB84" s="41" cm="1">
        <f t="array" ref="AB84">INDEX(Curva_Temp[Warranted Power Curve for 
1.194Kg/m3 air density '[kW']
SG 5.0-145 (AM 0, 5.0MW) AT 
90M],MATCH(TBL_CalcDarwin[[#This Row],[Darwin Temp.
°C]],Curva_Temp[Temp])+1)</f>
        <v>5000</v>
      </c>
      <c r="AC84" s="45">
        <f>HLOOKUP(TBL_CalcDarwin[[#This Row],[Fecha]],'Plantilla AEG ES'!$E$1:$HX$13,2,FALSE)</f>
        <v>5</v>
      </c>
      <c r="AD84" s="45">
        <f>HLOOKUP(TBL_CalcDarwin[[#This Row],[Fecha]],'Plantilla AEG ES'!$E$1:$HX$13,3,FALSE)</f>
        <v>7</v>
      </c>
      <c r="AE84" s="45">
        <f>HLOOKUP(TBL_CalcDarwin[[#This Row],[Fecha]],'Plantilla AEG ES'!$E$1:$HX$13,4,FALSE)</f>
        <v>11</v>
      </c>
      <c r="AF84" s="45">
        <f>HLOOKUP(TBL_CalcDarwin[[#This Row],[Fecha]],'Plantilla AEG ES'!$E$1:$HX$13,5,FALSE)</f>
        <v>1</v>
      </c>
      <c r="AG84" s="45">
        <f>HLOOKUP(TBL_CalcDarwin[[#This Row],[Fecha]],'Plantilla AEG ES'!$E$1:$HX$13,6,FALSE)</f>
        <v>1</v>
      </c>
      <c r="AH84" s="45">
        <f>HLOOKUP(TBL_CalcDarwin[[#This Row],[Fecha]],'Plantilla AEG ES'!$E$1:$HX$13,7,FALSE)</f>
        <v>0</v>
      </c>
      <c r="AI84" s="46">
        <f>HLOOKUP(TBL_CalcDarwin[[#This Row],[Fecha]],'Plantilla AEG ES'!$E$1:$HX$13,8,FALSE)</f>
        <v>0</v>
      </c>
      <c r="AJ84" s="46">
        <f>HLOOKUP(TBL_CalcDarwin[[#This Row],[Fecha]],'Plantilla AEG ES'!$E$1:$HX$13,9,FALSE)</f>
        <v>3</v>
      </c>
      <c r="AK84" s="46">
        <f>HLOOKUP(TBL_CalcDarwin[[#This Row],[Fecha]],'Plantilla AEG ES'!$E$1:$HX$13,10,FALSE)</f>
        <v>12</v>
      </c>
      <c r="AL84" s="46">
        <f>HLOOKUP(TBL_CalcDarwin[[#This Row],[Fecha]],'Plantilla AEG ES'!$E$1:$HX$13,11,FALSE)</f>
        <v>1</v>
      </c>
      <c r="AM84" s="46">
        <f>HLOOKUP(TBL_CalcDarwin[[#This Row],[Fecha]],'Plantilla AEG ES'!$E$1:$HX$13,12,FALSE)</f>
        <v>7</v>
      </c>
      <c r="AN84" s="46">
        <f>HLOOKUP(TBL_CalcDarwin[[#This Row],[Fecha]],'Plantilla AEG ES'!$E$1:$HX$13,13,FALSE)</f>
        <v>1</v>
      </c>
      <c r="AO84" s="37">
        <f>TBL_CalcDarwin[[#This Row],[Lomitas - Barra A - 5.2 - Cerro]]+TBL_CalcDarwin[[#This Row],[Lomitas - Barra A - 5.2 - Medio]]+TBL_CalcDarwin[[#This Row],[Lomitas - Barra A - 5.2 - Mar]]</f>
        <v>23</v>
      </c>
      <c r="AP8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8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84" s="37">
        <f>TBL_CalcDarwin[[#This Row],[Expansión - Barra A - 5.2 - Cerro]]+TBL_CalcDarwin[[#This Row],[Expansión - Barra A - 5.2 - Medio]]+TBL_CalcDarwin[[#This Row],[Expansión - Barra A - 5.2 - Mar]]</f>
        <v>2</v>
      </c>
      <c r="AT84" s="37">
        <f>TBL_CalcDarwin[[#This Row],[Expansión - Barra B - 5.2 - Cerro]]</f>
        <v>1</v>
      </c>
      <c r="AU8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84" s="29">
        <f>TBL_CalcDarwin[[#This Row],[Expansión - Barra B - 5.2 - Cerro]]*TBL_CalcDarwin[[#This Row],[AEG 5.2 MW Cerro]]</f>
        <v>0.745</v>
      </c>
      <c r="AZ84" s="18"/>
      <c r="BA84" s="18"/>
      <c r="BB84" s="18"/>
      <c r="BC84" s="18"/>
      <c r="BD84" s="18"/>
      <c r="BE84" s="18"/>
      <c r="BF84" s="18"/>
    </row>
    <row r="85" spans="2:58" ht="12" x14ac:dyDescent="0.2">
      <c r="B85" s="55">
        <f t="shared" si="6"/>
        <v>45616.458333333139</v>
      </c>
      <c r="C85" s="17">
        <f t="shared" si="8"/>
        <v>3.4583333333333295</v>
      </c>
      <c r="D85" s="34">
        <f>TBL_CalcDarwin[[#This Row],[Darwin PLOM
MW]]+TBL_CalcDarwin[[#This Row],[Darwin PLOME
MW]]</f>
        <v>101.629</v>
      </c>
      <c r="E85" s="34">
        <f>TBL_CalcDarwin[[#This Row],[PLOM MW TOTAL BARRA A]]+TBL_CalcDarwin[[#This Row],[PLOM MW TOTAL BARRA B]]</f>
        <v>98.066000000000003</v>
      </c>
      <c r="F85" s="34">
        <f>TBL_CalcDarwin[[#This Row],[PLOME MW TOTAL BARRA A]]+TBL_CalcDarwin[[#This Row],[PLOME MW TOTAL BARRA B]]</f>
        <v>3.5630000000000002</v>
      </c>
      <c r="G85" s="48">
        <f>'Plantilla Datos'!D90</f>
        <v>6.1</v>
      </c>
      <c r="H85" s="48">
        <f>'Plantilla Datos'!E90</f>
        <v>7.7</v>
      </c>
      <c r="I85" s="49">
        <f>'Plantilla Datos'!F90</f>
        <v>19.5</v>
      </c>
      <c r="J85" s="47">
        <f>CEILING('Plantilla Datos'!$L$3*TBL_CalcDarwin[[#This Row],[Darwin Gusts
m/s]],0.5)</f>
        <v>6</v>
      </c>
      <c r="K85" s="47">
        <f>CEILING('Plantilla Datos'!$L$4*TBL_CalcDarwin[[#This Row],[Darwin Gusts
m/s]],0.5)</f>
        <v>7</v>
      </c>
      <c r="L85" s="47">
        <f>CEILING(TBL_CalcDarwin[[#This Row],[Darwin Gusts
m/s]],0.5)</f>
        <v>8</v>
      </c>
      <c r="M8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5.0199999999999996</v>
      </c>
      <c r="N8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8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8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85" s="41">
        <f>INDEX(Curva_Temp[Temp],MATCH(TBL_CalcDarwin[[#This Row],[Darwin Temp.
°C]],Curva_Temp[Temp]))</f>
        <v>15</v>
      </c>
      <c r="R85" s="41">
        <f>INDEX(Curva_Temp[Warranted Power Curve for 
1.194Kg/m3 air density '[kW']
SG 5.0-145 (AM+1, 5.2MW) AT 
90M],MATCH(TBL_CalcDarwin[[#This Row],[Darwin Temp.
°C]],Curva_Temp[Temp]))</f>
        <v>5200</v>
      </c>
      <c r="S85" s="41" cm="1">
        <f t="array" ref="S85">INDEX(Curva_Temp[Temp],MATCH(TBL_CalcDarwin[[#This Row],[Darwin Temp.
°C]],Curva_Temp[Temp])+1)</f>
        <v>20</v>
      </c>
      <c r="T85" s="41" cm="1">
        <f t="array" ref="T85">INDEX(Curva_Temp[Warranted Power Curve for 
1.194Kg/m3 air density '[kW']
SG 5.0-145 (AM+1, 5.2MW) AT 
90M],MATCH(TBL_CalcDarwin[[#This Row],[Darwin Temp.
°C]],Curva_Temp[Temp])+1)</f>
        <v>5000</v>
      </c>
      <c r="U8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8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8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85" s="41">
        <f>INDEX(Curva_Temp[Temp],MATCH(TBL_CalcDarwin[[#This Row],[Darwin Temp.
°C]],Curva_Temp[Temp]))</f>
        <v>15</v>
      </c>
      <c r="Z85" s="41">
        <f>INDEX(Curva_Temp[Warranted Power Curve for 
1.194Kg/m3 air density '[kW']
SG 5.0-145 (AM 0, 5.0MW) AT 
90M],MATCH(TBL_CalcDarwin[[#This Row],[Darwin Temp.
°C]],Curva_Temp[Temp]))</f>
        <v>5000</v>
      </c>
      <c r="AA85" s="41" cm="1">
        <f t="array" ref="AA85">INDEX(Curva_Temp[Temp],MATCH(TBL_CalcDarwin[[#This Row],[Darwin Temp.
°C]],Curva_Temp[Temp])+1)</f>
        <v>20</v>
      </c>
      <c r="AB85" s="41" cm="1">
        <f t="array" ref="AB85">INDEX(Curva_Temp[Warranted Power Curve for 
1.194Kg/m3 air density '[kW']
SG 5.0-145 (AM 0, 5.0MW) AT 
90M],MATCH(TBL_CalcDarwin[[#This Row],[Darwin Temp.
°C]],Curva_Temp[Temp])+1)</f>
        <v>5000</v>
      </c>
      <c r="AC85" s="45">
        <f>HLOOKUP(TBL_CalcDarwin[[#This Row],[Fecha]],'Plantilla AEG ES'!$E$1:$HX$13,2,FALSE)</f>
        <v>5</v>
      </c>
      <c r="AD85" s="45">
        <f>HLOOKUP(TBL_CalcDarwin[[#This Row],[Fecha]],'Plantilla AEG ES'!$E$1:$HX$13,3,FALSE)</f>
        <v>8</v>
      </c>
      <c r="AE85" s="45">
        <f>HLOOKUP(TBL_CalcDarwin[[#This Row],[Fecha]],'Plantilla AEG ES'!$E$1:$HX$13,4,FALSE)</f>
        <v>12</v>
      </c>
      <c r="AF85" s="45">
        <f>HLOOKUP(TBL_CalcDarwin[[#This Row],[Fecha]],'Plantilla AEG ES'!$E$1:$HX$13,5,FALSE)</f>
        <v>1</v>
      </c>
      <c r="AG85" s="45">
        <f>HLOOKUP(TBL_CalcDarwin[[#This Row],[Fecha]],'Plantilla AEG ES'!$E$1:$HX$13,6,FALSE)</f>
        <v>1</v>
      </c>
      <c r="AH85" s="45">
        <f>HLOOKUP(TBL_CalcDarwin[[#This Row],[Fecha]],'Plantilla AEG ES'!$E$1:$HX$13,7,FALSE)</f>
        <v>0</v>
      </c>
      <c r="AI85" s="46">
        <f>HLOOKUP(TBL_CalcDarwin[[#This Row],[Fecha]],'Plantilla AEG ES'!$E$1:$HX$13,8,FALSE)</f>
        <v>0</v>
      </c>
      <c r="AJ85" s="46">
        <f>HLOOKUP(TBL_CalcDarwin[[#This Row],[Fecha]],'Plantilla AEG ES'!$E$1:$HX$13,9,FALSE)</f>
        <v>3</v>
      </c>
      <c r="AK85" s="46">
        <f>HLOOKUP(TBL_CalcDarwin[[#This Row],[Fecha]],'Plantilla AEG ES'!$E$1:$HX$13,10,FALSE)</f>
        <v>12</v>
      </c>
      <c r="AL85" s="46">
        <f>HLOOKUP(TBL_CalcDarwin[[#This Row],[Fecha]],'Plantilla AEG ES'!$E$1:$HX$13,11,FALSE)</f>
        <v>1</v>
      </c>
      <c r="AM85" s="46">
        <f>HLOOKUP(TBL_CalcDarwin[[#This Row],[Fecha]],'Plantilla AEG ES'!$E$1:$HX$13,12,FALSE)</f>
        <v>7</v>
      </c>
      <c r="AN85" s="46">
        <f>HLOOKUP(TBL_CalcDarwin[[#This Row],[Fecha]],'Plantilla AEG ES'!$E$1:$HX$13,13,FALSE)</f>
        <v>1</v>
      </c>
      <c r="AO85" s="37">
        <f>TBL_CalcDarwin[[#This Row],[Lomitas - Barra A - 5.2 - Cerro]]+TBL_CalcDarwin[[#This Row],[Lomitas - Barra A - 5.2 - Medio]]+TBL_CalcDarwin[[#This Row],[Lomitas - Barra A - 5.2 - Mar]]</f>
        <v>25</v>
      </c>
      <c r="AP8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8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85" s="37">
        <f>TBL_CalcDarwin[[#This Row],[Expansión - Barra A - 5.2 - Cerro]]+TBL_CalcDarwin[[#This Row],[Expansión - Barra A - 5.2 - Medio]]+TBL_CalcDarwin[[#This Row],[Expansión - Barra A - 5.2 - Mar]]</f>
        <v>2</v>
      </c>
      <c r="AT85" s="37">
        <f>TBL_CalcDarwin[[#This Row],[Expansión - Barra B - 5.2 - Cerro]]</f>
        <v>1</v>
      </c>
      <c r="AU8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85" s="29">
        <f>TBL_CalcDarwin[[#This Row],[Expansión - Barra B - 5.2 - Cerro]]*TBL_CalcDarwin[[#This Row],[AEG 5.2 MW Cerro]]</f>
        <v>0.98299999999999998</v>
      </c>
      <c r="AZ85" s="18"/>
      <c r="BA85" s="18"/>
      <c r="BB85" s="18"/>
      <c r="BC85" s="18"/>
      <c r="BD85" s="18"/>
      <c r="BE85" s="18"/>
      <c r="BF85" s="18"/>
    </row>
    <row r="86" spans="2:58" ht="12" x14ac:dyDescent="0.2">
      <c r="B86" s="55">
        <f t="shared" si="6"/>
        <v>45616.499999999804</v>
      </c>
      <c r="C86" s="17">
        <f t="shared" si="8"/>
        <v>3.499999999999996</v>
      </c>
      <c r="D86" s="34">
        <f>TBL_CalcDarwin[[#This Row],[Darwin PLOM
MW]]+TBL_CalcDarwin[[#This Row],[Darwin PLOME
MW]]</f>
        <v>101.629</v>
      </c>
      <c r="E86" s="34">
        <f>TBL_CalcDarwin[[#This Row],[PLOM MW TOTAL BARRA A]]+TBL_CalcDarwin[[#This Row],[PLOM MW TOTAL BARRA B]]</f>
        <v>98.066000000000003</v>
      </c>
      <c r="F86" s="34">
        <f>TBL_CalcDarwin[[#This Row],[PLOME MW TOTAL BARRA A]]+TBL_CalcDarwin[[#This Row],[PLOME MW TOTAL BARRA B]]</f>
        <v>3.5630000000000002</v>
      </c>
      <c r="G86" s="48">
        <f>'Plantilla Datos'!D91</f>
        <v>6.3</v>
      </c>
      <c r="H86" s="48">
        <f>'Plantilla Datos'!E91</f>
        <v>7.9</v>
      </c>
      <c r="I86" s="49">
        <f>'Plantilla Datos'!F91</f>
        <v>19.7</v>
      </c>
      <c r="J86" s="47">
        <f>CEILING('Plantilla Datos'!$L$3*TBL_CalcDarwin[[#This Row],[Darwin Gusts
m/s]],0.5)</f>
        <v>6</v>
      </c>
      <c r="K86" s="47">
        <f>CEILING('Plantilla Datos'!$L$4*TBL_CalcDarwin[[#This Row],[Darwin Gusts
m/s]],0.5)</f>
        <v>7</v>
      </c>
      <c r="L86" s="47">
        <f>CEILING(TBL_CalcDarwin[[#This Row],[Darwin Gusts
m/s]],0.5)</f>
        <v>8</v>
      </c>
      <c r="M8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5.0119999999999996</v>
      </c>
      <c r="N8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8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8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86" s="41">
        <f>INDEX(Curva_Temp[Temp],MATCH(TBL_CalcDarwin[[#This Row],[Darwin Temp.
°C]],Curva_Temp[Temp]))</f>
        <v>15</v>
      </c>
      <c r="R86" s="41">
        <f>INDEX(Curva_Temp[Warranted Power Curve for 
1.194Kg/m3 air density '[kW']
SG 5.0-145 (AM+1, 5.2MW) AT 
90M],MATCH(TBL_CalcDarwin[[#This Row],[Darwin Temp.
°C]],Curva_Temp[Temp]))</f>
        <v>5200</v>
      </c>
      <c r="S86" s="41" cm="1">
        <f t="array" ref="S86">INDEX(Curva_Temp[Temp],MATCH(TBL_CalcDarwin[[#This Row],[Darwin Temp.
°C]],Curva_Temp[Temp])+1)</f>
        <v>20</v>
      </c>
      <c r="T86" s="41" cm="1">
        <f t="array" ref="T86">INDEX(Curva_Temp[Warranted Power Curve for 
1.194Kg/m3 air density '[kW']
SG 5.0-145 (AM+1, 5.2MW) AT 
90M],MATCH(TBL_CalcDarwin[[#This Row],[Darwin Temp.
°C]],Curva_Temp[Temp])+1)</f>
        <v>5000</v>
      </c>
      <c r="U8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8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8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86" s="41">
        <f>INDEX(Curva_Temp[Temp],MATCH(TBL_CalcDarwin[[#This Row],[Darwin Temp.
°C]],Curva_Temp[Temp]))</f>
        <v>15</v>
      </c>
      <c r="Z86" s="41">
        <f>INDEX(Curva_Temp[Warranted Power Curve for 
1.194Kg/m3 air density '[kW']
SG 5.0-145 (AM 0, 5.0MW) AT 
90M],MATCH(TBL_CalcDarwin[[#This Row],[Darwin Temp.
°C]],Curva_Temp[Temp]))</f>
        <v>5000</v>
      </c>
      <c r="AA86" s="41" cm="1">
        <f t="array" ref="AA86">INDEX(Curva_Temp[Temp],MATCH(TBL_CalcDarwin[[#This Row],[Darwin Temp.
°C]],Curva_Temp[Temp])+1)</f>
        <v>20</v>
      </c>
      <c r="AB86" s="41" cm="1">
        <f t="array" ref="AB86">INDEX(Curva_Temp[Warranted Power Curve for 
1.194Kg/m3 air density '[kW']
SG 5.0-145 (AM 0, 5.0MW) AT 
90M],MATCH(TBL_CalcDarwin[[#This Row],[Darwin Temp.
°C]],Curva_Temp[Temp])+1)</f>
        <v>5000</v>
      </c>
      <c r="AC86" s="45">
        <f>HLOOKUP(TBL_CalcDarwin[[#This Row],[Fecha]],'Plantilla AEG ES'!$E$1:$HX$13,2,FALSE)</f>
        <v>5</v>
      </c>
      <c r="AD86" s="45">
        <f>HLOOKUP(TBL_CalcDarwin[[#This Row],[Fecha]],'Plantilla AEG ES'!$E$1:$HX$13,3,FALSE)</f>
        <v>8</v>
      </c>
      <c r="AE86" s="45">
        <f>HLOOKUP(TBL_CalcDarwin[[#This Row],[Fecha]],'Plantilla AEG ES'!$E$1:$HX$13,4,FALSE)</f>
        <v>12</v>
      </c>
      <c r="AF86" s="45">
        <f>HLOOKUP(TBL_CalcDarwin[[#This Row],[Fecha]],'Plantilla AEG ES'!$E$1:$HX$13,5,FALSE)</f>
        <v>1</v>
      </c>
      <c r="AG86" s="45">
        <f>HLOOKUP(TBL_CalcDarwin[[#This Row],[Fecha]],'Plantilla AEG ES'!$E$1:$HX$13,6,FALSE)</f>
        <v>1</v>
      </c>
      <c r="AH86" s="45">
        <f>HLOOKUP(TBL_CalcDarwin[[#This Row],[Fecha]],'Plantilla AEG ES'!$E$1:$HX$13,7,FALSE)</f>
        <v>0</v>
      </c>
      <c r="AI86" s="46">
        <f>HLOOKUP(TBL_CalcDarwin[[#This Row],[Fecha]],'Plantilla AEG ES'!$E$1:$HX$13,8,FALSE)</f>
        <v>0</v>
      </c>
      <c r="AJ86" s="46">
        <f>HLOOKUP(TBL_CalcDarwin[[#This Row],[Fecha]],'Plantilla AEG ES'!$E$1:$HX$13,9,FALSE)</f>
        <v>3</v>
      </c>
      <c r="AK86" s="46">
        <f>HLOOKUP(TBL_CalcDarwin[[#This Row],[Fecha]],'Plantilla AEG ES'!$E$1:$HX$13,10,FALSE)</f>
        <v>12</v>
      </c>
      <c r="AL86" s="46">
        <f>HLOOKUP(TBL_CalcDarwin[[#This Row],[Fecha]],'Plantilla AEG ES'!$E$1:$HX$13,11,FALSE)</f>
        <v>1</v>
      </c>
      <c r="AM86" s="46">
        <f>HLOOKUP(TBL_CalcDarwin[[#This Row],[Fecha]],'Plantilla AEG ES'!$E$1:$HX$13,12,FALSE)</f>
        <v>7</v>
      </c>
      <c r="AN86" s="46">
        <f>HLOOKUP(TBL_CalcDarwin[[#This Row],[Fecha]],'Plantilla AEG ES'!$E$1:$HX$13,13,FALSE)</f>
        <v>1</v>
      </c>
      <c r="AO86" s="37">
        <f>TBL_CalcDarwin[[#This Row],[Lomitas - Barra A - 5.2 - Cerro]]+TBL_CalcDarwin[[#This Row],[Lomitas - Barra A - 5.2 - Medio]]+TBL_CalcDarwin[[#This Row],[Lomitas - Barra A - 5.2 - Mar]]</f>
        <v>25</v>
      </c>
      <c r="AP8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8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86" s="37">
        <f>TBL_CalcDarwin[[#This Row],[Expansión - Barra A - 5.2 - Cerro]]+TBL_CalcDarwin[[#This Row],[Expansión - Barra A - 5.2 - Medio]]+TBL_CalcDarwin[[#This Row],[Expansión - Barra A - 5.2 - Mar]]</f>
        <v>2</v>
      </c>
      <c r="AT86" s="37">
        <f>TBL_CalcDarwin[[#This Row],[Expansión - Barra B - 5.2 - Cerro]]</f>
        <v>1</v>
      </c>
      <c r="AU8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86" s="29">
        <f>TBL_CalcDarwin[[#This Row],[Expansión - Barra B - 5.2 - Cerro]]*TBL_CalcDarwin[[#This Row],[AEG 5.2 MW Cerro]]</f>
        <v>0.98299999999999998</v>
      </c>
      <c r="AZ86" s="18"/>
      <c r="BA86" s="18"/>
      <c r="BB86" s="18"/>
      <c r="BC86" s="18"/>
      <c r="BD86" s="18"/>
      <c r="BE86" s="18"/>
      <c r="BF86" s="18"/>
    </row>
    <row r="87" spans="2:58" ht="12" x14ac:dyDescent="0.2">
      <c r="B87" s="55">
        <f t="shared" si="6"/>
        <v>45616.541666666468</v>
      </c>
      <c r="C87" s="17">
        <f t="shared" si="8"/>
        <v>3.5416666666666625</v>
      </c>
      <c r="D87" s="34">
        <f>TBL_CalcDarwin[[#This Row],[Darwin PLOM
MW]]+TBL_CalcDarwin[[#This Row],[Darwin PLOME
MW]]</f>
        <v>116.11200000000001</v>
      </c>
      <c r="E87" s="34">
        <f>TBL_CalcDarwin[[#This Row],[PLOM MW TOTAL BARRA A]]+TBL_CalcDarwin[[#This Row],[PLOM MW TOTAL BARRA B]]</f>
        <v>112.54900000000001</v>
      </c>
      <c r="F87" s="34">
        <f>TBL_CalcDarwin[[#This Row],[PLOME MW TOTAL BARRA A]]+TBL_CalcDarwin[[#This Row],[PLOME MW TOTAL BARRA B]]</f>
        <v>3.5630000000000002</v>
      </c>
      <c r="G87" s="48">
        <f>'Plantilla Datos'!D92</f>
        <v>6.5</v>
      </c>
      <c r="H87" s="48">
        <f>'Plantilla Datos'!E92</f>
        <v>8.1999999999999993</v>
      </c>
      <c r="I87" s="49">
        <f>'Plantilla Datos'!F92</f>
        <v>19.8</v>
      </c>
      <c r="J87" s="47">
        <f>CEILING('Plantilla Datos'!$L$3*TBL_CalcDarwin[[#This Row],[Darwin Gusts
m/s]],0.5)</f>
        <v>6</v>
      </c>
      <c r="K87" s="47">
        <f>CEILING('Plantilla Datos'!$L$4*TBL_CalcDarwin[[#This Row],[Darwin Gusts
m/s]],0.5)</f>
        <v>7</v>
      </c>
      <c r="L87" s="47">
        <f>CEILING(TBL_CalcDarwin[[#This Row],[Darwin Gusts
m/s]],0.5)</f>
        <v>8.5</v>
      </c>
      <c r="M8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5.008</v>
      </c>
      <c r="N8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8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8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87" s="41">
        <f>INDEX(Curva_Temp[Temp],MATCH(TBL_CalcDarwin[[#This Row],[Darwin Temp.
°C]],Curva_Temp[Temp]))</f>
        <v>15</v>
      </c>
      <c r="R87" s="41">
        <f>INDEX(Curva_Temp[Warranted Power Curve for 
1.194Kg/m3 air density '[kW']
SG 5.0-145 (AM+1, 5.2MW) AT 
90M],MATCH(TBL_CalcDarwin[[#This Row],[Darwin Temp.
°C]],Curva_Temp[Temp]))</f>
        <v>5200</v>
      </c>
      <c r="S87" s="41" cm="1">
        <f t="array" ref="S87">INDEX(Curva_Temp[Temp],MATCH(TBL_CalcDarwin[[#This Row],[Darwin Temp.
°C]],Curva_Temp[Temp])+1)</f>
        <v>20</v>
      </c>
      <c r="T87" s="41" cm="1">
        <f t="array" ref="T87">INDEX(Curva_Temp[Warranted Power Curve for 
1.194Kg/m3 air density '[kW']
SG 5.0-145 (AM+1, 5.2MW) AT 
90M],MATCH(TBL_CalcDarwin[[#This Row],[Darwin Temp.
°C]],Curva_Temp[Temp])+1)</f>
        <v>5000</v>
      </c>
      <c r="U8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8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8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87" s="41">
        <f>INDEX(Curva_Temp[Temp],MATCH(TBL_CalcDarwin[[#This Row],[Darwin Temp.
°C]],Curva_Temp[Temp]))</f>
        <v>15</v>
      </c>
      <c r="Z87" s="41">
        <f>INDEX(Curva_Temp[Warranted Power Curve for 
1.194Kg/m3 air density '[kW']
SG 5.0-145 (AM 0, 5.0MW) AT 
90M],MATCH(TBL_CalcDarwin[[#This Row],[Darwin Temp.
°C]],Curva_Temp[Temp]))</f>
        <v>5000</v>
      </c>
      <c r="AA87" s="41" cm="1">
        <f t="array" ref="AA87">INDEX(Curva_Temp[Temp],MATCH(TBL_CalcDarwin[[#This Row],[Darwin Temp.
°C]],Curva_Temp[Temp])+1)</f>
        <v>20</v>
      </c>
      <c r="AB87" s="41" cm="1">
        <f t="array" ref="AB87">INDEX(Curva_Temp[Warranted Power Curve for 
1.194Kg/m3 air density '[kW']
SG 5.0-145 (AM 0, 5.0MW) AT 
90M],MATCH(TBL_CalcDarwin[[#This Row],[Darwin Temp.
°C]],Curva_Temp[Temp])+1)</f>
        <v>5000</v>
      </c>
      <c r="AC87" s="45">
        <f>HLOOKUP(TBL_CalcDarwin[[#This Row],[Fecha]],'Plantilla AEG ES'!$E$1:$HX$13,2,FALSE)</f>
        <v>5</v>
      </c>
      <c r="AD87" s="45">
        <f>HLOOKUP(TBL_CalcDarwin[[#This Row],[Fecha]],'Plantilla AEG ES'!$E$1:$HX$13,3,FALSE)</f>
        <v>8</v>
      </c>
      <c r="AE87" s="45">
        <f>HLOOKUP(TBL_CalcDarwin[[#This Row],[Fecha]],'Plantilla AEG ES'!$E$1:$HX$13,4,FALSE)</f>
        <v>12</v>
      </c>
      <c r="AF87" s="45">
        <f>HLOOKUP(TBL_CalcDarwin[[#This Row],[Fecha]],'Plantilla AEG ES'!$E$1:$HX$13,5,FALSE)</f>
        <v>1</v>
      </c>
      <c r="AG87" s="45">
        <f>HLOOKUP(TBL_CalcDarwin[[#This Row],[Fecha]],'Plantilla AEG ES'!$E$1:$HX$13,6,FALSE)</f>
        <v>1</v>
      </c>
      <c r="AH87" s="45">
        <f>HLOOKUP(TBL_CalcDarwin[[#This Row],[Fecha]],'Plantilla AEG ES'!$E$1:$HX$13,7,FALSE)</f>
        <v>0</v>
      </c>
      <c r="AI87" s="46">
        <f>HLOOKUP(TBL_CalcDarwin[[#This Row],[Fecha]],'Plantilla AEG ES'!$E$1:$HX$13,8,FALSE)</f>
        <v>0</v>
      </c>
      <c r="AJ87" s="46">
        <f>HLOOKUP(TBL_CalcDarwin[[#This Row],[Fecha]],'Plantilla AEG ES'!$E$1:$HX$13,9,FALSE)</f>
        <v>3</v>
      </c>
      <c r="AK87" s="46">
        <f>HLOOKUP(TBL_CalcDarwin[[#This Row],[Fecha]],'Plantilla AEG ES'!$E$1:$HX$13,10,FALSE)</f>
        <v>12</v>
      </c>
      <c r="AL87" s="46">
        <f>HLOOKUP(TBL_CalcDarwin[[#This Row],[Fecha]],'Plantilla AEG ES'!$E$1:$HX$13,11,FALSE)</f>
        <v>1</v>
      </c>
      <c r="AM87" s="46">
        <f>HLOOKUP(TBL_CalcDarwin[[#This Row],[Fecha]],'Plantilla AEG ES'!$E$1:$HX$13,12,FALSE)</f>
        <v>7</v>
      </c>
      <c r="AN87" s="46">
        <f>HLOOKUP(TBL_CalcDarwin[[#This Row],[Fecha]],'Plantilla AEG ES'!$E$1:$HX$13,13,FALSE)</f>
        <v>1</v>
      </c>
      <c r="AO87" s="37">
        <f>TBL_CalcDarwin[[#This Row],[Lomitas - Barra A - 5.2 - Cerro]]+TBL_CalcDarwin[[#This Row],[Lomitas - Barra A - 5.2 - Medio]]+TBL_CalcDarwin[[#This Row],[Lomitas - Barra A - 5.2 - Mar]]</f>
        <v>25</v>
      </c>
      <c r="AP8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52.227000000000004</v>
      </c>
      <c r="AR8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87" s="37">
        <f>TBL_CalcDarwin[[#This Row],[Expansión - Barra A - 5.2 - Cerro]]+TBL_CalcDarwin[[#This Row],[Expansión - Barra A - 5.2 - Medio]]+TBL_CalcDarwin[[#This Row],[Expansión - Barra A - 5.2 - Mar]]</f>
        <v>2</v>
      </c>
      <c r="AT87" s="37">
        <f>TBL_CalcDarwin[[#This Row],[Expansión - Barra B - 5.2 - Cerro]]</f>
        <v>1</v>
      </c>
      <c r="AU8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87" s="29">
        <f>TBL_CalcDarwin[[#This Row],[Expansión - Barra B - 5.2 - Cerro]]*TBL_CalcDarwin[[#This Row],[AEG 5.2 MW Cerro]]</f>
        <v>0.98299999999999998</v>
      </c>
      <c r="AZ87" s="18"/>
      <c r="BA87" s="18"/>
      <c r="BB87" s="18"/>
      <c r="BC87" s="18"/>
      <c r="BD87" s="18"/>
      <c r="BE87" s="18"/>
      <c r="BF87" s="18"/>
    </row>
    <row r="88" spans="2:58" ht="12" x14ac:dyDescent="0.2">
      <c r="B88" s="55">
        <f t="shared" si="6"/>
        <v>45616.583333333132</v>
      </c>
      <c r="C88" s="17">
        <f t="shared" si="8"/>
        <v>3.583333333333329</v>
      </c>
      <c r="D88" s="34">
        <f>TBL_CalcDarwin[[#This Row],[Darwin PLOM
MW]]+TBL_CalcDarwin[[#This Row],[Darwin PLOME
MW]]</f>
        <v>116.11200000000001</v>
      </c>
      <c r="E88" s="34">
        <f>TBL_CalcDarwin[[#This Row],[PLOM MW TOTAL BARRA A]]+TBL_CalcDarwin[[#This Row],[PLOM MW TOTAL BARRA B]]</f>
        <v>112.54900000000001</v>
      </c>
      <c r="F88" s="34">
        <f>TBL_CalcDarwin[[#This Row],[PLOME MW TOTAL BARRA A]]+TBL_CalcDarwin[[#This Row],[PLOME MW TOTAL BARRA B]]</f>
        <v>3.5630000000000002</v>
      </c>
      <c r="G88" s="48">
        <f>'Plantilla Datos'!D93</f>
        <v>6.4</v>
      </c>
      <c r="H88" s="48">
        <f>'Plantilla Datos'!E93</f>
        <v>8.1</v>
      </c>
      <c r="I88" s="49">
        <f>'Plantilla Datos'!F93</f>
        <v>19.399999999999999</v>
      </c>
      <c r="J88" s="47">
        <f>CEILING('Plantilla Datos'!$L$3*TBL_CalcDarwin[[#This Row],[Darwin Gusts
m/s]],0.5)</f>
        <v>6</v>
      </c>
      <c r="K88" s="47">
        <f>CEILING('Plantilla Datos'!$L$4*TBL_CalcDarwin[[#This Row],[Darwin Gusts
m/s]],0.5)</f>
        <v>7</v>
      </c>
      <c r="L88" s="47">
        <f>CEILING(TBL_CalcDarwin[[#This Row],[Darwin Gusts
m/s]],0.5)</f>
        <v>8.5</v>
      </c>
      <c r="M8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5.024</v>
      </c>
      <c r="N8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8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8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88" s="41">
        <f>INDEX(Curva_Temp[Temp],MATCH(TBL_CalcDarwin[[#This Row],[Darwin Temp.
°C]],Curva_Temp[Temp]))</f>
        <v>15</v>
      </c>
      <c r="R88" s="41">
        <f>INDEX(Curva_Temp[Warranted Power Curve for 
1.194Kg/m3 air density '[kW']
SG 5.0-145 (AM+1, 5.2MW) AT 
90M],MATCH(TBL_CalcDarwin[[#This Row],[Darwin Temp.
°C]],Curva_Temp[Temp]))</f>
        <v>5200</v>
      </c>
      <c r="S88" s="41" cm="1">
        <f t="array" ref="S88">INDEX(Curva_Temp[Temp],MATCH(TBL_CalcDarwin[[#This Row],[Darwin Temp.
°C]],Curva_Temp[Temp])+1)</f>
        <v>20</v>
      </c>
      <c r="T88" s="41" cm="1">
        <f t="array" ref="T88">INDEX(Curva_Temp[Warranted Power Curve for 
1.194Kg/m3 air density '[kW']
SG 5.0-145 (AM+1, 5.2MW) AT 
90M],MATCH(TBL_CalcDarwin[[#This Row],[Darwin Temp.
°C]],Curva_Temp[Temp])+1)</f>
        <v>5000</v>
      </c>
      <c r="U8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8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8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88" s="41">
        <f>INDEX(Curva_Temp[Temp],MATCH(TBL_CalcDarwin[[#This Row],[Darwin Temp.
°C]],Curva_Temp[Temp]))</f>
        <v>15</v>
      </c>
      <c r="Z88" s="41">
        <f>INDEX(Curva_Temp[Warranted Power Curve for 
1.194Kg/m3 air density '[kW']
SG 5.0-145 (AM 0, 5.0MW) AT 
90M],MATCH(TBL_CalcDarwin[[#This Row],[Darwin Temp.
°C]],Curva_Temp[Temp]))</f>
        <v>5000</v>
      </c>
      <c r="AA88" s="41" cm="1">
        <f t="array" ref="AA88">INDEX(Curva_Temp[Temp],MATCH(TBL_CalcDarwin[[#This Row],[Darwin Temp.
°C]],Curva_Temp[Temp])+1)</f>
        <v>20</v>
      </c>
      <c r="AB88" s="41" cm="1">
        <f t="array" ref="AB88">INDEX(Curva_Temp[Warranted Power Curve for 
1.194Kg/m3 air density '[kW']
SG 5.0-145 (AM 0, 5.0MW) AT 
90M],MATCH(TBL_CalcDarwin[[#This Row],[Darwin Temp.
°C]],Curva_Temp[Temp])+1)</f>
        <v>5000</v>
      </c>
      <c r="AC88" s="45">
        <f>HLOOKUP(TBL_CalcDarwin[[#This Row],[Fecha]],'Plantilla AEG ES'!$E$1:$HX$13,2,FALSE)</f>
        <v>5</v>
      </c>
      <c r="AD88" s="45">
        <f>HLOOKUP(TBL_CalcDarwin[[#This Row],[Fecha]],'Plantilla AEG ES'!$E$1:$HX$13,3,FALSE)</f>
        <v>8</v>
      </c>
      <c r="AE88" s="45">
        <f>HLOOKUP(TBL_CalcDarwin[[#This Row],[Fecha]],'Plantilla AEG ES'!$E$1:$HX$13,4,FALSE)</f>
        <v>12</v>
      </c>
      <c r="AF88" s="45">
        <f>HLOOKUP(TBL_CalcDarwin[[#This Row],[Fecha]],'Plantilla AEG ES'!$E$1:$HX$13,5,FALSE)</f>
        <v>1</v>
      </c>
      <c r="AG88" s="45">
        <f>HLOOKUP(TBL_CalcDarwin[[#This Row],[Fecha]],'Plantilla AEG ES'!$E$1:$HX$13,6,FALSE)</f>
        <v>1</v>
      </c>
      <c r="AH88" s="45">
        <f>HLOOKUP(TBL_CalcDarwin[[#This Row],[Fecha]],'Plantilla AEG ES'!$E$1:$HX$13,7,FALSE)</f>
        <v>0</v>
      </c>
      <c r="AI88" s="46">
        <f>HLOOKUP(TBL_CalcDarwin[[#This Row],[Fecha]],'Plantilla AEG ES'!$E$1:$HX$13,8,FALSE)</f>
        <v>0</v>
      </c>
      <c r="AJ88" s="46">
        <f>HLOOKUP(TBL_CalcDarwin[[#This Row],[Fecha]],'Plantilla AEG ES'!$E$1:$HX$13,9,FALSE)</f>
        <v>3</v>
      </c>
      <c r="AK88" s="46">
        <f>HLOOKUP(TBL_CalcDarwin[[#This Row],[Fecha]],'Plantilla AEG ES'!$E$1:$HX$13,10,FALSE)</f>
        <v>12</v>
      </c>
      <c r="AL88" s="46">
        <f>HLOOKUP(TBL_CalcDarwin[[#This Row],[Fecha]],'Plantilla AEG ES'!$E$1:$HX$13,11,FALSE)</f>
        <v>1</v>
      </c>
      <c r="AM88" s="46">
        <f>HLOOKUP(TBL_CalcDarwin[[#This Row],[Fecha]],'Plantilla AEG ES'!$E$1:$HX$13,12,FALSE)</f>
        <v>7</v>
      </c>
      <c r="AN88" s="46">
        <f>HLOOKUP(TBL_CalcDarwin[[#This Row],[Fecha]],'Plantilla AEG ES'!$E$1:$HX$13,13,FALSE)</f>
        <v>1</v>
      </c>
      <c r="AO88" s="37">
        <f>TBL_CalcDarwin[[#This Row],[Lomitas - Barra A - 5.2 - Cerro]]+TBL_CalcDarwin[[#This Row],[Lomitas - Barra A - 5.2 - Medio]]+TBL_CalcDarwin[[#This Row],[Lomitas - Barra A - 5.2 - Mar]]</f>
        <v>25</v>
      </c>
      <c r="AP8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52.227000000000004</v>
      </c>
      <c r="AR8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88" s="37">
        <f>TBL_CalcDarwin[[#This Row],[Expansión - Barra A - 5.2 - Cerro]]+TBL_CalcDarwin[[#This Row],[Expansión - Barra A - 5.2 - Medio]]+TBL_CalcDarwin[[#This Row],[Expansión - Barra A - 5.2 - Mar]]</f>
        <v>2</v>
      </c>
      <c r="AT88" s="37">
        <f>TBL_CalcDarwin[[#This Row],[Expansión - Barra B - 5.2 - Cerro]]</f>
        <v>1</v>
      </c>
      <c r="AU8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88" s="29">
        <f>TBL_CalcDarwin[[#This Row],[Expansión - Barra B - 5.2 - Cerro]]*TBL_CalcDarwin[[#This Row],[AEG 5.2 MW Cerro]]</f>
        <v>0.98299999999999998</v>
      </c>
      <c r="AZ88" s="18"/>
      <c r="BA88" s="18"/>
      <c r="BB88" s="18"/>
      <c r="BC88" s="18"/>
      <c r="BD88" s="18"/>
      <c r="BE88" s="18"/>
      <c r="BF88" s="18"/>
    </row>
    <row r="89" spans="2:58" ht="12" x14ac:dyDescent="0.2">
      <c r="B89" s="55">
        <f t="shared" si="6"/>
        <v>45616.624999999796</v>
      </c>
      <c r="C89" s="17">
        <f t="shared" si="8"/>
        <v>3.6249999999999956</v>
      </c>
      <c r="D89" s="34">
        <f>TBL_CalcDarwin[[#This Row],[Darwin PLOM
MW]]+TBL_CalcDarwin[[#This Row],[Darwin PLOME
MW]]</f>
        <v>101.629</v>
      </c>
      <c r="E89" s="34">
        <f>TBL_CalcDarwin[[#This Row],[PLOM MW TOTAL BARRA A]]+TBL_CalcDarwin[[#This Row],[PLOM MW TOTAL BARRA B]]</f>
        <v>98.066000000000003</v>
      </c>
      <c r="F89" s="34">
        <f>TBL_CalcDarwin[[#This Row],[PLOME MW TOTAL BARRA A]]+TBL_CalcDarwin[[#This Row],[PLOME MW TOTAL BARRA B]]</f>
        <v>3.5630000000000002</v>
      </c>
      <c r="G89" s="48">
        <f>'Plantilla Datos'!D94</f>
        <v>6.3</v>
      </c>
      <c r="H89" s="48">
        <f>'Plantilla Datos'!E94</f>
        <v>7.9</v>
      </c>
      <c r="I89" s="49">
        <f>'Plantilla Datos'!F94</f>
        <v>19</v>
      </c>
      <c r="J89" s="47">
        <f>CEILING('Plantilla Datos'!$L$3*TBL_CalcDarwin[[#This Row],[Darwin Gusts
m/s]],0.5)</f>
        <v>6</v>
      </c>
      <c r="K89" s="47">
        <f>CEILING('Plantilla Datos'!$L$4*TBL_CalcDarwin[[#This Row],[Darwin Gusts
m/s]],0.5)</f>
        <v>7</v>
      </c>
      <c r="L89" s="47">
        <f>CEILING(TBL_CalcDarwin[[#This Row],[Darwin Gusts
m/s]],0.5)</f>
        <v>8</v>
      </c>
      <c r="M8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</v>
      </c>
      <c r="N8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8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8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89" s="41">
        <f>INDEX(Curva_Temp[Temp],MATCH(TBL_CalcDarwin[[#This Row],[Darwin Temp.
°C]],Curva_Temp[Temp]))</f>
        <v>15</v>
      </c>
      <c r="R89" s="41">
        <f>INDEX(Curva_Temp[Warranted Power Curve for 
1.194Kg/m3 air density '[kW']
SG 5.0-145 (AM+1, 5.2MW) AT 
90M],MATCH(TBL_CalcDarwin[[#This Row],[Darwin Temp.
°C]],Curva_Temp[Temp]))</f>
        <v>5200</v>
      </c>
      <c r="S89" s="41" cm="1">
        <f t="array" ref="S89">INDEX(Curva_Temp[Temp],MATCH(TBL_CalcDarwin[[#This Row],[Darwin Temp.
°C]],Curva_Temp[Temp])+1)</f>
        <v>20</v>
      </c>
      <c r="T89" s="41" cm="1">
        <f t="array" ref="T89">INDEX(Curva_Temp[Warranted Power Curve for 
1.194Kg/m3 air density '[kW']
SG 5.0-145 (AM+1, 5.2MW) AT 
90M],MATCH(TBL_CalcDarwin[[#This Row],[Darwin Temp.
°C]],Curva_Temp[Temp])+1)</f>
        <v>5000</v>
      </c>
      <c r="U8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8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8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89" s="41">
        <f>INDEX(Curva_Temp[Temp],MATCH(TBL_CalcDarwin[[#This Row],[Darwin Temp.
°C]],Curva_Temp[Temp]))</f>
        <v>15</v>
      </c>
      <c r="Z89" s="41">
        <f>INDEX(Curva_Temp[Warranted Power Curve for 
1.194Kg/m3 air density '[kW']
SG 5.0-145 (AM 0, 5.0MW) AT 
90M],MATCH(TBL_CalcDarwin[[#This Row],[Darwin Temp.
°C]],Curva_Temp[Temp]))</f>
        <v>5000</v>
      </c>
      <c r="AA89" s="41" cm="1">
        <f t="array" ref="AA89">INDEX(Curva_Temp[Temp],MATCH(TBL_CalcDarwin[[#This Row],[Darwin Temp.
°C]],Curva_Temp[Temp])+1)</f>
        <v>20</v>
      </c>
      <c r="AB89" s="41" cm="1">
        <f t="array" ref="AB89">INDEX(Curva_Temp[Warranted Power Curve for 
1.194Kg/m3 air density '[kW']
SG 5.0-145 (AM 0, 5.0MW) AT 
90M],MATCH(TBL_CalcDarwin[[#This Row],[Darwin Temp.
°C]],Curva_Temp[Temp])+1)</f>
        <v>5000</v>
      </c>
      <c r="AC89" s="45">
        <f>HLOOKUP(TBL_CalcDarwin[[#This Row],[Fecha]],'Plantilla AEG ES'!$E$1:$HX$13,2,FALSE)</f>
        <v>5</v>
      </c>
      <c r="AD89" s="45">
        <f>HLOOKUP(TBL_CalcDarwin[[#This Row],[Fecha]],'Plantilla AEG ES'!$E$1:$HX$13,3,FALSE)</f>
        <v>8</v>
      </c>
      <c r="AE89" s="45">
        <f>HLOOKUP(TBL_CalcDarwin[[#This Row],[Fecha]],'Plantilla AEG ES'!$E$1:$HX$13,4,FALSE)</f>
        <v>12</v>
      </c>
      <c r="AF89" s="45">
        <f>HLOOKUP(TBL_CalcDarwin[[#This Row],[Fecha]],'Plantilla AEG ES'!$E$1:$HX$13,5,FALSE)</f>
        <v>1</v>
      </c>
      <c r="AG89" s="45">
        <f>HLOOKUP(TBL_CalcDarwin[[#This Row],[Fecha]],'Plantilla AEG ES'!$E$1:$HX$13,6,FALSE)</f>
        <v>1</v>
      </c>
      <c r="AH89" s="45">
        <f>HLOOKUP(TBL_CalcDarwin[[#This Row],[Fecha]],'Plantilla AEG ES'!$E$1:$HX$13,7,FALSE)</f>
        <v>0</v>
      </c>
      <c r="AI89" s="46">
        <f>HLOOKUP(TBL_CalcDarwin[[#This Row],[Fecha]],'Plantilla AEG ES'!$E$1:$HX$13,8,FALSE)</f>
        <v>0</v>
      </c>
      <c r="AJ89" s="46">
        <f>HLOOKUP(TBL_CalcDarwin[[#This Row],[Fecha]],'Plantilla AEG ES'!$E$1:$HX$13,9,FALSE)</f>
        <v>3</v>
      </c>
      <c r="AK89" s="46">
        <f>HLOOKUP(TBL_CalcDarwin[[#This Row],[Fecha]],'Plantilla AEG ES'!$E$1:$HX$13,10,FALSE)</f>
        <v>12</v>
      </c>
      <c r="AL89" s="46">
        <f>HLOOKUP(TBL_CalcDarwin[[#This Row],[Fecha]],'Plantilla AEG ES'!$E$1:$HX$13,11,FALSE)</f>
        <v>1</v>
      </c>
      <c r="AM89" s="46">
        <f>HLOOKUP(TBL_CalcDarwin[[#This Row],[Fecha]],'Plantilla AEG ES'!$E$1:$HX$13,12,FALSE)</f>
        <v>7</v>
      </c>
      <c r="AN89" s="46">
        <f>HLOOKUP(TBL_CalcDarwin[[#This Row],[Fecha]],'Plantilla AEG ES'!$E$1:$HX$13,13,FALSE)</f>
        <v>1</v>
      </c>
      <c r="AO89" s="37">
        <f>TBL_CalcDarwin[[#This Row],[Lomitas - Barra A - 5.2 - Cerro]]+TBL_CalcDarwin[[#This Row],[Lomitas - Barra A - 5.2 - Medio]]+TBL_CalcDarwin[[#This Row],[Lomitas - Barra A - 5.2 - Mar]]</f>
        <v>25</v>
      </c>
      <c r="AP8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8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89" s="37">
        <f>TBL_CalcDarwin[[#This Row],[Expansión - Barra A - 5.2 - Cerro]]+TBL_CalcDarwin[[#This Row],[Expansión - Barra A - 5.2 - Medio]]+TBL_CalcDarwin[[#This Row],[Expansión - Barra A - 5.2 - Mar]]</f>
        <v>2</v>
      </c>
      <c r="AT89" s="37">
        <f>TBL_CalcDarwin[[#This Row],[Expansión - Barra B - 5.2 - Cerro]]</f>
        <v>1</v>
      </c>
      <c r="AU8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89" s="29">
        <f>TBL_CalcDarwin[[#This Row],[Expansión - Barra B - 5.2 - Cerro]]*TBL_CalcDarwin[[#This Row],[AEG 5.2 MW Cerro]]</f>
        <v>0.98299999999999998</v>
      </c>
      <c r="AZ89" s="18"/>
      <c r="BA89" s="18"/>
      <c r="BB89" s="18"/>
      <c r="BC89" s="18"/>
      <c r="BD89" s="18"/>
      <c r="BE89" s="18"/>
      <c r="BF89" s="18"/>
    </row>
    <row r="90" spans="2:58" ht="12" x14ac:dyDescent="0.2">
      <c r="B90" s="55">
        <f t="shared" si="6"/>
        <v>45616.666666666461</v>
      </c>
      <c r="C90" s="17">
        <f t="shared" si="8"/>
        <v>3.6666666666666621</v>
      </c>
      <c r="D90" s="34">
        <f>TBL_CalcDarwin[[#This Row],[Darwin PLOM
MW]]+TBL_CalcDarwin[[#This Row],[Darwin PLOME
MW]]</f>
        <v>101.629</v>
      </c>
      <c r="E90" s="34">
        <f>TBL_CalcDarwin[[#This Row],[PLOM MW TOTAL BARRA A]]+TBL_CalcDarwin[[#This Row],[PLOM MW TOTAL BARRA B]]</f>
        <v>98.066000000000003</v>
      </c>
      <c r="F90" s="34">
        <f>TBL_CalcDarwin[[#This Row],[PLOME MW TOTAL BARRA A]]+TBL_CalcDarwin[[#This Row],[PLOME MW TOTAL BARRA B]]</f>
        <v>3.5630000000000002</v>
      </c>
      <c r="G90" s="48">
        <f>'Plantilla Datos'!D95</f>
        <v>6.1</v>
      </c>
      <c r="H90" s="48">
        <f>'Plantilla Datos'!E95</f>
        <v>7.8</v>
      </c>
      <c r="I90" s="49">
        <f>'Plantilla Datos'!F95</f>
        <v>18.600000000000001</v>
      </c>
      <c r="J90" s="47">
        <f>CEILING('Plantilla Datos'!$L$3*TBL_CalcDarwin[[#This Row],[Darwin Gusts
m/s]],0.5)</f>
        <v>6</v>
      </c>
      <c r="K90" s="47">
        <f>CEILING('Plantilla Datos'!$L$4*TBL_CalcDarwin[[#This Row],[Darwin Gusts
m/s]],0.5)</f>
        <v>7</v>
      </c>
      <c r="L90" s="47">
        <f>CEILING(TBL_CalcDarwin[[#This Row],[Darwin Gusts
m/s]],0.5)</f>
        <v>8</v>
      </c>
      <c r="M9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5.056</v>
      </c>
      <c r="N9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9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9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90" s="41">
        <f>INDEX(Curva_Temp[Temp],MATCH(TBL_CalcDarwin[[#This Row],[Darwin Temp.
°C]],Curva_Temp[Temp]))</f>
        <v>15</v>
      </c>
      <c r="R90" s="41">
        <f>INDEX(Curva_Temp[Warranted Power Curve for 
1.194Kg/m3 air density '[kW']
SG 5.0-145 (AM+1, 5.2MW) AT 
90M],MATCH(TBL_CalcDarwin[[#This Row],[Darwin Temp.
°C]],Curva_Temp[Temp]))</f>
        <v>5200</v>
      </c>
      <c r="S90" s="41" cm="1">
        <f t="array" ref="S90">INDEX(Curva_Temp[Temp],MATCH(TBL_CalcDarwin[[#This Row],[Darwin Temp.
°C]],Curva_Temp[Temp])+1)</f>
        <v>20</v>
      </c>
      <c r="T90" s="41" cm="1">
        <f t="array" ref="T90">INDEX(Curva_Temp[Warranted Power Curve for 
1.194Kg/m3 air density '[kW']
SG 5.0-145 (AM+1, 5.2MW) AT 
90M],MATCH(TBL_CalcDarwin[[#This Row],[Darwin Temp.
°C]],Curva_Temp[Temp])+1)</f>
        <v>5000</v>
      </c>
      <c r="U9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9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9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90" s="41">
        <f>INDEX(Curva_Temp[Temp],MATCH(TBL_CalcDarwin[[#This Row],[Darwin Temp.
°C]],Curva_Temp[Temp]))</f>
        <v>15</v>
      </c>
      <c r="Z90" s="41">
        <f>INDEX(Curva_Temp[Warranted Power Curve for 
1.194Kg/m3 air density '[kW']
SG 5.0-145 (AM 0, 5.0MW) AT 
90M],MATCH(TBL_CalcDarwin[[#This Row],[Darwin Temp.
°C]],Curva_Temp[Temp]))</f>
        <v>5000</v>
      </c>
      <c r="AA90" s="41" cm="1">
        <f t="array" ref="AA90">INDEX(Curva_Temp[Temp],MATCH(TBL_CalcDarwin[[#This Row],[Darwin Temp.
°C]],Curva_Temp[Temp])+1)</f>
        <v>20</v>
      </c>
      <c r="AB90" s="41" cm="1">
        <f t="array" ref="AB90">INDEX(Curva_Temp[Warranted Power Curve for 
1.194Kg/m3 air density '[kW']
SG 5.0-145 (AM 0, 5.0MW) AT 
90M],MATCH(TBL_CalcDarwin[[#This Row],[Darwin Temp.
°C]],Curva_Temp[Temp])+1)</f>
        <v>5000</v>
      </c>
      <c r="AC90" s="45">
        <f>HLOOKUP(TBL_CalcDarwin[[#This Row],[Fecha]],'Plantilla AEG ES'!$E$1:$HX$13,2,FALSE)</f>
        <v>5</v>
      </c>
      <c r="AD90" s="45">
        <f>HLOOKUP(TBL_CalcDarwin[[#This Row],[Fecha]],'Plantilla AEG ES'!$E$1:$HX$13,3,FALSE)</f>
        <v>8</v>
      </c>
      <c r="AE90" s="45">
        <f>HLOOKUP(TBL_CalcDarwin[[#This Row],[Fecha]],'Plantilla AEG ES'!$E$1:$HX$13,4,FALSE)</f>
        <v>12</v>
      </c>
      <c r="AF90" s="45">
        <f>HLOOKUP(TBL_CalcDarwin[[#This Row],[Fecha]],'Plantilla AEG ES'!$E$1:$HX$13,5,FALSE)</f>
        <v>1</v>
      </c>
      <c r="AG90" s="45">
        <f>HLOOKUP(TBL_CalcDarwin[[#This Row],[Fecha]],'Plantilla AEG ES'!$E$1:$HX$13,6,FALSE)</f>
        <v>1</v>
      </c>
      <c r="AH90" s="45">
        <f>HLOOKUP(TBL_CalcDarwin[[#This Row],[Fecha]],'Plantilla AEG ES'!$E$1:$HX$13,7,FALSE)</f>
        <v>0</v>
      </c>
      <c r="AI90" s="46">
        <f>HLOOKUP(TBL_CalcDarwin[[#This Row],[Fecha]],'Plantilla AEG ES'!$E$1:$HX$13,8,FALSE)</f>
        <v>0</v>
      </c>
      <c r="AJ90" s="46">
        <f>HLOOKUP(TBL_CalcDarwin[[#This Row],[Fecha]],'Plantilla AEG ES'!$E$1:$HX$13,9,FALSE)</f>
        <v>3</v>
      </c>
      <c r="AK90" s="46">
        <f>HLOOKUP(TBL_CalcDarwin[[#This Row],[Fecha]],'Plantilla AEG ES'!$E$1:$HX$13,10,FALSE)</f>
        <v>12</v>
      </c>
      <c r="AL90" s="46">
        <f>HLOOKUP(TBL_CalcDarwin[[#This Row],[Fecha]],'Plantilla AEG ES'!$E$1:$HX$13,11,FALSE)</f>
        <v>1</v>
      </c>
      <c r="AM90" s="46">
        <f>HLOOKUP(TBL_CalcDarwin[[#This Row],[Fecha]],'Plantilla AEG ES'!$E$1:$HX$13,12,FALSE)</f>
        <v>7</v>
      </c>
      <c r="AN90" s="46">
        <f>HLOOKUP(TBL_CalcDarwin[[#This Row],[Fecha]],'Plantilla AEG ES'!$E$1:$HX$13,13,FALSE)</f>
        <v>1</v>
      </c>
      <c r="AO90" s="37">
        <f>TBL_CalcDarwin[[#This Row],[Lomitas - Barra A - 5.2 - Cerro]]+TBL_CalcDarwin[[#This Row],[Lomitas - Barra A - 5.2 - Medio]]+TBL_CalcDarwin[[#This Row],[Lomitas - Barra A - 5.2 - Mar]]</f>
        <v>25</v>
      </c>
      <c r="AP9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9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90" s="37">
        <f>TBL_CalcDarwin[[#This Row],[Expansión - Barra A - 5.2 - Cerro]]+TBL_CalcDarwin[[#This Row],[Expansión - Barra A - 5.2 - Medio]]+TBL_CalcDarwin[[#This Row],[Expansión - Barra A - 5.2 - Mar]]</f>
        <v>2</v>
      </c>
      <c r="AT90" s="37">
        <f>TBL_CalcDarwin[[#This Row],[Expansión - Barra B - 5.2 - Cerro]]</f>
        <v>1</v>
      </c>
      <c r="AU9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90" s="29">
        <f>TBL_CalcDarwin[[#This Row],[Expansión - Barra B - 5.2 - Cerro]]*TBL_CalcDarwin[[#This Row],[AEG 5.2 MW Cerro]]</f>
        <v>0.98299999999999998</v>
      </c>
      <c r="AZ90" s="18"/>
      <c r="BA90" s="18"/>
      <c r="BB90" s="18"/>
      <c r="BC90" s="18"/>
      <c r="BD90" s="18"/>
      <c r="BE90" s="18"/>
      <c r="BF90" s="18"/>
    </row>
    <row r="91" spans="2:58" ht="12" x14ac:dyDescent="0.2">
      <c r="B91" s="55">
        <f t="shared" si="6"/>
        <v>45616.708333333125</v>
      </c>
      <c r="C91" s="17">
        <f t="shared" si="8"/>
        <v>3.7083333333333286</v>
      </c>
      <c r="D91" s="34">
        <f>TBL_CalcDarwin[[#This Row],[Darwin PLOM
MW]]+TBL_CalcDarwin[[#This Row],[Darwin PLOME
MW]]</f>
        <v>101.629</v>
      </c>
      <c r="E91" s="34">
        <f>TBL_CalcDarwin[[#This Row],[PLOM MW TOTAL BARRA A]]+TBL_CalcDarwin[[#This Row],[PLOM MW TOTAL BARRA B]]</f>
        <v>98.066000000000003</v>
      </c>
      <c r="F91" s="34">
        <f>TBL_CalcDarwin[[#This Row],[PLOME MW TOTAL BARRA A]]+TBL_CalcDarwin[[#This Row],[PLOME MW TOTAL BARRA B]]</f>
        <v>3.5630000000000002</v>
      </c>
      <c r="G91" s="48">
        <f>'Plantilla Datos'!D96</f>
        <v>6.1</v>
      </c>
      <c r="H91" s="48">
        <f>'Plantilla Datos'!E96</f>
        <v>7.7</v>
      </c>
      <c r="I91" s="49">
        <f>'Plantilla Datos'!F96</f>
        <v>18.3</v>
      </c>
      <c r="J91" s="47">
        <f>CEILING('Plantilla Datos'!$L$3*TBL_CalcDarwin[[#This Row],[Darwin Gusts
m/s]],0.5)</f>
        <v>6</v>
      </c>
      <c r="K91" s="47">
        <f>CEILING('Plantilla Datos'!$L$4*TBL_CalcDarwin[[#This Row],[Darwin Gusts
m/s]],0.5)</f>
        <v>7</v>
      </c>
      <c r="L91" s="47">
        <f>CEILING(TBL_CalcDarwin[[#This Row],[Darwin Gusts
m/s]],0.5)</f>
        <v>8</v>
      </c>
      <c r="M9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5.0679999999999996</v>
      </c>
      <c r="N9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9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9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91" s="41">
        <f>INDEX(Curva_Temp[Temp],MATCH(TBL_CalcDarwin[[#This Row],[Darwin Temp.
°C]],Curva_Temp[Temp]))</f>
        <v>15</v>
      </c>
      <c r="R91" s="41">
        <f>INDEX(Curva_Temp[Warranted Power Curve for 
1.194Kg/m3 air density '[kW']
SG 5.0-145 (AM+1, 5.2MW) AT 
90M],MATCH(TBL_CalcDarwin[[#This Row],[Darwin Temp.
°C]],Curva_Temp[Temp]))</f>
        <v>5200</v>
      </c>
      <c r="S91" s="41" cm="1">
        <f t="array" ref="S91">INDEX(Curva_Temp[Temp],MATCH(TBL_CalcDarwin[[#This Row],[Darwin Temp.
°C]],Curva_Temp[Temp])+1)</f>
        <v>20</v>
      </c>
      <c r="T91" s="41" cm="1">
        <f t="array" ref="T91">INDEX(Curva_Temp[Warranted Power Curve for 
1.194Kg/m3 air density '[kW']
SG 5.0-145 (AM+1, 5.2MW) AT 
90M],MATCH(TBL_CalcDarwin[[#This Row],[Darwin Temp.
°C]],Curva_Temp[Temp])+1)</f>
        <v>5000</v>
      </c>
      <c r="U9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9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9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91" s="41">
        <f>INDEX(Curva_Temp[Temp],MATCH(TBL_CalcDarwin[[#This Row],[Darwin Temp.
°C]],Curva_Temp[Temp]))</f>
        <v>15</v>
      </c>
      <c r="Z91" s="41">
        <f>INDEX(Curva_Temp[Warranted Power Curve for 
1.194Kg/m3 air density '[kW']
SG 5.0-145 (AM 0, 5.0MW) AT 
90M],MATCH(TBL_CalcDarwin[[#This Row],[Darwin Temp.
°C]],Curva_Temp[Temp]))</f>
        <v>5000</v>
      </c>
      <c r="AA91" s="41" cm="1">
        <f t="array" ref="AA91">INDEX(Curva_Temp[Temp],MATCH(TBL_CalcDarwin[[#This Row],[Darwin Temp.
°C]],Curva_Temp[Temp])+1)</f>
        <v>20</v>
      </c>
      <c r="AB91" s="41" cm="1">
        <f t="array" ref="AB91">INDEX(Curva_Temp[Warranted Power Curve for 
1.194Kg/m3 air density '[kW']
SG 5.0-145 (AM 0, 5.0MW) AT 
90M],MATCH(TBL_CalcDarwin[[#This Row],[Darwin Temp.
°C]],Curva_Temp[Temp])+1)</f>
        <v>5000</v>
      </c>
      <c r="AC91" s="45">
        <f>HLOOKUP(TBL_CalcDarwin[[#This Row],[Fecha]],'Plantilla AEG ES'!$E$1:$HX$13,2,FALSE)</f>
        <v>5</v>
      </c>
      <c r="AD91" s="45">
        <f>HLOOKUP(TBL_CalcDarwin[[#This Row],[Fecha]],'Plantilla AEG ES'!$E$1:$HX$13,3,FALSE)</f>
        <v>8</v>
      </c>
      <c r="AE91" s="45">
        <f>HLOOKUP(TBL_CalcDarwin[[#This Row],[Fecha]],'Plantilla AEG ES'!$E$1:$HX$13,4,FALSE)</f>
        <v>12</v>
      </c>
      <c r="AF91" s="45">
        <f>HLOOKUP(TBL_CalcDarwin[[#This Row],[Fecha]],'Plantilla AEG ES'!$E$1:$HX$13,5,FALSE)</f>
        <v>1</v>
      </c>
      <c r="AG91" s="45">
        <f>HLOOKUP(TBL_CalcDarwin[[#This Row],[Fecha]],'Plantilla AEG ES'!$E$1:$HX$13,6,FALSE)</f>
        <v>1</v>
      </c>
      <c r="AH91" s="45">
        <f>HLOOKUP(TBL_CalcDarwin[[#This Row],[Fecha]],'Plantilla AEG ES'!$E$1:$HX$13,7,FALSE)</f>
        <v>0</v>
      </c>
      <c r="AI91" s="46">
        <f>HLOOKUP(TBL_CalcDarwin[[#This Row],[Fecha]],'Plantilla AEG ES'!$E$1:$HX$13,8,FALSE)</f>
        <v>0</v>
      </c>
      <c r="AJ91" s="46">
        <f>HLOOKUP(TBL_CalcDarwin[[#This Row],[Fecha]],'Plantilla AEG ES'!$E$1:$HX$13,9,FALSE)</f>
        <v>3</v>
      </c>
      <c r="AK91" s="46">
        <f>HLOOKUP(TBL_CalcDarwin[[#This Row],[Fecha]],'Plantilla AEG ES'!$E$1:$HX$13,10,FALSE)</f>
        <v>12</v>
      </c>
      <c r="AL91" s="46">
        <f>HLOOKUP(TBL_CalcDarwin[[#This Row],[Fecha]],'Plantilla AEG ES'!$E$1:$HX$13,11,FALSE)</f>
        <v>1</v>
      </c>
      <c r="AM91" s="46">
        <f>HLOOKUP(TBL_CalcDarwin[[#This Row],[Fecha]],'Plantilla AEG ES'!$E$1:$HX$13,12,FALSE)</f>
        <v>7</v>
      </c>
      <c r="AN91" s="46">
        <f>HLOOKUP(TBL_CalcDarwin[[#This Row],[Fecha]],'Plantilla AEG ES'!$E$1:$HX$13,13,FALSE)</f>
        <v>1</v>
      </c>
      <c r="AO91" s="37">
        <f>TBL_CalcDarwin[[#This Row],[Lomitas - Barra A - 5.2 - Cerro]]+TBL_CalcDarwin[[#This Row],[Lomitas - Barra A - 5.2 - Medio]]+TBL_CalcDarwin[[#This Row],[Lomitas - Barra A - 5.2 - Mar]]</f>
        <v>25</v>
      </c>
      <c r="AP9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9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91" s="37">
        <f>TBL_CalcDarwin[[#This Row],[Expansión - Barra A - 5.2 - Cerro]]+TBL_CalcDarwin[[#This Row],[Expansión - Barra A - 5.2 - Medio]]+TBL_CalcDarwin[[#This Row],[Expansión - Barra A - 5.2 - Mar]]</f>
        <v>2</v>
      </c>
      <c r="AT91" s="37">
        <f>TBL_CalcDarwin[[#This Row],[Expansión - Barra B - 5.2 - Cerro]]</f>
        <v>1</v>
      </c>
      <c r="AU9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91" s="29">
        <f>TBL_CalcDarwin[[#This Row],[Expansión - Barra B - 5.2 - Cerro]]*TBL_CalcDarwin[[#This Row],[AEG 5.2 MW Cerro]]</f>
        <v>0.98299999999999998</v>
      </c>
      <c r="AZ91" s="18"/>
      <c r="BA91" s="18"/>
      <c r="BB91" s="18"/>
      <c r="BC91" s="18"/>
      <c r="BD91" s="18"/>
      <c r="BE91" s="18"/>
      <c r="BF91" s="18"/>
    </row>
    <row r="92" spans="2:58" ht="12" x14ac:dyDescent="0.2">
      <c r="B92" s="55">
        <f t="shared" si="6"/>
        <v>45616.749999999789</v>
      </c>
      <c r="C92" s="17">
        <f t="shared" si="8"/>
        <v>3.7499999999999951</v>
      </c>
      <c r="D92" s="34">
        <f>TBL_CalcDarwin[[#This Row],[Darwin PLOM
MW]]+TBL_CalcDarwin[[#This Row],[Darwin PLOME
MW]]</f>
        <v>101.629</v>
      </c>
      <c r="E92" s="34">
        <f>TBL_CalcDarwin[[#This Row],[PLOM MW TOTAL BARRA A]]+TBL_CalcDarwin[[#This Row],[PLOM MW TOTAL BARRA B]]</f>
        <v>98.066000000000003</v>
      </c>
      <c r="F92" s="34">
        <f>TBL_CalcDarwin[[#This Row],[PLOME MW TOTAL BARRA A]]+TBL_CalcDarwin[[#This Row],[PLOME MW TOTAL BARRA B]]</f>
        <v>3.5630000000000002</v>
      </c>
      <c r="G92" s="48">
        <f>'Plantilla Datos'!D97</f>
        <v>6.1</v>
      </c>
      <c r="H92" s="48">
        <f>'Plantilla Datos'!E97</f>
        <v>7.7</v>
      </c>
      <c r="I92" s="49">
        <f>'Plantilla Datos'!F97</f>
        <v>17.899999999999999</v>
      </c>
      <c r="J92" s="47">
        <f>CEILING('Plantilla Datos'!$L$3*TBL_CalcDarwin[[#This Row],[Darwin Gusts
m/s]],0.5)</f>
        <v>6</v>
      </c>
      <c r="K92" s="47">
        <f>CEILING('Plantilla Datos'!$L$4*TBL_CalcDarwin[[#This Row],[Darwin Gusts
m/s]],0.5)</f>
        <v>7</v>
      </c>
      <c r="L92" s="47">
        <f>CEILING(TBL_CalcDarwin[[#This Row],[Darwin Gusts
m/s]],0.5)</f>
        <v>8</v>
      </c>
      <c r="M9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5.0839999999999996</v>
      </c>
      <c r="N9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9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9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92" s="41">
        <f>INDEX(Curva_Temp[Temp],MATCH(TBL_CalcDarwin[[#This Row],[Darwin Temp.
°C]],Curva_Temp[Temp]))</f>
        <v>15</v>
      </c>
      <c r="R92" s="41">
        <f>INDEX(Curva_Temp[Warranted Power Curve for 
1.194Kg/m3 air density '[kW']
SG 5.0-145 (AM+1, 5.2MW) AT 
90M],MATCH(TBL_CalcDarwin[[#This Row],[Darwin Temp.
°C]],Curva_Temp[Temp]))</f>
        <v>5200</v>
      </c>
      <c r="S92" s="41" cm="1">
        <f t="array" ref="S92">INDEX(Curva_Temp[Temp],MATCH(TBL_CalcDarwin[[#This Row],[Darwin Temp.
°C]],Curva_Temp[Temp])+1)</f>
        <v>20</v>
      </c>
      <c r="T92" s="41" cm="1">
        <f t="array" ref="T92">INDEX(Curva_Temp[Warranted Power Curve for 
1.194Kg/m3 air density '[kW']
SG 5.0-145 (AM+1, 5.2MW) AT 
90M],MATCH(TBL_CalcDarwin[[#This Row],[Darwin Temp.
°C]],Curva_Temp[Temp])+1)</f>
        <v>5000</v>
      </c>
      <c r="U9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9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9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92" s="41">
        <f>INDEX(Curva_Temp[Temp],MATCH(TBL_CalcDarwin[[#This Row],[Darwin Temp.
°C]],Curva_Temp[Temp]))</f>
        <v>15</v>
      </c>
      <c r="Z92" s="41">
        <f>INDEX(Curva_Temp[Warranted Power Curve for 
1.194Kg/m3 air density '[kW']
SG 5.0-145 (AM 0, 5.0MW) AT 
90M],MATCH(TBL_CalcDarwin[[#This Row],[Darwin Temp.
°C]],Curva_Temp[Temp]))</f>
        <v>5000</v>
      </c>
      <c r="AA92" s="41" cm="1">
        <f t="array" ref="AA92">INDEX(Curva_Temp[Temp],MATCH(TBL_CalcDarwin[[#This Row],[Darwin Temp.
°C]],Curva_Temp[Temp])+1)</f>
        <v>20</v>
      </c>
      <c r="AB92" s="41" cm="1">
        <f t="array" ref="AB92">INDEX(Curva_Temp[Warranted Power Curve for 
1.194Kg/m3 air density '[kW']
SG 5.0-145 (AM 0, 5.0MW) AT 
90M],MATCH(TBL_CalcDarwin[[#This Row],[Darwin Temp.
°C]],Curva_Temp[Temp])+1)</f>
        <v>5000</v>
      </c>
      <c r="AC92" s="45">
        <f>HLOOKUP(TBL_CalcDarwin[[#This Row],[Fecha]],'Plantilla AEG ES'!$E$1:$HX$13,2,FALSE)</f>
        <v>5</v>
      </c>
      <c r="AD92" s="45">
        <f>HLOOKUP(TBL_CalcDarwin[[#This Row],[Fecha]],'Plantilla AEG ES'!$E$1:$HX$13,3,FALSE)</f>
        <v>8</v>
      </c>
      <c r="AE92" s="45">
        <f>HLOOKUP(TBL_CalcDarwin[[#This Row],[Fecha]],'Plantilla AEG ES'!$E$1:$HX$13,4,FALSE)</f>
        <v>12</v>
      </c>
      <c r="AF92" s="45">
        <f>HLOOKUP(TBL_CalcDarwin[[#This Row],[Fecha]],'Plantilla AEG ES'!$E$1:$HX$13,5,FALSE)</f>
        <v>1</v>
      </c>
      <c r="AG92" s="45">
        <f>HLOOKUP(TBL_CalcDarwin[[#This Row],[Fecha]],'Plantilla AEG ES'!$E$1:$HX$13,6,FALSE)</f>
        <v>1</v>
      </c>
      <c r="AH92" s="45">
        <f>HLOOKUP(TBL_CalcDarwin[[#This Row],[Fecha]],'Plantilla AEG ES'!$E$1:$HX$13,7,FALSE)</f>
        <v>0</v>
      </c>
      <c r="AI92" s="46">
        <f>HLOOKUP(TBL_CalcDarwin[[#This Row],[Fecha]],'Plantilla AEG ES'!$E$1:$HX$13,8,FALSE)</f>
        <v>0</v>
      </c>
      <c r="AJ92" s="46">
        <f>HLOOKUP(TBL_CalcDarwin[[#This Row],[Fecha]],'Plantilla AEG ES'!$E$1:$HX$13,9,FALSE)</f>
        <v>3</v>
      </c>
      <c r="AK92" s="46">
        <f>HLOOKUP(TBL_CalcDarwin[[#This Row],[Fecha]],'Plantilla AEG ES'!$E$1:$HX$13,10,FALSE)</f>
        <v>12</v>
      </c>
      <c r="AL92" s="46">
        <f>HLOOKUP(TBL_CalcDarwin[[#This Row],[Fecha]],'Plantilla AEG ES'!$E$1:$HX$13,11,FALSE)</f>
        <v>1</v>
      </c>
      <c r="AM92" s="46">
        <f>HLOOKUP(TBL_CalcDarwin[[#This Row],[Fecha]],'Plantilla AEG ES'!$E$1:$HX$13,12,FALSE)</f>
        <v>7</v>
      </c>
      <c r="AN92" s="46">
        <f>HLOOKUP(TBL_CalcDarwin[[#This Row],[Fecha]],'Plantilla AEG ES'!$E$1:$HX$13,13,FALSE)</f>
        <v>1</v>
      </c>
      <c r="AO92" s="37">
        <f>TBL_CalcDarwin[[#This Row],[Lomitas - Barra A - 5.2 - Cerro]]+TBL_CalcDarwin[[#This Row],[Lomitas - Barra A - 5.2 - Medio]]+TBL_CalcDarwin[[#This Row],[Lomitas - Barra A - 5.2 - Mar]]</f>
        <v>25</v>
      </c>
      <c r="AP9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9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92" s="37">
        <f>TBL_CalcDarwin[[#This Row],[Expansión - Barra A - 5.2 - Cerro]]+TBL_CalcDarwin[[#This Row],[Expansión - Barra A - 5.2 - Medio]]+TBL_CalcDarwin[[#This Row],[Expansión - Barra A - 5.2 - Mar]]</f>
        <v>2</v>
      </c>
      <c r="AT92" s="37">
        <f>TBL_CalcDarwin[[#This Row],[Expansión - Barra B - 5.2 - Cerro]]</f>
        <v>1</v>
      </c>
      <c r="AU9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92" s="29">
        <f>TBL_CalcDarwin[[#This Row],[Expansión - Barra B - 5.2 - Cerro]]*TBL_CalcDarwin[[#This Row],[AEG 5.2 MW Cerro]]</f>
        <v>0.98299999999999998</v>
      </c>
      <c r="AZ92" s="18"/>
      <c r="BA92" s="18"/>
      <c r="BB92" s="18"/>
      <c r="BC92" s="18"/>
      <c r="BD92" s="18"/>
      <c r="BE92" s="18"/>
      <c r="BF92" s="18"/>
    </row>
    <row r="93" spans="2:58" ht="12" x14ac:dyDescent="0.2">
      <c r="B93" s="55">
        <f t="shared" si="6"/>
        <v>45616.791666666453</v>
      </c>
      <c r="C93" s="17">
        <f t="shared" si="8"/>
        <v>3.7916666666666616</v>
      </c>
      <c r="D93" s="34">
        <f>TBL_CalcDarwin[[#This Row],[Darwin PLOM
MW]]+TBL_CalcDarwin[[#This Row],[Darwin PLOME
MW]]</f>
        <v>101.629</v>
      </c>
      <c r="E93" s="34">
        <f>TBL_CalcDarwin[[#This Row],[PLOM MW TOTAL BARRA A]]+TBL_CalcDarwin[[#This Row],[PLOM MW TOTAL BARRA B]]</f>
        <v>98.066000000000003</v>
      </c>
      <c r="F93" s="34">
        <f>TBL_CalcDarwin[[#This Row],[PLOME MW TOTAL BARRA A]]+TBL_CalcDarwin[[#This Row],[PLOME MW TOTAL BARRA B]]</f>
        <v>3.5630000000000002</v>
      </c>
      <c r="G93" s="48">
        <f>'Plantilla Datos'!D98</f>
        <v>6.1</v>
      </c>
      <c r="H93" s="48">
        <f>'Plantilla Datos'!E98</f>
        <v>7.7</v>
      </c>
      <c r="I93" s="49">
        <f>'Plantilla Datos'!F98</f>
        <v>17.399999999999999</v>
      </c>
      <c r="J93" s="47">
        <f>CEILING('Plantilla Datos'!$L$3*TBL_CalcDarwin[[#This Row],[Darwin Gusts
m/s]],0.5)</f>
        <v>6</v>
      </c>
      <c r="K93" s="47">
        <f>CEILING('Plantilla Datos'!$L$4*TBL_CalcDarwin[[#This Row],[Darwin Gusts
m/s]],0.5)</f>
        <v>7</v>
      </c>
      <c r="L93" s="47">
        <f>CEILING(TBL_CalcDarwin[[#This Row],[Darwin Gusts
m/s]],0.5)</f>
        <v>8</v>
      </c>
      <c r="M9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9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9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9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93" s="41">
        <f>INDEX(Curva_Temp[Temp],MATCH(TBL_CalcDarwin[[#This Row],[Darwin Temp.
°C]],Curva_Temp[Temp]))</f>
        <v>15</v>
      </c>
      <c r="R93" s="41">
        <f>INDEX(Curva_Temp[Warranted Power Curve for 
1.194Kg/m3 air density '[kW']
SG 5.0-145 (AM+1, 5.2MW) AT 
90M],MATCH(TBL_CalcDarwin[[#This Row],[Darwin Temp.
°C]],Curva_Temp[Temp]))</f>
        <v>5200</v>
      </c>
      <c r="S93" s="41" cm="1">
        <f t="array" ref="S93">INDEX(Curva_Temp[Temp],MATCH(TBL_CalcDarwin[[#This Row],[Darwin Temp.
°C]],Curva_Temp[Temp])+1)</f>
        <v>20</v>
      </c>
      <c r="T93" s="41" cm="1">
        <f t="array" ref="T93">INDEX(Curva_Temp[Warranted Power Curve for 
1.194Kg/m3 air density '[kW']
SG 5.0-145 (AM+1, 5.2MW) AT 
90M],MATCH(TBL_CalcDarwin[[#This Row],[Darwin Temp.
°C]],Curva_Temp[Temp])+1)</f>
        <v>5000</v>
      </c>
      <c r="U9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9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9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93" s="41">
        <f>INDEX(Curva_Temp[Temp],MATCH(TBL_CalcDarwin[[#This Row],[Darwin Temp.
°C]],Curva_Temp[Temp]))</f>
        <v>15</v>
      </c>
      <c r="Z93" s="41">
        <f>INDEX(Curva_Temp[Warranted Power Curve for 
1.194Kg/m3 air density '[kW']
SG 5.0-145 (AM 0, 5.0MW) AT 
90M],MATCH(TBL_CalcDarwin[[#This Row],[Darwin Temp.
°C]],Curva_Temp[Temp]))</f>
        <v>5000</v>
      </c>
      <c r="AA93" s="41" cm="1">
        <f t="array" ref="AA93">INDEX(Curva_Temp[Temp],MATCH(TBL_CalcDarwin[[#This Row],[Darwin Temp.
°C]],Curva_Temp[Temp])+1)</f>
        <v>20</v>
      </c>
      <c r="AB93" s="41" cm="1">
        <f t="array" ref="AB93">INDEX(Curva_Temp[Warranted Power Curve for 
1.194Kg/m3 air density '[kW']
SG 5.0-145 (AM 0, 5.0MW) AT 
90M],MATCH(TBL_CalcDarwin[[#This Row],[Darwin Temp.
°C]],Curva_Temp[Temp])+1)</f>
        <v>5000</v>
      </c>
      <c r="AC93" s="45">
        <f>HLOOKUP(TBL_CalcDarwin[[#This Row],[Fecha]],'Plantilla AEG ES'!$E$1:$HX$13,2,FALSE)</f>
        <v>5</v>
      </c>
      <c r="AD93" s="45">
        <f>HLOOKUP(TBL_CalcDarwin[[#This Row],[Fecha]],'Plantilla AEG ES'!$E$1:$HX$13,3,FALSE)</f>
        <v>8</v>
      </c>
      <c r="AE93" s="45">
        <f>HLOOKUP(TBL_CalcDarwin[[#This Row],[Fecha]],'Plantilla AEG ES'!$E$1:$HX$13,4,FALSE)</f>
        <v>12</v>
      </c>
      <c r="AF93" s="45">
        <f>HLOOKUP(TBL_CalcDarwin[[#This Row],[Fecha]],'Plantilla AEG ES'!$E$1:$HX$13,5,FALSE)</f>
        <v>1</v>
      </c>
      <c r="AG93" s="45">
        <f>HLOOKUP(TBL_CalcDarwin[[#This Row],[Fecha]],'Plantilla AEG ES'!$E$1:$HX$13,6,FALSE)</f>
        <v>1</v>
      </c>
      <c r="AH93" s="45">
        <f>HLOOKUP(TBL_CalcDarwin[[#This Row],[Fecha]],'Plantilla AEG ES'!$E$1:$HX$13,7,FALSE)</f>
        <v>0</v>
      </c>
      <c r="AI93" s="46">
        <f>HLOOKUP(TBL_CalcDarwin[[#This Row],[Fecha]],'Plantilla AEG ES'!$E$1:$HX$13,8,FALSE)</f>
        <v>0</v>
      </c>
      <c r="AJ93" s="46">
        <f>HLOOKUP(TBL_CalcDarwin[[#This Row],[Fecha]],'Plantilla AEG ES'!$E$1:$HX$13,9,FALSE)</f>
        <v>3</v>
      </c>
      <c r="AK93" s="46">
        <f>HLOOKUP(TBL_CalcDarwin[[#This Row],[Fecha]],'Plantilla AEG ES'!$E$1:$HX$13,10,FALSE)</f>
        <v>12</v>
      </c>
      <c r="AL93" s="46">
        <f>HLOOKUP(TBL_CalcDarwin[[#This Row],[Fecha]],'Plantilla AEG ES'!$E$1:$HX$13,11,FALSE)</f>
        <v>1</v>
      </c>
      <c r="AM93" s="46">
        <f>HLOOKUP(TBL_CalcDarwin[[#This Row],[Fecha]],'Plantilla AEG ES'!$E$1:$HX$13,12,FALSE)</f>
        <v>7</v>
      </c>
      <c r="AN93" s="46">
        <f>HLOOKUP(TBL_CalcDarwin[[#This Row],[Fecha]],'Plantilla AEG ES'!$E$1:$HX$13,13,FALSE)</f>
        <v>1</v>
      </c>
      <c r="AO93" s="37">
        <f>TBL_CalcDarwin[[#This Row],[Lomitas - Barra A - 5.2 - Cerro]]+TBL_CalcDarwin[[#This Row],[Lomitas - Barra A - 5.2 - Medio]]+TBL_CalcDarwin[[#This Row],[Lomitas - Barra A - 5.2 - Mar]]</f>
        <v>25</v>
      </c>
      <c r="AP9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9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93" s="37">
        <f>TBL_CalcDarwin[[#This Row],[Expansión - Barra A - 5.2 - Cerro]]+TBL_CalcDarwin[[#This Row],[Expansión - Barra A - 5.2 - Medio]]+TBL_CalcDarwin[[#This Row],[Expansión - Barra A - 5.2 - Mar]]</f>
        <v>2</v>
      </c>
      <c r="AT93" s="37">
        <f>TBL_CalcDarwin[[#This Row],[Expansión - Barra B - 5.2 - Cerro]]</f>
        <v>1</v>
      </c>
      <c r="AU9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93" s="29">
        <f>TBL_CalcDarwin[[#This Row],[Expansión - Barra B - 5.2 - Cerro]]*TBL_CalcDarwin[[#This Row],[AEG 5.2 MW Cerro]]</f>
        <v>0.98299999999999998</v>
      </c>
      <c r="AZ93" s="18"/>
      <c r="BA93" s="18"/>
      <c r="BB93" s="18"/>
      <c r="BC93" s="18"/>
      <c r="BD93" s="18"/>
      <c r="BE93" s="18"/>
      <c r="BF93" s="18"/>
    </row>
    <row r="94" spans="2:58" ht="12" x14ac:dyDescent="0.2">
      <c r="B94" s="55">
        <f t="shared" si="6"/>
        <v>45616.833333333117</v>
      </c>
      <c r="C94" s="17">
        <f t="shared" si="8"/>
        <v>3.8333333333333282</v>
      </c>
      <c r="D94" s="34">
        <f>TBL_CalcDarwin[[#This Row],[Darwin PLOM
MW]]+TBL_CalcDarwin[[#This Row],[Darwin PLOME
MW]]</f>
        <v>101.629</v>
      </c>
      <c r="E94" s="34">
        <f>TBL_CalcDarwin[[#This Row],[PLOM MW TOTAL BARRA A]]+TBL_CalcDarwin[[#This Row],[PLOM MW TOTAL BARRA B]]</f>
        <v>98.066000000000003</v>
      </c>
      <c r="F94" s="34">
        <f>TBL_CalcDarwin[[#This Row],[PLOME MW TOTAL BARRA A]]+TBL_CalcDarwin[[#This Row],[PLOME MW TOTAL BARRA B]]</f>
        <v>3.5630000000000002</v>
      </c>
      <c r="G94" s="48">
        <f>'Plantilla Datos'!D99</f>
        <v>6.2</v>
      </c>
      <c r="H94" s="48">
        <f>'Plantilla Datos'!E99</f>
        <v>7.9</v>
      </c>
      <c r="I94" s="49">
        <f>'Plantilla Datos'!F99</f>
        <v>17.3</v>
      </c>
      <c r="J94" s="47">
        <f>CEILING('Plantilla Datos'!$L$3*TBL_CalcDarwin[[#This Row],[Darwin Gusts
m/s]],0.5)</f>
        <v>6</v>
      </c>
      <c r="K94" s="47">
        <f>CEILING('Plantilla Datos'!$L$4*TBL_CalcDarwin[[#This Row],[Darwin Gusts
m/s]],0.5)</f>
        <v>7</v>
      </c>
      <c r="L94" s="47">
        <f>CEILING(TBL_CalcDarwin[[#This Row],[Darwin Gusts
m/s]],0.5)</f>
        <v>8</v>
      </c>
      <c r="M9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9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9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9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94" s="41">
        <f>INDEX(Curva_Temp[Temp],MATCH(TBL_CalcDarwin[[#This Row],[Darwin Temp.
°C]],Curva_Temp[Temp]))</f>
        <v>15</v>
      </c>
      <c r="R94" s="41">
        <f>INDEX(Curva_Temp[Warranted Power Curve for 
1.194Kg/m3 air density '[kW']
SG 5.0-145 (AM+1, 5.2MW) AT 
90M],MATCH(TBL_CalcDarwin[[#This Row],[Darwin Temp.
°C]],Curva_Temp[Temp]))</f>
        <v>5200</v>
      </c>
      <c r="S94" s="41" cm="1">
        <f t="array" ref="S94">INDEX(Curva_Temp[Temp],MATCH(TBL_CalcDarwin[[#This Row],[Darwin Temp.
°C]],Curva_Temp[Temp])+1)</f>
        <v>20</v>
      </c>
      <c r="T94" s="41" cm="1">
        <f t="array" ref="T94">INDEX(Curva_Temp[Warranted Power Curve for 
1.194Kg/m3 air density '[kW']
SG 5.0-145 (AM+1, 5.2MW) AT 
90M],MATCH(TBL_CalcDarwin[[#This Row],[Darwin Temp.
°C]],Curva_Temp[Temp])+1)</f>
        <v>5000</v>
      </c>
      <c r="U9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9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9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94" s="41">
        <f>INDEX(Curva_Temp[Temp],MATCH(TBL_CalcDarwin[[#This Row],[Darwin Temp.
°C]],Curva_Temp[Temp]))</f>
        <v>15</v>
      </c>
      <c r="Z94" s="41">
        <f>INDEX(Curva_Temp[Warranted Power Curve for 
1.194Kg/m3 air density '[kW']
SG 5.0-145 (AM 0, 5.0MW) AT 
90M],MATCH(TBL_CalcDarwin[[#This Row],[Darwin Temp.
°C]],Curva_Temp[Temp]))</f>
        <v>5000</v>
      </c>
      <c r="AA94" s="41" cm="1">
        <f t="array" ref="AA94">INDEX(Curva_Temp[Temp],MATCH(TBL_CalcDarwin[[#This Row],[Darwin Temp.
°C]],Curva_Temp[Temp])+1)</f>
        <v>20</v>
      </c>
      <c r="AB94" s="41" cm="1">
        <f t="array" ref="AB94">INDEX(Curva_Temp[Warranted Power Curve for 
1.194Kg/m3 air density '[kW']
SG 5.0-145 (AM 0, 5.0MW) AT 
90M],MATCH(TBL_CalcDarwin[[#This Row],[Darwin Temp.
°C]],Curva_Temp[Temp])+1)</f>
        <v>5000</v>
      </c>
      <c r="AC94" s="45">
        <f>HLOOKUP(TBL_CalcDarwin[[#This Row],[Fecha]],'Plantilla AEG ES'!$E$1:$HX$13,2,FALSE)</f>
        <v>5</v>
      </c>
      <c r="AD94" s="45">
        <f>HLOOKUP(TBL_CalcDarwin[[#This Row],[Fecha]],'Plantilla AEG ES'!$E$1:$HX$13,3,FALSE)</f>
        <v>8</v>
      </c>
      <c r="AE94" s="45">
        <f>HLOOKUP(TBL_CalcDarwin[[#This Row],[Fecha]],'Plantilla AEG ES'!$E$1:$HX$13,4,FALSE)</f>
        <v>12</v>
      </c>
      <c r="AF94" s="45">
        <f>HLOOKUP(TBL_CalcDarwin[[#This Row],[Fecha]],'Plantilla AEG ES'!$E$1:$HX$13,5,FALSE)</f>
        <v>1</v>
      </c>
      <c r="AG94" s="45">
        <f>HLOOKUP(TBL_CalcDarwin[[#This Row],[Fecha]],'Plantilla AEG ES'!$E$1:$HX$13,6,FALSE)</f>
        <v>1</v>
      </c>
      <c r="AH94" s="45">
        <f>HLOOKUP(TBL_CalcDarwin[[#This Row],[Fecha]],'Plantilla AEG ES'!$E$1:$HX$13,7,FALSE)</f>
        <v>0</v>
      </c>
      <c r="AI94" s="46">
        <f>HLOOKUP(TBL_CalcDarwin[[#This Row],[Fecha]],'Plantilla AEG ES'!$E$1:$HX$13,8,FALSE)</f>
        <v>0</v>
      </c>
      <c r="AJ94" s="46">
        <f>HLOOKUP(TBL_CalcDarwin[[#This Row],[Fecha]],'Plantilla AEG ES'!$E$1:$HX$13,9,FALSE)</f>
        <v>3</v>
      </c>
      <c r="AK94" s="46">
        <f>HLOOKUP(TBL_CalcDarwin[[#This Row],[Fecha]],'Plantilla AEG ES'!$E$1:$HX$13,10,FALSE)</f>
        <v>12</v>
      </c>
      <c r="AL94" s="46">
        <f>HLOOKUP(TBL_CalcDarwin[[#This Row],[Fecha]],'Plantilla AEG ES'!$E$1:$HX$13,11,FALSE)</f>
        <v>1</v>
      </c>
      <c r="AM94" s="46">
        <f>HLOOKUP(TBL_CalcDarwin[[#This Row],[Fecha]],'Plantilla AEG ES'!$E$1:$HX$13,12,FALSE)</f>
        <v>7</v>
      </c>
      <c r="AN94" s="46">
        <f>HLOOKUP(TBL_CalcDarwin[[#This Row],[Fecha]],'Plantilla AEG ES'!$E$1:$HX$13,13,FALSE)</f>
        <v>1</v>
      </c>
      <c r="AO94" s="37">
        <f>TBL_CalcDarwin[[#This Row],[Lomitas - Barra A - 5.2 - Cerro]]+TBL_CalcDarwin[[#This Row],[Lomitas - Barra A - 5.2 - Medio]]+TBL_CalcDarwin[[#This Row],[Lomitas - Barra A - 5.2 - Mar]]</f>
        <v>25</v>
      </c>
      <c r="AP9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9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94" s="37">
        <f>TBL_CalcDarwin[[#This Row],[Expansión - Barra A - 5.2 - Cerro]]+TBL_CalcDarwin[[#This Row],[Expansión - Barra A - 5.2 - Medio]]+TBL_CalcDarwin[[#This Row],[Expansión - Barra A - 5.2 - Mar]]</f>
        <v>2</v>
      </c>
      <c r="AT94" s="37">
        <f>TBL_CalcDarwin[[#This Row],[Expansión - Barra B - 5.2 - Cerro]]</f>
        <v>1</v>
      </c>
      <c r="AU9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94" s="29">
        <f>TBL_CalcDarwin[[#This Row],[Expansión - Barra B - 5.2 - Cerro]]*TBL_CalcDarwin[[#This Row],[AEG 5.2 MW Cerro]]</f>
        <v>0.98299999999999998</v>
      </c>
      <c r="AZ94" s="18"/>
      <c r="BA94" s="18"/>
      <c r="BB94" s="18"/>
      <c r="BC94" s="18"/>
      <c r="BD94" s="18"/>
      <c r="BE94" s="18"/>
      <c r="BF94" s="18"/>
    </row>
    <row r="95" spans="2:58" ht="12" x14ac:dyDescent="0.2">
      <c r="B95" s="55">
        <f t="shared" si="6"/>
        <v>45616.874999999782</v>
      </c>
      <c r="C95" s="17">
        <f>C94+TIME(1,0,0)</f>
        <v>3.8749999999999947</v>
      </c>
      <c r="D95" s="34">
        <f>TBL_CalcDarwin[[#This Row],[Darwin PLOM
MW]]+TBL_CalcDarwin[[#This Row],[Darwin PLOME
MW]]</f>
        <v>101.629</v>
      </c>
      <c r="E95" s="34">
        <f>TBL_CalcDarwin[[#This Row],[PLOM MW TOTAL BARRA A]]+TBL_CalcDarwin[[#This Row],[PLOM MW TOTAL BARRA B]]</f>
        <v>98.066000000000003</v>
      </c>
      <c r="F95" s="34">
        <f>TBL_CalcDarwin[[#This Row],[PLOME MW TOTAL BARRA A]]+TBL_CalcDarwin[[#This Row],[PLOME MW TOTAL BARRA B]]</f>
        <v>3.5630000000000002</v>
      </c>
      <c r="G95" s="48">
        <f>'Plantilla Datos'!D100</f>
        <v>6.3</v>
      </c>
      <c r="H95" s="48">
        <f>'Plantilla Datos'!E100</f>
        <v>8</v>
      </c>
      <c r="I95" s="49">
        <f>'Plantilla Datos'!F100</f>
        <v>17.2</v>
      </c>
      <c r="J95" s="47">
        <f>CEILING('Plantilla Datos'!$L$3*TBL_CalcDarwin[[#This Row],[Darwin Gusts
m/s]],0.5)</f>
        <v>6</v>
      </c>
      <c r="K95" s="47">
        <f>CEILING('Plantilla Datos'!$L$4*TBL_CalcDarwin[[#This Row],[Darwin Gusts
m/s]],0.5)</f>
        <v>7</v>
      </c>
      <c r="L95" s="47">
        <f>CEILING(TBL_CalcDarwin[[#This Row],[Darwin Gusts
m/s]],0.5)</f>
        <v>8</v>
      </c>
      <c r="M9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9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9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9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95" s="41">
        <f>INDEX(Curva_Temp[Temp],MATCH(TBL_CalcDarwin[[#This Row],[Darwin Temp.
°C]],Curva_Temp[Temp]))</f>
        <v>15</v>
      </c>
      <c r="R95" s="41">
        <f>INDEX(Curva_Temp[Warranted Power Curve for 
1.194Kg/m3 air density '[kW']
SG 5.0-145 (AM+1, 5.2MW) AT 
90M],MATCH(TBL_CalcDarwin[[#This Row],[Darwin Temp.
°C]],Curva_Temp[Temp]))</f>
        <v>5200</v>
      </c>
      <c r="S95" s="41" cm="1">
        <f t="array" ref="S95">INDEX(Curva_Temp[Temp],MATCH(TBL_CalcDarwin[[#This Row],[Darwin Temp.
°C]],Curva_Temp[Temp])+1)</f>
        <v>20</v>
      </c>
      <c r="T95" s="41" cm="1">
        <f t="array" ref="T95">INDEX(Curva_Temp[Warranted Power Curve for 
1.194Kg/m3 air density '[kW']
SG 5.0-145 (AM+1, 5.2MW) AT 
90M],MATCH(TBL_CalcDarwin[[#This Row],[Darwin Temp.
°C]],Curva_Temp[Temp])+1)</f>
        <v>5000</v>
      </c>
      <c r="U9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9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9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95" s="41">
        <f>INDEX(Curva_Temp[Temp],MATCH(TBL_CalcDarwin[[#This Row],[Darwin Temp.
°C]],Curva_Temp[Temp]))</f>
        <v>15</v>
      </c>
      <c r="Z95" s="41">
        <f>INDEX(Curva_Temp[Warranted Power Curve for 
1.194Kg/m3 air density '[kW']
SG 5.0-145 (AM 0, 5.0MW) AT 
90M],MATCH(TBL_CalcDarwin[[#This Row],[Darwin Temp.
°C]],Curva_Temp[Temp]))</f>
        <v>5000</v>
      </c>
      <c r="AA95" s="41" cm="1">
        <f t="array" ref="AA95">INDEX(Curva_Temp[Temp],MATCH(TBL_CalcDarwin[[#This Row],[Darwin Temp.
°C]],Curva_Temp[Temp])+1)</f>
        <v>20</v>
      </c>
      <c r="AB95" s="41" cm="1">
        <f t="array" ref="AB95">INDEX(Curva_Temp[Warranted Power Curve for 
1.194Kg/m3 air density '[kW']
SG 5.0-145 (AM 0, 5.0MW) AT 
90M],MATCH(TBL_CalcDarwin[[#This Row],[Darwin Temp.
°C]],Curva_Temp[Temp])+1)</f>
        <v>5000</v>
      </c>
      <c r="AC95" s="45">
        <f>HLOOKUP(TBL_CalcDarwin[[#This Row],[Fecha]],'Plantilla AEG ES'!$E$1:$HX$13,2,FALSE)</f>
        <v>5</v>
      </c>
      <c r="AD95" s="45">
        <f>HLOOKUP(TBL_CalcDarwin[[#This Row],[Fecha]],'Plantilla AEG ES'!$E$1:$HX$13,3,FALSE)</f>
        <v>8</v>
      </c>
      <c r="AE95" s="45">
        <f>HLOOKUP(TBL_CalcDarwin[[#This Row],[Fecha]],'Plantilla AEG ES'!$E$1:$HX$13,4,FALSE)</f>
        <v>12</v>
      </c>
      <c r="AF95" s="45">
        <f>HLOOKUP(TBL_CalcDarwin[[#This Row],[Fecha]],'Plantilla AEG ES'!$E$1:$HX$13,5,FALSE)</f>
        <v>1</v>
      </c>
      <c r="AG95" s="45">
        <f>HLOOKUP(TBL_CalcDarwin[[#This Row],[Fecha]],'Plantilla AEG ES'!$E$1:$HX$13,6,FALSE)</f>
        <v>1</v>
      </c>
      <c r="AH95" s="45">
        <f>HLOOKUP(TBL_CalcDarwin[[#This Row],[Fecha]],'Plantilla AEG ES'!$E$1:$HX$13,7,FALSE)</f>
        <v>0</v>
      </c>
      <c r="AI95" s="46">
        <f>HLOOKUP(TBL_CalcDarwin[[#This Row],[Fecha]],'Plantilla AEG ES'!$E$1:$HX$13,8,FALSE)</f>
        <v>0</v>
      </c>
      <c r="AJ95" s="46">
        <f>HLOOKUP(TBL_CalcDarwin[[#This Row],[Fecha]],'Plantilla AEG ES'!$E$1:$HX$13,9,FALSE)</f>
        <v>3</v>
      </c>
      <c r="AK95" s="46">
        <f>HLOOKUP(TBL_CalcDarwin[[#This Row],[Fecha]],'Plantilla AEG ES'!$E$1:$HX$13,10,FALSE)</f>
        <v>12</v>
      </c>
      <c r="AL95" s="46">
        <f>HLOOKUP(TBL_CalcDarwin[[#This Row],[Fecha]],'Plantilla AEG ES'!$E$1:$HX$13,11,FALSE)</f>
        <v>1</v>
      </c>
      <c r="AM95" s="46">
        <f>HLOOKUP(TBL_CalcDarwin[[#This Row],[Fecha]],'Plantilla AEG ES'!$E$1:$HX$13,12,FALSE)</f>
        <v>7</v>
      </c>
      <c r="AN95" s="46">
        <f>HLOOKUP(TBL_CalcDarwin[[#This Row],[Fecha]],'Plantilla AEG ES'!$E$1:$HX$13,13,FALSE)</f>
        <v>1</v>
      </c>
      <c r="AO95" s="37">
        <f>TBL_CalcDarwin[[#This Row],[Lomitas - Barra A - 5.2 - Cerro]]+TBL_CalcDarwin[[#This Row],[Lomitas - Barra A - 5.2 - Medio]]+TBL_CalcDarwin[[#This Row],[Lomitas - Barra A - 5.2 - Mar]]</f>
        <v>25</v>
      </c>
      <c r="AP9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9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95" s="37">
        <f>TBL_CalcDarwin[[#This Row],[Expansión - Barra A - 5.2 - Cerro]]+TBL_CalcDarwin[[#This Row],[Expansión - Barra A - 5.2 - Medio]]+TBL_CalcDarwin[[#This Row],[Expansión - Barra A - 5.2 - Mar]]</f>
        <v>2</v>
      </c>
      <c r="AT95" s="37">
        <f>TBL_CalcDarwin[[#This Row],[Expansión - Barra B - 5.2 - Cerro]]</f>
        <v>1</v>
      </c>
      <c r="AU9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95" s="29">
        <f>TBL_CalcDarwin[[#This Row],[Expansión - Barra B - 5.2 - Cerro]]*TBL_CalcDarwin[[#This Row],[AEG 5.2 MW Cerro]]</f>
        <v>0.98299999999999998</v>
      </c>
      <c r="AZ95" s="18"/>
      <c r="BA95" s="18"/>
      <c r="BB95" s="18"/>
      <c r="BC95" s="18"/>
      <c r="BD95" s="18"/>
      <c r="BE95" s="18"/>
      <c r="BF95" s="18"/>
    </row>
    <row r="96" spans="2:58" ht="12" x14ac:dyDescent="0.2">
      <c r="B96" s="55">
        <f t="shared" si="6"/>
        <v>45616.916666666446</v>
      </c>
      <c r="C96" s="17">
        <f t="shared" ref="C96:C100" si="9">C95+TIME(1,0,0)</f>
        <v>3.9166666666666612</v>
      </c>
      <c r="D96" s="34">
        <f>TBL_CalcDarwin[[#This Row],[Darwin PLOM
MW]]+TBL_CalcDarwin[[#This Row],[Darwin PLOME
MW]]</f>
        <v>116.11200000000001</v>
      </c>
      <c r="E96" s="34">
        <f>TBL_CalcDarwin[[#This Row],[PLOM MW TOTAL BARRA A]]+TBL_CalcDarwin[[#This Row],[PLOM MW TOTAL BARRA B]]</f>
        <v>112.54900000000001</v>
      </c>
      <c r="F96" s="34">
        <f>TBL_CalcDarwin[[#This Row],[PLOME MW TOTAL BARRA A]]+TBL_CalcDarwin[[#This Row],[PLOME MW TOTAL BARRA B]]</f>
        <v>3.5630000000000002</v>
      </c>
      <c r="G96" s="48">
        <f>'Plantilla Datos'!D101</f>
        <v>6.5</v>
      </c>
      <c r="H96" s="48">
        <f>'Plantilla Datos'!E101</f>
        <v>8.1999999999999993</v>
      </c>
      <c r="I96" s="49">
        <f>'Plantilla Datos'!F101</f>
        <v>17.100000000000001</v>
      </c>
      <c r="J96" s="47">
        <f>CEILING('Plantilla Datos'!$L$3*TBL_CalcDarwin[[#This Row],[Darwin Gusts
m/s]],0.5)</f>
        <v>6</v>
      </c>
      <c r="K96" s="47">
        <f>CEILING('Plantilla Datos'!$L$4*TBL_CalcDarwin[[#This Row],[Darwin Gusts
m/s]],0.5)</f>
        <v>7</v>
      </c>
      <c r="L96" s="47">
        <f>CEILING(TBL_CalcDarwin[[#This Row],[Darwin Gusts
m/s]],0.5)</f>
        <v>8.5</v>
      </c>
      <c r="M9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9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9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9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96" s="41">
        <f>INDEX(Curva_Temp[Temp],MATCH(TBL_CalcDarwin[[#This Row],[Darwin Temp.
°C]],Curva_Temp[Temp]))</f>
        <v>15</v>
      </c>
      <c r="R96" s="41">
        <f>INDEX(Curva_Temp[Warranted Power Curve for 
1.194Kg/m3 air density '[kW']
SG 5.0-145 (AM+1, 5.2MW) AT 
90M],MATCH(TBL_CalcDarwin[[#This Row],[Darwin Temp.
°C]],Curva_Temp[Temp]))</f>
        <v>5200</v>
      </c>
      <c r="S96" s="41" cm="1">
        <f t="array" ref="S96">INDEX(Curva_Temp[Temp],MATCH(TBL_CalcDarwin[[#This Row],[Darwin Temp.
°C]],Curva_Temp[Temp])+1)</f>
        <v>20</v>
      </c>
      <c r="T96" s="41" cm="1">
        <f t="array" ref="T96">INDEX(Curva_Temp[Warranted Power Curve for 
1.194Kg/m3 air density '[kW']
SG 5.0-145 (AM+1, 5.2MW) AT 
90M],MATCH(TBL_CalcDarwin[[#This Row],[Darwin Temp.
°C]],Curva_Temp[Temp])+1)</f>
        <v>5000</v>
      </c>
      <c r="U9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9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9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96" s="41">
        <f>INDEX(Curva_Temp[Temp],MATCH(TBL_CalcDarwin[[#This Row],[Darwin Temp.
°C]],Curva_Temp[Temp]))</f>
        <v>15</v>
      </c>
      <c r="Z96" s="41">
        <f>INDEX(Curva_Temp[Warranted Power Curve for 
1.194Kg/m3 air density '[kW']
SG 5.0-145 (AM 0, 5.0MW) AT 
90M],MATCH(TBL_CalcDarwin[[#This Row],[Darwin Temp.
°C]],Curva_Temp[Temp]))</f>
        <v>5000</v>
      </c>
      <c r="AA96" s="41" cm="1">
        <f t="array" ref="AA96">INDEX(Curva_Temp[Temp],MATCH(TBL_CalcDarwin[[#This Row],[Darwin Temp.
°C]],Curva_Temp[Temp])+1)</f>
        <v>20</v>
      </c>
      <c r="AB96" s="41" cm="1">
        <f t="array" ref="AB96">INDEX(Curva_Temp[Warranted Power Curve for 
1.194Kg/m3 air density '[kW']
SG 5.0-145 (AM 0, 5.0MW) AT 
90M],MATCH(TBL_CalcDarwin[[#This Row],[Darwin Temp.
°C]],Curva_Temp[Temp])+1)</f>
        <v>5000</v>
      </c>
      <c r="AC96" s="45">
        <f>HLOOKUP(TBL_CalcDarwin[[#This Row],[Fecha]],'Plantilla AEG ES'!$E$1:$HX$13,2,FALSE)</f>
        <v>5</v>
      </c>
      <c r="AD96" s="45">
        <f>HLOOKUP(TBL_CalcDarwin[[#This Row],[Fecha]],'Plantilla AEG ES'!$E$1:$HX$13,3,FALSE)</f>
        <v>8</v>
      </c>
      <c r="AE96" s="45">
        <f>HLOOKUP(TBL_CalcDarwin[[#This Row],[Fecha]],'Plantilla AEG ES'!$E$1:$HX$13,4,FALSE)</f>
        <v>12</v>
      </c>
      <c r="AF96" s="45">
        <f>HLOOKUP(TBL_CalcDarwin[[#This Row],[Fecha]],'Plantilla AEG ES'!$E$1:$HX$13,5,FALSE)</f>
        <v>1</v>
      </c>
      <c r="AG96" s="45">
        <f>HLOOKUP(TBL_CalcDarwin[[#This Row],[Fecha]],'Plantilla AEG ES'!$E$1:$HX$13,6,FALSE)</f>
        <v>1</v>
      </c>
      <c r="AH96" s="45">
        <f>HLOOKUP(TBL_CalcDarwin[[#This Row],[Fecha]],'Plantilla AEG ES'!$E$1:$HX$13,7,FALSE)</f>
        <v>0</v>
      </c>
      <c r="AI96" s="46">
        <f>HLOOKUP(TBL_CalcDarwin[[#This Row],[Fecha]],'Plantilla AEG ES'!$E$1:$HX$13,8,FALSE)</f>
        <v>0</v>
      </c>
      <c r="AJ96" s="46">
        <f>HLOOKUP(TBL_CalcDarwin[[#This Row],[Fecha]],'Plantilla AEG ES'!$E$1:$HX$13,9,FALSE)</f>
        <v>3</v>
      </c>
      <c r="AK96" s="46">
        <f>HLOOKUP(TBL_CalcDarwin[[#This Row],[Fecha]],'Plantilla AEG ES'!$E$1:$HX$13,10,FALSE)</f>
        <v>12</v>
      </c>
      <c r="AL96" s="46">
        <f>HLOOKUP(TBL_CalcDarwin[[#This Row],[Fecha]],'Plantilla AEG ES'!$E$1:$HX$13,11,FALSE)</f>
        <v>1</v>
      </c>
      <c r="AM96" s="46">
        <f>HLOOKUP(TBL_CalcDarwin[[#This Row],[Fecha]],'Plantilla AEG ES'!$E$1:$HX$13,12,FALSE)</f>
        <v>7</v>
      </c>
      <c r="AN96" s="46">
        <f>HLOOKUP(TBL_CalcDarwin[[#This Row],[Fecha]],'Plantilla AEG ES'!$E$1:$HX$13,13,FALSE)</f>
        <v>1</v>
      </c>
      <c r="AO96" s="37">
        <f>TBL_CalcDarwin[[#This Row],[Lomitas - Barra A - 5.2 - Cerro]]+TBL_CalcDarwin[[#This Row],[Lomitas - Barra A - 5.2 - Medio]]+TBL_CalcDarwin[[#This Row],[Lomitas - Barra A - 5.2 - Mar]]</f>
        <v>25</v>
      </c>
      <c r="AP9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52.227000000000004</v>
      </c>
      <c r="AR9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96" s="37">
        <f>TBL_CalcDarwin[[#This Row],[Expansión - Barra A - 5.2 - Cerro]]+TBL_CalcDarwin[[#This Row],[Expansión - Barra A - 5.2 - Medio]]+TBL_CalcDarwin[[#This Row],[Expansión - Barra A - 5.2 - Mar]]</f>
        <v>2</v>
      </c>
      <c r="AT96" s="37">
        <f>TBL_CalcDarwin[[#This Row],[Expansión - Barra B - 5.2 - Cerro]]</f>
        <v>1</v>
      </c>
      <c r="AU9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96" s="29">
        <f>TBL_CalcDarwin[[#This Row],[Expansión - Barra B - 5.2 - Cerro]]*TBL_CalcDarwin[[#This Row],[AEG 5.2 MW Cerro]]</f>
        <v>0.98299999999999998</v>
      </c>
      <c r="AZ96" s="18"/>
      <c r="BA96" s="18"/>
      <c r="BB96" s="18"/>
      <c r="BC96" s="18"/>
      <c r="BD96" s="18"/>
      <c r="BE96" s="18"/>
      <c r="BF96" s="18"/>
    </row>
    <row r="97" spans="2:58" ht="12" x14ac:dyDescent="0.2">
      <c r="B97" s="55">
        <f t="shared" si="6"/>
        <v>45616.95833333311</v>
      </c>
      <c r="C97" s="17">
        <f t="shared" si="9"/>
        <v>3.9583333333333277</v>
      </c>
      <c r="D97" s="34">
        <f>TBL_CalcDarwin[[#This Row],[Darwin PLOM
MW]]+TBL_CalcDarwin[[#This Row],[Darwin PLOME
MW]]</f>
        <v>82.430999999999997</v>
      </c>
      <c r="E97" s="34">
        <f>TBL_CalcDarwin[[#This Row],[PLOM MW TOTAL BARRA A]]+TBL_CalcDarwin[[#This Row],[PLOM MW TOTAL BARRA B]]</f>
        <v>79.674999999999997</v>
      </c>
      <c r="F97" s="34">
        <f>TBL_CalcDarwin[[#This Row],[PLOME MW TOTAL BARRA A]]+TBL_CalcDarwin[[#This Row],[PLOME MW TOTAL BARRA B]]</f>
        <v>2.7560000000000002</v>
      </c>
      <c r="G97" s="48">
        <f>'Plantilla Datos'!D102</f>
        <v>5.8</v>
      </c>
      <c r="H97" s="48">
        <f>'Plantilla Datos'!E102</f>
        <v>7.4</v>
      </c>
      <c r="I97" s="49">
        <f>'Plantilla Datos'!F102</f>
        <v>17.100000000000001</v>
      </c>
      <c r="J97" s="47">
        <f>CEILING('Plantilla Datos'!$L$3*TBL_CalcDarwin[[#This Row],[Darwin Gusts
m/s]],0.5)</f>
        <v>5.5</v>
      </c>
      <c r="K97" s="47">
        <f>CEILING('Plantilla Datos'!$L$4*TBL_CalcDarwin[[#This Row],[Darwin Gusts
m/s]],0.5)</f>
        <v>6.5</v>
      </c>
      <c r="L97" s="47">
        <f>CEILING(TBL_CalcDarwin[[#This Row],[Darwin Gusts
m/s]],0.5)</f>
        <v>7.5</v>
      </c>
      <c r="M9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9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9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9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97" s="41">
        <f>INDEX(Curva_Temp[Temp],MATCH(TBL_CalcDarwin[[#This Row],[Darwin Temp.
°C]],Curva_Temp[Temp]))</f>
        <v>15</v>
      </c>
      <c r="R97" s="41">
        <f>INDEX(Curva_Temp[Warranted Power Curve for 
1.194Kg/m3 air density '[kW']
SG 5.0-145 (AM+1, 5.2MW) AT 
90M],MATCH(TBL_CalcDarwin[[#This Row],[Darwin Temp.
°C]],Curva_Temp[Temp]))</f>
        <v>5200</v>
      </c>
      <c r="S97" s="41" cm="1">
        <f t="array" ref="S97">INDEX(Curva_Temp[Temp],MATCH(TBL_CalcDarwin[[#This Row],[Darwin Temp.
°C]],Curva_Temp[Temp])+1)</f>
        <v>20</v>
      </c>
      <c r="T97" s="41" cm="1">
        <f t="array" ref="T97">INDEX(Curva_Temp[Warranted Power Curve for 
1.194Kg/m3 air density '[kW']
SG 5.0-145 (AM+1, 5.2MW) AT 
90M],MATCH(TBL_CalcDarwin[[#This Row],[Darwin Temp.
°C]],Curva_Temp[Temp])+1)</f>
        <v>5000</v>
      </c>
      <c r="U9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9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9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97" s="41">
        <f>INDEX(Curva_Temp[Temp],MATCH(TBL_CalcDarwin[[#This Row],[Darwin Temp.
°C]],Curva_Temp[Temp]))</f>
        <v>15</v>
      </c>
      <c r="Z97" s="41">
        <f>INDEX(Curva_Temp[Warranted Power Curve for 
1.194Kg/m3 air density '[kW']
SG 5.0-145 (AM 0, 5.0MW) AT 
90M],MATCH(TBL_CalcDarwin[[#This Row],[Darwin Temp.
°C]],Curva_Temp[Temp]))</f>
        <v>5000</v>
      </c>
      <c r="AA97" s="41" cm="1">
        <f t="array" ref="AA97">INDEX(Curva_Temp[Temp],MATCH(TBL_CalcDarwin[[#This Row],[Darwin Temp.
°C]],Curva_Temp[Temp])+1)</f>
        <v>20</v>
      </c>
      <c r="AB97" s="41" cm="1">
        <f t="array" ref="AB97">INDEX(Curva_Temp[Warranted Power Curve for 
1.194Kg/m3 air density '[kW']
SG 5.0-145 (AM 0, 5.0MW) AT 
90M],MATCH(TBL_CalcDarwin[[#This Row],[Darwin Temp.
°C]],Curva_Temp[Temp])+1)</f>
        <v>5000</v>
      </c>
      <c r="AC97" s="45">
        <f>HLOOKUP(TBL_CalcDarwin[[#This Row],[Fecha]],'Plantilla AEG ES'!$E$1:$HX$13,2,FALSE)</f>
        <v>5</v>
      </c>
      <c r="AD97" s="45">
        <f>HLOOKUP(TBL_CalcDarwin[[#This Row],[Fecha]],'Plantilla AEG ES'!$E$1:$HX$13,3,FALSE)</f>
        <v>8</v>
      </c>
      <c r="AE97" s="45">
        <f>HLOOKUP(TBL_CalcDarwin[[#This Row],[Fecha]],'Plantilla AEG ES'!$E$1:$HX$13,4,FALSE)</f>
        <v>12</v>
      </c>
      <c r="AF97" s="45">
        <f>HLOOKUP(TBL_CalcDarwin[[#This Row],[Fecha]],'Plantilla AEG ES'!$E$1:$HX$13,5,FALSE)</f>
        <v>1</v>
      </c>
      <c r="AG97" s="45">
        <f>HLOOKUP(TBL_CalcDarwin[[#This Row],[Fecha]],'Plantilla AEG ES'!$E$1:$HX$13,6,FALSE)</f>
        <v>1</v>
      </c>
      <c r="AH97" s="45">
        <f>HLOOKUP(TBL_CalcDarwin[[#This Row],[Fecha]],'Plantilla AEG ES'!$E$1:$HX$13,7,FALSE)</f>
        <v>0</v>
      </c>
      <c r="AI97" s="46">
        <f>HLOOKUP(TBL_CalcDarwin[[#This Row],[Fecha]],'Plantilla AEG ES'!$E$1:$HX$13,8,FALSE)</f>
        <v>0</v>
      </c>
      <c r="AJ97" s="46">
        <f>HLOOKUP(TBL_CalcDarwin[[#This Row],[Fecha]],'Plantilla AEG ES'!$E$1:$HX$13,9,FALSE)</f>
        <v>3</v>
      </c>
      <c r="AK97" s="46">
        <f>HLOOKUP(TBL_CalcDarwin[[#This Row],[Fecha]],'Plantilla AEG ES'!$E$1:$HX$13,10,FALSE)</f>
        <v>12</v>
      </c>
      <c r="AL97" s="46">
        <f>HLOOKUP(TBL_CalcDarwin[[#This Row],[Fecha]],'Plantilla AEG ES'!$E$1:$HX$13,11,FALSE)</f>
        <v>1</v>
      </c>
      <c r="AM97" s="46">
        <f>HLOOKUP(TBL_CalcDarwin[[#This Row],[Fecha]],'Plantilla AEG ES'!$E$1:$HX$13,12,FALSE)</f>
        <v>7</v>
      </c>
      <c r="AN97" s="46">
        <f>HLOOKUP(TBL_CalcDarwin[[#This Row],[Fecha]],'Plantilla AEG ES'!$E$1:$HX$13,13,FALSE)</f>
        <v>1</v>
      </c>
      <c r="AO97" s="37">
        <f>TBL_CalcDarwin[[#This Row],[Lomitas - Barra A - 5.2 - Cerro]]+TBL_CalcDarwin[[#This Row],[Lomitas - Barra A - 5.2 - Medio]]+TBL_CalcDarwin[[#This Row],[Lomitas - Barra A - 5.2 - Mar]]</f>
        <v>25</v>
      </c>
      <c r="AP9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9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97" s="37">
        <f>TBL_CalcDarwin[[#This Row],[Expansión - Barra A - 5.2 - Cerro]]+TBL_CalcDarwin[[#This Row],[Expansión - Barra A - 5.2 - Medio]]+TBL_CalcDarwin[[#This Row],[Expansión - Barra A - 5.2 - Mar]]</f>
        <v>2</v>
      </c>
      <c r="AT97" s="37">
        <f>TBL_CalcDarwin[[#This Row],[Expansión - Barra B - 5.2 - Cerro]]</f>
        <v>1</v>
      </c>
      <c r="AU9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97" s="29">
        <f>TBL_CalcDarwin[[#This Row],[Expansión - Barra B - 5.2 - Cerro]]*TBL_CalcDarwin[[#This Row],[AEG 5.2 MW Cerro]]</f>
        <v>0.745</v>
      </c>
      <c r="AZ97" s="18"/>
      <c r="BA97" s="18"/>
      <c r="BB97" s="18"/>
      <c r="BC97" s="18"/>
      <c r="BD97" s="18"/>
      <c r="BE97" s="18"/>
      <c r="BF97" s="18"/>
    </row>
    <row r="98" spans="2:58" ht="12" x14ac:dyDescent="0.2">
      <c r="B98" s="55">
        <f t="shared" si="6"/>
        <v>45616.999999999774</v>
      </c>
      <c r="C98" s="17">
        <f t="shared" si="9"/>
        <v>3.9999999999999942</v>
      </c>
      <c r="D98" s="34">
        <f>TBL_CalcDarwin[[#This Row],[Darwin PLOM
MW]]+TBL_CalcDarwin[[#This Row],[Darwin PLOME
MW]]</f>
        <v>63.076999999999998</v>
      </c>
      <c r="E98" s="34">
        <f>TBL_CalcDarwin[[#This Row],[PLOM MW TOTAL BARRA A]]+TBL_CalcDarwin[[#This Row],[PLOM MW TOTAL BARRA B]]</f>
        <v>61</v>
      </c>
      <c r="F98" s="34">
        <f>TBL_CalcDarwin[[#This Row],[PLOME MW TOTAL BARRA A]]+TBL_CalcDarwin[[#This Row],[PLOME MW TOTAL BARRA B]]</f>
        <v>2.077</v>
      </c>
      <c r="G98" s="48">
        <f>'Plantilla Datos'!D103</f>
        <v>5.2</v>
      </c>
      <c r="H98" s="48">
        <f>'Plantilla Datos'!E103</f>
        <v>6.6</v>
      </c>
      <c r="I98" s="49">
        <f>'Plantilla Datos'!F103</f>
        <v>17</v>
      </c>
      <c r="J98" s="47">
        <f>CEILING('Plantilla Datos'!$L$3*TBL_CalcDarwin[[#This Row],[Darwin Gusts
m/s]],0.5)</f>
        <v>5</v>
      </c>
      <c r="K98" s="47">
        <f>CEILING('Plantilla Datos'!$L$4*TBL_CalcDarwin[[#This Row],[Darwin Gusts
m/s]],0.5)</f>
        <v>6</v>
      </c>
      <c r="L98" s="47">
        <f>CEILING(TBL_CalcDarwin[[#This Row],[Darwin Gusts
m/s]],0.5)</f>
        <v>7</v>
      </c>
      <c r="M9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9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9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9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98" s="41">
        <f>INDEX(Curva_Temp[Temp],MATCH(TBL_CalcDarwin[[#This Row],[Darwin Temp.
°C]],Curva_Temp[Temp]))</f>
        <v>15</v>
      </c>
      <c r="R98" s="41">
        <f>INDEX(Curva_Temp[Warranted Power Curve for 
1.194Kg/m3 air density '[kW']
SG 5.0-145 (AM+1, 5.2MW) AT 
90M],MATCH(TBL_CalcDarwin[[#This Row],[Darwin Temp.
°C]],Curva_Temp[Temp]))</f>
        <v>5200</v>
      </c>
      <c r="S98" s="41" cm="1">
        <f t="array" ref="S98">INDEX(Curva_Temp[Temp],MATCH(TBL_CalcDarwin[[#This Row],[Darwin Temp.
°C]],Curva_Temp[Temp])+1)</f>
        <v>20</v>
      </c>
      <c r="T98" s="41" cm="1">
        <f t="array" ref="T98">INDEX(Curva_Temp[Warranted Power Curve for 
1.194Kg/m3 air density '[kW']
SG 5.0-145 (AM+1, 5.2MW) AT 
90M],MATCH(TBL_CalcDarwin[[#This Row],[Darwin Temp.
°C]],Curva_Temp[Temp])+1)</f>
        <v>5000</v>
      </c>
      <c r="U9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9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9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98" s="41">
        <f>INDEX(Curva_Temp[Temp],MATCH(TBL_CalcDarwin[[#This Row],[Darwin Temp.
°C]],Curva_Temp[Temp]))</f>
        <v>15</v>
      </c>
      <c r="Z98" s="41">
        <f>INDEX(Curva_Temp[Warranted Power Curve for 
1.194Kg/m3 air density '[kW']
SG 5.0-145 (AM 0, 5.0MW) AT 
90M],MATCH(TBL_CalcDarwin[[#This Row],[Darwin Temp.
°C]],Curva_Temp[Temp]))</f>
        <v>5000</v>
      </c>
      <c r="AA98" s="41" cm="1">
        <f t="array" ref="AA98">INDEX(Curva_Temp[Temp],MATCH(TBL_CalcDarwin[[#This Row],[Darwin Temp.
°C]],Curva_Temp[Temp])+1)</f>
        <v>20</v>
      </c>
      <c r="AB98" s="41" cm="1">
        <f t="array" ref="AB98">INDEX(Curva_Temp[Warranted Power Curve for 
1.194Kg/m3 air density '[kW']
SG 5.0-145 (AM 0, 5.0MW) AT 
90M],MATCH(TBL_CalcDarwin[[#This Row],[Darwin Temp.
°C]],Curva_Temp[Temp])+1)</f>
        <v>5000</v>
      </c>
      <c r="AC98" s="45">
        <f>HLOOKUP(TBL_CalcDarwin[[#This Row],[Fecha]],'Plantilla AEG ES'!$E$1:$HX$13,2,FALSE)</f>
        <v>5</v>
      </c>
      <c r="AD98" s="45">
        <f>HLOOKUP(TBL_CalcDarwin[[#This Row],[Fecha]],'Plantilla AEG ES'!$E$1:$HX$13,3,FALSE)</f>
        <v>7</v>
      </c>
      <c r="AE98" s="45">
        <f>HLOOKUP(TBL_CalcDarwin[[#This Row],[Fecha]],'Plantilla AEG ES'!$E$1:$HX$13,4,FALSE)</f>
        <v>11</v>
      </c>
      <c r="AF98" s="45">
        <f>HLOOKUP(TBL_CalcDarwin[[#This Row],[Fecha]],'Plantilla AEG ES'!$E$1:$HX$13,5,FALSE)</f>
        <v>1</v>
      </c>
      <c r="AG98" s="45">
        <f>HLOOKUP(TBL_CalcDarwin[[#This Row],[Fecha]],'Plantilla AEG ES'!$E$1:$HX$13,6,FALSE)</f>
        <v>1</v>
      </c>
      <c r="AH98" s="45">
        <f>HLOOKUP(TBL_CalcDarwin[[#This Row],[Fecha]],'Plantilla AEG ES'!$E$1:$HX$13,7,FALSE)</f>
        <v>0</v>
      </c>
      <c r="AI98" s="46">
        <f>HLOOKUP(TBL_CalcDarwin[[#This Row],[Fecha]],'Plantilla AEG ES'!$E$1:$HX$13,8,FALSE)</f>
        <v>0</v>
      </c>
      <c r="AJ98" s="46">
        <f>HLOOKUP(TBL_CalcDarwin[[#This Row],[Fecha]],'Plantilla AEG ES'!$E$1:$HX$13,9,FALSE)</f>
        <v>3</v>
      </c>
      <c r="AK98" s="46">
        <f>HLOOKUP(TBL_CalcDarwin[[#This Row],[Fecha]],'Plantilla AEG ES'!$E$1:$HX$13,10,FALSE)</f>
        <v>12</v>
      </c>
      <c r="AL98" s="46">
        <f>HLOOKUP(TBL_CalcDarwin[[#This Row],[Fecha]],'Plantilla AEG ES'!$E$1:$HX$13,11,FALSE)</f>
        <v>1</v>
      </c>
      <c r="AM98" s="46">
        <f>HLOOKUP(TBL_CalcDarwin[[#This Row],[Fecha]],'Plantilla AEG ES'!$E$1:$HX$13,12,FALSE)</f>
        <v>7</v>
      </c>
      <c r="AN98" s="46">
        <f>HLOOKUP(TBL_CalcDarwin[[#This Row],[Fecha]],'Plantilla AEG ES'!$E$1:$HX$13,13,FALSE)</f>
        <v>1</v>
      </c>
      <c r="AO98" s="37">
        <f>TBL_CalcDarwin[[#This Row],[Lomitas - Barra A - 5.2 - Cerro]]+TBL_CalcDarwin[[#This Row],[Lomitas - Barra A - 5.2 - Medio]]+TBL_CalcDarwin[[#This Row],[Lomitas - Barra A - 5.2 - Mar]]</f>
        <v>23</v>
      </c>
      <c r="AP9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9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98" s="37">
        <f>TBL_CalcDarwin[[#This Row],[Expansión - Barra A - 5.2 - Cerro]]+TBL_CalcDarwin[[#This Row],[Expansión - Barra A - 5.2 - Medio]]+TBL_CalcDarwin[[#This Row],[Expansión - Barra A - 5.2 - Mar]]</f>
        <v>2</v>
      </c>
      <c r="AT98" s="37">
        <f>TBL_CalcDarwin[[#This Row],[Expansión - Barra B - 5.2 - Cerro]]</f>
        <v>1</v>
      </c>
      <c r="AU9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98" s="29">
        <f>TBL_CalcDarwin[[#This Row],[Expansión - Barra B - 5.2 - Cerro]]*TBL_CalcDarwin[[#This Row],[AEG 5.2 MW Cerro]]</f>
        <v>0.54700000000000004</v>
      </c>
      <c r="AZ98" s="18"/>
      <c r="BA98" s="18"/>
      <c r="BB98" s="18"/>
      <c r="BC98" s="18"/>
      <c r="BD98" s="18"/>
      <c r="BE98" s="18"/>
      <c r="BF98" s="18"/>
    </row>
    <row r="99" spans="2:58" ht="12" x14ac:dyDescent="0.2">
      <c r="B99" s="55">
        <f t="shared" si="6"/>
        <v>45617.041666666439</v>
      </c>
      <c r="C99" s="17">
        <f t="shared" si="9"/>
        <v>4.0416666666666607</v>
      </c>
      <c r="D99" s="34">
        <f>TBL_CalcDarwin[[#This Row],[Darwin PLOM
MW]]+TBL_CalcDarwin[[#This Row],[Darwin PLOME
MW]]</f>
        <v>40.722999999999999</v>
      </c>
      <c r="E99" s="34">
        <f>TBL_CalcDarwin[[#This Row],[PLOM MW TOTAL BARRA A]]+TBL_CalcDarwin[[#This Row],[PLOM MW TOTAL BARRA B]]</f>
        <v>39.213999999999999</v>
      </c>
      <c r="F99" s="34">
        <f>TBL_CalcDarwin[[#This Row],[PLOME MW TOTAL BARRA A]]+TBL_CalcDarwin[[#This Row],[PLOME MW TOTAL BARRA B]]</f>
        <v>1.5089999999999999</v>
      </c>
      <c r="G99" s="48">
        <f>'Plantilla Datos'!D104</f>
        <v>4.5999999999999996</v>
      </c>
      <c r="H99" s="48">
        <f>'Plantilla Datos'!E104</f>
        <v>5.9</v>
      </c>
      <c r="I99" s="49">
        <f>'Plantilla Datos'!F104</f>
        <v>16.899999999999999</v>
      </c>
      <c r="J99" s="47">
        <f>CEILING('Plantilla Datos'!$L$3*TBL_CalcDarwin[[#This Row],[Darwin Gusts
m/s]],0.5)</f>
        <v>4.5</v>
      </c>
      <c r="K99" s="47">
        <f>CEILING('Plantilla Datos'!$L$4*TBL_CalcDarwin[[#This Row],[Darwin Gusts
m/s]],0.5)</f>
        <v>5.5</v>
      </c>
      <c r="L99" s="47">
        <f>CEILING(TBL_CalcDarwin[[#This Row],[Darwin Gusts
m/s]],0.5)</f>
        <v>6</v>
      </c>
      <c r="M9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9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9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9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99" s="41">
        <f>INDEX(Curva_Temp[Temp],MATCH(TBL_CalcDarwin[[#This Row],[Darwin Temp.
°C]],Curva_Temp[Temp]))</f>
        <v>15</v>
      </c>
      <c r="R99" s="41">
        <f>INDEX(Curva_Temp[Warranted Power Curve for 
1.194Kg/m3 air density '[kW']
SG 5.0-145 (AM+1, 5.2MW) AT 
90M],MATCH(TBL_CalcDarwin[[#This Row],[Darwin Temp.
°C]],Curva_Temp[Temp]))</f>
        <v>5200</v>
      </c>
      <c r="S99" s="41" cm="1">
        <f t="array" ref="S99">INDEX(Curva_Temp[Temp],MATCH(TBL_CalcDarwin[[#This Row],[Darwin Temp.
°C]],Curva_Temp[Temp])+1)</f>
        <v>20</v>
      </c>
      <c r="T99" s="41" cm="1">
        <f t="array" ref="T99">INDEX(Curva_Temp[Warranted Power Curve for 
1.194Kg/m3 air density '[kW']
SG 5.0-145 (AM+1, 5.2MW) AT 
90M],MATCH(TBL_CalcDarwin[[#This Row],[Darwin Temp.
°C]],Curva_Temp[Temp])+1)</f>
        <v>5000</v>
      </c>
      <c r="U9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9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9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99" s="41">
        <f>INDEX(Curva_Temp[Temp],MATCH(TBL_CalcDarwin[[#This Row],[Darwin Temp.
°C]],Curva_Temp[Temp]))</f>
        <v>15</v>
      </c>
      <c r="Z99" s="41">
        <f>INDEX(Curva_Temp[Warranted Power Curve for 
1.194Kg/m3 air density '[kW']
SG 5.0-145 (AM 0, 5.0MW) AT 
90M],MATCH(TBL_CalcDarwin[[#This Row],[Darwin Temp.
°C]],Curva_Temp[Temp]))</f>
        <v>5000</v>
      </c>
      <c r="AA99" s="41" cm="1">
        <f t="array" ref="AA99">INDEX(Curva_Temp[Temp],MATCH(TBL_CalcDarwin[[#This Row],[Darwin Temp.
°C]],Curva_Temp[Temp])+1)</f>
        <v>20</v>
      </c>
      <c r="AB99" s="41" cm="1">
        <f t="array" ref="AB99">INDEX(Curva_Temp[Warranted Power Curve for 
1.194Kg/m3 air density '[kW']
SG 5.0-145 (AM 0, 5.0MW) AT 
90M],MATCH(TBL_CalcDarwin[[#This Row],[Darwin Temp.
°C]],Curva_Temp[Temp])+1)</f>
        <v>5000</v>
      </c>
      <c r="AC99" s="45">
        <f>HLOOKUP(TBL_CalcDarwin[[#This Row],[Fecha]],'Plantilla AEG ES'!$E$1:$HX$13,2,FALSE)</f>
        <v>5</v>
      </c>
      <c r="AD99" s="45">
        <f>HLOOKUP(TBL_CalcDarwin[[#This Row],[Fecha]],'Plantilla AEG ES'!$E$1:$HX$13,3,FALSE)</f>
        <v>7</v>
      </c>
      <c r="AE99" s="45">
        <f>HLOOKUP(TBL_CalcDarwin[[#This Row],[Fecha]],'Plantilla AEG ES'!$E$1:$HX$13,4,FALSE)</f>
        <v>11</v>
      </c>
      <c r="AF99" s="45">
        <f>HLOOKUP(TBL_CalcDarwin[[#This Row],[Fecha]],'Plantilla AEG ES'!$E$1:$HX$13,5,FALSE)</f>
        <v>1</v>
      </c>
      <c r="AG99" s="45">
        <f>HLOOKUP(TBL_CalcDarwin[[#This Row],[Fecha]],'Plantilla AEG ES'!$E$1:$HX$13,6,FALSE)</f>
        <v>1</v>
      </c>
      <c r="AH99" s="45">
        <f>HLOOKUP(TBL_CalcDarwin[[#This Row],[Fecha]],'Plantilla AEG ES'!$E$1:$HX$13,7,FALSE)</f>
        <v>0</v>
      </c>
      <c r="AI99" s="46">
        <f>HLOOKUP(TBL_CalcDarwin[[#This Row],[Fecha]],'Plantilla AEG ES'!$E$1:$HX$13,8,FALSE)</f>
        <v>0</v>
      </c>
      <c r="AJ99" s="46">
        <f>HLOOKUP(TBL_CalcDarwin[[#This Row],[Fecha]],'Plantilla AEG ES'!$E$1:$HX$13,9,FALSE)</f>
        <v>3</v>
      </c>
      <c r="AK99" s="46">
        <f>HLOOKUP(TBL_CalcDarwin[[#This Row],[Fecha]],'Plantilla AEG ES'!$E$1:$HX$13,10,FALSE)</f>
        <v>12</v>
      </c>
      <c r="AL99" s="46">
        <f>HLOOKUP(TBL_CalcDarwin[[#This Row],[Fecha]],'Plantilla AEG ES'!$E$1:$HX$13,11,FALSE)</f>
        <v>1</v>
      </c>
      <c r="AM99" s="46">
        <f>HLOOKUP(TBL_CalcDarwin[[#This Row],[Fecha]],'Plantilla AEG ES'!$E$1:$HX$13,12,FALSE)</f>
        <v>7</v>
      </c>
      <c r="AN99" s="46">
        <f>HLOOKUP(TBL_CalcDarwin[[#This Row],[Fecha]],'Plantilla AEG ES'!$E$1:$HX$13,13,FALSE)</f>
        <v>1</v>
      </c>
      <c r="AO99" s="37">
        <f>TBL_CalcDarwin[[#This Row],[Lomitas - Barra A - 5.2 - Cerro]]+TBL_CalcDarwin[[#This Row],[Lomitas - Barra A - 5.2 - Medio]]+TBL_CalcDarwin[[#This Row],[Lomitas - Barra A - 5.2 - Mar]]</f>
        <v>23</v>
      </c>
      <c r="AP9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17.938000000000002</v>
      </c>
      <c r="AR9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99" s="37">
        <f>TBL_CalcDarwin[[#This Row],[Expansión - Barra A - 5.2 - Cerro]]+TBL_CalcDarwin[[#This Row],[Expansión - Barra A - 5.2 - Medio]]+TBL_CalcDarwin[[#This Row],[Expansión - Barra A - 5.2 - Mar]]</f>
        <v>2</v>
      </c>
      <c r="AT99" s="37">
        <f>TBL_CalcDarwin[[#This Row],[Expansión - Barra B - 5.2 - Cerro]]</f>
        <v>1</v>
      </c>
      <c r="AU9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99" s="29">
        <f>TBL_CalcDarwin[[#This Row],[Expansión - Barra B - 5.2 - Cerro]]*TBL_CalcDarwin[[#This Row],[AEG 5.2 MW Cerro]]</f>
        <v>0.38200000000000001</v>
      </c>
      <c r="AZ99" s="18"/>
      <c r="BA99" s="18"/>
      <c r="BB99" s="18"/>
      <c r="BC99" s="18"/>
      <c r="BD99" s="18"/>
      <c r="BE99" s="18"/>
      <c r="BF99" s="18"/>
    </row>
    <row r="100" spans="2:58" ht="12" x14ac:dyDescent="0.2">
      <c r="B100" s="55">
        <f t="shared" si="6"/>
        <v>45617.083333333103</v>
      </c>
      <c r="C100" s="17">
        <f t="shared" si="9"/>
        <v>4.0833333333333277</v>
      </c>
      <c r="D100" s="34">
        <f>TBL_CalcDarwin[[#This Row],[Darwin PLOM
MW]]+TBL_CalcDarwin[[#This Row],[Darwin PLOME
MW]]</f>
        <v>30.28</v>
      </c>
      <c r="E100" s="34">
        <f>TBL_CalcDarwin[[#This Row],[PLOM MW TOTAL BARRA A]]+TBL_CalcDarwin[[#This Row],[PLOM MW TOTAL BARRA B]]</f>
        <v>29.245000000000001</v>
      </c>
      <c r="F100" s="34">
        <f>TBL_CalcDarwin[[#This Row],[PLOME MW TOTAL BARRA A]]+TBL_CalcDarwin[[#This Row],[PLOME MW TOTAL BARRA B]]</f>
        <v>1.0350000000000001</v>
      </c>
      <c r="G100" s="48">
        <f>'Plantilla Datos'!D105</f>
        <v>4.0999999999999996</v>
      </c>
      <c r="H100" s="48">
        <f>'Plantilla Datos'!E105</f>
        <v>5.3</v>
      </c>
      <c r="I100" s="49">
        <f>'Plantilla Datos'!F105</f>
        <v>16.899999999999999</v>
      </c>
      <c r="J100" s="47">
        <f>CEILING('Plantilla Datos'!$L$3*TBL_CalcDarwin[[#This Row],[Darwin Gusts
m/s]],0.5)</f>
        <v>4</v>
      </c>
      <c r="K100" s="47">
        <f>CEILING('Plantilla Datos'!$L$4*TBL_CalcDarwin[[#This Row],[Darwin Gusts
m/s]],0.5)</f>
        <v>5</v>
      </c>
      <c r="L100" s="47">
        <f>CEILING(TBL_CalcDarwin[[#This Row],[Darwin Gusts
m/s]],0.5)</f>
        <v>5.5</v>
      </c>
      <c r="M10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10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0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0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00" s="41">
        <f>INDEX(Curva_Temp[Temp],MATCH(TBL_CalcDarwin[[#This Row],[Darwin Temp.
°C]],Curva_Temp[Temp]))</f>
        <v>15</v>
      </c>
      <c r="R100" s="41">
        <f>INDEX(Curva_Temp[Warranted Power Curve for 
1.194Kg/m3 air density '[kW']
SG 5.0-145 (AM+1, 5.2MW) AT 
90M],MATCH(TBL_CalcDarwin[[#This Row],[Darwin Temp.
°C]],Curva_Temp[Temp]))</f>
        <v>5200</v>
      </c>
      <c r="S100" s="41" cm="1">
        <f t="array" ref="S100">INDEX(Curva_Temp[Temp],MATCH(TBL_CalcDarwin[[#This Row],[Darwin Temp.
°C]],Curva_Temp[Temp])+1)</f>
        <v>20</v>
      </c>
      <c r="T100" s="41" cm="1">
        <f t="array" ref="T100">INDEX(Curva_Temp[Warranted Power Curve for 
1.194Kg/m3 air density '[kW']
SG 5.0-145 (AM+1, 5.2MW) AT 
90M],MATCH(TBL_CalcDarwin[[#This Row],[Darwin Temp.
°C]],Curva_Temp[Temp])+1)</f>
        <v>5000</v>
      </c>
      <c r="U10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0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0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00" s="41">
        <f>INDEX(Curva_Temp[Temp],MATCH(TBL_CalcDarwin[[#This Row],[Darwin Temp.
°C]],Curva_Temp[Temp]))</f>
        <v>15</v>
      </c>
      <c r="Z100" s="41">
        <f>INDEX(Curva_Temp[Warranted Power Curve for 
1.194Kg/m3 air density '[kW']
SG 5.0-145 (AM 0, 5.0MW) AT 
90M],MATCH(TBL_CalcDarwin[[#This Row],[Darwin Temp.
°C]],Curva_Temp[Temp]))</f>
        <v>5000</v>
      </c>
      <c r="AA100" s="41" cm="1">
        <f t="array" ref="AA100">INDEX(Curva_Temp[Temp],MATCH(TBL_CalcDarwin[[#This Row],[Darwin Temp.
°C]],Curva_Temp[Temp])+1)</f>
        <v>20</v>
      </c>
      <c r="AB100" s="41" cm="1">
        <f t="array" ref="AB100">INDEX(Curva_Temp[Warranted Power Curve for 
1.194Kg/m3 air density '[kW']
SG 5.0-145 (AM 0, 5.0MW) AT 
90M],MATCH(TBL_CalcDarwin[[#This Row],[Darwin Temp.
°C]],Curva_Temp[Temp])+1)</f>
        <v>5000</v>
      </c>
      <c r="AC100" s="45">
        <f>HLOOKUP(TBL_CalcDarwin[[#This Row],[Fecha]],'Plantilla AEG ES'!$E$1:$HX$13,2,FALSE)</f>
        <v>5</v>
      </c>
      <c r="AD100" s="45">
        <f>HLOOKUP(TBL_CalcDarwin[[#This Row],[Fecha]],'Plantilla AEG ES'!$E$1:$HX$13,3,FALSE)</f>
        <v>7</v>
      </c>
      <c r="AE100" s="45">
        <f>HLOOKUP(TBL_CalcDarwin[[#This Row],[Fecha]],'Plantilla AEG ES'!$E$1:$HX$13,4,FALSE)</f>
        <v>11</v>
      </c>
      <c r="AF100" s="45">
        <f>HLOOKUP(TBL_CalcDarwin[[#This Row],[Fecha]],'Plantilla AEG ES'!$E$1:$HX$13,5,FALSE)</f>
        <v>1</v>
      </c>
      <c r="AG100" s="45">
        <f>HLOOKUP(TBL_CalcDarwin[[#This Row],[Fecha]],'Plantilla AEG ES'!$E$1:$HX$13,6,FALSE)</f>
        <v>1</v>
      </c>
      <c r="AH100" s="45">
        <f>HLOOKUP(TBL_CalcDarwin[[#This Row],[Fecha]],'Plantilla AEG ES'!$E$1:$HX$13,7,FALSE)</f>
        <v>0</v>
      </c>
      <c r="AI100" s="46">
        <f>HLOOKUP(TBL_CalcDarwin[[#This Row],[Fecha]],'Plantilla AEG ES'!$E$1:$HX$13,8,FALSE)</f>
        <v>0</v>
      </c>
      <c r="AJ100" s="46">
        <f>HLOOKUP(TBL_CalcDarwin[[#This Row],[Fecha]],'Plantilla AEG ES'!$E$1:$HX$13,9,FALSE)</f>
        <v>3</v>
      </c>
      <c r="AK100" s="46">
        <f>HLOOKUP(TBL_CalcDarwin[[#This Row],[Fecha]],'Plantilla AEG ES'!$E$1:$HX$13,10,FALSE)</f>
        <v>12</v>
      </c>
      <c r="AL100" s="46">
        <f>HLOOKUP(TBL_CalcDarwin[[#This Row],[Fecha]],'Plantilla AEG ES'!$E$1:$HX$13,11,FALSE)</f>
        <v>1</v>
      </c>
      <c r="AM100" s="46">
        <f>HLOOKUP(TBL_CalcDarwin[[#This Row],[Fecha]],'Plantilla AEG ES'!$E$1:$HX$13,12,FALSE)</f>
        <v>7</v>
      </c>
      <c r="AN100" s="46">
        <f>HLOOKUP(TBL_CalcDarwin[[#This Row],[Fecha]],'Plantilla AEG ES'!$E$1:$HX$13,13,FALSE)</f>
        <v>1</v>
      </c>
      <c r="AO100" s="37">
        <f>TBL_CalcDarwin[[#This Row],[Lomitas - Barra A - 5.2 - Cerro]]+TBL_CalcDarwin[[#This Row],[Lomitas - Barra A - 5.2 - Medio]]+TBL_CalcDarwin[[#This Row],[Lomitas - Barra A - 5.2 - Mar]]</f>
        <v>23</v>
      </c>
      <c r="AP10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10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00" s="37">
        <f>TBL_CalcDarwin[[#This Row],[Expansión - Barra A - 5.2 - Cerro]]+TBL_CalcDarwin[[#This Row],[Expansión - Barra A - 5.2 - Medio]]+TBL_CalcDarwin[[#This Row],[Expansión - Barra A - 5.2 - Mar]]</f>
        <v>2</v>
      </c>
      <c r="AT100" s="37">
        <f>TBL_CalcDarwin[[#This Row],[Expansión - Barra B - 5.2 - Cerro]]</f>
        <v>1</v>
      </c>
      <c r="AU10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00" s="29">
        <f>TBL_CalcDarwin[[#This Row],[Expansión - Barra B - 5.2 - Cerro]]*TBL_CalcDarwin[[#This Row],[AEG 5.2 MW Cerro]]</f>
        <v>0.24399999999999999</v>
      </c>
      <c r="AZ100" s="18"/>
      <c r="BA100" s="18"/>
      <c r="BB100" s="18"/>
      <c r="BC100" s="18"/>
      <c r="BD100" s="18"/>
      <c r="BE100" s="18"/>
      <c r="BF100" s="18"/>
    </row>
    <row r="101" spans="2:58" ht="12" x14ac:dyDescent="0.2">
      <c r="B101" s="55">
        <f t="shared" si="6"/>
        <v>45617.124999999767</v>
      </c>
      <c r="C101" s="17">
        <f>C100+TIME(1,0,0)</f>
        <v>4.1249999999999947</v>
      </c>
      <c r="D101" s="34">
        <f>TBL_CalcDarwin[[#This Row],[Darwin PLOM
MW]]+TBL_CalcDarwin[[#This Row],[Darwin PLOME
MW]]</f>
        <v>21.591000000000001</v>
      </c>
      <c r="E101" s="34">
        <f>TBL_CalcDarwin[[#This Row],[PLOM MW TOTAL BARRA A]]+TBL_CalcDarwin[[#This Row],[PLOM MW TOTAL BARRA B]]</f>
        <v>20.949000000000002</v>
      </c>
      <c r="F101" s="34">
        <f>TBL_CalcDarwin[[#This Row],[PLOME MW TOTAL BARRA A]]+TBL_CalcDarwin[[#This Row],[PLOME MW TOTAL BARRA B]]</f>
        <v>0.64200000000000002</v>
      </c>
      <c r="G101" s="48">
        <f>'Plantilla Datos'!D106</f>
        <v>3.6</v>
      </c>
      <c r="H101" s="48">
        <f>'Plantilla Datos'!E106</f>
        <v>4.7</v>
      </c>
      <c r="I101" s="49">
        <f>'Plantilla Datos'!F106</f>
        <v>16.899999999999999</v>
      </c>
      <c r="J101" s="47">
        <f>CEILING('Plantilla Datos'!$L$3*TBL_CalcDarwin[[#This Row],[Darwin Gusts
m/s]],0.5)</f>
        <v>3.5</v>
      </c>
      <c r="K101" s="47">
        <f>CEILING('Plantilla Datos'!$L$4*TBL_CalcDarwin[[#This Row],[Darwin Gusts
m/s]],0.5)</f>
        <v>4.5</v>
      </c>
      <c r="L101" s="47">
        <f>CEILING(TBL_CalcDarwin[[#This Row],[Darwin Gusts
m/s]],0.5)</f>
        <v>5</v>
      </c>
      <c r="M10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10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0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0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01" s="41">
        <f>INDEX(Curva_Temp[Temp],MATCH(TBL_CalcDarwin[[#This Row],[Darwin Temp.
°C]],Curva_Temp[Temp]))</f>
        <v>15</v>
      </c>
      <c r="R101" s="41">
        <f>INDEX(Curva_Temp[Warranted Power Curve for 
1.194Kg/m3 air density '[kW']
SG 5.0-145 (AM+1, 5.2MW) AT 
90M],MATCH(TBL_CalcDarwin[[#This Row],[Darwin Temp.
°C]],Curva_Temp[Temp]))</f>
        <v>5200</v>
      </c>
      <c r="S101" s="41" cm="1">
        <f t="array" ref="S101">INDEX(Curva_Temp[Temp],MATCH(TBL_CalcDarwin[[#This Row],[Darwin Temp.
°C]],Curva_Temp[Temp])+1)</f>
        <v>20</v>
      </c>
      <c r="T101" s="41" cm="1">
        <f t="array" ref="T101">INDEX(Curva_Temp[Warranted Power Curve for 
1.194Kg/m3 air density '[kW']
SG 5.0-145 (AM+1, 5.2MW) AT 
90M],MATCH(TBL_CalcDarwin[[#This Row],[Darwin Temp.
°C]],Curva_Temp[Temp])+1)</f>
        <v>5000</v>
      </c>
      <c r="U10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0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0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01" s="41">
        <f>INDEX(Curva_Temp[Temp],MATCH(TBL_CalcDarwin[[#This Row],[Darwin Temp.
°C]],Curva_Temp[Temp]))</f>
        <v>15</v>
      </c>
      <c r="Z101" s="41">
        <f>INDEX(Curva_Temp[Warranted Power Curve for 
1.194Kg/m3 air density '[kW']
SG 5.0-145 (AM 0, 5.0MW) AT 
90M],MATCH(TBL_CalcDarwin[[#This Row],[Darwin Temp.
°C]],Curva_Temp[Temp]))</f>
        <v>5000</v>
      </c>
      <c r="AA101" s="41" cm="1">
        <f t="array" ref="AA101">INDEX(Curva_Temp[Temp],MATCH(TBL_CalcDarwin[[#This Row],[Darwin Temp.
°C]],Curva_Temp[Temp])+1)</f>
        <v>20</v>
      </c>
      <c r="AB101" s="41" cm="1">
        <f t="array" ref="AB101">INDEX(Curva_Temp[Warranted Power Curve for 
1.194Kg/m3 air density '[kW']
SG 5.0-145 (AM 0, 5.0MW) AT 
90M],MATCH(TBL_CalcDarwin[[#This Row],[Darwin Temp.
°C]],Curva_Temp[Temp])+1)</f>
        <v>5000</v>
      </c>
      <c r="AC101" s="45">
        <f>HLOOKUP(TBL_CalcDarwin[[#This Row],[Fecha]],'Plantilla AEG ES'!$E$1:$HX$13,2,FALSE)</f>
        <v>5</v>
      </c>
      <c r="AD101" s="45">
        <f>HLOOKUP(TBL_CalcDarwin[[#This Row],[Fecha]],'Plantilla AEG ES'!$E$1:$HX$13,3,FALSE)</f>
        <v>7</v>
      </c>
      <c r="AE101" s="45">
        <f>HLOOKUP(TBL_CalcDarwin[[#This Row],[Fecha]],'Plantilla AEG ES'!$E$1:$HX$13,4,FALSE)</f>
        <v>11</v>
      </c>
      <c r="AF101" s="45">
        <f>HLOOKUP(TBL_CalcDarwin[[#This Row],[Fecha]],'Plantilla AEG ES'!$E$1:$HX$13,5,FALSE)</f>
        <v>1</v>
      </c>
      <c r="AG101" s="45">
        <f>HLOOKUP(TBL_CalcDarwin[[#This Row],[Fecha]],'Plantilla AEG ES'!$E$1:$HX$13,6,FALSE)</f>
        <v>1</v>
      </c>
      <c r="AH101" s="45">
        <f>HLOOKUP(TBL_CalcDarwin[[#This Row],[Fecha]],'Plantilla AEG ES'!$E$1:$HX$13,7,FALSE)</f>
        <v>0</v>
      </c>
      <c r="AI101" s="46">
        <f>HLOOKUP(TBL_CalcDarwin[[#This Row],[Fecha]],'Plantilla AEG ES'!$E$1:$HX$13,8,FALSE)</f>
        <v>0</v>
      </c>
      <c r="AJ101" s="46">
        <f>HLOOKUP(TBL_CalcDarwin[[#This Row],[Fecha]],'Plantilla AEG ES'!$E$1:$HX$13,9,FALSE)</f>
        <v>3</v>
      </c>
      <c r="AK101" s="46">
        <f>HLOOKUP(TBL_CalcDarwin[[#This Row],[Fecha]],'Plantilla AEG ES'!$E$1:$HX$13,10,FALSE)</f>
        <v>12</v>
      </c>
      <c r="AL101" s="46">
        <f>HLOOKUP(TBL_CalcDarwin[[#This Row],[Fecha]],'Plantilla AEG ES'!$E$1:$HX$13,11,FALSE)</f>
        <v>1</v>
      </c>
      <c r="AM101" s="46">
        <f>HLOOKUP(TBL_CalcDarwin[[#This Row],[Fecha]],'Plantilla AEG ES'!$E$1:$HX$13,12,FALSE)</f>
        <v>7</v>
      </c>
      <c r="AN101" s="46">
        <f>HLOOKUP(TBL_CalcDarwin[[#This Row],[Fecha]],'Plantilla AEG ES'!$E$1:$HX$13,13,FALSE)</f>
        <v>1</v>
      </c>
      <c r="AO101" s="37">
        <f>TBL_CalcDarwin[[#This Row],[Lomitas - Barra A - 5.2 - Cerro]]+TBL_CalcDarwin[[#This Row],[Lomitas - Barra A - 5.2 - Medio]]+TBL_CalcDarwin[[#This Row],[Lomitas - Barra A - 5.2 - Mar]]</f>
        <v>23</v>
      </c>
      <c r="AP10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9.3410000000000011</v>
      </c>
      <c r="AR10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11.608000000000001</v>
      </c>
      <c r="AS101" s="37">
        <f>TBL_CalcDarwin[[#This Row],[Expansión - Barra A - 5.2 - Cerro]]+TBL_CalcDarwin[[#This Row],[Expansión - Barra A - 5.2 - Medio]]+TBL_CalcDarwin[[#This Row],[Expansión - Barra A - 5.2 - Mar]]</f>
        <v>2</v>
      </c>
      <c r="AT101" s="37">
        <f>TBL_CalcDarwin[[#This Row],[Expansión - Barra B - 5.2 - Cerro]]</f>
        <v>1</v>
      </c>
      <c r="AU10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0.51200000000000001</v>
      </c>
      <c r="AV101" s="29">
        <f>TBL_CalcDarwin[[#This Row],[Expansión - Barra B - 5.2 - Cerro]]*TBL_CalcDarwin[[#This Row],[AEG 5.2 MW Cerro]]</f>
        <v>0.13</v>
      </c>
      <c r="AZ101" s="18"/>
      <c r="BA101" s="18"/>
      <c r="BB101" s="18"/>
      <c r="BC101" s="18"/>
      <c r="BD101" s="18"/>
      <c r="BE101" s="18"/>
      <c r="BF101" s="18"/>
    </row>
    <row r="102" spans="2:58" ht="12" x14ac:dyDescent="0.2">
      <c r="B102" s="55">
        <f t="shared" si="6"/>
        <v>45617.166666666431</v>
      </c>
      <c r="C102" s="17">
        <f t="shared" ref="C102:C118" si="10">C101+TIME(1,0,0)</f>
        <v>4.1666666666666616</v>
      </c>
      <c r="D102" s="34">
        <f>TBL_CalcDarwin[[#This Row],[Darwin PLOM
MW]]+TBL_CalcDarwin[[#This Row],[Darwin PLOME
MW]]</f>
        <v>13.250999999999999</v>
      </c>
      <c r="E102" s="34">
        <f>TBL_CalcDarwin[[#This Row],[PLOM MW TOTAL BARRA A]]+TBL_CalcDarwin[[#This Row],[PLOM MW TOTAL BARRA B]]</f>
        <v>13.010999999999999</v>
      </c>
      <c r="F102" s="34">
        <f>TBL_CalcDarwin[[#This Row],[PLOME MW TOTAL BARRA A]]+TBL_CalcDarwin[[#This Row],[PLOME MW TOTAL BARRA B]]</f>
        <v>0.24</v>
      </c>
      <c r="G102" s="48">
        <f>'Plantilla Datos'!D107</f>
        <v>3.1</v>
      </c>
      <c r="H102" s="48">
        <f>'Plantilla Datos'!E107</f>
        <v>4.0999999999999996</v>
      </c>
      <c r="I102" s="49">
        <f>'Plantilla Datos'!F107</f>
        <v>16.8</v>
      </c>
      <c r="J102" s="47">
        <f>CEILING('Plantilla Datos'!$L$3*TBL_CalcDarwin[[#This Row],[Darwin Gusts
m/s]],0.5)</f>
        <v>3</v>
      </c>
      <c r="K102" s="47">
        <f>CEILING('Plantilla Datos'!$L$4*TBL_CalcDarwin[[#This Row],[Darwin Gusts
m/s]],0.5)</f>
        <v>3.5</v>
      </c>
      <c r="L102" s="47">
        <f>CEILING(TBL_CalcDarwin[[#This Row],[Darwin Gusts
m/s]],0.5)</f>
        <v>4.5</v>
      </c>
      <c r="M10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10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0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0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02" s="41">
        <f>INDEX(Curva_Temp[Temp],MATCH(TBL_CalcDarwin[[#This Row],[Darwin Temp.
°C]],Curva_Temp[Temp]))</f>
        <v>15</v>
      </c>
      <c r="R102" s="41">
        <f>INDEX(Curva_Temp[Warranted Power Curve for 
1.194Kg/m3 air density '[kW']
SG 5.0-145 (AM+1, 5.2MW) AT 
90M],MATCH(TBL_CalcDarwin[[#This Row],[Darwin Temp.
°C]],Curva_Temp[Temp]))</f>
        <v>5200</v>
      </c>
      <c r="S102" s="41" cm="1">
        <f t="array" ref="S102">INDEX(Curva_Temp[Temp],MATCH(TBL_CalcDarwin[[#This Row],[Darwin Temp.
°C]],Curva_Temp[Temp])+1)</f>
        <v>20</v>
      </c>
      <c r="T102" s="41" cm="1">
        <f t="array" ref="T102">INDEX(Curva_Temp[Warranted Power Curve for 
1.194Kg/m3 air density '[kW']
SG 5.0-145 (AM+1, 5.2MW) AT 
90M],MATCH(TBL_CalcDarwin[[#This Row],[Darwin Temp.
°C]],Curva_Temp[Temp])+1)</f>
        <v>5000</v>
      </c>
      <c r="U10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0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0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02" s="41">
        <f>INDEX(Curva_Temp[Temp],MATCH(TBL_CalcDarwin[[#This Row],[Darwin Temp.
°C]],Curva_Temp[Temp]))</f>
        <v>15</v>
      </c>
      <c r="Z102" s="41">
        <f>INDEX(Curva_Temp[Warranted Power Curve for 
1.194Kg/m3 air density '[kW']
SG 5.0-145 (AM 0, 5.0MW) AT 
90M],MATCH(TBL_CalcDarwin[[#This Row],[Darwin Temp.
°C]],Curva_Temp[Temp]))</f>
        <v>5000</v>
      </c>
      <c r="AA102" s="41" cm="1">
        <f t="array" ref="AA102">INDEX(Curva_Temp[Temp],MATCH(TBL_CalcDarwin[[#This Row],[Darwin Temp.
°C]],Curva_Temp[Temp])+1)</f>
        <v>20</v>
      </c>
      <c r="AB102" s="41" cm="1">
        <f t="array" ref="AB102">INDEX(Curva_Temp[Warranted Power Curve for 
1.194Kg/m3 air density '[kW']
SG 5.0-145 (AM 0, 5.0MW) AT 
90M],MATCH(TBL_CalcDarwin[[#This Row],[Darwin Temp.
°C]],Curva_Temp[Temp])+1)</f>
        <v>5000</v>
      </c>
      <c r="AC102" s="45">
        <f>HLOOKUP(TBL_CalcDarwin[[#This Row],[Fecha]],'Plantilla AEG ES'!$E$1:$HX$13,2,FALSE)</f>
        <v>5</v>
      </c>
      <c r="AD102" s="45">
        <f>HLOOKUP(TBL_CalcDarwin[[#This Row],[Fecha]],'Plantilla AEG ES'!$E$1:$HX$13,3,FALSE)</f>
        <v>7</v>
      </c>
      <c r="AE102" s="45">
        <f>HLOOKUP(TBL_CalcDarwin[[#This Row],[Fecha]],'Plantilla AEG ES'!$E$1:$HX$13,4,FALSE)</f>
        <v>11</v>
      </c>
      <c r="AF102" s="45">
        <f>HLOOKUP(TBL_CalcDarwin[[#This Row],[Fecha]],'Plantilla AEG ES'!$E$1:$HX$13,5,FALSE)</f>
        <v>1</v>
      </c>
      <c r="AG102" s="45">
        <f>HLOOKUP(TBL_CalcDarwin[[#This Row],[Fecha]],'Plantilla AEG ES'!$E$1:$HX$13,6,FALSE)</f>
        <v>1</v>
      </c>
      <c r="AH102" s="45">
        <f>HLOOKUP(TBL_CalcDarwin[[#This Row],[Fecha]],'Plantilla AEG ES'!$E$1:$HX$13,7,FALSE)</f>
        <v>0</v>
      </c>
      <c r="AI102" s="46">
        <f>HLOOKUP(TBL_CalcDarwin[[#This Row],[Fecha]],'Plantilla AEG ES'!$E$1:$HX$13,8,FALSE)</f>
        <v>0</v>
      </c>
      <c r="AJ102" s="46">
        <f>HLOOKUP(TBL_CalcDarwin[[#This Row],[Fecha]],'Plantilla AEG ES'!$E$1:$HX$13,9,FALSE)</f>
        <v>3</v>
      </c>
      <c r="AK102" s="46">
        <f>HLOOKUP(TBL_CalcDarwin[[#This Row],[Fecha]],'Plantilla AEG ES'!$E$1:$HX$13,10,FALSE)</f>
        <v>12</v>
      </c>
      <c r="AL102" s="46">
        <f>HLOOKUP(TBL_CalcDarwin[[#This Row],[Fecha]],'Plantilla AEG ES'!$E$1:$HX$13,11,FALSE)</f>
        <v>1</v>
      </c>
      <c r="AM102" s="46">
        <f>HLOOKUP(TBL_CalcDarwin[[#This Row],[Fecha]],'Plantilla AEG ES'!$E$1:$HX$13,12,FALSE)</f>
        <v>7</v>
      </c>
      <c r="AN102" s="46">
        <f>HLOOKUP(TBL_CalcDarwin[[#This Row],[Fecha]],'Plantilla AEG ES'!$E$1:$HX$13,13,FALSE)</f>
        <v>1</v>
      </c>
      <c r="AO102" s="37">
        <f>TBL_CalcDarwin[[#This Row],[Lomitas - Barra A - 5.2 - Cerro]]+TBL_CalcDarwin[[#This Row],[Lomitas - Barra A - 5.2 - Medio]]+TBL_CalcDarwin[[#This Row],[Lomitas - Barra A - 5.2 - Mar]]</f>
        <v>23</v>
      </c>
      <c r="AP10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5.3870000000000005</v>
      </c>
      <c r="AR10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7.6239999999999988</v>
      </c>
      <c r="AS102" s="37">
        <f>TBL_CalcDarwin[[#This Row],[Expansión - Barra A - 5.2 - Cerro]]+TBL_CalcDarwin[[#This Row],[Expansión - Barra A - 5.2 - Medio]]+TBL_CalcDarwin[[#This Row],[Expansión - Barra A - 5.2 - Mar]]</f>
        <v>2</v>
      </c>
      <c r="AT102" s="37">
        <f>TBL_CalcDarwin[[#This Row],[Expansión - Barra B - 5.2 - Cerro]]</f>
        <v>1</v>
      </c>
      <c r="AU10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02" s="29">
        <f>TBL_CalcDarwin[[#This Row],[Expansión - Barra B - 5.2 - Cerro]]*TBL_CalcDarwin[[#This Row],[AEG 5.2 MW Cerro]]</f>
        <v>5.5E-2</v>
      </c>
      <c r="AZ102" s="18"/>
      <c r="BA102" s="18"/>
      <c r="BB102" s="18"/>
      <c r="BC102" s="18"/>
      <c r="BD102" s="18"/>
      <c r="BE102" s="18"/>
      <c r="BF102" s="18"/>
    </row>
    <row r="103" spans="2:58" ht="12" x14ac:dyDescent="0.2">
      <c r="B103" s="55">
        <f t="shared" si="6"/>
        <v>45617.208333333096</v>
      </c>
      <c r="C103" s="17">
        <f t="shared" si="10"/>
        <v>4.2083333333333286</v>
      </c>
      <c r="D103" s="34">
        <f>TBL_CalcDarwin[[#This Row],[Darwin PLOM
MW]]+TBL_CalcDarwin[[#This Row],[Darwin PLOME
MW]]</f>
        <v>15.102</v>
      </c>
      <c r="E103" s="34">
        <f>TBL_CalcDarwin[[#This Row],[PLOM MW TOTAL BARRA A]]+TBL_CalcDarwin[[#This Row],[PLOM MW TOTAL BARRA B]]</f>
        <v>14.598000000000001</v>
      </c>
      <c r="F103" s="34">
        <f>TBL_CalcDarwin[[#This Row],[PLOME MW TOTAL BARRA A]]+TBL_CalcDarwin[[#This Row],[PLOME MW TOTAL BARRA B]]</f>
        <v>0.504</v>
      </c>
      <c r="G103" s="48">
        <f>'Plantilla Datos'!D108</f>
        <v>3.4</v>
      </c>
      <c r="H103" s="48">
        <f>'Plantilla Datos'!E108</f>
        <v>4.5</v>
      </c>
      <c r="I103" s="49">
        <f>'Plantilla Datos'!F108</f>
        <v>17</v>
      </c>
      <c r="J103" s="47">
        <f>CEILING('Plantilla Datos'!$L$3*TBL_CalcDarwin[[#This Row],[Darwin Gusts
m/s]],0.5)</f>
        <v>3.5</v>
      </c>
      <c r="K103" s="47">
        <f>CEILING('Plantilla Datos'!$L$4*TBL_CalcDarwin[[#This Row],[Darwin Gusts
m/s]],0.5)</f>
        <v>4</v>
      </c>
      <c r="L103" s="47">
        <f>CEILING(TBL_CalcDarwin[[#This Row],[Darwin Gusts
m/s]],0.5)</f>
        <v>4.5</v>
      </c>
      <c r="M10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10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0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0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03" s="41">
        <f>INDEX(Curva_Temp[Temp],MATCH(TBL_CalcDarwin[[#This Row],[Darwin Temp.
°C]],Curva_Temp[Temp]))</f>
        <v>15</v>
      </c>
      <c r="R103" s="41">
        <f>INDEX(Curva_Temp[Warranted Power Curve for 
1.194Kg/m3 air density '[kW']
SG 5.0-145 (AM+1, 5.2MW) AT 
90M],MATCH(TBL_CalcDarwin[[#This Row],[Darwin Temp.
°C]],Curva_Temp[Temp]))</f>
        <v>5200</v>
      </c>
      <c r="S103" s="41" cm="1">
        <f t="array" ref="S103">INDEX(Curva_Temp[Temp],MATCH(TBL_CalcDarwin[[#This Row],[Darwin Temp.
°C]],Curva_Temp[Temp])+1)</f>
        <v>20</v>
      </c>
      <c r="T103" s="41" cm="1">
        <f t="array" ref="T103">INDEX(Curva_Temp[Warranted Power Curve for 
1.194Kg/m3 air density '[kW']
SG 5.0-145 (AM+1, 5.2MW) AT 
90M],MATCH(TBL_CalcDarwin[[#This Row],[Darwin Temp.
°C]],Curva_Temp[Temp])+1)</f>
        <v>5000</v>
      </c>
      <c r="U10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0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0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03" s="41">
        <f>INDEX(Curva_Temp[Temp],MATCH(TBL_CalcDarwin[[#This Row],[Darwin Temp.
°C]],Curva_Temp[Temp]))</f>
        <v>15</v>
      </c>
      <c r="Z103" s="41">
        <f>INDEX(Curva_Temp[Warranted Power Curve for 
1.194Kg/m3 air density '[kW']
SG 5.0-145 (AM 0, 5.0MW) AT 
90M],MATCH(TBL_CalcDarwin[[#This Row],[Darwin Temp.
°C]],Curva_Temp[Temp]))</f>
        <v>5000</v>
      </c>
      <c r="AA103" s="41" cm="1">
        <f t="array" ref="AA103">INDEX(Curva_Temp[Temp],MATCH(TBL_CalcDarwin[[#This Row],[Darwin Temp.
°C]],Curva_Temp[Temp])+1)</f>
        <v>20</v>
      </c>
      <c r="AB103" s="41" cm="1">
        <f t="array" ref="AB103">INDEX(Curva_Temp[Warranted Power Curve for 
1.194Kg/m3 air density '[kW']
SG 5.0-145 (AM 0, 5.0MW) AT 
90M],MATCH(TBL_CalcDarwin[[#This Row],[Darwin Temp.
°C]],Curva_Temp[Temp])+1)</f>
        <v>5000</v>
      </c>
      <c r="AC103" s="45">
        <f>HLOOKUP(TBL_CalcDarwin[[#This Row],[Fecha]],'Plantilla AEG ES'!$E$1:$HX$13,2,FALSE)</f>
        <v>5</v>
      </c>
      <c r="AD103" s="45">
        <f>HLOOKUP(TBL_CalcDarwin[[#This Row],[Fecha]],'Plantilla AEG ES'!$E$1:$HX$13,3,FALSE)</f>
        <v>7</v>
      </c>
      <c r="AE103" s="45">
        <f>HLOOKUP(TBL_CalcDarwin[[#This Row],[Fecha]],'Plantilla AEG ES'!$E$1:$HX$13,4,FALSE)</f>
        <v>11</v>
      </c>
      <c r="AF103" s="45">
        <f>HLOOKUP(TBL_CalcDarwin[[#This Row],[Fecha]],'Plantilla AEG ES'!$E$1:$HX$13,5,FALSE)</f>
        <v>1</v>
      </c>
      <c r="AG103" s="45">
        <f>HLOOKUP(TBL_CalcDarwin[[#This Row],[Fecha]],'Plantilla AEG ES'!$E$1:$HX$13,6,FALSE)</f>
        <v>1</v>
      </c>
      <c r="AH103" s="45">
        <f>HLOOKUP(TBL_CalcDarwin[[#This Row],[Fecha]],'Plantilla AEG ES'!$E$1:$HX$13,7,FALSE)</f>
        <v>0</v>
      </c>
      <c r="AI103" s="46">
        <f>HLOOKUP(TBL_CalcDarwin[[#This Row],[Fecha]],'Plantilla AEG ES'!$E$1:$HX$13,8,FALSE)</f>
        <v>0</v>
      </c>
      <c r="AJ103" s="46">
        <f>HLOOKUP(TBL_CalcDarwin[[#This Row],[Fecha]],'Plantilla AEG ES'!$E$1:$HX$13,9,FALSE)</f>
        <v>3</v>
      </c>
      <c r="AK103" s="46">
        <f>HLOOKUP(TBL_CalcDarwin[[#This Row],[Fecha]],'Plantilla AEG ES'!$E$1:$HX$13,10,FALSE)</f>
        <v>12</v>
      </c>
      <c r="AL103" s="46">
        <f>HLOOKUP(TBL_CalcDarwin[[#This Row],[Fecha]],'Plantilla AEG ES'!$E$1:$HX$13,11,FALSE)</f>
        <v>1</v>
      </c>
      <c r="AM103" s="46">
        <f>HLOOKUP(TBL_CalcDarwin[[#This Row],[Fecha]],'Plantilla AEG ES'!$E$1:$HX$13,12,FALSE)</f>
        <v>7</v>
      </c>
      <c r="AN103" s="46">
        <f>HLOOKUP(TBL_CalcDarwin[[#This Row],[Fecha]],'Plantilla AEG ES'!$E$1:$HX$13,13,FALSE)</f>
        <v>1</v>
      </c>
      <c r="AO103" s="37">
        <f>TBL_CalcDarwin[[#This Row],[Lomitas - Barra A - 5.2 - Cerro]]+TBL_CalcDarwin[[#This Row],[Lomitas - Barra A - 5.2 - Medio]]+TBL_CalcDarwin[[#This Row],[Lomitas - Barra A - 5.2 - Mar]]</f>
        <v>23</v>
      </c>
      <c r="AP10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10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03" s="37">
        <f>TBL_CalcDarwin[[#This Row],[Expansión - Barra A - 5.2 - Cerro]]+TBL_CalcDarwin[[#This Row],[Expansión - Barra A - 5.2 - Medio]]+TBL_CalcDarwin[[#This Row],[Expansión - Barra A - 5.2 - Mar]]</f>
        <v>2</v>
      </c>
      <c r="AT103" s="37">
        <f>TBL_CalcDarwin[[#This Row],[Expansión - Barra B - 5.2 - Cerro]]</f>
        <v>1</v>
      </c>
      <c r="AU10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03" s="29">
        <f>TBL_CalcDarwin[[#This Row],[Expansión - Barra B - 5.2 - Cerro]]*TBL_CalcDarwin[[#This Row],[AEG 5.2 MW Cerro]]</f>
        <v>0.13</v>
      </c>
      <c r="AZ103" s="18"/>
      <c r="BA103" s="18"/>
      <c r="BB103" s="18"/>
      <c r="BC103" s="18"/>
      <c r="BD103" s="18"/>
      <c r="BE103" s="18"/>
      <c r="BF103" s="18"/>
    </row>
    <row r="104" spans="2:58" ht="12" x14ac:dyDescent="0.2">
      <c r="B104" s="55">
        <f t="shared" si="6"/>
        <v>45617.24999999976</v>
      </c>
      <c r="C104" s="17">
        <f t="shared" si="10"/>
        <v>4.2499999999999956</v>
      </c>
      <c r="D104" s="34">
        <f>TBL_CalcDarwin[[#This Row],[Darwin PLOM
MW]]+TBL_CalcDarwin[[#This Row],[Darwin PLOME
MW]]</f>
        <v>21.591000000000001</v>
      </c>
      <c r="E104" s="34">
        <f>TBL_CalcDarwin[[#This Row],[PLOM MW TOTAL BARRA A]]+TBL_CalcDarwin[[#This Row],[PLOM MW TOTAL BARRA B]]</f>
        <v>20.949000000000002</v>
      </c>
      <c r="F104" s="34">
        <f>TBL_CalcDarwin[[#This Row],[PLOME MW TOTAL BARRA A]]+TBL_CalcDarwin[[#This Row],[PLOME MW TOTAL BARRA B]]</f>
        <v>0.64200000000000002</v>
      </c>
      <c r="G104" s="48">
        <f>'Plantilla Datos'!D109</f>
        <v>3.7</v>
      </c>
      <c r="H104" s="48">
        <f>'Plantilla Datos'!E109</f>
        <v>4.8</v>
      </c>
      <c r="I104" s="49">
        <f>'Plantilla Datos'!F109</f>
        <v>17.3</v>
      </c>
      <c r="J104" s="47">
        <f>CEILING('Plantilla Datos'!$L$3*TBL_CalcDarwin[[#This Row],[Darwin Gusts
m/s]],0.5)</f>
        <v>3.5</v>
      </c>
      <c r="K104" s="47">
        <f>CEILING('Plantilla Datos'!$L$4*TBL_CalcDarwin[[#This Row],[Darwin Gusts
m/s]],0.5)</f>
        <v>4.5</v>
      </c>
      <c r="L104" s="47">
        <f>CEILING(TBL_CalcDarwin[[#This Row],[Darwin Gusts
m/s]],0.5)</f>
        <v>5</v>
      </c>
      <c r="M10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10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0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0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04" s="41">
        <f>INDEX(Curva_Temp[Temp],MATCH(TBL_CalcDarwin[[#This Row],[Darwin Temp.
°C]],Curva_Temp[Temp]))</f>
        <v>15</v>
      </c>
      <c r="R104" s="41">
        <f>INDEX(Curva_Temp[Warranted Power Curve for 
1.194Kg/m3 air density '[kW']
SG 5.0-145 (AM+1, 5.2MW) AT 
90M],MATCH(TBL_CalcDarwin[[#This Row],[Darwin Temp.
°C]],Curva_Temp[Temp]))</f>
        <v>5200</v>
      </c>
      <c r="S104" s="41" cm="1">
        <f t="array" ref="S104">INDEX(Curva_Temp[Temp],MATCH(TBL_CalcDarwin[[#This Row],[Darwin Temp.
°C]],Curva_Temp[Temp])+1)</f>
        <v>20</v>
      </c>
      <c r="T104" s="41" cm="1">
        <f t="array" ref="T104">INDEX(Curva_Temp[Warranted Power Curve for 
1.194Kg/m3 air density '[kW']
SG 5.0-145 (AM+1, 5.2MW) AT 
90M],MATCH(TBL_CalcDarwin[[#This Row],[Darwin Temp.
°C]],Curva_Temp[Temp])+1)</f>
        <v>5000</v>
      </c>
      <c r="U10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0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0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04" s="41">
        <f>INDEX(Curva_Temp[Temp],MATCH(TBL_CalcDarwin[[#This Row],[Darwin Temp.
°C]],Curva_Temp[Temp]))</f>
        <v>15</v>
      </c>
      <c r="Z104" s="41">
        <f>INDEX(Curva_Temp[Warranted Power Curve for 
1.194Kg/m3 air density '[kW']
SG 5.0-145 (AM 0, 5.0MW) AT 
90M],MATCH(TBL_CalcDarwin[[#This Row],[Darwin Temp.
°C]],Curva_Temp[Temp]))</f>
        <v>5000</v>
      </c>
      <c r="AA104" s="41" cm="1">
        <f t="array" ref="AA104">INDEX(Curva_Temp[Temp],MATCH(TBL_CalcDarwin[[#This Row],[Darwin Temp.
°C]],Curva_Temp[Temp])+1)</f>
        <v>20</v>
      </c>
      <c r="AB104" s="41" cm="1">
        <f t="array" ref="AB104">INDEX(Curva_Temp[Warranted Power Curve for 
1.194Kg/m3 air density '[kW']
SG 5.0-145 (AM 0, 5.0MW) AT 
90M],MATCH(TBL_CalcDarwin[[#This Row],[Darwin Temp.
°C]],Curva_Temp[Temp])+1)</f>
        <v>5000</v>
      </c>
      <c r="AC104" s="45">
        <f>HLOOKUP(TBL_CalcDarwin[[#This Row],[Fecha]],'Plantilla AEG ES'!$E$1:$HX$13,2,FALSE)</f>
        <v>5</v>
      </c>
      <c r="AD104" s="45">
        <f>HLOOKUP(TBL_CalcDarwin[[#This Row],[Fecha]],'Plantilla AEG ES'!$E$1:$HX$13,3,FALSE)</f>
        <v>7</v>
      </c>
      <c r="AE104" s="45">
        <f>HLOOKUP(TBL_CalcDarwin[[#This Row],[Fecha]],'Plantilla AEG ES'!$E$1:$HX$13,4,FALSE)</f>
        <v>11</v>
      </c>
      <c r="AF104" s="45">
        <f>HLOOKUP(TBL_CalcDarwin[[#This Row],[Fecha]],'Plantilla AEG ES'!$E$1:$HX$13,5,FALSE)</f>
        <v>1</v>
      </c>
      <c r="AG104" s="45">
        <f>HLOOKUP(TBL_CalcDarwin[[#This Row],[Fecha]],'Plantilla AEG ES'!$E$1:$HX$13,6,FALSE)</f>
        <v>1</v>
      </c>
      <c r="AH104" s="45">
        <f>HLOOKUP(TBL_CalcDarwin[[#This Row],[Fecha]],'Plantilla AEG ES'!$E$1:$HX$13,7,FALSE)</f>
        <v>0</v>
      </c>
      <c r="AI104" s="46">
        <f>HLOOKUP(TBL_CalcDarwin[[#This Row],[Fecha]],'Plantilla AEG ES'!$E$1:$HX$13,8,FALSE)</f>
        <v>0</v>
      </c>
      <c r="AJ104" s="46">
        <f>HLOOKUP(TBL_CalcDarwin[[#This Row],[Fecha]],'Plantilla AEG ES'!$E$1:$HX$13,9,FALSE)</f>
        <v>3</v>
      </c>
      <c r="AK104" s="46">
        <f>HLOOKUP(TBL_CalcDarwin[[#This Row],[Fecha]],'Plantilla AEG ES'!$E$1:$HX$13,10,FALSE)</f>
        <v>12</v>
      </c>
      <c r="AL104" s="46">
        <f>HLOOKUP(TBL_CalcDarwin[[#This Row],[Fecha]],'Plantilla AEG ES'!$E$1:$HX$13,11,FALSE)</f>
        <v>1</v>
      </c>
      <c r="AM104" s="46">
        <f>HLOOKUP(TBL_CalcDarwin[[#This Row],[Fecha]],'Plantilla AEG ES'!$E$1:$HX$13,12,FALSE)</f>
        <v>7</v>
      </c>
      <c r="AN104" s="46">
        <f>HLOOKUP(TBL_CalcDarwin[[#This Row],[Fecha]],'Plantilla AEG ES'!$E$1:$HX$13,13,FALSE)</f>
        <v>1</v>
      </c>
      <c r="AO104" s="37">
        <f>TBL_CalcDarwin[[#This Row],[Lomitas - Barra A - 5.2 - Cerro]]+TBL_CalcDarwin[[#This Row],[Lomitas - Barra A - 5.2 - Medio]]+TBL_CalcDarwin[[#This Row],[Lomitas - Barra A - 5.2 - Mar]]</f>
        <v>23</v>
      </c>
      <c r="AP10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9.3410000000000011</v>
      </c>
      <c r="AR10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11.608000000000001</v>
      </c>
      <c r="AS104" s="37">
        <f>TBL_CalcDarwin[[#This Row],[Expansión - Barra A - 5.2 - Cerro]]+TBL_CalcDarwin[[#This Row],[Expansión - Barra A - 5.2 - Medio]]+TBL_CalcDarwin[[#This Row],[Expansión - Barra A - 5.2 - Mar]]</f>
        <v>2</v>
      </c>
      <c r="AT104" s="37">
        <f>TBL_CalcDarwin[[#This Row],[Expansión - Barra B - 5.2 - Cerro]]</f>
        <v>1</v>
      </c>
      <c r="AU10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0.51200000000000001</v>
      </c>
      <c r="AV104" s="29">
        <f>TBL_CalcDarwin[[#This Row],[Expansión - Barra B - 5.2 - Cerro]]*TBL_CalcDarwin[[#This Row],[AEG 5.2 MW Cerro]]</f>
        <v>0.13</v>
      </c>
      <c r="AZ104" s="18"/>
      <c r="BA104" s="18"/>
      <c r="BB104" s="18"/>
      <c r="BC104" s="18"/>
      <c r="BD104" s="18"/>
      <c r="BE104" s="18"/>
      <c r="BF104" s="18"/>
    </row>
    <row r="105" spans="2:58" ht="12" x14ac:dyDescent="0.2">
      <c r="B105" s="55">
        <f t="shared" si="6"/>
        <v>45617.291666666424</v>
      </c>
      <c r="C105" s="17">
        <f t="shared" si="10"/>
        <v>4.2916666666666625</v>
      </c>
      <c r="D105" s="34">
        <f>TBL_CalcDarwin[[#This Row],[Darwin PLOM
MW]]+TBL_CalcDarwin[[#This Row],[Darwin PLOME
MW]]</f>
        <v>28.465</v>
      </c>
      <c r="E105" s="34">
        <f>TBL_CalcDarwin[[#This Row],[PLOM MW TOTAL BARRA A]]+TBL_CalcDarwin[[#This Row],[PLOM MW TOTAL BARRA B]]</f>
        <v>27.594999999999999</v>
      </c>
      <c r="F105" s="34">
        <f>TBL_CalcDarwin[[#This Row],[PLOME MW TOTAL BARRA A]]+TBL_CalcDarwin[[#This Row],[PLOME MW TOTAL BARRA B]]</f>
        <v>0.87</v>
      </c>
      <c r="G105" s="48">
        <f>'Plantilla Datos'!D110</f>
        <v>4</v>
      </c>
      <c r="H105" s="48">
        <f>'Plantilla Datos'!E110</f>
        <v>5.2</v>
      </c>
      <c r="I105" s="49">
        <f>'Plantilla Datos'!F110</f>
        <v>17.5</v>
      </c>
      <c r="J105" s="47">
        <f>CEILING('Plantilla Datos'!$L$3*TBL_CalcDarwin[[#This Row],[Darwin Gusts
m/s]],0.5)</f>
        <v>4</v>
      </c>
      <c r="K105" s="47">
        <f>CEILING('Plantilla Datos'!$L$4*TBL_CalcDarwin[[#This Row],[Darwin Gusts
m/s]],0.5)</f>
        <v>4.5</v>
      </c>
      <c r="L105" s="47">
        <f>CEILING(TBL_CalcDarwin[[#This Row],[Darwin Gusts
m/s]],0.5)</f>
        <v>5.5</v>
      </c>
      <c r="M10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10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0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0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05" s="41">
        <f>INDEX(Curva_Temp[Temp],MATCH(TBL_CalcDarwin[[#This Row],[Darwin Temp.
°C]],Curva_Temp[Temp]))</f>
        <v>15</v>
      </c>
      <c r="R105" s="41">
        <f>INDEX(Curva_Temp[Warranted Power Curve for 
1.194Kg/m3 air density '[kW']
SG 5.0-145 (AM+1, 5.2MW) AT 
90M],MATCH(TBL_CalcDarwin[[#This Row],[Darwin Temp.
°C]],Curva_Temp[Temp]))</f>
        <v>5200</v>
      </c>
      <c r="S105" s="41" cm="1">
        <f t="array" ref="S105">INDEX(Curva_Temp[Temp],MATCH(TBL_CalcDarwin[[#This Row],[Darwin Temp.
°C]],Curva_Temp[Temp])+1)</f>
        <v>20</v>
      </c>
      <c r="T105" s="41" cm="1">
        <f t="array" ref="T105">INDEX(Curva_Temp[Warranted Power Curve for 
1.194Kg/m3 air density '[kW']
SG 5.0-145 (AM+1, 5.2MW) AT 
90M],MATCH(TBL_CalcDarwin[[#This Row],[Darwin Temp.
°C]],Curva_Temp[Temp])+1)</f>
        <v>5000</v>
      </c>
      <c r="U10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0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0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05" s="41">
        <f>INDEX(Curva_Temp[Temp],MATCH(TBL_CalcDarwin[[#This Row],[Darwin Temp.
°C]],Curva_Temp[Temp]))</f>
        <v>15</v>
      </c>
      <c r="Z105" s="41">
        <f>INDEX(Curva_Temp[Warranted Power Curve for 
1.194Kg/m3 air density '[kW']
SG 5.0-145 (AM 0, 5.0MW) AT 
90M],MATCH(TBL_CalcDarwin[[#This Row],[Darwin Temp.
°C]],Curva_Temp[Temp]))</f>
        <v>5000</v>
      </c>
      <c r="AA105" s="41" cm="1">
        <f t="array" ref="AA105">INDEX(Curva_Temp[Temp],MATCH(TBL_CalcDarwin[[#This Row],[Darwin Temp.
°C]],Curva_Temp[Temp])+1)</f>
        <v>20</v>
      </c>
      <c r="AB105" s="41" cm="1">
        <f t="array" ref="AB105">INDEX(Curva_Temp[Warranted Power Curve for 
1.194Kg/m3 air density '[kW']
SG 5.0-145 (AM 0, 5.0MW) AT 
90M],MATCH(TBL_CalcDarwin[[#This Row],[Darwin Temp.
°C]],Curva_Temp[Temp])+1)</f>
        <v>5000</v>
      </c>
      <c r="AC105" s="45">
        <f>HLOOKUP(TBL_CalcDarwin[[#This Row],[Fecha]],'Plantilla AEG ES'!$E$1:$HX$13,2,FALSE)</f>
        <v>5</v>
      </c>
      <c r="AD105" s="45">
        <f>HLOOKUP(TBL_CalcDarwin[[#This Row],[Fecha]],'Plantilla AEG ES'!$E$1:$HX$13,3,FALSE)</f>
        <v>7</v>
      </c>
      <c r="AE105" s="45">
        <f>HLOOKUP(TBL_CalcDarwin[[#This Row],[Fecha]],'Plantilla AEG ES'!$E$1:$HX$13,4,FALSE)</f>
        <v>11</v>
      </c>
      <c r="AF105" s="45">
        <f>HLOOKUP(TBL_CalcDarwin[[#This Row],[Fecha]],'Plantilla AEG ES'!$E$1:$HX$13,5,FALSE)</f>
        <v>1</v>
      </c>
      <c r="AG105" s="45">
        <f>HLOOKUP(TBL_CalcDarwin[[#This Row],[Fecha]],'Plantilla AEG ES'!$E$1:$HX$13,6,FALSE)</f>
        <v>1</v>
      </c>
      <c r="AH105" s="45">
        <f>HLOOKUP(TBL_CalcDarwin[[#This Row],[Fecha]],'Plantilla AEG ES'!$E$1:$HX$13,7,FALSE)</f>
        <v>0</v>
      </c>
      <c r="AI105" s="46">
        <f>HLOOKUP(TBL_CalcDarwin[[#This Row],[Fecha]],'Plantilla AEG ES'!$E$1:$HX$13,8,FALSE)</f>
        <v>0</v>
      </c>
      <c r="AJ105" s="46">
        <f>HLOOKUP(TBL_CalcDarwin[[#This Row],[Fecha]],'Plantilla AEG ES'!$E$1:$HX$13,9,FALSE)</f>
        <v>3</v>
      </c>
      <c r="AK105" s="46">
        <f>HLOOKUP(TBL_CalcDarwin[[#This Row],[Fecha]],'Plantilla AEG ES'!$E$1:$HX$13,10,FALSE)</f>
        <v>12</v>
      </c>
      <c r="AL105" s="46">
        <f>HLOOKUP(TBL_CalcDarwin[[#This Row],[Fecha]],'Plantilla AEG ES'!$E$1:$HX$13,11,FALSE)</f>
        <v>1</v>
      </c>
      <c r="AM105" s="46">
        <f>HLOOKUP(TBL_CalcDarwin[[#This Row],[Fecha]],'Plantilla AEG ES'!$E$1:$HX$13,12,FALSE)</f>
        <v>7</v>
      </c>
      <c r="AN105" s="46">
        <f>HLOOKUP(TBL_CalcDarwin[[#This Row],[Fecha]],'Plantilla AEG ES'!$E$1:$HX$13,13,FALSE)</f>
        <v>1</v>
      </c>
      <c r="AO105" s="37">
        <f>TBL_CalcDarwin[[#This Row],[Lomitas - Barra A - 5.2 - Cerro]]+TBL_CalcDarwin[[#This Row],[Lomitas - Barra A - 5.2 - Medio]]+TBL_CalcDarwin[[#This Row],[Lomitas - Barra A - 5.2 - Mar]]</f>
        <v>23</v>
      </c>
      <c r="AP10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12.089</v>
      </c>
      <c r="AR10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105" s="37">
        <f>TBL_CalcDarwin[[#This Row],[Expansión - Barra A - 5.2 - Cerro]]+TBL_CalcDarwin[[#This Row],[Expansión - Barra A - 5.2 - Medio]]+TBL_CalcDarwin[[#This Row],[Expansión - Barra A - 5.2 - Mar]]</f>
        <v>2</v>
      </c>
      <c r="AT105" s="37">
        <f>TBL_CalcDarwin[[#This Row],[Expansión - Barra B - 5.2 - Cerro]]</f>
        <v>1</v>
      </c>
      <c r="AU10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05" s="29">
        <f>TBL_CalcDarwin[[#This Row],[Expansión - Barra B - 5.2 - Cerro]]*TBL_CalcDarwin[[#This Row],[AEG 5.2 MW Cerro]]</f>
        <v>0.24399999999999999</v>
      </c>
      <c r="AZ105" s="18"/>
      <c r="BA105" s="18"/>
      <c r="BB105" s="18"/>
      <c r="BC105" s="18"/>
      <c r="BD105" s="18"/>
      <c r="BE105" s="18"/>
      <c r="BF105" s="18"/>
    </row>
    <row r="106" spans="2:58" ht="12" x14ac:dyDescent="0.2">
      <c r="B106" s="55">
        <f t="shared" si="6"/>
        <v>45617.333333333088</v>
      </c>
      <c r="C106" s="17">
        <f t="shared" si="10"/>
        <v>4.3333333333333295</v>
      </c>
      <c r="D106" s="34">
        <f>TBL_CalcDarwin[[#This Row],[Darwin PLOM
MW]]+TBL_CalcDarwin[[#This Row],[Darwin PLOME
MW]]</f>
        <v>40.722999999999999</v>
      </c>
      <c r="E106" s="34">
        <f>TBL_CalcDarwin[[#This Row],[PLOM MW TOTAL BARRA A]]+TBL_CalcDarwin[[#This Row],[PLOM MW TOTAL BARRA B]]</f>
        <v>39.213999999999999</v>
      </c>
      <c r="F106" s="34">
        <f>TBL_CalcDarwin[[#This Row],[PLOME MW TOTAL BARRA A]]+TBL_CalcDarwin[[#This Row],[PLOME MW TOTAL BARRA B]]</f>
        <v>1.5089999999999999</v>
      </c>
      <c r="G106" s="48">
        <f>'Plantilla Datos'!D111</f>
        <v>4.7</v>
      </c>
      <c r="H106" s="48">
        <f>'Plantilla Datos'!E111</f>
        <v>6</v>
      </c>
      <c r="I106" s="49">
        <f>'Plantilla Datos'!F111</f>
        <v>18.100000000000001</v>
      </c>
      <c r="J106" s="47">
        <f>CEILING('Plantilla Datos'!$L$3*TBL_CalcDarwin[[#This Row],[Darwin Gusts
m/s]],0.5)</f>
        <v>4.5</v>
      </c>
      <c r="K106" s="47">
        <f>CEILING('Plantilla Datos'!$L$4*TBL_CalcDarwin[[#This Row],[Darwin Gusts
m/s]],0.5)</f>
        <v>5.5</v>
      </c>
      <c r="L106" s="47">
        <f>CEILING(TBL_CalcDarwin[[#This Row],[Darwin Gusts
m/s]],0.5)</f>
        <v>6</v>
      </c>
      <c r="M10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5.0759999999999996</v>
      </c>
      <c r="N10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0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0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06" s="41">
        <f>INDEX(Curva_Temp[Temp],MATCH(TBL_CalcDarwin[[#This Row],[Darwin Temp.
°C]],Curva_Temp[Temp]))</f>
        <v>15</v>
      </c>
      <c r="R106" s="41">
        <f>INDEX(Curva_Temp[Warranted Power Curve for 
1.194Kg/m3 air density '[kW']
SG 5.0-145 (AM+1, 5.2MW) AT 
90M],MATCH(TBL_CalcDarwin[[#This Row],[Darwin Temp.
°C]],Curva_Temp[Temp]))</f>
        <v>5200</v>
      </c>
      <c r="S106" s="41" cm="1">
        <f t="array" ref="S106">INDEX(Curva_Temp[Temp],MATCH(TBL_CalcDarwin[[#This Row],[Darwin Temp.
°C]],Curva_Temp[Temp])+1)</f>
        <v>20</v>
      </c>
      <c r="T106" s="41" cm="1">
        <f t="array" ref="T106">INDEX(Curva_Temp[Warranted Power Curve for 
1.194Kg/m3 air density '[kW']
SG 5.0-145 (AM+1, 5.2MW) AT 
90M],MATCH(TBL_CalcDarwin[[#This Row],[Darwin Temp.
°C]],Curva_Temp[Temp])+1)</f>
        <v>5000</v>
      </c>
      <c r="U10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0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0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06" s="41">
        <f>INDEX(Curva_Temp[Temp],MATCH(TBL_CalcDarwin[[#This Row],[Darwin Temp.
°C]],Curva_Temp[Temp]))</f>
        <v>15</v>
      </c>
      <c r="Z106" s="41">
        <f>INDEX(Curva_Temp[Warranted Power Curve for 
1.194Kg/m3 air density '[kW']
SG 5.0-145 (AM 0, 5.0MW) AT 
90M],MATCH(TBL_CalcDarwin[[#This Row],[Darwin Temp.
°C]],Curva_Temp[Temp]))</f>
        <v>5000</v>
      </c>
      <c r="AA106" s="41" cm="1">
        <f t="array" ref="AA106">INDEX(Curva_Temp[Temp],MATCH(TBL_CalcDarwin[[#This Row],[Darwin Temp.
°C]],Curva_Temp[Temp])+1)</f>
        <v>20</v>
      </c>
      <c r="AB106" s="41" cm="1">
        <f t="array" ref="AB106">INDEX(Curva_Temp[Warranted Power Curve for 
1.194Kg/m3 air density '[kW']
SG 5.0-145 (AM 0, 5.0MW) AT 
90M],MATCH(TBL_CalcDarwin[[#This Row],[Darwin Temp.
°C]],Curva_Temp[Temp])+1)</f>
        <v>5000</v>
      </c>
      <c r="AC106" s="45">
        <f>HLOOKUP(TBL_CalcDarwin[[#This Row],[Fecha]],'Plantilla AEG ES'!$E$1:$HX$13,2,FALSE)</f>
        <v>5</v>
      </c>
      <c r="AD106" s="45">
        <f>HLOOKUP(TBL_CalcDarwin[[#This Row],[Fecha]],'Plantilla AEG ES'!$E$1:$HX$13,3,FALSE)</f>
        <v>7</v>
      </c>
      <c r="AE106" s="45">
        <f>HLOOKUP(TBL_CalcDarwin[[#This Row],[Fecha]],'Plantilla AEG ES'!$E$1:$HX$13,4,FALSE)</f>
        <v>11</v>
      </c>
      <c r="AF106" s="45">
        <f>HLOOKUP(TBL_CalcDarwin[[#This Row],[Fecha]],'Plantilla AEG ES'!$E$1:$HX$13,5,FALSE)</f>
        <v>1</v>
      </c>
      <c r="AG106" s="45">
        <f>HLOOKUP(TBL_CalcDarwin[[#This Row],[Fecha]],'Plantilla AEG ES'!$E$1:$HX$13,6,FALSE)</f>
        <v>1</v>
      </c>
      <c r="AH106" s="45">
        <f>HLOOKUP(TBL_CalcDarwin[[#This Row],[Fecha]],'Plantilla AEG ES'!$E$1:$HX$13,7,FALSE)</f>
        <v>0</v>
      </c>
      <c r="AI106" s="46">
        <f>HLOOKUP(TBL_CalcDarwin[[#This Row],[Fecha]],'Plantilla AEG ES'!$E$1:$HX$13,8,FALSE)</f>
        <v>0</v>
      </c>
      <c r="AJ106" s="46">
        <f>HLOOKUP(TBL_CalcDarwin[[#This Row],[Fecha]],'Plantilla AEG ES'!$E$1:$HX$13,9,FALSE)</f>
        <v>3</v>
      </c>
      <c r="AK106" s="46">
        <f>HLOOKUP(TBL_CalcDarwin[[#This Row],[Fecha]],'Plantilla AEG ES'!$E$1:$HX$13,10,FALSE)</f>
        <v>12</v>
      </c>
      <c r="AL106" s="46">
        <f>HLOOKUP(TBL_CalcDarwin[[#This Row],[Fecha]],'Plantilla AEG ES'!$E$1:$HX$13,11,FALSE)</f>
        <v>1</v>
      </c>
      <c r="AM106" s="46">
        <f>HLOOKUP(TBL_CalcDarwin[[#This Row],[Fecha]],'Plantilla AEG ES'!$E$1:$HX$13,12,FALSE)</f>
        <v>7</v>
      </c>
      <c r="AN106" s="46">
        <f>HLOOKUP(TBL_CalcDarwin[[#This Row],[Fecha]],'Plantilla AEG ES'!$E$1:$HX$13,13,FALSE)</f>
        <v>1</v>
      </c>
      <c r="AO106" s="37">
        <f>TBL_CalcDarwin[[#This Row],[Lomitas - Barra A - 5.2 - Cerro]]+TBL_CalcDarwin[[#This Row],[Lomitas - Barra A - 5.2 - Medio]]+TBL_CalcDarwin[[#This Row],[Lomitas - Barra A - 5.2 - Mar]]</f>
        <v>23</v>
      </c>
      <c r="AP10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17.938000000000002</v>
      </c>
      <c r="AR10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106" s="37">
        <f>TBL_CalcDarwin[[#This Row],[Expansión - Barra A - 5.2 - Cerro]]+TBL_CalcDarwin[[#This Row],[Expansión - Barra A - 5.2 - Medio]]+TBL_CalcDarwin[[#This Row],[Expansión - Barra A - 5.2 - Mar]]</f>
        <v>2</v>
      </c>
      <c r="AT106" s="37">
        <f>TBL_CalcDarwin[[#This Row],[Expansión - Barra B - 5.2 - Cerro]]</f>
        <v>1</v>
      </c>
      <c r="AU10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06" s="29">
        <f>TBL_CalcDarwin[[#This Row],[Expansión - Barra B - 5.2 - Cerro]]*TBL_CalcDarwin[[#This Row],[AEG 5.2 MW Cerro]]</f>
        <v>0.38200000000000001</v>
      </c>
      <c r="AZ106" s="18"/>
      <c r="BA106" s="18"/>
      <c r="BB106" s="18"/>
      <c r="BC106" s="18"/>
      <c r="BD106" s="18"/>
      <c r="BE106" s="18"/>
      <c r="BF106" s="18"/>
    </row>
    <row r="107" spans="2:58" ht="12" x14ac:dyDescent="0.2">
      <c r="B107" s="55">
        <f t="shared" si="6"/>
        <v>45617.374999999753</v>
      </c>
      <c r="C107" s="17">
        <f t="shared" si="10"/>
        <v>4.3749999999999964</v>
      </c>
      <c r="D107" s="34">
        <f>TBL_CalcDarwin[[#This Row],[Darwin PLOM
MW]]+TBL_CalcDarwin[[#This Row],[Darwin PLOME
MW]]</f>
        <v>63.076999999999998</v>
      </c>
      <c r="E107" s="34">
        <f>TBL_CalcDarwin[[#This Row],[PLOM MW TOTAL BARRA A]]+TBL_CalcDarwin[[#This Row],[PLOM MW TOTAL BARRA B]]</f>
        <v>61</v>
      </c>
      <c r="F107" s="34">
        <f>TBL_CalcDarwin[[#This Row],[PLOME MW TOTAL BARRA A]]+TBL_CalcDarwin[[#This Row],[PLOME MW TOTAL BARRA B]]</f>
        <v>2.077</v>
      </c>
      <c r="G107" s="48">
        <f>'Plantilla Datos'!D112</f>
        <v>5.3</v>
      </c>
      <c r="H107" s="48">
        <f>'Plantilla Datos'!E112</f>
        <v>6.8</v>
      </c>
      <c r="I107" s="49">
        <f>'Plantilla Datos'!F112</f>
        <v>18.8</v>
      </c>
      <c r="J107" s="47">
        <f>CEILING('Plantilla Datos'!$L$3*TBL_CalcDarwin[[#This Row],[Darwin Gusts
m/s]],0.5)</f>
        <v>5</v>
      </c>
      <c r="K107" s="47">
        <f>CEILING('Plantilla Datos'!$L$4*TBL_CalcDarwin[[#This Row],[Darwin Gusts
m/s]],0.5)</f>
        <v>6</v>
      </c>
      <c r="L107" s="47">
        <f>CEILING(TBL_CalcDarwin[[#This Row],[Darwin Gusts
m/s]],0.5)</f>
        <v>7</v>
      </c>
      <c r="M10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5.048</v>
      </c>
      <c r="N10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0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0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07" s="41">
        <f>INDEX(Curva_Temp[Temp],MATCH(TBL_CalcDarwin[[#This Row],[Darwin Temp.
°C]],Curva_Temp[Temp]))</f>
        <v>15</v>
      </c>
      <c r="R107" s="41">
        <f>INDEX(Curva_Temp[Warranted Power Curve for 
1.194Kg/m3 air density '[kW']
SG 5.0-145 (AM+1, 5.2MW) AT 
90M],MATCH(TBL_CalcDarwin[[#This Row],[Darwin Temp.
°C]],Curva_Temp[Temp]))</f>
        <v>5200</v>
      </c>
      <c r="S107" s="41" cm="1">
        <f t="array" ref="S107">INDEX(Curva_Temp[Temp],MATCH(TBL_CalcDarwin[[#This Row],[Darwin Temp.
°C]],Curva_Temp[Temp])+1)</f>
        <v>20</v>
      </c>
      <c r="T107" s="41" cm="1">
        <f t="array" ref="T107">INDEX(Curva_Temp[Warranted Power Curve for 
1.194Kg/m3 air density '[kW']
SG 5.0-145 (AM+1, 5.2MW) AT 
90M],MATCH(TBL_CalcDarwin[[#This Row],[Darwin Temp.
°C]],Curva_Temp[Temp])+1)</f>
        <v>5000</v>
      </c>
      <c r="U10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0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0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07" s="41">
        <f>INDEX(Curva_Temp[Temp],MATCH(TBL_CalcDarwin[[#This Row],[Darwin Temp.
°C]],Curva_Temp[Temp]))</f>
        <v>15</v>
      </c>
      <c r="Z107" s="41">
        <f>INDEX(Curva_Temp[Warranted Power Curve for 
1.194Kg/m3 air density '[kW']
SG 5.0-145 (AM 0, 5.0MW) AT 
90M],MATCH(TBL_CalcDarwin[[#This Row],[Darwin Temp.
°C]],Curva_Temp[Temp]))</f>
        <v>5000</v>
      </c>
      <c r="AA107" s="41" cm="1">
        <f t="array" ref="AA107">INDEX(Curva_Temp[Temp],MATCH(TBL_CalcDarwin[[#This Row],[Darwin Temp.
°C]],Curva_Temp[Temp])+1)</f>
        <v>20</v>
      </c>
      <c r="AB107" s="41" cm="1">
        <f t="array" ref="AB107">INDEX(Curva_Temp[Warranted Power Curve for 
1.194Kg/m3 air density '[kW']
SG 5.0-145 (AM 0, 5.0MW) AT 
90M],MATCH(TBL_CalcDarwin[[#This Row],[Darwin Temp.
°C]],Curva_Temp[Temp])+1)</f>
        <v>5000</v>
      </c>
      <c r="AC107" s="45">
        <f>HLOOKUP(TBL_CalcDarwin[[#This Row],[Fecha]],'Plantilla AEG ES'!$E$1:$HX$13,2,FALSE)</f>
        <v>5</v>
      </c>
      <c r="AD107" s="45">
        <f>HLOOKUP(TBL_CalcDarwin[[#This Row],[Fecha]],'Plantilla AEG ES'!$E$1:$HX$13,3,FALSE)</f>
        <v>7</v>
      </c>
      <c r="AE107" s="45">
        <f>HLOOKUP(TBL_CalcDarwin[[#This Row],[Fecha]],'Plantilla AEG ES'!$E$1:$HX$13,4,FALSE)</f>
        <v>11</v>
      </c>
      <c r="AF107" s="45">
        <f>HLOOKUP(TBL_CalcDarwin[[#This Row],[Fecha]],'Plantilla AEG ES'!$E$1:$HX$13,5,FALSE)</f>
        <v>1</v>
      </c>
      <c r="AG107" s="45">
        <f>HLOOKUP(TBL_CalcDarwin[[#This Row],[Fecha]],'Plantilla AEG ES'!$E$1:$HX$13,6,FALSE)</f>
        <v>1</v>
      </c>
      <c r="AH107" s="45">
        <f>HLOOKUP(TBL_CalcDarwin[[#This Row],[Fecha]],'Plantilla AEG ES'!$E$1:$HX$13,7,FALSE)</f>
        <v>0</v>
      </c>
      <c r="AI107" s="46">
        <f>HLOOKUP(TBL_CalcDarwin[[#This Row],[Fecha]],'Plantilla AEG ES'!$E$1:$HX$13,8,FALSE)</f>
        <v>0</v>
      </c>
      <c r="AJ107" s="46">
        <f>HLOOKUP(TBL_CalcDarwin[[#This Row],[Fecha]],'Plantilla AEG ES'!$E$1:$HX$13,9,FALSE)</f>
        <v>3</v>
      </c>
      <c r="AK107" s="46">
        <f>HLOOKUP(TBL_CalcDarwin[[#This Row],[Fecha]],'Plantilla AEG ES'!$E$1:$HX$13,10,FALSE)</f>
        <v>12</v>
      </c>
      <c r="AL107" s="46">
        <f>HLOOKUP(TBL_CalcDarwin[[#This Row],[Fecha]],'Plantilla AEG ES'!$E$1:$HX$13,11,FALSE)</f>
        <v>1</v>
      </c>
      <c r="AM107" s="46">
        <f>HLOOKUP(TBL_CalcDarwin[[#This Row],[Fecha]],'Plantilla AEG ES'!$E$1:$HX$13,12,FALSE)</f>
        <v>7</v>
      </c>
      <c r="AN107" s="46">
        <f>HLOOKUP(TBL_CalcDarwin[[#This Row],[Fecha]],'Plantilla AEG ES'!$E$1:$HX$13,13,FALSE)</f>
        <v>1</v>
      </c>
      <c r="AO107" s="37">
        <f>TBL_CalcDarwin[[#This Row],[Lomitas - Barra A - 5.2 - Cerro]]+TBL_CalcDarwin[[#This Row],[Lomitas - Barra A - 5.2 - Medio]]+TBL_CalcDarwin[[#This Row],[Lomitas - Barra A - 5.2 - Mar]]</f>
        <v>23</v>
      </c>
      <c r="AP10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0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07" s="37">
        <f>TBL_CalcDarwin[[#This Row],[Expansión - Barra A - 5.2 - Cerro]]+TBL_CalcDarwin[[#This Row],[Expansión - Barra A - 5.2 - Medio]]+TBL_CalcDarwin[[#This Row],[Expansión - Barra A - 5.2 - Mar]]</f>
        <v>2</v>
      </c>
      <c r="AT107" s="37">
        <f>TBL_CalcDarwin[[#This Row],[Expansión - Barra B - 5.2 - Cerro]]</f>
        <v>1</v>
      </c>
      <c r="AU10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07" s="29">
        <f>TBL_CalcDarwin[[#This Row],[Expansión - Barra B - 5.2 - Cerro]]*TBL_CalcDarwin[[#This Row],[AEG 5.2 MW Cerro]]</f>
        <v>0.54700000000000004</v>
      </c>
      <c r="AZ107" s="18"/>
      <c r="BA107" s="18"/>
      <c r="BB107" s="18"/>
      <c r="BC107" s="18"/>
      <c r="BD107" s="18"/>
      <c r="BE107" s="18"/>
      <c r="BF107" s="18"/>
    </row>
    <row r="108" spans="2:58" ht="12" x14ac:dyDescent="0.2">
      <c r="B108" s="55">
        <f t="shared" si="6"/>
        <v>45617.416666666417</v>
      </c>
      <c r="C108" s="17">
        <f t="shared" si="10"/>
        <v>4.4166666666666634</v>
      </c>
      <c r="D108" s="34">
        <f>TBL_CalcDarwin[[#This Row],[Darwin PLOM
MW]]+TBL_CalcDarwin[[#This Row],[Darwin PLOME
MW]]</f>
        <v>92.074999999999989</v>
      </c>
      <c r="E108" s="34">
        <f>TBL_CalcDarwin[[#This Row],[PLOM MW TOTAL BARRA A]]+TBL_CalcDarwin[[#This Row],[PLOM MW TOTAL BARRA B]]</f>
        <v>89.318999999999988</v>
      </c>
      <c r="F108" s="34">
        <f>TBL_CalcDarwin[[#This Row],[PLOME MW TOTAL BARRA A]]+TBL_CalcDarwin[[#This Row],[PLOME MW TOTAL BARRA B]]</f>
        <v>2.7560000000000002</v>
      </c>
      <c r="G108" s="48">
        <f>'Plantilla Datos'!D113</f>
        <v>6</v>
      </c>
      <c r="H108" s="48">
        <f>'Plantilla Datos'!E113</f>
        <v>7.6</v>
      </c>
      <c r="I108" s="49">
        <f>'Plantilla Datos'!F113</f>
        <v>19.5</v>
      </c>
      <c r="J108" s="47">
        <f>CEILING('Plantilla Datos'!$L$3*TBL_CalcDarwin[[#This Row],[Darwin Gusts
m/s]],0.5)</f>
        <v>5.5</v>
      </c>
      <c r="K108" s="47">
        <f>CEILING('Plantilla Datos'!$L$4*TBL_CalcDarwin[[#This Row],[Darwin Gusts
m/s]],0.5)</f>
        <v>6.5</v>
      </c>
      <c r="L108" s="47">
        <f>CEILING(TBL_CalcDarwin[[#This Row],[Darwin Gusts
m/s]],0.5)</f>
        <v>8</v>
      </c>
      <c r="M10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5.0199999999999996</v>
      </c>
      <c r="N10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0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0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08" s="41">
        <f>INDEX(Curva_Temp[Temp],MATCH(TBL_CalcDarwin[[#This Row],[Darwin Temp.
°C]],Curva_Temp[Temp]))</f>
        <v>15</v>
      </c>
      <c r="R108" s="41">
        <f>INDEX(Curva_Temp[Warranted Power Curve for 
1.194Kg/m3 air density '[kW']
SG 5.0-145 (AM+1, 5.2MW) AT 
90M],MATCH(TBL_CalcDarwin[[#This Row],[Darwin Temp.
°C]],Curva_Temp[Temp]))</f>
        <v>5200</v>
      </c>
      <c r="S108" s="41" cm="1">
        <f t="array" ref="S108">INDEX(Curva_Temp[Temp],MATCH(TBL_CalcDarwin[[#This Row],[Darwin Temp.
°C]],Curva_Temp[Temp])+1)</f>
        <v>20</v>
      </c>
      <c r="T108" s="41" cm="1">
        <f t="array" ref="T108">INDEX(Curva_Temp[Warranted Power Curve for 
1.194Kg/m3 air density '[kW']
SG 5.0-145 (AM+1, 5.2MW) AT 
90M],MATCH(TBL_CalcDarwin[[#This Row],[Darwin Temp.
°C]],Curva_Temp[Temp])+1)</f>
        <v>5000</v>
      </c>
      <c r="U10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0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0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08" s="41">
        <f>INDEX(Curva_Temp[Temp],MATCH(TBL_CalcDarwin[[#This Row],[Darwin Temp.
°C]],Curva_Temp[Temp]))</f>
        <v>15</v>
      </c>
      <c r="Z108" s="41">
        <f>INDEX(Curva_Temp[Warranted Power Curve for 
1.194Kg/m3 air density '[kW']
SG 5.0-145 (AM 0, 5.0MW) AT 
90M],MATCH(TBL_CalcDarwin[[#This Row],[Darwin Temp.
°C]],Curva_Temp[Temp]))</f>
        <v>5000</v>
      </c>
      <c r="AA108" s="41" cm="1">
        <f t="array" ref="AA108">INDEX(Curva_Temp[Temp],MATCH(TBL_CalcDarwin[[#This Row],[Darwin Temp.
°C]],Curva_Temp[Temp])+1)</f>
        <v>20</v>
      </c>
      <c r="AB108" s="41" cm="1">
        <f t="array" ref="AB108">INDEX(Curva_Temp[Warranted Power Curve for 
1.194Kg/m3 air density '[kW']
SG 5.0-145 (AM 0, 5.0MW) AT 
90M],MATCH(TBL_CalcDarwin[[#This Row],[Darwin Temp.
°C]],Curva_Temp[Temp])+1)</f>
        <v>5000</v>
      </c>
      <c r="AC108" s="45">
        <f>HLOOKUP(TBL_CalcDarwin[[#This Row],[Fecha]],'Plantilla AEG ES'!$E$1:$HX$13,2,FALSE)</f>
        <v>5</v>
      </c>
      <c r="AD108" s="45">
        <f>HLOOKUP(TBL_CalcDarwin[[#This Row],[Fecha]],'Plantilla AEG ES'!$E$1:$HX$13,3,FALSE)</f>
        <v>7</v>
      </c>
      <c r="AE108" s="45">
        <f>HLOOKUP(TBL_CalcDarwin[[#This Row],[Fecha]],'Plantilla AEG ES'!$E$1:$HX$13,4,FALSE)</f>
        <v>11</v>
      </c>
      <c r="AF108" s="45">
        <f>HLOOKUP(TBL_CalcDarwin[[#This Row],[Fecha]],'Plantilla AEG ES'!$E$1:$HX$13,5,FALSE)</f>
        <v>1</v>
      </c>
      <c r="AG108" s="45">
        <f>HLOOKUP(TBL_CalcDarwin[[#This Row],[Fecha]],'Plantilla AEG ES'!$E$1:$HX$13,6,FALSE)</f>
        <v>1</v>
      </c>
      <c r="AH108" s="45">
        <f>HLOOKUP(TBL_CalcDarwin[[#This Row],[Fecha]],'Plantilla AEG ES'!$E$1:$HX$13,7,FALSE)</f>
        <v>0</v>
      </c>
      <c r="AI108" s="46">
        <f>HLOOKUP(TBL_CalcDarwin[[#This Row],[Fecha]],'Plantilla AEG ES'!$E$1:$HX$13,8,FALSE)</f>
        <v>0</v>
      </c>
      <c r="AJ108" s="46">
        <f>HLOOKUP(TBL_CalcDarwin[[#This Row],[Fecha]],'Plantilla AEG ES'!$E$1:$HX$13,9,FALSE)</f>
        <v>3</v>
      </c>
      <c r="AK108" s="46">
        <f>HLOOKUP(TBL_CalcDarwin[[#This Row],[Fecha]],'Plantilla AEG ES'!$E$1:$HX$13,10,FALSE)</f>
        <v>12</v>
      </c>
      <c r="AL108" s="46">
        <f>HLOOKUP(TBL_CalcDarwin[[#This Row],[Fecha]],'Plantilla AEG ES'!$E$1:$HX$13,11,FALSE)</f>
        <v>1</v>
      </c>
      <c r="AM108" s="46">
        <f>HLOOKUP(TBL_CalcDarwin[[#This Row],[Fecha]],'Plantilla AEG ES'!$E$1:$HX$13,12,FALSE)</f>
        <v>7</v>
      </c>
      <c r="AN108" s="46">
        <f>HLOOKUP(TBL_CalcDarwin[[#This Row],[Fecha]],'Plantilla AEG ES'!$E$1:$HX$13,13,FALSE)</f>
        <v>1</v>
      </c>
      <c r="AO108" s="37">
        <f>TBL_CalcDarwin[[#This Row],[Lomitas - Barra A - 5.2 - Cerro]]+TBL_CalcDarwin[[#This Row],[Lomitas - Barra A - 5.2 - Medio]]+TBL_CalcDarwin[[#This Row],[Lomitas - Barra A - 5.2 - Mar]]</f>
        <v>23</v>
      </c>
      <c r="AP10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39.085999999999999</v>
      </c>
      <c r="AR10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50.232999999999997</v>
      </c>
      <c r="AS108" s="37">
        <f>TBL_CalcDarwin[[#This Row],[Expansión - Barra A - 5.2 - Cerro]]+TBL_CalcDarwin[[#This Row],[Expansión - Barra A - 5.2 - Medio]]+TBL_CalcDarwin[[#This Row],[Expansión - Barra A - 5.2 - Mar]]</f>
        <v>2</v>
      </c>
      <c r="AT108" s="37">
        <f>TBL_CalcDarwin[[#This Row],[Expansión - Barra B - 5.2 - Cerro]]</f>
        <v>1</v>
      </c>
      <c r="AU10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08" s="29">
        <f>TBL_CalcDarwin[[#This Row],[Expansión - Barra B - 5.2 - Cerro]]*TBL_CalcDarwin[[#This Row],[AEG 5.2 MW Cerro]]</f>
        <v>0.745</v>
      </c>
      <c r="AZ108" s="18"/>
      <c r="BA108" s="18"/>
      <c r="BB108" s="18"/>
      <c r="BC108" s="18"/>
      <c r="BD108" s="18"/>
      <c r="BE108" s="18"/>
      <c r="BF108" s="18"/>
    </row>
    <row r="109" spans="2:58" ht="12" x14ac:dyDescent="0.2">
      <c r="B109" s="55">
        <f t="shared" si="6"/>
        <v>45617.458333333081</v>
      </c>
      <c r="C109" s="17">
        <f t="shared" si="10"/>
        <v>4.4583333333333304</v>
      </c>
      <c r="D109" s="34">
        <f>TBL_CalcDarwin[[#This Row],[Darwin PLOM
MW]]+TBL_CalcDarwin[[#This Row],[Darwin PLOME
MW]]</f>
        <v>101.629</v>
      </c>
      <c r="E109" s="34">
        <f>TBL_CalcDarwin[[#This Row],[PLOM MW TOTAL BARRA A]]+TBL_CalcDarwin[[#This Row],[PLOM MW TOTAL BARRA B]]</f>
        <v>98.066000000000003</v>
      </c>
      <c r="F109" s="34">
        <f>TBL_CalcDarwin[[#This Row],[PLOME MW TOTAL BARRA A]]+TBL_CalcDarwin[[#This Row],[PLOME MW TOTAL BARRA B]]</f>
        <v>3.5630000000000002</v>
      </c>
      <c r="G109" s="48">
        <f>'Plantilla Datos'!D114</f>
        <v>6.1</v>
      </c>
      <c r="H109" s="48">
        <f>'Plantilla Datos'!E114</f>
        <v>7.7</v>
      </c>
      <c r="I109" s="49">
        <f>'Plantilla Datos'!F114</f>
        <v>19.5</v>
      </c>
      <c r="J109" s="47">
        <f>CEILING('Plantilla Datos'!$L$3*TBL_CalcDarwin[[#This Row],[Darwin Gusts
m/s]],0.5)</f>
        <v>6</v>
      </c>
      <c r="K109" s="47">
        <f>CEILING('Plantilla Datos'!$L$4*TBL_CalcDarwin[[#This Row],[Darwin Gusts
m/s]],0.5)</f>
        <v>7</v>
      </c>
      <c r="L109" s="47">
        <f>CEILING(TBL_CalcDarwin[[#This Row],[Darwin Gusts
m/s]],0.5)</f>
        <v>8</v>
      </c>
      <c r="M10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5.0199999999999996</v>
      </c>
      <c r="N10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0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0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09" s="41">
        <f>INDEX(Curva_Temp[Temp],MATCH(TBL_CalcDarwin[[#This Row],[Darwin Temp.
°C]],Curva_Temp[Temp]))</f>
        <v>15</v>
      </c>
      <c r="R109" s="41">
        <f>INDEX(Curva_Temp[Warranted Power Curve for 
1.194Kg/m3 air density '[kW']
SG 5.0-145 (AM+1, 5.2MW) AT 
90M],MATCH(TBL_CalcDarwin[[#This Row],[Darwin Temp.
°C]],Curva_Temp[Temp]))</f>
        <v>5200</v>
      </c>
      <c r="S109" s="41" cm="1">
        <f t="array" ref="S109">INDEX(Curva_Temp[Temp],MATCH(TBL_CalcDarwin[[#This Row],[Darwin Temp.
°C]],Curva_Temp[Temp])+1)</f>
        <v>20</v>
      </c>
      <c r="T109" s="41" cm="1">
        <f t="array" ref="T109">INDEX(Curva_Temp[Warranted Power Curve for 
1.194Kg/m3 air density '[kW']
SG 5.0-145 (AM+1, 5.2MW) AT 
90M],MATCH(TBL_CalcDarwin[[#This Row],[Darwin Temp.
°C]],Curva_Temp[Temp])+1)</f>
        <v>5000</v>
      </c>
      <c r="U10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0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0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09" s="41">
        <f>INDEX(Curva_Temp[Temp],MATCH(TBL_CalcDarwin[[#This Row],[Darwin Temp.
°C]],Curva_Temp[Temp]))</f>
        <v>15</v>
      </c>
      <c r="Z109" s="41">
        <f>INDEX(Curva_Temp[Warranted Power Curve for 
1.194Kg/m3 air density '[kW']
SG 5.0-145 (AM 0, 5.0MW) AT 
90M],MATCH(TBL_CalcDarwin[[#This Row],[Darwin Temp.
°C]],Curva_Temp[Temp]))</f>
        <v>5000</v>
      </c>
      <c r="AA109" s="41" cm="1">
        <f t="array" ref="AA109">INDEX(Curva_Temp[Temp],MATCH(TBL_CalcDarwin[[#This Row],[Darwin Temp.
°C]],Curva_Temp[Temp])+1)</f>
        <v>20</v>
      </c>
      <c r="AB109" s="41" cm="1">
        <f t="array" ref="AB109">INDEX(Curva_Temp[Warranted Power Curve for 
1.194Kg/m3 air density '[kW']
SG 5.0-145 (AM 0, 5.0MW) AT 
90M],MATCH(TBL_CalcDarwin[[#This Row],[Darwin Temp.
°C]],Curva_Temp[Temp])+1)</f>
        <v>5000</v>
      </c>
      <c r="AC109" s="45">
        <f>HLOOKUP(TBL_CalcDarwin[[#This Row],[Fecha]],'Plantilla AEG ES'!$E$1:$HX$13,2,FALSE)</f>
        <v>5</v>
      </c>
      <c r="AD109" s="45">
        <f>HLOOKUP(TBL_CalcDarwin[[#This Row],[Fecha]],'Plantilla AEG ES'!$E$1:$HX$13,3,FALSE)</f>
        <v>8</v>
      </c>
      <c r="AE109" s="45">
        <f>HLOOKUP(TBL_CalcDarwin[[#This Row],[Fecha]],'Plantilla AEG ES'!$E$1:$HX$13,4,FALSE)</f>
        <v>12</v>
      </c>
      <c r="AF109" s="45">
        <f>HLOOKUP(TBL_CalcDarwin[[#This Row],[Fecha]],'Plantilla AEG ES'!$E$1:$HX$13,5,FALSE)</f>
        <v>1</v>
      </c>
      <c r="AG109" s="45">
        <f>HLOOKUP(TBL_CalcDarwin[[#This Row],[Fecha]],'Plantilla AEG ES'!$E$1:$HX$13,6,FALSE)</f>
        <v>1</v>
      </c>
      <c r="AH109" s="45">
        <f>HLOOKUP(TBL_CalcDarwin[[#This Row],[Fecha]],'Plantilla AEG ES'!$E$1:$HX$13,7,FALSE)</f>
        <v>0</v>
      </c>
      <c r="AI109" s="46">
        <f>HLOOKUP(TBL_CalcDarwin[[#This Row],[Fecha]],'Plantilla AEG ES'!$E$1:$HX$13,8,FALSE)</f>
        <v>0</v>
      </c>
      <c r="AJ109" s="46">
        <f>HLOOKUP(TBL_CalcDarwin[[#This Row],[Fecha]],'Plantilla AEG ES'!$E$1:$HX$13,9,FALSE)</f>
        <v>3</v>
      </c>
      <c r="AK109" s="46">
        <f>HLOOKUP(TBL_CalcDarwin[[#This Row],[Fecha]],'Plantilla AEG ES'!$E$1:$HX$13,10,FALSE)</f>
        <v>12</v>
      </c>
      <c r="AL109" s="46">
        <f>HLOOKUP(TBL_CalcDarwin[[#This Row],[Fecha]],'Plantilla AEG ES'!$E$1:$HX$13,11,FALSE)</f>
        <v>1</v>
      </c>
      <c r="AM109" s="46">
        <f>HLOOKUP(TBL_CalcDarwin[[#This Row],[Fecha]],'Plantilla AEG ES'!$E$1:$HX$13,12,FALSE)</f>
        <v>7</v>
      </c>
      <c r="AN109" s="46">
        <f>HLOOKUP(TBL_CalcDarwin[[#This Row],[Fecha]],'Plantilla AEG ES'!$E$1:$HX$13,13,FALSE)</f>
        <v>1</v>
      </c>
      <c r="AO109" s="37">
        <f>TBL_CalcDarwin[[#This Row],[Lomitas - Barra A - 5.2 - Cerro]]+TBL_CalcDarwin[[#This Row],[Lomitas - Barra A - 5.2 - Medio]]+TBL_CalcDarwin[[#This Row],[Lomitas - Barra A - 5.2 - Mar]]</f>
        <v>25</v>
      </c>
      <c r="AP10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10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09" s="37">
        <f>TBL_CalcDarwin[[#This Row],[Expansión - Barra A - 5.2 - Cerro]]+TBL_CalcDarwin[[#This Row],[Expansión - Barra A - 5.2 - Medio]]+TBL_CalcDarwin[[#This Row],[Expansión - Barra A - 5.2 - Mar]]</f>
        <v>2</v>
      </c>
      <c r="AT109" s="37">
        <f>TBL_CalcDarwin[[#This Row],[Expansión - Barra B - 5.2 - Cerro]]</f>
        <v>1</v>
      </c>
      <c r="AU10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09" s="29">
        <f>TBL_CalcDarwin[[#This Row],[Expansión - Barra B - 5.2 - Cerro]]*TBL_CalcDarwin[[#This Row],[AEG 5.2 MW Cerro]]</f>
        <v>0.98299999999999998</v>
      </c>
      <c r="AZ109" s="18"/>
      <c r="BA109" s="18"/>
      <c r="BB109" s="18"/>
      <c r="BC109" s="18"/>
      <c r="BD109" s="18"/>
      <c r="BE109" s="18"/>
      <c r="BF109" s="18"/>
    </row>
    <row r="110" spans="2:58" ht="12" x14ac:dyDescent="0.2">
      <c r="B110" s="55">
        <f t="shared" si="6"/>
        <v>45617.499999999745</v>
      </c>
      <c r="C110" s="17">
        <f t="shared" si="10"/>
        <v>4.4999999999999973</v>
      </c>
      <c r="D110" s="34">
        <f>TBL_CalcDarwin[[#This Row],[Darwin PLOM
MW]]+TBL_CalcDarwin[[#This Row],[Darwin PLOME
MW]]</f>
        <v>101.629</v>
      </c>
      <c r="E110" s="34">
        <f>TBL_CalcDarwin[[#This Row],[PLOM MW TOTAL BARRA A]]+TBL_CalcDarwin[[#This Row],[PLOM MW TOTAL BARRA B]]</f>
        <v>98.066000000000003</v>
      </c>
      <c r="F110" s="34">
        <f>TBL_CalcDarwin[[#This Row],[PLOME MW TOTAL BARRA A]]+TBL_CalcDarwin[[#This Row],[PLOME MW TOTAL BARRA B]]</f>
        <v>3.5630000000000002</v>
      </c>
      <c r="G110" s="48">
        <f>'Plantilla Datos'!D115</f>
        <v>6.2</v>
      </c>
      <c r="H110" s="48">
        <f>'Plantilla Datos'!E115</f>
        <v>7.9</v>
      </c>
      <c r="I110" s="49">
        <f>'Plantilla Datos'!F115</f>
        <v>19.5</v>
      </c>
      <c r="J110" s="47">
        <f>CEILING('Plantilla Datos'!$L$3*TBL_CalcDarwin[[#This Row],[Darwin Gusts
m/s]],0.5)</f>
        <v>6</v>
      </c>
      <c r="K110" s="47">
        <f>CEILING('Plantilla Datos'!$L$4*TBL_CalcDarwin[[#This Row],[Darwin Gusts
m/s]],0.5)</f>
        <v>7</v>
      </c>
      <c r="L110" s="47">
        <f>CEILING(TBL_CalcDarwin[[#This Row],[Darwin Gusts
m/s]],0.5)</f>
        <v>8</v>
      </c>
      <c r="M1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5.0199999999999996</v>
      </c>
      <c r="N1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10" s="41">
        <f>INDEX(Curva_Temp[Temp],MATCH(TBL_CalcDarwin[[#This Row],[Darwin Temp.
°C]],Curva_Temp[Temp]))</f>
        <v>15</v>
      </c>
      <c r="R110" s="41">
        <f>INDEX(Curva_Temp[Warranted Power Curve for 
1.194Kg/m3 air density '[kW']
SG 5.0-145 (AM+1, 5.2MW) AT 
90M],MATCH(TBL_CalcDarwin[[#This Row],[Darwin Temp.
°C]],Curva_Temp[Temp]))</f>
        <v>5200</v>
      </c>
      <c r="S110" s="41" cm="1">
        <f t="array" ref="S110">INDEX(Curva_Temp[Temp],MATCH(TBL_CalcDarwin[[#This Row],[Darwin Temp.
°C]],Curva_Temp[Temp])+1)</f>
        <v>20</v>
      </c>
      <c r="T110" s="41" cm="1">
        <f t="array" ref="T110">INDEX(Curva_Temp[Warranted Power Curve for 
1.194Kg/m3 air density '[kW']
SG 5.0-145 (AM+1, 5.2MW) AT 
90M],MATCH(TBL_CalcDarwin[[#This Row],[Darwin Temp.
°C]],Curva_Temp[Temp])+1)</f>
        <v>5000</v>
      </c>
      <c r="U1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10" s="41">
        <f>INDEX(Curva_Temp[Temp],MATCH(TBL_CalcDarwin[[#This Row],[Darwin Temp.
°C]],Curva_Temp[Temp]))</f>
        <v>15</v>
      </c>
      <c r="Z110" s="41">
        <f>INDEX(Curva_Temp[Warranted Power Curve for 
1.194Kg/m3 air density '[kW']
SG 5.0-145 (AM 0, 5.0MW) AT 
90M],MATCH(TBL_CalcDarwin[[#This Row],[Darwin Temp.
°C]],Curva_Temp[Temp]))</f>
        <v>5000</v>
      </c>
      <c r="AA110" s="41" cm="1">
        <f t="array" ref="AA110">INDEX(Curva_Temp[Temp],MATCH(TBL_CalcDarwin[[#This Row],[Darwin Temp.
°C]],Curva_Temp[Temp])+1)</f>
        <v>20</v>
      </c>
      <c r="AB110" s="41" cm="1">
        <f t="array" ref="AB110">INDEX(Curva_Temp[Warranted Power Curve for 
1.194Kg/m3 air density '[kW']
SG 5.0-145 (AM 0, 5.0MW) AT 
90M],MATCH(TBL_CalcDarwin[[#This Row],[Darwin Temp.
°C]],Curva_Temp[Temp])+1)</f>
        <v>5000</v>
      </c>
      <c r="AC110" s="45">
        <f>HLOOKUP(TBL_CalcDarwin[[#This Row],[Fecha]],'Plantilla AEG ES'!$E$1:$HX$13,2,FALSE)</f>
        <v>5</v>
      </c>
      <c r="AD110" s="45">
        <f>HLOOKUP(TBL_CalcDarwin[[#This Row],[Fecha]],'Plantilla AEG ES'!$E$1:$HX$13,3,FALSE)</f>
        <v>8</v>
      </c>
      <c r="AE110" s="45">
        <f>HLOOKUP(TBL_CalcDarwin[[#This Row],[Fecha]],'Plantilla AEG ES'!$E$1:$HX$13,4,FALSE)</f>
        <v>12</v>
      </c>
      <c r="AF110" s="45">
        <f>HLOOKUP(TBL_CalcDarwin[[#This Row],[Fecha]],'Plantilla AEG ES'!$E$1:$HX$13,5,FALSE)</f>
        <v>1</v>
      </c>
      <c r="AG110" s="45">
        <f>HLOOKUP(TBL_CalcDarwin[[#This Row],[Fecha]],'Plantilla AEG ES'!$E$1:$HX$13,6,FALSE)</f>
        <v>1</v>
      </c>
      <c r="AH110" s="45">
        <f>HLOOKUP(TBL_CalcDarwin[[#This Row],[Fecha]],'Plantilla AEG ES'!$E$1:$HX$13,7,FALSE)</f>
        <v>0</v>
      </c>
      <c r="AI110" s="46">
        <f>HLOOKUP(TBL_CalcDarwin[[#This Row],[Fecha]],'Plantilla AEG ES'!$E$1:$HX$13,8,FALSE)</f>
        <v>0</v>
      </c>
      <c r="AJ110" s="46">
        <f>HLOOKUP(TBL_CalcDarwin[[#This Row],[Fecha]],'Plantilla AEG ES'!$E$1:$HX$13,9,FALSE)</f>
        <v>3</v>
      </c>
      <c r="AK110" s="46">
        <f>HLOOKUP(TBL_CalcDarwin[[#This Row],[Fecha]],'Plantilla AEG ES'!$E$1:$HX$13,10,FALSE)</f>
        <v>12</v>
      </c>
      <c r="AL110" s="46">
        <f>HLOOKUP(TBL_CalcDarwin[[#This Row],[Fecha]],'Plantilla AEG ES'!$E$1:$HX$13,11,FALSE)</f>
        <v>1</v>
      </c>
      <c r="AM110" s="46">
        <f>HLOOKUP(TBL_CalcDarwin[[#This Row],[Fecha]],'Plantilla AEG ES'!$E$1:$HX$13,12,FALSE)</f>
        <v>7</v>
      </c>
      <c r="AN110" s="46">
        <f>HLOOKUP(TBL_CalcDarwin[[#This Row],[Fecha]],'Plantilla AEG ES'!$E$1:$HX$13,13,FALSE)</f>
        <v>1</v>
      </c>
      <c r="AO110" s="37">
        <f>TBL_CalcDarwin[[#This Row],[Lomitas - Barra A - 5.2 - Cerro]]+TBL_CalcDarwin[[#This Row],[Lomitas - Barra A - 5.2 - Medio]]+TBL_CalcDarwin[[#This Row],[Lomitas - Barra A - 5.2 - Mar]]</f>
        <v>25</v>
      </c>
      <c r="AP1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1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10" s="37">
        <f>TBL_CalcDarwin[[#This Row],[Expansión - Barra A - 5.2 - Cerro]]+TBL_CalcDarwin[[#This Row],[Expansión - Barra A - 5.2 - Medio]]+TBL_CalcDarwin[[#This Row],[Expansión - Barra A - 5.2 - Mar]]</f>
        <v>2</v>
      </c>
      <c r="AT110" s="37">
        <f>TBL_CalcDarwin[[#This Row],[Expansión - Barra B - 5.2 - Cerro]]</f>
        <v>1</v>
      </c>
      <c r="AU1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10" s="29">
        <f>TBL_CalcDarwin[[#This Row],[Expansión - Barra B - 5.2 - Cerro]]*TBL_CalcDarwin[[#This Row],[AEG 5.2 MW Cerro]]</f>
        <v>0.98299999999999998</v>
      </c>
      <c r="AZ110" s="18"/>
      <c r="BA110" s="18"/>
      <c r="BB110" s="18"/>
      <c r="BC110" s="18"/>
      <c r="BD110" s="18"/>
      <c r="BE110" s="18"/>
      <c r="BF110" s="18"/>
    </row>
    <row r="111" spans="2:58" ht="12" x14ac:dyDescent="0.2">
      <c r="B111" s="55">
        <f t="shared" si="6"/>
        <v>45617.54166666641</v>
      </c>
      <c r="C111" s="17">
        <f t="shared" si="10"/>
        <v>4.5416666666666643</v>
      </c>
      <c r="D111" s="34">
        <f>TBL_CalcDarwin[[#This Row],[Darwin PLOM
MW]]+TBL_CalcDarwin[[#This Row],[Darwin PLOME
MW]]</f>
        <v>101.629</v>
      </c>
      <c r="E111" s="34">
        <f>TBL_CalcDarwin[[#This Row],[PLOM MW TOTAL BARRA A]]+TBL_CalcDarwin[[#This Row],[PLOM MW TOTAL BARRA B]]</f>
        <v>98.066000000000003</v>
      </c>
      <c r="F111" s="34">
        <f>TBL_CalcDarwin[[#This Row],[PLOME MW TOTAL BARRA A]]+TBL_CalcDarwin[[#This Row],[PLOME MW TOTAL BARRA B]]</f>
        <v>3.5630000000000002</v>
      </c>
      <c r="G111" s="48">
        <f>'Plantilla Datos'!D116</f>
        <v>6.3</v>
      </c>
      <c r="H111" s="48">
        <f>'Plantilla Datos'!E116</f>
        <v>8</v>
      </c>
      <c r="I111" s="49">
        <f>'Plantilla Datos'!F116</f>
        <v>19.5</v>
      </c>
      <c r="J111" s="47">
        <f>CEILING('Plantilla Datos'!$L$3*TBL_CalcDarwin[[#This Row],[Darwin Gusts
m/s]],0.5)</f>
        <v>6</v>
      </c>
      <c r="K111" s="47">
        <f>CEILING('Plantilla Datos'!$L$4*TBL_CalcDarwin[[#This Row],[Darwin Gusts
m/s]],0.5)</f>
        <v>7</v>
      </c>
      <c r="L111" s="47">
        <f>CEILING(TBL_CalcDarwin[[#This Row],[Darwin Gusts
m/s]],0.5)</f>
        <v>8</v>
      </c>
      <c r="M1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5.0199999999999996</v>
      </c>
      <c r="N1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11" s="41">
        <f>INDEX(Curva_Temp[Temp],MATCH(TBL_CalcDarwin[[#This Row],[Darwin Temp.
°C]],Curva_Temp[Temp]))</f>
        <v>15</v>
      </c>
      <c r="R111" s="41">
        <f>INDEX(Curva_Temp[Warranted Power Curve for 
1.194Kg/m3 air density '[kW']
SG 5.0-145 (AM+1, 5.2MW) AT 
90M],MATCH(TBL_CalcDarwin[[#This Row],[Darwin Temp.
°C]],Curva_Temp[Temp]))</f>
        <v>5200</v>
      </c>
      <c r="S111" s="41" cm="1">
        <f t="array" ref="S111">INDEX(Curva_Temp[Temp],MATCH(TBL_CalcDarwin[[#This Row],[Darwin Temp.
°C]],Curva_Temp[Temp])+1)</f>
        <v>20</v>
      </c>
      <c r="T111" s="41" cm="1">
        <f t="array" ref="T111">INDEX(Curva_Temp[Warranted Power Curve for 
1.194Kg/m3 air density '[kW']
SG 5.0-145 (AM+1, 5.2MW) AT 
90M],MATCH(TBL_CalcDarwin[[#This Row],[Darwin Temp.
°C]],Curva_Temp[Temp])+1)</f>
        <v>5000</v>
      </c>
      <c r="U1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11" s="41">
        <f>INDEX(Curva_Temp[Temp],MATCH(TBL_CalcDarwin[[#This Row],[Darwin Temp.
°C]],Curva_Temp[Temp]))</f>
        <v>15</v>
      </c>
      <c r="Z111" s="41">
        <f>INDEX(Curva_Temp[Warranted Power Curve for 
1.194Kg/m3 air density '[kW']
SG 5.0-145 (AM 0, 5.0MW) AT 
90M],MATCH(TBL_CalcDarwin[[#This Row],[Darwin Temp.
°C]],Curva_Temp[Temp]))</f>
        <v>5000</v>
      </c>
      <c r="AA111" s="41" cm="1">
        <f t="array" ref="AA111">INDEX(Curva_Temp[Temp],MATCH(TBL_CalcDarwin[[#This Row],[Darwin Temp.
°C]],Curva_Temp[Temp])+1)</f>
        <v>20</v>
      </c>
      <c r="AB111" s="41" cm="1">
        <f t="array" ref="AB111">INDEX(Curva_Temp[Warranted Power Curve for 
1.194Kg/m3 air density '[kW']
SG 5.0-145 (AM 0, 5.0MW) AT 
90M],MATCH(TBL_CalcDarwin[[#This Row],[Darwin Temp.
°C]],Curva_Temp[Temp])+1)</f>
        <v>5000</v>
      </c>
      <c r="AC111" s="45">
        <f>HLOOKUP(TBL_CalcDarwin[[#This Row],[Fecha]],'Plantilla AEG ES'!$E$1:$HX$13,2,FALSE)</f>
        <v>5</v>
      </c>
      <c r="AD111" s="45">
        <f>HLOOKUP(TBL_CalcDarwin[[#This Row],[Fecha]],'Plantilla AEG ES'!$E$1:$HX$13,3,FALSE)</f>
        <v>8</v>
      </c>
      <c r="AE111" s="45">
        <f>HLOOKUP(TBL_CalcDarwin[[#This Row],[Fecha]],'Plantilla AEG ES'!$E$1:$HX$13,4,FALSE)</f>
        <v>12</v>
      </c>
      <c r="AF111" s="45">
        <f>HLOOKUP(TBL_CalcDarwin[[#This Row],[Fecha]],'Plantilla AEG ES'!$E$1:$HX$13,5,FALSE)</f>
        <v>1</v>
      </c>
      <c r="AG111" s="45">
        <f>HLOOKUP(TBL_CalcDarwin[[#This Row],[Fecha]],'Plantilla AEG ES'!$E$1:$HX$13,6,FALSE)</f>
        <v>1</v>
      </c>
      <c r="AH111" s="45">
        <f>HLOOKUP(TBL_CalcDarwin[[#This Row],[Fecha]],'Plantilla AEG ES'!$E$1:$HX$13,7,FALSE)</f>
        <v>0</v>
      </c>
      <c r="AI111" s="46">
        <f>HLOOKUP(TBL_CalcDarwin[[#This Row],[Fecha]],'Plantilla AEG ES'!$E$1:$HX$13,8,FALSE)</f>
        <v>0</v>
      </c>
      <c r="AJ111" s="46">
        <f>HLOOKUP(TBL_CalcDarwin[[#This Row],[Fecha]],'Plantilla AEG ES'!$E$1:$HX$13,9,FALSE)</f>
        <v>3</v>
      </c>
      <c r="AK111" s="46">
        <f>HLOOKUP(TBL_CalcDarwin[[#This Row],[Fecha]],'Plantilla AEG ES'!$E$1:$HX$13,10,FALSE)</f>
        <v>12</v>
      </c>
      <c r="AL111" s="46">
        <f>HLOOKUP(TBL_CalcDarwin[[#This Row],[Fecha]],'Plantilla AEG ES'!$E$1:$HX$13,11,FALSE)</f>
        <v>1</v>
      </c>
      <c r="AM111" s="46">
        <f>HLOOKUP(TBL_CalcDarwin[[#This Row],[Fecha]],'Plantilla AEG ES'!$E$1:$HX$13,12,FALSE)</f>
        <v>7</v>
      </c>
      <c r="AN111" s="46">
        <f>HLOOKUP(TBL_CalcDarwin[[#This Row],[Fecha]],'Plantilla AEG ES'!$E$1:$HX$13,13,FALSE)</f>
        <v>1</v>
      </c>
      <c r="AO111" s="37">
        <f>TBL_CalcDarwin[[#This Row],[Lomitas - Barra A - 5.2 - Cerro]]+TBL_CalcDarwin[[#This Row],[Lomitas - Barra A - 5.2 - Medio]]+TBL_CalcDarwin[[#This Row],[Lomitas - Barra A - 5.2 - Mar]]</f>
        <v>25</v>
      </c>
      <c r="AP1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1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11" s="37">
        <f>TBL_CalcDarwin[[#This Row],[Expansión - Barra A - 5.2 - Cerro]]+TBL_CalcDarwin[[#This Row],[Expansión - Barra A - 5.2 - Medio]]+TBL_CalcDarwin[[#This Row],[Expansión - Barra A - 5.2 - Mar]]</f>
        <v>2</v>
      </c>
      <c r="AT111" s="37">
        <f>TBL_CalcDarwin[[#This Row],[Expansión - Barra B - 5.2 - Cerro]]</f>
        <v>1</v>
      </c>
      <c r="AU1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11" s="29">
        <f>TBL_CalcDarwin[[#This Row],[Expansión - Barra B - 5.2 - Cerro]]*TBL_CalcDarwin[[#This Row],[AEG 5.2 MW Cerro]]</f>
        <v>0.98299999999999998</v>
      </c>
      <c r="AZ111" s="18"/>
      <c r="BA111" s="18"/>
      <c r="BB111" s="18"/>
      <c r="BC111" s="18"/>
      <c r="BD111" s="18"/>
      <c r="BE111" s="18"/>
      <c r="BF111" s="18"/>
    </row>
    <row r="112" spans="2:58" ht="12" x14ac:dyDescent="0.2">
      <c r="B112" s="55">
        <f t="shared" si="6"/>
        <v>45617.583333333074</v>
      </c>
      <c r="C112" s="17">
        <f t="shared" si="10"/>
        <v>4.5833333333333313</v>
      </c>
      <c r="D112" s="34">
        <f>TBL_CalcDarwin[[#This Row],[Darwin PLOM
MW]]+TBL_CalcDarwin[[#This Row],[Darwin PLOME
MW]]</f>
        <v>116.11200000000001</v>
      </c>
      <c r="E112" s="34">
        <f>TBL_CalcDarwin[[#This Row],[PLOM MW TOTAL BARRA A]]+TBL_CalcDarwin[[#This Row],[PLOM MW TOTAL BARRA B]]</f>
        <v>112.54900000000001</v>
      </c>
      <c r="F112" s="34">
        <f>TBL_CalcDarwin[[#This Row],[PLOME MW TOTAL BARRA A]]+TBL_CalcDarwin[[#This Row],[PLOME MW TOTAL BARRA B]]</f>
        <v>3.5630000000000002</v>
      </c>
      <c r="G112" s="48">
        <f>'Plantilla Datos'!D117</f>
        <v>6.4</v>
      </c>
      <c r="H112" s="48">
        <f>'Plantilla Datos'!E117</f>
        <v>8.1</v>
      </c>
      <c r="I112" s="49">
        <f>'Plantilla Datos'!F117</f>
        <v>19.2</v>
      </c>
      <c r="J112" s="47">
        <f>CEILING('Plantilla Datos'!$L$3*TBL_CalcDarwin[[#This Row],[Darwin Gusts
m/s]],0.5)</f>
        <v>6</v>
      </c>
      <c r="K112" s="47">
        <f>CEILING('Plantilla Datos'!$L$4*TBL_CalcDarwin[[#This Row],[Darwin Gusts
m/s]],0.5)</f>
        <v>7</v>
      </c>
      <c r="L112" s="47">
        <f>CEILING(TBL_CalcDarwin[[#This Row],[Darwin Gusts
m/s]],0.5)</f>
        <v>8.5</v>
      </c>
      <c r="M1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5.032</v>
      </c>
      <c r="N1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12" s="41">
        <f>INDEX(Curva_Temp[Temp],MATCH(TBL_CalcDarwin[[#This Row],[Darwin Temp.
°C]],Curva_Temp[Temp]))</f>
        <v>15</v>
      </c>
      <c r="R112" s="41">
        <f>INDEX(Curva_Temp[Warranted Power Curve for 
1.194Kg/m3 air density '[kW']
SG 5.0-145 (AM+1, 5.2MW) AT 
90M],MATCH(TBL_CalcDarwin[[#This Row],[Darwin Temp.
°C]],Curva_Temp[Temp]))</f>
        <v>5200</v>
      </c>
      <c r="S112" s="41" cm="1">
        <f t="array" ref="S112">INDEX(Curva_Temp[Temp],MATCH(TBL_CalcDarwin[[#This Row],[Darwin Temp.
°C]],Curva_Temp[Temp])+1)</f>
        <v>20</v>
      </c>
      <c r="T112" s="41" cm="1">
        <f t="array" ref="T112">INDEX(Curva_Temp[Warranted Power Curve for 
1.194Kg/m3 air density '[kW']
SG 5.0-145 (AM+1, 5.2MW) AT 
90M],MATCH(TBL_CalcDarwin[[#This Row],[Darwin Temp.
°C]],Curva_Temp[Temp])+1)</f>
        <v>5000</v>
      </c>
      <c r="U1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12" s="41">
        <f>INDEX(Curva_Temp[Temp],MATCH(TBL_CalcDarwin[[#This Row],[Darwin Temp.
°C]],Curva_Temp[Temp]))</f>
        <v>15</v>
      </c>
      <c r="Z112" s="41">
        <f>INDEX(Curva_Temp[Warranted Power Curve for 
1.194Kg/m3 air density '[kW']
SG 5.0-145 (AM 0, 5.0MW) AT 
90M],MATCH(TBL_CalcDarwin[[#This Row],[Darwin Temp.
°C]],Curva_Temp[Temp]))</f>
        <v>5000</v>
      </c>
      <c r="AA112" s="41" cm="1">
        <f t="array" ref="AA112">INDEX(Curva_Temp[Temp],MATCH(TBL_CalcDarwin[[#This Row],[Darwin Temp.
°C]],Curva_Temp[Temp])+1)</f>
        <v>20</v>
      </c>
      <c r="AB112" s="41" cm="1">
        <f t="array" ref="AB112">INDEX(Curva_Temp[Warranted Power Curve for 
1.194Kg/m3 air density '[kW']
SG 5.0-145 (AM 0, 5.0MW) AT 
90M],MATCH(TBL_CalcDarwin[[#This Row],[Darwin Temp.
°C]],Curva_Temp[Temp])+1)</f>
        <v>5000</v>
      </c>
      <c r="AC112" s="45">
        <f>HLOOKUP(TBL_CalcDarwin[[#This Row],[Fecha]],'Plantilla AEG ES'!$E$1:$HX$13,2,FALSE)</f>
        <v>5</v>
      </c>
      <c r="AD112" s="45">
        <f>HLOOKUP(TBL_CalcDarwin[[#This Row],[Fecha]],'Plantilla AEG ES'!$E$1:$HX$13,3,FALSE)</f>
        <v>8</v>
      </c>
      <c r="AE112" s="45">
        <f>HLOOKUP(TBL_CalcDarwin[[#This Row],[Fecha]],'Plantilla AEG ES'!$E$1:$HX$13,4,FALSE)</f>
        <v>12</v>
      </c>
      <c r="AF112" s="45">
        <f>HLOOKUP(TBL_CalcDarwin[[#This Row],[Fecha]],'Plantilla AEG ES'!$E$1:$HX$13,5,FALSE)</f>
        <v>1</v>
      </c>
      <c r="AG112" s="45">
        <f>HLOOKUP(TBL_CalcDarwin[[#This Row],[Fecha]],'Plantilla AEG ES'!$E$1:$HX$13,6,FALSE)</f>
        <v>1</v>
      </c>
      <c r="AH112" s="45">
        <f>HLOOKUP(TBL_CalcDarwin[[#This Row],[Fecha]],'Plantilla AEG ES'!$E$1:$HX$13,7,FALSE)</f>
        <v>0</v>
      </c>
      <c r="AI112" s="46">
        <f>HLOOKUP(TBL_CalcDarwin[[#This Row],[Fecha]],'Plantilla AEG ES'!$E$1:$HX$13,8,FALSE)</f>
        <v>0</v>
      </c>
      <c r="AJ112" s="46">
        <f>HLOOKUP(TBL_CalcDarwin[[#This Row],[Fecha]],'Plantilla AEG ES'!$E$1:$HX$13,9,FALSE)</f>
        <v>3</v>
      </c>
      <c r="AK112" s="46">
        <f>HLOOKUP(TBL_CalcDarwin[[#This Row],[Fecha]],'Plantilla AEG ES'!$E$1:$HX$13,10,FALSE)</f>
        <v>12</v>
      </c>
      <c r="AL112" s="46">
        <f>HLOOKUP(TBL_CalcDarwin[[#This Row],[Fecha]],'Plantilla AEG ES'!$E$1:$HX$13,11,FALSE)</f>
        <v>1</v>
      </c>
      <c r="AM112" s="46">
        <f>HLOOKUP(TBL_CalcDarwin[[#This Row],[Fecha]],'Plantilla AEG ES'!$E$1:$HX$13,12,FALSE)</f>
        <v>7</v>
      </c>
      <c r="AN112" s="46">
        <f>HLOOKUP(TBL_CalcDarwin[[#This Row],[Fecha]],'Plantilla AEG ES'!$E$1:$HX$13,13,FALSE)</f>
        <v>1</v>
      </c>
      <c r="AO112" s="37">
        <f>TBL_CalcDarwin[[#This Row],[Lomitas - Barra A - 5.2 - Cerro]]+TBL_CalcDarwin[[#This Row],[Lomitas - Barra A - 5.2 - Medio]]+TBL_CalcDarwin[[#This Row],[Lomitas - Barra A - 5.2 - Mar]]</f>
        <v>25</v>
      </c>
      <c r="AP1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52.227000000000004</v>
      </c>
      <c r="AR1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12" s="37">
        <f>TBL_CalcDarwin[[#This Row],[Expansión - Barra A - 5.2 - Cerro]]+TBL_CalcDarwin[[#This Row],[Expansión - Barra A - 5.2 - Medio]]+TBL_CalcDarwin[[#This Row],[Expansión - Barra A - 5.2 - Mar]]</f>
        <v>2</v>
      </c>
      <c r="AT112" s="37">
        <f>TBL_CalcDarwin[[#This Row],[Expansión - Barra B - 5.2 - Cerro]]</f>
        <v>1</v>
      </c>
      <c r="AU1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12" s="29">
        <f>TBL_CalcDarwin[[#This Row],[Expansión - Barra B - 5.2 - Cerro]]*TBL_CalcDarwin[[#This Row],[AEG 5.2 MW Cerro]]</f>
        <v>0.98299999999999998</v>
      </c>
      <c r="AZ112" s="18"/>
      <c r="BA112" s="18"/>
      <c r="BB112" s="18"/>
      <c r="BC112" s="18"/>
      <c r="BD112" s="18"/>
      <c r="BE112" s="18"/>
      <c r="BF112" s="18"/>
    </row>
    <row r="113" spans="2:58" ht="12" x14ac:dyDescent="0.2">
      <c r="B113" s="55">
        <f t="shared" si="6"/>
        <v>45617.624999999738</v>
      </c>
      <c r="C113" s="17">
        <f t="shared" si="10"/>
        <v>4.6249999999999982</v>
      </c>
      <c r="D113" s="34">
        <f>TBL_CalcDarwin[[#This Row],[Darwin PLOM
MW]]+TBL_CalcDarwin[[#This Row],[Darwin PLOME
MW]]</f>
        <v>116.11200000000001</v>
      </c>
      <c r="E113" s="34">
        <f>TBL_CalcDarwin[[#This Row],[PLOM MW TOTAL BARRA A]]+TBL_CalcDarwin[[#This Row],[PLOM MW TOTAL BARRA B]]</f>
        <v>112.54900000000001</v>
      </c>
      <c r="F113" s="34">
        <f>TBL_CalcDarwin[[#This Row],[PLOME MW TOTAL BARRA A]]+TBL_CalcDarwin[[#This Row],[PLOME MW TOTAL BARRA B]]</f>
        <v>3.5630000000000002</v>
      </c>
      <c r="G113" s="48">
        <f>'Plantilla Datos'!D118</f>
        <v>6.4</v>
      </c>
      <c r="H113" s="48">
        <f>'Plantilla Datos'!E118</f>
        <v>8.1</v>
      </c>
      <c r="I113" s="49">
        <f>'Plantilla Datos'!F118</f>
        <v>19</v>
      </c>
      <c r="J113" s="47">
        <f>CEILING('Plantilla Datos'!$L$3*TBL_CalcDarwin[[#This Row],[Darwin Gusts
m/s]],0.5)</f>
        <v>6</v>
      </c>
      <c r="K113" s="47">
        <f>CEILING('Plantilla Datos'!$L$4*TBL_CalcDarwin[[#This Row],[Darwin Gusts
m/s]],0.5)</f>
        <v>7</v>
      </c>
      <c r="L113" s="47">
        <f>CEILING(TBL_CalcDarwin[[#This Row],[Darwin Gusts
m/s]],0.5)</f>
        <v>8.5</v>
      </c>
      <c r="M1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</v>
      </c>
      <c r="N1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13" s="41">
        <f>INDEX(Curva_Temp[Temp],MATCH(TBL_CalcDarwin[[#This Row],[Darwin Temp.
°C]],Curva_Temp[Temp]))</f>
        <v>15</v>
      </c>
      <c r="R113" s="41">
        <f>INDEX(Curva_Temp[Warranted Power Curve for 
1.194Kg/m3 air density '[kW']
SG 5.0-145 (AM+1, 5.2MW) AT 
90M],MATCH(TBL_CalcDarwin[[#This Row],[Darwin Temp.
°C]],Curva_Temp[Temp]))</f>
        <v>5200</v>
      </c>
      <c r="S113" s="41" cm="1">
        <f t="array" ref="S113">INDEX(Curva_Temp[Temp],MATCH(TBL_CalcDarwin[[#This Row],[Darwin Temp.
°C]],Curva_Temp[Temp])+1)</f>
        <v>20</v>
      </c>
      <c r="T113" s="41" cm="1">
        <f t="array" ref="T113">INDEX(Curva_Temp[Warranted Power Curve for 
1.194Kg/m3 air density '[kW']
SG 5.0-145 (AM+1, 5.2MW) AT 
90M],MATCH(TBL_CalcDarwin[[#This Row],[Darwin Temp.
°C]],Curva_Temp[Temp])+1)</f>
        <v>5000</v>
      </c>
      <c r="U1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13" s="41">
        <f>INDEX(Curva_Temp[Temp],MATCH(TBL_CalcDarwin[[#This Row],[Darwin Temp.
°C]],Curva_Temp[Temp]))</f>
        <v>15</v>
      </c>
      <c r="Z113" s="41">
        <f>INDEX(Curva_Temp[Warranted Power Curve for 
1.194Kg/m3 air density '[kW']
SG 5.0-145 (AM 0, 5.0MW) AT 
90M],MATCH(TBL_CalcDarwin[[#This Row],[Darwin Temp.
°C]],Curva_Temp[Temp]))</f>
        <v>5000</v>
      </c>
      <c r="AA113" s="41" cm="1">
        <f t="array" ref="AA113">INDEX(Curva_Temp[Temp],MATCH(TBL_CalcDarwin[[#This Row],[Darwin Temp.
°C]],Curva_Temp[Temp])+1)</f>
        <v>20</v>
      </c>
      <c r="AB113" s="41" cm="1">
        <f t="array" ref="AB113">INDEX(Curva_Temp[Warranted Power Curve for 
1.194Kg/m3 air density '[kW']
SG 5.0-145 (AM 0, 5.0MW) AT 
90M],MATCH(TBL_CalcDarwin[[#This Row],[Darwin Temp.
°C]],Curva_Temp[Temp])+1)</f>
        <v>5000</v>
      </c>
      <c r="AC113" s="45">
        <f>HLOOKUP(TBL_CalcDarwin[[#This Row],[Fecha]],'Plantilla AEG ES'!$E$1:$HX$13,2,FALSE)</f>
        <v>5</v>
      </c>
      <c r="AD113" s="45">
        <f>HLOOKUP(TBL_CalcDarwin[[#This Row],[Fecha]],'Plantilla AEG ES'!$E$1:$HX$13,3,FALSE)</f>
        <v>8</v>
      </c>
      <c r="AE113" s="45">
        <f>HLOOKUP(TBL_CalcDarwin[[#This Row],[Fecha]],'Plantilla AEG ES'!$E$1:$HX$13,4,FALSE)</f>
        <v>12</v>
      </c>
      <c r="AF113" s="45">
        <f>HLOOKUP(TBL_CalcDarwin[[#This Row],[Fecha]],'Plantilla AEG ES'!$E$1:$HX$13,5,FALSE)</f>
        <v>1</v>
      </c>
      <c r="AG113" s="45">
        <f>HLOOKUP(TBL_CalcDarwin[[#This Row],[Fecha]],'Plantilla AEG ES'!$E$1:$HX$13,6,FALSE)</f>
        <v>1</v>
      </c>
      <c r="AH113" s="45">
        <f>HLOOKUP(TBL_CalcDarwin[[#This Row],[Fecha]],'Plantilla AEG ES'!$E$1:$HX$13,7,FALSE)</f>
        <v>0</v>
      </c>
      <c r="AI113" s="46">
        <f>HLOOKUP(TBL_CalcDarwin[[#This Row],[Fecha]],'Plantilla AEG ES'!$E$1:$HX$13,8,FALSE)</f>
        <v>0</v>
      </c>
      <c r="AJ113" s="46">
        <f>HLOOKUP(TBL_CalcDarwin[[#This Row],[Fecha]],'Plantilla AEG ES'!$E$1:$HX$13,9,FALSE)</f>
        <v>3</v>
      </c>
      <c r="AK113" s="46">
        <f>HLOOKUP(TBL_CalcDarwin[[#This Row],[Fecha]],'Plantilla AEG ES'!$E$1:$HX$13,10,FALSE)</f>
        <v>12</v>
      </c>
      <c r="AL113" s="46">
        <f>HLOOKUP(TBL_CalcDarwin[[#This Row],[Fecha]],'Plantilla AEG ES'!$E$1:$HX$13,11,FALSE)</f>
        <v>1</v>
      </c>
      <c r="AM113" s="46">
        <f>HLOOKUP(TBL_CalcDarwin[[#This Row],[Fecha]],'Plantilla AEG ES'!$E$1:$HX$13,12,FALSE)</f>
        <v>7</v>
      </c>
      <c r="AN113" s="46">
        <f>HLOOKUP(TBL_CalcDarwin[[#This Row],[Fecha]],'Plantilla AEG ES'!$E$1:$HX$13,13,FALSE)</f>
        <v>1</v>
      </c>
      <c r="AO113" s="37">
        <f>TBL_CalcDarwin[[#This Row],[Lomitas - Barra A - 5.2 - Cerro]]+TBL_CalcDarwin[[#This Row],[Lomitas - Barra A - 5.2 - Medio]]+TBL_CalcDarwin[[#This Row],[Lomitas - Barra A - 5.2 - Mar]]</f>
        <v>25</v>
      </c>
      <c r="AP1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52.227000000000004</v>
      </c>
      <c r="AR1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13" s="37">
        <f>TBL_CalcDarwin[[#This Row],[Expansión - Barra A - 5.2 - Cerro]]+TBL_CalcDarwin[[#This Row],[Expansión - Barra A - 5.2 - Medio]]+TBL_CalcDarwin[[#This Row],[Expansión - Barra A - 5.2 - Mar]]</f>
        <v>2</v>
      </c>
      <c r="AT113" s="37">
        <f>TBL_CalcDarwin[[#This Row],[Expansión - Barra B - 5.2 - Cerro]]</f>
        <v>1</v>
      </c>
      <c r="AU1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13" s="29">
        <f>TBL_CalcDarwin[[#This Row],[Expansión - Barra B - 5.2 - Cerro]]*TBL_CalcDarwin[[#This Row],[AEG 5.2 MW Cerro]]</f>
        <v>0.98299999999999998</v>
      </c>
      <c r="AZ113" s="18"/>
      <c r="BA113" s="18"/>
      <c r="BB113" s="18"/>
      <c r="BC113" s="18"/>
      <c r="BD113" s="18"/>
      <c r="BE113" s="18"/>
      <c r="BF113" s="18"/>
    </row>
    <row r="114" spans="2:58" ht="12" x14ac:dyDescent="0.2">
      <c r="B114" s="55">
        <f t="shared" si="6"/>
        <v>45617.666666666402</v>
      </c>
      <c r="C114" s="17">
        <f t="shared" si="10"/>
        <v>4.6666666666666652</v>
      </c>
      <c r="D114" s="34">
        <f>TBL_CalcDarwin[[#This Row],[Darwin PLOM
MW]]+TBL_CalcDarwin[[#This Row],[Darwin PLOME
MW]]</f>
        <v>116.11200000000001</v>
      </c>
      <c r="E114" s="34">
        <f>TBL_CalcDarwin[[#This Row],[PLOM MW TOTAL BARRA A]]+TBL_CalcDarwin[[#This Row],[PLOM MW TOTAL BARRA B]]</f>
        <v>112.54900000000001</v>
      </c>
      <c r="F114" s="34">
        <f>TBL_CalcDarwin[[#This Row],[PLOME MW TOTAL BARRA A]]+TBL_CalcDarwin[[#This Row],[PLOME MW TOTAL BARRA B]]</f>
        <v>3.5630000000000002</v>
      </c>
      <c r="G114" s="48">
        <f>'Plantilla Datos'!D119</f>
        <v>6.5</v>
      </c>
      <c r="H114" s="48">
        <f>'Plantilla Datos'!E119</f>
        <v>8.1999999999999993</v>
      </c>
      <c r="I114" s="49">
        <f>'Plantilla Datos'!F119</f>
        <v>18.7</v>
      </c>
      <c r="J114" s="47">
        <f>CEILING('Plantilla Datos'!$L$3*TBL_CalcDarwin[[#This Row],[Darwin Gusts
m/s]],0.5)</f>
        <v>6</v>
      </c>
      <c r="K114" s="47">
        <f>CEILING('Plantilla Datos'!$L$4*TBL_CalcDarwin[[#This Row],[Darwin Gusts
m/s]],0.5)</f>
        <v>7</v>
      </c>
      <c r="L114" s="47">
        <f>CEILING(TBL_CalcDarwin[[#This Row],[Darwin Gusts
m/s]],0.5)</f>
        <v>8.5</v>
      </c>
      <c r="M1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5.0519999999999996</v>
      </c>
      <c r="N1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14" s="41">
        <f>INDEX(Curva_Temp[Temp],MATCH(TBL_CalcDarwin[[#This Row],[Darwin Temp.
°C]],Curva_Temp[Temp]))</f>
        <v>15</v>
      </c>
      <c r="R114" s="41">
        <f>INDEX(Curva_Temp[Warranted Power Curve for 
1.194Kg/m3 air density '[kW']
SG 5.0-145 (AM+1, 5.2MW) AT 
90M],MATCH(TBL_CalcDarwin[[#This Row],[Darwin Temp.
°C]],Curva_Temp[Temp]))</f>
        <v>5200</v>
      </c>
      <c r="S114" s="41" cm="1">
        <f t="array" ref="S114">INDEX(Curva_Temp[Temp],MATCH(TBL_CalcDarwin[[#This Row],[Darwin Temp.
°C]],Curva_Temp[Temp])+1)</f>
        <v>20</v>
      </c>
      <c r="T114" s="41" cm="1">
        <f t="array" ref="T114">INDEX(Curva_Temp[Warranted Power Curve for 
1.194Kg/m3 air density '[kW']
SG 5.0-145 (AM+1, 5.2MW) AT 
90M],MATCH(TBL_CalcDarwin[[#This Row],[Darwin Temp.
°C]],Curva_Temp[Temp])+1)</f>
        <v>5000</v>
      </c>
      <c r="U1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14" s="41">
        <f>INDEX(Curva_Temp[Temp],MATCH(TBL_CalcDarwin[[#This Row],[Darwin Temp.
°C]],Curva_Temp[Temp]))</f>
        <v>15</v>
      </c>
      <c r="Z114" s="41">
        <f>INDEX(Curva_Temp[Warranted Power Curve for 
1.194Kg/m3 air density '[kW']
SG 5.0-145 (AM 0, 5.0MW) AT 
90M],MATCH(TBL_CalcDarwin[[#This Row],[Darwin Temp.
°C]],Curva_Temp[Temp]))</f>
        <v>5000</v>
      </c>
      <c r="AA114" s="41" cm="1">
        <f t="array" ref="AA114">INDEX(Curva_Temp[Temp],MATCH(TBL_CalcDarwin[[#This Row],[Darwin Temp.
°C]],Curva_Temp[Temp])+1)</f>
        <v>20</v>
      </c>
      <c r="AB114" s="41" cm="1">
        <f t="array" ref="AB114">INDEX(Curva_Temp[Warranted Power Curve for 
1.194Kg/m3 air density '[kW']
SG 5.0-145 (AM 0, 5.0MW) AT 
90M],MATCH(TBL_CalcDarwin[[#This Row],[Darwin Temp.
°C]],Curva_Temp[Temp])+1)</f>
        <v>5000</v>
      </c>
      <c r="AC114" s="45">
        <f>HLOOKUP(TBL_CalcDarwin[[#This Row],[Fecha]],'Plantilla AEG ES'!$E$1:$HX$13,2,FALSE)</f>
        <v>5</v>
      </c>
      <c r="AD114" s="45">
        <f>HLOOKUP(TBL_CalcDarwin[[#This Row],[Fecha]],'Plantilla AEG ES'!$E$1:$HX$13,3,FALSE)</f>
        <v>8</v>
      </c>
      <c r="AE114" s="45">
        <f>HLOOKUP(TBL_CalcDarwin[[#This Row],[Fecha]],'Plantilla AEG ES'!$E$1:$HX$13,4,FALSE)</f>
        <v>12</v>
      </c>
      <c r="AF114" s="45">
        <f>HLOOKUP(TBL_CalcDarwin[[#This Row],[Fecha]],'Plantilla AEG ES'!$E$1:$HX$13,5,FALSE)</f>
        <v>1</v>
      </c>
      <c r="AG114" s="45">
        <f>HLOOKUP(TBL_CalcDarwin[[#This Row],[Fecha]],'Plantilla AEG ES'!$E$1:$HX$13,6,FALSE)</f>
        <v>1</v>
      </c>
      <c r="AH114" s="45">
        <f>HLOOKUP(TBL_CalcDarwin[[#This Row],[Fecha]],'Plantilla AEG ES'!$E$1:$HX$13,7,FALSE)</f>
        <v>0</v>
      </c>
      <c r="AI114" s="46">
        <f>HLOOKUP(TBL_CalcDarwin[[#This Row],[Fecha]],'Plantilla AEG ES'!$E$1:$HX$13,8,FALSE)</f>
        <v>0</v>
      </c>
      <c r="AJ114" s="46">
        <f>HLOOKUP(TBL_CalcDarwin[[#This Row],[Fecha]],'Plantilla AEG ES'!$E$1:$HX$13,9,FALSE)</f>
        <v>3</v>
      </c>
      <c r="AK114" s="46">
        <f>HLOOKUP(TBL_CalcDarwin[[#This Row],[Fecha]],'Plantilla AEG ES'!$E$1:$HX$13,10,FALSE)</f>
        <v>12</v>
      </c>
      <c r="AL114" s="46">
        <f>HLOOKUP(TBL_CalcDarwin[[#This Row],[Fecha]],'Plantilla AEG ES'!$E$1:$HX$13,11,FALSE)</f>
        <v>1</v>
      </c>
      <c r="AM114" s="46">
        <f>HLOOKUP(TBL_CalcDarwin[[#This Row],[Fecha]],'Plantilla AEG ES'!$E$1:$HX$13,12,FALSE)</f>
        <v>7</v>
      </c>
      <c r="AN114" s="46">
        <f>HLOOKUP(TBL_CalcDarwin[[#This Row],[Fecha]],'Plantilla AEG ES'!$E$1:$HX$13,13,FALSE)</f>
        <v>1</v>
      </c>
      <c r="AO114" s="37">
        <f>TBL_CalcDarwin[[#This Row],[Lomitas - Barra A - 5.2 - Cerro]]+TBL_CalcDarwin[[#This Row],[Lomitas - Barra A - 5.2 - Medio]]+TBL_CalcDarwin[[#This Row],[Lomitas - Barra A - 5.2 - Mar]]</f>
        <v>25</v>
      </c>
      <c r="AP1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52.227000000000004</v>
      </c>
      <c r="AR1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14" s="37">
        <f>TBL_CalcDarwin[[#This Row],[Expansión - Barra A - 5.2 - Cerro]]+TBL_CalcDarwin[[#This Row],[Expansión - Barra A - 5.2 - Medio]]+TBL_CalcDarwin[[#This Row],[Expansión - Barra A - 5.2 - Mar]]</f>
        <v>2</v>
      </c>
      <c r="AT114" s="37">
        <f>TBL_CalcDarwin[[#This Row],[Expansión - Barra B - 5.2 - Cerro]]</f>
        <v>1</v>
      </c>
      <c r="AU1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14" s="29">
        <f>TBL_CalcDarwin[[#This Row],[Expansión - Barra B - 5.2 - Cerro]]*TBL_CalcDarwin[[#This Row],[AEG 5.2 MW Cerro]]</f>
        <v>0.98299999999999998</v>
      </c>
      <c r="AZ114" s="18"/>
      <c r="BA114" s="18"/>
      <c r="BB114" s="18"/>
      <c r="BC114" s="18"/>
      <c r="BD114" s="18"/>
      <c r="BE114" s="18"/>
      <c r="BF114" s="18"/>
    </row>
    <row r="115" spans="2:58" ht="12" x14ac:dyDescent="0.2">
      <c r="B115" s="55">
        <f t="shared" si="6"/>
        <v>45617.708333333067</v>
      </c>
      <c r="C115" s="17">
        <f t="shared" si="10"/>
        <v>4.7083333333333321</v>
      </c>
      <c r="D115" s="34">
        <f>TBL_CalcDarwin[[#This Row],[Darwin PLOM
MW]]+TBL_CalcDarwin[[#This Row],[Darwin PLOME
MW]]</f>
        <v>101.629</v>
      </c>
      <c r="E115" s="34">
        <f>TBL_CalcDarwin[[#This Row],[PLOM MW TOTAL BARRA A]]+TBL_CalcDarwin[[#This Row],[PLOM MW TOTAL BARRA B]]</f>
        <v>98.066000000000003</v>
      </c>
      <c r="F115" s="34">
        <f>TBL_CalcDarwin[[#This Row],[PLOME MW TOTAL BARRA A]]+TBL_CalcDarwin[[#This Row],[PLOME MW TOTAL BARRA B]]</f>
        <v>3.5630000000000002</v>
      </c>
      <c r="G115" s="48">
        <f>'Plantilla Datos'!D120</f>
        <v>6.2</v>
      </c>
      <c r="H115" s="48">
        <f>'Plantilla Datos'!E120</f>
        <v>7.9</v>
      </c>
      <c r="I115" s="49">
        <f>'Plantilla Datos'!F120</f>
        <v>18.399999999999999</v>
      </c>
      <c r="J115" s="47">
        <f>CEILING('Plantilla Datos'!$L$3*TBL_CalcDarwin[[#This Row],[Darwin Gusts
m/s]],0.5)</f>
        <v>6</v>
      </c>
      <c r="K115" s="47">
        <f>CEILING('Plantilla Datos'!$L$4*TBL_CalcDarwin[[#This Row],[Darwin Gusts
m/s]],0.5)</f>
        <v>7</v>
      </c>
      <c r="L115" s="47">
        <f>CEILING(TBL_CalcDarwin[[#This Row],[Darwin Gusts
m/s]],0.5)</f>
        <v>8</v>
      </c>
      <c r="M11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5.0640000000000001</v>
      </c>
      <c r="N11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1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1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15" s="41">
        <f>INDEX(Curva_Temp[Temp],MATCH(TBL_CalcDarwin[[#This Row],[Darwin Temp.
°C]],Curva_Temp[Temp]))</f>
        <v>15</v>
      </c>
      <c r="R115" s="41">
        <f>INDEX(Curva_Temp[Warranted Power Curve for 
1.194Kg/m3 air density '[kW']
SG 5.0-145 (AM+1, 5.2MW) AT 
90M],MATCH(TBL_CalcDarwin[[#This Row],[Darwin Temp.
°C]],Curva_Temp[Temp]))</f>
        <v>5200</v>
      </c>
      <c r="S115" s="41" cm="1">
        <f t="array" ref="S115">INDEX(Curva_Temp[Temp],MATCH(TBL_CalcDarwin[[#This Row],[Darwin Temp.
°C]],Curva_Temp[Temp])+1)</f>
        <v>20</v>
      </c>
      <c r="T115" s="41" cm="1">
        <f t="array" ref="T115">INDEX(Curva_Temp[Warranted Power Curve for 
1.194Kg/m3 air density '[kW']
SG 5.0-145 (AM+1, 5.2MW) AT 
90M],MATCH(TBL_CalcDarwin[[#This Row],[Darwin Temp.
°C]],Curva_Temp[Temp])+1)</f>
        <v>5000</v>
      </c>
      <c r="U11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1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1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15" s="41">
        <f>INDEX(Curva_Temp[Temp],MATCH(TBL_CalcDarwin[[#This Row],[Darwin Temp.
°C]],Curva_Temp[Temp]))</f>
        <v>15</v>
      </c>
      <c r="Z115" s="41">
        <f>INDEX(Curva_Temp[Warranted Power Curve for 
1.194Kg/m3 air density '[kW']
SG 5.0-145 (AM 0, 5.0MW) AT 
90M],MATCH(TBL_CalcDarwin[[#This Row],[Darwin Temp.
°C]],Curva_Temp[Temp]))</f>
        <v>5000</v>
      </c>
      <c r="AA115" s="41" cm="1">
        <f t="array" ref="AA115">INDEX(Curva_Temp[Temp],MATCH(TBL_CalcDarwin[[#This Row],[Darwin Temp.
°C]],Curva_Temp[Temp])+1)</f>
        <v>20</v>
      </c>
      <c r="AB115" s="41" cm="1">
        <f t="array" ref="AB115">INDEX(Curva_Temp[Warranted Power Curve for 
1.194Kg/m3 air density '[kW']
SG 5.0-145 (AM 0, 5.0MW) AT 
90M],MATCH(TBL_CalcDarwin[[#This Row],[Darwin Temp.
°C]],Curva_Temp[Temp])+1)</f>
        <v>5000</v>
      </c>
      <c r="AC115" s="45">
        <f>HLOOKUP(TBL_CalcDarwin[[#This Row],[Fecha]],'Plantilla AEG ES'!$E$1:$HX$13,2,FALSE)</f>
        <v>5</v>
      </c>
      <c r="AD115" s="45">
        <f>HLOOKUP(TBL_CalcDarwin[[#This Row],[Fecha]],'Plantilla AEG ES'!$E$1:$HX$13,3,FALSE)</f>
        <v>8</v>
      </c>
      <c r="AE115" s="45">
        <f>HLOOKUP(TBL_CalcDarwin[[#This Row],[Fecha]],'Plantilla AEG ES'!$E$1:$HX$13,4,FALSE)</f>
        <v>12</v>
      </c>
      <c r="AF115" s="45">
        <f>HLOOKUP(TBL_CalcDarwin[[#This Row],[Fecha]],'Plantilla AEG ES'!$E$1:$HX$13,5,FALSE)</f>
        <v>1</v>
      </c>
      <c r="AG115" s="45">
        <f>HLOOKUP(TBL_CalcDarwin[[#This Row],[Fecha]],'Plantilla AEG ES'!$E$1:$HX$13,6,FALSE)</f>
        <v>1</v>
      </c>
      <c r="AH115" s="45">
        <f>HLOOKUP(TBL_CalcDarwin[[#This Row],[Fecha]],'Plantilla AEG ES'!$E$1:$HX$13,7,FALSE)</f>
        <v>0</v>
      </c>
      <c r="AI115" s="46">
        <f>HLOOKUP(TBL_CalcDarwin[[#This Row],[Fecha]],'Plantilla AEG ES'!$E$1:$HX$13,8,FALSE)</f>
        <v>0</v>
      </c>
      <c r="AJ115" s="46">
        <f>HLOOKUP(TBL_CalcDarwin[[#This Row],[Fecha]],'Plantilla AEG ES'!$E$1:$HX$13,9,FALSE)</f>
        <v>3</v>
      </c>
      <c r="AK115" s="46">
        <f>HLOOKUP(TBL_CalcDarwin[[#This Row],[Fecha]],'Plantilla AEG ES'!$E$1:$HX$13,10,FALSE)</f>
        <v>12</v>
      </c>
      <c r="AL115" s="46">
        <f>HLOOKUP(TBL_CalcDarwin[[#This Row],[Fecha]],'Plantilla AEG ES'!$E$1:$HX$13,11,FALSE)</f>
        <v>1</v>
      </c>
      <c r="AM115" s="46">
        <f>HLOOKUP(TBL_CalcDarwin[[#This Row],[Fecha]],'Plantilla AEG ES'!$E$1:$HX$13,12,FALSE)</f>
        <v>7</v>
      </c>
      <c r="AN115" s="46">
        <f>HLOOKUP(TBL_CalcDarwin[[#This Row],[Fecha]],'Plantilla AEG ES'!$E$1:$HX$13,13,FALSE)</f>
        <v>1</v>
      </c>
      <c r="AO115" s="37">
        <f>TBL_CalcDarwin[[#This Row],[Lomitas - Barra A - 5.2 - Cerro]]+TBL_CalcDarwin[[#This Row],[Lomitas - Barra A - 5.2 - Medio]]+TBL_CalcDarwin[[#This Row],[Lomitas - Barra A - 5.2 - Mar]]</f>
        <v>25</v>
      </c>
      <c r="AP1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11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15" s="37">
        <f>TBL_CalcDarwin[[#This Row],[Expansión - Barra A - 5.2 - Cerro]]+TBL_CalcDarwin[[#This Row],[Expansión - Barra A - 5.2 - Medio]]+TBL_CalcDarwin[[#This Row],[Expansión - Barra A - 5.2 - Mar]]</f>
        <v>2</v>
      </c>
      <c r="AT115" s="37">
        <f>TBL_CalcDarwin[[#This Row],[Expansión - Barra B - 5.2 - Cerro]]</f>
        <v>1</v>
      </c>
      <c r="AU11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15" s="29">
        <f>TBL_CalcDarwin[[#This Row],[Expansión - Barra B - 5.2 - Cerro]]*TBL_CalcDarwin[[#This Row],[AEG 5.2 MW Cerro]]</f>
        <v>0.98299999999999998</v>
      </c>
      <c r="AZ115" s="18"/>
      <c r="BA115" s="18"/>
      <c r="BB115" s="18"/>
      <c r="BC115" s="18"/>
      <c r="BD115" s="18"/>
      <c r="BE115" s="18"/>
      <c r="BF115" s="18"/>
    </row>
    <row r="116" spans="2:58" ht="12" x14ac:dyDescent="0.2">
      <c r="B116" s="55">
        <f t="shared" si="6"/>
        <v>45617.749999999731</v>
      </c>
      <c r="C116" s="17">
        <f t="shared" si="10"/>
        <v>4.7499999999999991</v>
      </c>
      <c r="D116" s="34">
        <f>TBL_CalcDarwin[[#This Row],[Darwin PLOM
MW]]+TBL_CalcDarwin[[#This Row],[Darwin PLOME
MW]]</f>
        <v>101.629</v>
      </c>
      <c r="E116" s="34">
        <f>TBL_CalcDarwin[[#This Row],[PLOM MW TOTAL BARRA A]]+TBL_CalcDarwin[[#This Row],[PLOM MW TOTAL BARRA B]]</f>
        <v>98.066000000000003</v>
      </c>
      <c r="F116" s="34">
        <f>TBL_CalcDarwin[[#This Row],[PLOME MW TOTAL BARRA A]]+TBL_CalcDarwin[[#This Row],[PLOME MW TOTAL BARRA B]]</f>
        <v>3.5630000000000002</v>
      </c>
      <c r="G116" s="48">
        <f>'Plantilla Datos'!D121</f>
        <v>6</v>
      </c>
      <c r="H116" s="48">
        <f>'Plantilla Datos'!E121</f>
        <v>7.7</v>
      </c>
      <c r="I116" s="49">
        <f>'Plantilla Datos'!F121</f>
        <v>18.2</v>
      </c>
      <c r="J116" s="47">
        <f>CEILING('Plantilla Datos'!$L$3*TBL_CalcDarwin[[#This Row],[Darwin Gusts
m/s]],0.5)</f>
        <v>6</v>
      </c>
      <c r="K116" s="47">
        <f>CEILING('Plantilla Datos'!$L$4*TBL_CalcDarwin[[#This Row],[Darwin Gusts
m/s]],0.5)</f>
        <v>7</v>
      </c>
      <c r="L116" s="47">
        <f>CEILING(TBL_CalcDarwin[[#This Row],[Darwin Gusts
m/s]],0.5)</f>
        <v>8</v>
      </c>
      <c r="M11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5.0720000000000001</v>
      </c>
      <c r="N11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1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1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16" s="41">
        <f>INDEX(Curva_Temp[Temp],MATCH(TBL_CalcDarwin[[#This Row],[Darwin Temp.
°C]],Curva_Temp[Temp]))</f>
        <v>15</v>
      </c>
      <c r="R116" s="41">
        <f>INDEX(Curva_Temp[Warranted Power Curve for 
1.194Kg/m3 air density '[kW']
SG 5.0-145 (AM+1, 5.2MW) AT 
90M],MATCH(TBL_CalcDarwin[[#This Row],[Darwin Temp.
°C]],Curva_Temp[Temp]))</f>
        <v>5200</v>
      </c>
      <c r="S116" s="41" cm="1">
        <f t="array" ref="S116">INDEX(Curva_Temp[Temp],MATCH(TBL_CalcDarwin[[#This Row],[Darwin Temp.
°C]],Curva_Temp[Temp])+1)</f>
        <v>20</v>
      </c>
      <c r="T116" s="41" cm="1">
        <f t="array" ref="T116">INDEX(Curva_Temp[Warranted Power Curve for 
1.194Kg/m3 air density '[kW']
SG 5.0-145 (AM+1, 5.2MW) AT 
90M],MATCH(TBL_CalcDarwin[[#This Row],[Darwin Temp.
°C]],Curva_Temp[Temp])+1)</f>
        <v>5000</v>
      </c>
      <c r="U11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1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1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16" s="41">
        <f>INDEX(Curva_Temp[Temp],MATCH(TBL_CalcDarwin[[#This Row],[Darwin Temp.
°C]],Curva_Temp[Temp]))</f>
        <v>15</v>
      </c>
      <c r="Z116" s="41">
        <f>INDEX(Curva_Temp[Warranted Power Curve for 
1.194Kg/m3 air density '[kW']
SG 5.0-145 (AM 0, 5.0MW) AT 
90M],MATCH(TBL_CalcDarwin[[#This Row],[Darwin Temp.
°C]],Curva_Temp[Temp]))</f>
        <v>5000</v>
      </c>
      <c r="AA116" s="41" cm="1">
        <f t="array" ref="AA116">INDEX(Curva_Temp[Temp],MATCH(TBL_CalcDarwin[[#This Row],[Darwin Temp.
°C]],Curva_Temp[Temp])+1)</f>
        <v>20</v>
      </c>
      <c r="AB116" s="41" cm="1">
        <f t="array" ref="AB116">INDEX(Curva_Temp[Warranted Power Curve for 
1.194Kg/m3 air density '[kW']
SG 5.0-145 (AM 0, 5.0MW) AT 
90M],MATCH(TBL_CalcDarwin[[#This Row],[Darwin Temp.
°C]],Curva_Temp[Temp])+1)</f>
        <v>5000</v>
      </c>
      <c r="AC116" s="45">
        <f>HLOOKUP(TBL_CalcDarwin[[#This Row],[Fecha]],'Plantilla AEG ES'!$E$1:$HX$13,2,FALSE)</f>
        <v>5</v>
      </c>
      <c r="AD116" s="45">
        <f>HLOOKUP(TBL_CalcDarwin[[#This Row],[Fecha]],'Plantilla AEG ES'!$E$1:$HX$13,3,FALSE)</f>
        <v>8</v>
      </c>
      <c r="AE116" s="45">
        <f>HLOOKUP(TBL_CalcDarwin[[#This Row],[Fecha]],'Plantilla AEG ES'!$E$1:$HX$13,4,FALSE)</f>
        <v>12</v>
      </c>
      <c r="AF116" s="45">
        <f>HLOOKUP(TBL_CalcDarwin[[#This Row],[Fecha]],'Plantilla AEG ES'!$E$1:$HX$13,5,FALSE)</f>
        <v>1</v>
      </c>
      <c r="AG116" s="45">
        <f>HLOOKUP(TBL_CalcDarwin[[#This Row],[Fecha]],'Plantilla AEG ES'!$E$1:$HX$13,6,FALSE)</f>
        <v>1</v>
      </c>
      <c r="AH116" s="45">
        <f>HLOOKUP(TBL_CalcDarwin[[#This Row],[Fecha]],'Plantilla AEG ES'!$E$1:$HX$13,7,FALSE)</f>
        <v>0</v>
      </c>
      <c r="AI116" s="46">
        <f>HLOOKUP(TBL_CalcDarwin[[#This Row],[Fecha]],'Plantilla AEG ES'!$E$1:$HX$13,8,FALSE)</f>
        <v>0</v>
      </c>
      <c r="AJ116" s="46">
        <f>HLOOKUP(TBL_CalcDarwin[[#This Row],[Fecha]],'Plantilla AEG ES'!$E$1:$HX$13,9,FALSE)</f>
        <v>3</v>
      </c>
      <c r="AK116" s="46">
        <f>HLOOKUP(TBL_CalcDarwin[[#This Row],[Fecha]],'Plantilla AEG ES'!$E$1:$HX$13,10,FALSE)</f>
        <v>12</v>
      </c>
      <c r="AL116" s="46">
        <f>HLOOKUP(TBL_CalcDarwin[[#This Row],[Fecha]],'Plantilla AEG ES'!$E$1:$HX$13,11,FALSE)</f>
        <v>1</v>
      </c>
      <c r="AM116" s="46">
        <f>HLOOKUP(TBL_CalcDarwin[[#This Row],[Fecha]],'Plantilla AEG ES'!$E$1:$HX$13,12,FALSE)</f>
        <v>7</v>
      </c>
      <c r="AN116" s="46">
        <f>HLOOKUP(TBL_CalcDarwin[[#This Row],[Fecha]],'Plantilla AEG ES'!$E$1:$HX$13,13,FALSE)</f>
        <v>1</v>
      </c>
      <c r="AO116" s="37">
        <f>TBL_CalcDarwin[[#This Row],[Lomitas - Barra A - 5.2 - Cerro]]+TBL_CalcDarwin[[#This Row],[Lomitas - Barra A - 5.2 - Medio]]+TBL_CalcDarwin[[#This Row],[Lomitas - Barra A - 5.2 - Mar]]</f>
        <v>25</v>
      </c>
      <c r="AP1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11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16" s="37">
        <f>TBL_CalcDarwin[[#This Row],[Expansión - Barra A - 5.2 - Cerro]]+TBL_CalcDarwin[[#This Row],[Expansión - Barra A - 5.2 - Medio]]+TBL_CalcDarwin[[#This Row],[Expansión - Barra A - 5.2 - Mar]]</f>
        <v>2</v>
      </c>
      <c r="AT116" s="37">
        <f>TBL_CalcDarwin[[#This Row],[Expansión - Barra B - 5.2 - Cerro]]</f>
        <v>1</v>
      </c>
      <c r="AU11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16" s="29">
        <f>TBL_CalcDarwin[[#This Row],[Expansión - Barra B - 5.2 - Cerro]]*TBL_CalcDarwin[[#This Row],[AEG 5.2 MW Cerro]]</f>
        <v>0.98299999999999998</v>
      </c>
      <c r="AZ116" s="18"/>
      <c r="BA116" s="18"/>
      <c r="BB116" s="18"/>
      <c r="BC116" s="18"/>
      <c r="BD116" s="18"/>
      <c r="BE116" s="18"/>
      <c r="BF116" s="18"/>
    </row>
    <row r="117" spans="2:58" ht="12" x14ac:dyDescent="0.2">
      <c r="B117" s="55">
        <f t="shared" si="6"/>
        <v>45617.791666666395</v>
      </c>
      <c r="C117" s="17">
        <f t="shared" si="10"/>
        <v>4.7916666666666661</v>
      </c>
      <c r="D117" s="34">
        <f>TBL_CalcDarwin[[#This Row],[Darwin PLOM
MW]]+TBL_CalcDarwin[[#This Row],[Darwin PLOME
MW]]</f>
        <v>82.430999999999997</v>
      </c>
      <c r="E117" s="34">
        <f>TBL_CalcDarwin[[#This Row],[PLOM MW TOTAL BARRA A]]+TBL_CalcDarwin[[#This Row],[PLOM MW TOTAL BARRA B]]</f>
        <v>79.674999999999997</v>
      </c>
      <c r="F117" s="34">
        <f>TBL_CalcDarwin[[#This Row],[PLOME MW TOTAL BARRA A]]+TBL_CalcDarwin[[#This Row],[PLOME MW TOTAL BARRA B]]</f>
        <v>2.7560000000000002</v>
      </c>
      <c r="G117" s="48">
        <f>'Plantilla Datos'!D122</f>
        <v>5.8</v>
      </c>
      <c r="H117" s="48">
        <f>'Plantilla Datos'!E122</f>
        <v>7.4</v>
      </c>
      <c r="I117" s="49">
        <f>'Plantilla Datos'!F122</f>
        <v>17.7</v>
      </c>
      <c r="J117" s="47">
        <f>CEILING('Plantilla Datos'!$L$3*TBL_CalcDarwin[[#This Row],[Darwin Gusts
m/s]],0.5)</f>
        <v>5.5</v>
      </c>
      <c r="K117" s="47">
        <f>CEILING('Plantilla Datos'!$L$4*TBL_CalcDarwin[[#This Row],[Darwin Gusts
m/s]],0.5)</f>
        <v>6.5</v>
      </c>
      <c r="L117" s="47">
        <f>CEILING(TBL_CalcDarwin[[#This Row],[Darwin Gusts
m/s]],0.5)</f>
        <v>7.5</v>
      </c>
      <c r="M11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11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1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1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17" s="41">
        <f>INDEX(Curva_Temp[Temp],MATCH(TBL_CalcDarwin[[#This Row],[Darwin Temp.
°C]],Curva_Temp[Temp]))</f>
        <v>15</v>
      </c>
      <c r="R117" s="41">
        <f>INDEX(Curva_Temp[Warranted Power Curve for 
1.194Kg/m3 air density '[kW']
SG 5.0-145 (AM+1, 5.2MW) AT 
90M],MATCH(TBL_CalcDarwin[[#This Row],[Darwin Temp.
°C]],Curva_Temp[Temp]))</f>
        <v>5200</v>
      </c>
      <c r="S117" s="41" cm="1">
        <f t="array" ref="S117">INDEX(Curva_Temp[Temp],MATCH(TBL_CalcDarwin[[#This Row],[Darwin Temp.
°C]],Curva_Temp[Temp])+1)</f>
        <v>20</v>
      </c>
      <c r="T117" s="41" cm="1">
        <f t="array" ref="T117">INDEX(Curva_Temp[Warranted Power Curve for 
1.194Kg/m3 air density '[kW']
SG 5.0-145 (AM+1, 5.2MW) AT 
90M],MATCH(TBL_CalcDarwin[[#This Row],[Darwin Temp.
°C]],Curva_Temp[Temp])+1)</f>
        <v>5000</v>
      </c>
      <c r="U11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1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1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17" s="41">
        <f>INDEX(Curva_Temp[Temp],MATCH(TBL_CalcDarwin[[#This Row],[Darwin Temp.
°C]],Curva_Temp[Temp]))</f>
        <v>15</v>
      </c>
      <c r="Z117" s="41">
        <f>INDEX(Curva_Temp[Warranted Power Curve for 
1.194Kg/m3 air density '[kW']
SG 5.0-145 (AM 0, 5.0MW) AT 
90M],MATCH(TBL_CalcDarwin[[#This Row],[Darwin Temp.
°C]],Curva_Temp[Temp]))</f>
        <v>5000</v>
      </c>
      <c r="AA117" s="41" cm="1">
        <f t="array" ref="AA117">INDEX(Curva_Temp[Temp],MATCH(TBL_CalcDarwin[[#This Row],[Darwin Temp.
°C]],Curva_Temp[Temp])+1)</f>
        <v>20</v>
      </c>
      <c r="AB117" s="41" cm="1">
        <f t="array" ref="AB117">INDEX(Curva_Temp[Warranted Power Curve for 
1.194Kg/m3 air density '[kW']
SG 5.0-145 (AM 0, 5.0MW) AT 
90M],MATCH(TBL_CalcDarwin[[#This Row],[Darwin Temp.
°C]],Curva_Temp[Temp])+1)</f>
        <v>5000</v>
      </c>
      <c r="AC117" s="45">
        <f>HLOOKUP(TBL_CalcDarwin[[#This Row],[Fecha]],'Plantilla AEG ES'!$E$1:$HX$13,2,FALSE)</f>
        <v>5</v>
      </c>
      <c r="AD117" s="45">
        <f>HLOOKUP(TBL_CalcDarwin[[#This Row],[Fecha]],'Plantilla AEG ES'!$E$1:$HX$13,3,FALSE)</f>
        <v>8</v>
      </c>
      <c r="AE117" s="45">
        <f>HLOOKUP(TBL_CalcDarwin[[#This Row],[Fecha]],'Plantilla AEG ES'!$E$1:$HX$13,4,FALSE)</f>
        <v>12</v>
      </c>
      <c r="AF117" s="45">
        <f>HLOOKUP(TBL_CalcDarwin[[#This Row],[Fecha]],'Plantilla AEG ES'!$E$1:$HX$13,5,FALSE)</f>
        <v>1</v>
      </c>
      <c r="AG117" s="45">
        <f>HLOOKUP(TBL_CalcDarwin[[#This Row],[Fecha]],'Plantilla AEG ES'!$E$1:$HX$13,6,FALSE)</f>
        <v>1</v>
      </c>
      <c r="AH117" s="45">
        <f>HLOOKUP(TBL_CalcDarwin[[#This Row],[Fecha]],'Plantilla AEG ES'!$E$1:$HX$13,7,FALSE)</f>
        <v>0</v>
      </c>
      <c r="AI117" s="46">
        <f>HLOOKUP(TBL_CalcDarwin[[#This Row],[Fecha]],'Plantilla AEG ES'!$E$1:$HX$13,8,FALSE)</f>
        <v>0</v>
      </c>
      <c r="AJ117" s="46">
        <f>HLOOKUP(TBL_CalcDarwin[[#This Row],[Fecha]],'Plantilla AEG ES'!$E$1:$HX$13,9,FALSE)</f>
        <v>3</v>
      </c>
      <c r="AK117" s="46">
        <f>HLOOKUP(TBL_CalcDarwin[[#This Row],[Fecha]],'Plantilla AEG ES'!$E$1:$HX$13,10,FALSE)</f>
        <v>12</v>
      </c>
      <c r="AL117" s="46">
        <f>HLOOKUP(TBL_CalcDarwin[[#This Row],[Fecha]],'Plantilla AEG ES'!$E$1:$HX$13,11,FALSE)</f>
        <v>1</v>
      </c>
      <c r="AM117" s="46">
        <f>HLOOKUP(TBL_CalcDarwin[[#This Row],[Fecha]],'Plantilla AEG ES'!$E$1:$HX$13,12,FALSE)</f>
        <v>7</v>
      </c>
      <c r="AN117" s="46">
        <f>HLOOKUP(TBL_CalcDarwin[[#This Row],[Fecha]],'Plantilla AEG ES'!$E$1:$HX$13,13,FALSE)</f>
        <v>1</v>
      </c>
      <c r="AO117" s="37">
        <f>TBL_CalcDarwin[[#This Row],[Lomitas - Barra A - 5.2 - Cerro]]+TBL_CalcDarwin[[#This Row],[Lomitas - Barra A - 5.2 - Medio]]+TBL_CalcDarwin[[#This Row],[Lomitas - Barra A - 5.2 - Mar]]</f>
        <v>25</v>
      </c>
      <c r="AP1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1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17" s="37">
        <f>TBL_CalcDarwin[[#This Row],[Expansión - Barra A - 5.2 - Cerro]]+TBL_CalcDarwin[[#This Row],[Expansión - Barra A - 5.2 - Medio]]+TBL_CalcDarwin[[#This Row],[Expansión - Barra A - 5.2 - Mar]]</f>
        <v>2</v>
      </c>
      <c r="AT117" s="37">
        <f>TBL_CalcDarwin[[#This Row],[Expansión - Barra B - 5.2 - Cerro]]</f>
        <v>1</v>
      </c>
      <c r="AU11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17" s="29">
        <f>TBL_CalcDarwin[[#This Row],[Expansión - Barra B - 5.2 - Cerro]]*TBL_CalcDarwin[[#This Row],[AEG 5.2 MW Cerro]]</f>
        <v>0.745</v>
      </c>
      <c r="AZ117" s="18"/>
      <c r="BA117" s="18"/>
      <c r="BB117" s="18"/>
      <c r="BC117" s="18"/>
      <c r="BD117" s="18"/>
      <c r="BE117" s="18"/>
      <c r="BF117" s="18"/>
    </row>
    <row r="118" spans="2:58" ht="12" x14ac:dyDescent="0.2">
      <c r="B118" s="55">
        <f t="shared" si="6"/>
        <v>45617.833333333059</v>
      </c>
      <c r="C118" s="17">
        <f t="shared" si="10"/>
        <v>4.833333333333333</v>
      </c>
      <c r="D118" s="34">
        <f>TBL_CalcDarwin[[#This Row],[Darwin PLOM
MW]]+TBL_CalcDarwin[[#This Row],[Darwin PLOME
MW]]</f>
        <v>82.430999999999997</v>
      </c>
      <c r="E118" s="34">
        <f>TBL_CalcDarwin[[#This Row],[PLOM MW TOTAL BARRA A]]+TBL_CalcDarwin[[#This Row],[PLOM MW TOTAL BARRA B]]</f>
        <v>79.674999999999997</v>
      </c>
      <c r="F118" s="34">
        <f>TBL_CalcDarwin[[#This Row],[PLOME MW TOTAL BARRA A]]+TBL_CalcDarwin[[#This Row],[PLOME MW TOTAL BARRA B]]</f>
        <v>2.7560000000000002</v>
      </c>
      <c r="G118" s="48">
        <f>'Plantilla Datos'!D123</f>
        <v>5.7</v>
      </c>
      <c r="H118" s="48">
        <f>'Plantilla Datos'!E123</f>
        <v>7.2</v>
      </c>
      <c r="I118" s="49">
        <f>'Plantilla Datos'!F123</f>
        <v>17.5</v>
      </c>
      <c r="J118" s="47">
        <f>CEILING('Plantilla Datos'!$L$3*TBL_CalcDarwin[[#This Row],[Darwin Gusts
m/s]],0.5)</f>
        <v>5.5</v>
      </c>
      <c r="K118" s="47">
        <f>CEILING('Plantilla Datos'!$L$4*TBL_CalcDarwin[[#This Row],[Darwin Gusts
m/s]],0.5)</f>
        <v>6.5</v>
      </c>
      <c r="L118" s="47">
        <f>CEILING(TBL_CalcDarwin[[#This Row],[Darwin Gusts
m/s]],0.5)</f>
        <v>7.5</v>
      </c>
      <c r="M11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11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1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1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18" s="41">
        <f>INDEX(Curva_Temp[Temp],MATCH(TBL_CalcDarwin[[#This Row],[Darwin Temp.
°C]],Curva_Temp[Temp]))</f>
        <v>15</v>
      </c>
      <c r="R118" s="41">
        <f>INDEX(Curva_Temp[Warranted Power Curve for 
1.194Kg/m3 air density '[kW']
SG 5.0-145 (AM+1, 5.2MW) AT 
90M],MATCH(TBL_CalcDarwin[[#This Row],[Darwin Temp.
°C]],Curva_Temp[Temp]))</f>
        <v>5200</v>
      </c>
      <c r="S118" s="41" cm="1">
        <f t="array" ref="S118">INDEX(Curva_Temp[Temp],MATCH(TBL_CalcDarwin[[#This Row],[Darwin Temp.
°C]],Curva_Temp[Temp])+1)</f>
        <v>20</v>
      </c>
      <c r="T118" s="41" cm="1">
        <f t="array" ref="T118">INDEX(Curva_Temp[Warranted Power Curve for 
1.194Kg/m3 air density '[kW']
SG 5.0-145 (AM+1, 5.2MW) AT 
90M],MATCH(TBL_CalcDarwin[[#This Row],[Darwin Temp.
°C]],Curva_Temp[Temp])+1)</f>
        <v>5000</v>
      </c>
      <c r="U11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1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1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18" s="41">
        <f>INDEX(Curva_Temp[Temp],MATCH(TBL_CalcDarwin[[#This Row],[Darwin Temp.
°C]],Curva_Temp[Temp]))</f>
        <v>15</v>
      </c>
      <c r="Z118" s="41">
        <f>INDEX(Curva_Temp[Warranted Power Curve for 
1.194Kg/m3 air density '[kW']
SG 5.0-145 (AM 0, 5.0MW) AT 
90M],MATCH(TBL_CalcDarwin[[#This Row],[Darwin Temp.
°C]],Curva_Temp[Temp]))</f>
        <v>5000</v>
      </c>
      <c r="AA118" s="41" cm="1">
        <f t="array" ref="AA118">INDEX(Curva_Temp[Temp],MATCH(TBL_CalcDarwin[[#This Row],[Darwin Temp.
°C]],Curva_Temp[Temp])+1)</f>
        <v>20</v>
      </c>
      <c r="AB118" s="41" cm="1">
        <f t="array" ref="AB118">INDEX(Curva_Temp[Warranted Power Curve for 
1.194Kg/m3 air density '[kW']
SG 5.0-145 (AM 0, 5.0MW) AT 
90M],MATCH(TBL_CalcDarwin[[#This Row],[Darwin Temp.
°C]],Curva_Temp[Temp])+1)</f>
        <v>5000</v>
      </c>
      <c r="AC118" s="45">
        <f>HLOOKUP(TBL_CalcDarwin[[#This Row],[Fecha]],'Plantilla AEG ES'!$E$1:$HX$13,2,FALSE)</f>
        <v>5</v>
      </c>
      <c r="AD118" s="45">
        <f>HLOOKUP(TBL_CalcDarwin[[#This Row],[Fecha]],'Plantilla AEG ES'!$E$1:$HX$13,3,FALSE)</f>
        <v>8</v>
      </c>
      <c r="AE118" s="45">
        <f>HLOOKUP(TBL_CalcDarwin[[#This Row],[Fecha]],'Plantilla AEG ES'!$E$1:$HX$13,4,FALSE)</f>
        <v>12</v>
      </c>
      <c r="AF118" s="45">
        <f>HLOOKUP(TBL_CalcDarwin[[#This Row],[Fecha]],'Plantilla AEG ES'!$E$1:$HX$13,5,FALSE)</f>
        <v>1</v>
      </c>
      <c r="AG118" s="45">
        <f>HLOOKUP(TBL_CalcDarwin[[#This Row],[Fecha]],'Plantilla AEG ES'!$E$1:$HX$13,6,FALSE)</f>
        <v>1</v>
      </c>
      <c r="AH118" s="45">
        <f>HLOOKUP(TBL_CalcDarwin[[#This Row],[Fecha]],'Plantilla AEG ES'!$E$1:$HX$13,7,FALSE)</f>
        <v>0</v>
      </c>
      <c r="AI118" s="46">
        <f>HLOOKUP(TBL_CalcDarwin[[#This Row],[Fecha]],'Plantilla AEG ES'!$E$1:$HX$13,8,FALSE)</f>
        <v>0</v>
      </c>
      <c r="AJ118" s="46">
        <f>HLOOKUP(TBL_CalcDarwin[[#This Row],[Fecha]],'Plantilla AEG ES'!$E$1:$HX$13,9,FALSE)</f>
        <v>3</v>
      </c>
      <c r="AK118" s="46">
        <f>HLOOKUP(TBL_CalcDarwin[[#This Row],[Fecha]],'Plantilla AEG ES'!$E$1:$HX$13,10,FALSE)</f>
        <v>12</v>
      </c>
      <c r="AL118" s="46">
        <f>HLOOKUP(TBL_CalcDarwin[[#This Row],[Fecha]],'Plantilla AEG ES'!$E$1:$HX$13,11,FALSE)</f>
        <v>1</v>
      </c>
      <c r="AM118" s="46">
        <f>HLOOKUP(TBL_CalcDarwin[[#This Row],[Fecha]],'Plantilla AEG ES'!$E$1:$HX$13,12,FALSE)</f>
        <v>7</v>
      </c>
      <c r="AN118" s="46">
        <f>HLOOKUP(TBL_CalcDarwin[[#This Row],[Fecha]],'Plantilla AEG ES'!$E$1:$HX$13,13,FALSE)</f>
        <v>1</v>
      </c>
      <c r="AO118" s="37">
        <f>TBL_CalcDarwin[[#This Row],[Lomitas - Barra A - 5.2 - Cerro]]+TBL_CalcDarwin[[#This Row],[Lomitas - Barra A - 5.2 - Medio]]+TBL_CalcDarwin[[#This Row],[Lomitas - Barra A - 5.2 - Mar]]</f>
        <v>25</v>
      </c>
      <c r="AP1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1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18" s="37">
        <f>TBL_CalcDarwin[[#This Row],[Expansión - Barra A - 5.2 - Cerro]]+TBL_CalcDarwin[[#This Row],[Expansión - Barra A - 5.2 - Medio]]+TBL_CalcDarwin[[#This Row],[Expansión - Barra A - 5.2 - Mar]]</f>
        <v>2</v>
      </c>
      <c r="AT118" s="37">
        <f>TBL_CalcDarwin[[#This Row],[Expansión - Barra B - 5.2 - Cerro]]</f>
        <v>1</v>
      </c>
      <c r="AU11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18" s="29">
        <f>TBL_CalcDarwin[[#This Row],[Expansión - Barra B - 5.2 - Cerro]]*TBL_CalcDarwin[[#This Row],[AEG 5.2 MW Cerro]]</f>
        <v>0.745</v>
      </c>
      <c r="AZ118" s="18"/>
      <c r="BA118" s="18"/>
      <c r="BB118" s="18"/>
      <c r="BC118" s="18"/>
      <c r="BD118" s="18"/>
      <c r="BE118" s="18"/>
      <c r="BF118" s="18"/>
    </row>
    <row r="119" spans="2:58" ht="12" x14ac:dyDescent="0.2">
      <c r="B119" s="55">
        <f t="shared" si="6"/>
        <v>45617.874999999724</v>
      </c>
      <c r="C119" s="17">
        <f>C118+TIME(1,0,0)</f>
        <v>4.875</v>
      </c>
      <c r="D119" s="34">
        <f>TBL_CalcDarwin[[#This Row],[Darwin PLOM
MW]]+TBL_CalcDarwin[[#This Row],[Darwin PLOME
MW]]</f>
        <v>82.430999999999997</v>
      </c>
      <c r="E119" s="34">
        <f>TBL_CalcDarwin[[#This Row],[PLOM MW TOTAL BARRA A]]+TBL_CalcDarwin[[#This Row],[PLOM MW TOTAL BARRA B]]</f>
        <v>79.674999999999997</v>
      </c>
      <c r="F119" s="34">
        <f>TBL_CalcDarwin[[#This Row],[PLOME MW TOTAL BARRA A]]+TBL_CalcDarwin[[#This Row],[PLOME MW TOTAL BARRA B]]</f>
        <v>2.7560000000000002</v>
      </c>
      <c r="G119" s="48">
        <f>'Plantilla Datos'!D124</f>
        <v>5.5</v>
      </c>
      <c r="H119" s="48">
        <f>'Plantilla Datos'!E124</f>
        <v>7.1</v>
      </c>
      <c r="I119" s="49">
        <f>'Plantilla Datos'!F124</f>
        <v>17.399999999999999</v>
      </c>
      <c r="J119" s="47">
        <f>CEILING('Plantilla Datos'!$L$3*TBL_CalcDarwin[[#This Row],[Darwin Gusts
m/s]],0.5)</f>
        <v>5.5</v>
      </c>
      <c r="K119" s="47">
        <f>CEILING('Plantilla Datos'!$L$4*TBL_CalcDarwin[[#This Row],[Darwin Gusts
m/s]],0.5)</f>
        <v>6.5</v>
      </c>
      <c r="L119" s="47">
        <f>CEILING(TBL_CalcDarwin[[#This Row],[Darwin Gusts
m/s]],0.5)</f>
        <v>7.5</v>
      </c>
      <c r="M11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11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1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1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19" s="41">
        <f>INDEX(Curva_Temp[Temp],MATCH(TBL_CalcDarwin[[#This Row],[Darwin Temp.
°C]],Curva_Temp[Temp]))</f>
        <v>15</v>
      </c>
      <c r="R119" s="41">
        <f>INDEX(Curva_Temp[Warranted Power Curve for 
1.194Kg/m3 air density '[kW']
SG 5.0-145 (AM+1, 5.2MW) AT 
90M],MATCH(TBL_CalcDarwin[[#This Row],[Darwin Temp.
°C]],Curva_Temp[Temp]))</f>
        <v>5200</v>
      </c>
      <c r="S119" s="41" cm="1">
        <f t="array" ref="S119">INDEX(Curva_Temp[Temp],MATCH(TBL_CalcDarwin[[#This Row],[Darwin Temp.
°C]],Curva_Temp[Temp])+1)</f>
        <v>20</v>
      </c>
      <c r="T119" s="41" cm="1">
        <f t="array" ref="T119">INDEX(Curva_Temp[Warranted Power Curve for 
1.194Kg/m3 air density '[kW']
SG 5.0-145 (AM+1, 5.2MW) AT 
90M],MATCH(TBL_CalcDarwin[[#This Row],[Darwin Temp.
°C]],Curva_Temp[Temp])+1)</f>
        <v>5000</v>
      </c>
      <c r="U11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1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1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19" s="41">
        <f>INDEX(Curva_Temp[Temp],MATCH(TBL_CalcDarwin[[#This Row],[Darwin Temp.
°C]],Curva_Temp[Temp]))</f>
        <v>15</v>
      </c>
      <c r="Z119" s="41">
        <f>INDEX(Curva_Temp[Warranted Power Curve for 
1.194Kg/m3 air density '[kW']
SG 5.0-145 (AM 0, 5.0MW) AT 
90M],MATCH(TBL_CalcDarwin[[#This Row],[Darwin Temp.
°C]],Curva_Temp[Temp]))</f>
        <v>5000</v>
      </c>
      <c r="AA119" s="41" cm="1">
        <f t="array" ref="AA119">INDEX(Curva_Temp[Temp],MATCH(TBL_CalcDarwin[[#This Row],[Darwin Temp.
°C]],Curva_Temp[Temp])+1)</f>
        <v>20</v>
      </c>
      <c r="AB119" s="41" cm="1">
        <f t="array" ref="AB119">INDEX(Curva_Temp[Warranted Power Curve for 
1.194Kg/m3 air density '[kW']
SG 5.0-145 (AM 0, 5.0MW) AT 
90M],MATCH(TBL_CalcDarwin[[#This Row],[Darwin Temp.
°C]],Curva_Temp[Temp])+1)</f>
        <v>5000</v>
      </c>
      <c r="AC119" s="45">
        <f>HLOOKUP(TBL_CalcDarwin[[#This Row],[Fecha]],'Plantilla AEG ES'!$E$1:$HX$13,2,FALSE)</f>
        <v>5</v>
      </c>
      <c r="AD119" s="45">
        <f>HLOOKUP(TBL_CalcDarwin[[#This Row],[Fecha]],'Plantilla AEG ES'!$E$1:$HX$13,3,FALSE)</f>
        <v>8</v>
      </c>
      <c r="AE119" s="45">
        <f>HLOOKUP(TBL_CalcDarwin[[#This Row],[Fecha]],'Plantilla AEG ES'!$E$1:$HX$13,4,FALSE)</f>
        <v>12</v>
      </c>
      <c r="AF119" s="45">
        <f>HLOOKUP(TBL_CalcDarwin[[#This Row],[Fecha]],'Plantilla AEG ES'!$E$1:$HX$13,5,FALSE)</f>
        <v>1</v>
      </c>
      <c r="AG119" s="45">
        <f>HLOOKUP(TBL_CalcDarwin[[#This Row],[Fecha]],'Plantilla AEG ES'!$E$1:$HX$13,6,FALSE)</f>
        <v>1</v>
      </c>
      <c r="AH119" s="45">
        <f>HLOOKUP(TBL_CalcDarwin[[#This Row],[Fecha]],'Plantilla AEG ES'!$E$1:$HX$13,7,FALSE)</f>
        <v>0</v>
      </c>
      <c r="AI119" s="46">
        <f>HLOOKUP(TBL_CalcDarwin[[#This Row],[Fecha]],'Plantilla AEG ES'!$E$1:$HX$13,8,FALSE)</f>
        <v>0</v>
      </c>
      <c r="AJ119" s="46">
        <f>HLOOKUP(TBL_CalcDarwin[[#This Row],[Fecha]],'Plantilla AEG ES'!$E$1:$HX$13,9,FALSE)</f>
        <v>3</v>
      </c>
      <c r="AK119" s="46">
        <f>HLOOKUP(TBL_CalcDarwin[[#This Row],[Fecha]],'Plantilla AEG ES'!$E$1:$HX$13,10,FALSE)</f>
        <v>12</v>
      </c>
      <c r="AL119" s="46">
        <f>HLOOKUP(TBL_CalcDarwin[[#This Row],[Fecha]],'Plantilla AEG ES'!$E$1:$HX$13,11,FALSE)</f>
        <v>1</v>
      </c>
      <c r="AM119" s="46">
        <f>HLOOKUP(TBL_CalcDarwin[[#This Row],[Fecha]],'Plantilla AEG ES'!$E$1:$HX$13,12,FALSE)</f>
        <v>7</v>
      </c>
      <c r="AN119" s="46">
        <f>HLOOKUP(TBL_CalcDarwin[[#This Row],[Fecha]],'Plantilla AEG ES'!$E$1:$HX$13,13,FALSE)</f>
        <v>1</v>
      </c>
      <c r="AO119" s="37">
        <f>TBL_CalcDarwin[[#This Row],[Lomitas - Barra A - 5.2 - Cerro]]+TBL_CalcDarwin[[#This Row],[Lomitas - Barra A - 5.2 - Medio]]+TBL_CalcDarwin[[#This Row],[Lomitas - Barra A - 5.2 - Mar]]</f>
        <v>25</v>
      </c>
      <c r="AP1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1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19" s="37">
        <f>TBL_CalcDarwin[[#This Row],[Expansión - Barra A - 5.2 - Cerro]]+TBL_CalcDarwin[[#This Row],[Expansión - Barra A - 5.2 - Medio]]+TBL_CalcDarwin[[#This Row],[Expansión - Barra A - 5.2 - Mar]]</f>
        <v>2</v>
      </c>
      <c r="AT119" s="37">
        <f>TBL_CalcDarwin[[#This Row],[Expansión - Barra B - 5.2 - Cerro]]</f>
        <v>1</v>
      </c>
      <c r="AU11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19" s="29">
        <f>TBL_CalcDarwin[[#This Row],[Expansión - Barra B - 5.2 - Cerro]]*TBL_CalcDarwin[[#This Row],[AEG 5.2 MW Cerro]]</f>
        <v>0.745</v>
      </c>
      <c r="AZ119" s="18"/>
      <c r="BA119" s="18"/>
      <c r="BB119" s="18"/>
      <c r="BC119" s="18"/>
      <c r="BD119" s="18"/>
      <c r="BE119" s="18"/>
      <c r="BF119" s="18"/>
    </row>
    <row r="120" spans="2:58" ht="12" x14ac:dyDescent="0.2">
      <c r="B120" s="55">
        <f t="shared" si="6"/>
        <v>45617.916666666388</v>
      </c>
      <c r="C120" s="17">
        <f t="shared" ref="C120:C124" si="11">C119+TIME(1,0,0)</f>
        <v>4.916666666666667</v>
      </c>
      <c r="D120" s="34">
        <f>TBL_CalcDarwin[[#This Row],[Darwin PLOM
MW]]+TBL_CalcDarwin[[#This Row],[Darwin PLOME
MW]]</f>
        <v>65.656999999999996</v>
      </c>
      <c r="E120" s="34">
        <f>TBL_CalcDarwin[[#This Row],[PLOM MW TOTAL BARRA A]]+TBL_CalcDarwin[[#This Row],[PLOM MW TOTAL BARRA B]]</f>
        <v>63.58</v>
      </c>
      <c r="F120" s="34">
        <f>TBL_CalcDarwin[[#This Row],[PLOME MW TOTAL BARRA A]]+TBL_CalcDarwin[[#This Row],[PLOME MW TOTAL BARRA B]]</f>
        <v>2.077</v>
      </c>
      <c r="G120" s="48">
        <f>'Plantilla Datos'!D125</f>
        <v>5.4</v>
      </c>
      <c r="H120" s="48">
        <f>'Plantilla Datos'!E125</f>
        <v>6.9</v>
      </c>
      <c r="I120" s="49">
        <f>'Plantilla Datos'!F125</f>
        <v>17.3</v>
      </c>
      <c r="J120" s="47">
        <f>CEILING('Plantilla Datos'!$L$3*TBL_CalcDarwin[[#This Row],[Darwin Gusts
m/s]],0.5)</f>
        <v>5</v>
      </c>
      <c r="K120" s="47">
        <f>CEILING('Plantilla Datos'!$L$4*TBL_CalcDarwin[[#This Row],[Darwin Gusts
m/s]],0.5)</f>
        <v>6</v>
      </c>
      <c r="L120" s="47">
        <f>CEILING(TBL_CalcDarwin[[#This Row],[Darwin Gusts
m/s]],0.5)</f>
        <v>7</v>
      </c>
      <c r="M12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12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2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2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20" s="41">
        <f>INDEX(Curva_Temp[Temp],MATCH(TBL_CalcDarwin[[#This Row],[Darwin Temp.
°C]],Curva_Temp[Temp]))</f>
        <v>15</v>
      </c>
      <c r="R120" s="41">
        <f>INDEX(Curva_Temp[Warranted Power Curve for 
1.194Kg/m3 air density '[kW']
SG 5.0-145 (AM+1, 5.2MW) AT 
90M],MATCH(TBL_CalcDarwin[[#This Row],[Darwin Temp.
°C]],Curva_Temp[Temp]))</f>
        <v>5200</v>
      </c>
      <c r="S120" s="41" cm="1">
        <f t="array" ref="S120">INDEX(Curva_Temp[Temp],MATCH(TBL_CalcDarwin[[#This Row],[Darwin Temp.
°C]],Curva_Temp[Temp])+1)</f>
        <v>20</v>
      </c>
      <c r="T120" s="41" cm="1">
        <f t="array" ref="T120">INDEX(Curva_Temp[Warranted Power Curve for 
1.194Kg/m3 air density '[kW']
SG 5.0-145 (AM+1, 5.2MW) AT 
90M],MATCH(TBL_CalcDarwin[[#This Row],[Darwin Temp.
°C]],Curva_Temp[Temp])+1)</f>
        <v>5000</v>
      </c>
      <c r="U12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2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2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20" s="41">
        <f>INDEX(Curva_Temp[Temp],MATCH(TBL_CalcDarwin[[#This Row],[Darwin Temp.
°C]],Curva_Temp[Temp]))</f>
        <v>15</v>
      </c>
      <c r="Z120" s="41">
        <f>INDEX(Curva_Temp[Warranted Power Curve for 
1.194Kg/m3 air density '[kW']
SG 5.0-145 (AM 0, 5.0MW) AT 
90M],MATCH(TBL_CalcDarwin[[#This Row],[Darwin Temp.
°C]],Curva_Temp[Temp]))</f>
        <v>5000</v>
      </c>
      <c r="AA120" s="41" cm="1">
        <f t="array" ref="AA120">INDEX(Curva_Temp[Temp],MATCH(TBL_CalcDarwin[[#This Row],[Darwin Temp.
°C]],Curva_Temp[Temp])+1)</f>
        <v>20</v>
      </c>
      <c r="AB120" s="41" cm="1">
        <f t="array" ref="AB120">INDEX(Curva_Temp[Warranted Power Curve for 
1.194Kg/m3 air density '[kW']
SG 5.0-145 (AM 0, 5.0MW) AT 
90M],MATCH(TBL_CalcDarwin[[#This Row],[Darwin Temp.
°C]],Curva_Temp[Temp])+1)</f>
        <v>5000</v>
      </c>
      <c r="AC120" s="45">
        <f>HLOOKUP(TBL_CalcDarwin[[#This Row],[Fecha]],'Plantilla AEG ES'!$E$1:$HX$13,2,FALSE)</f>
        <v>5</v>
      </c>
      <c r="AD120" s="45">
        <f>HLOOKUP(TBL_CalcDarwin[[#This Row],[Fecha]],'Plantilla AEG ES'!$E$1:$HX$13,3,FALSE)</f>
        <v>8</v>
      </c>
      <c r="AE120" s="45">
        <f>HLOOKUP(TBL_CalcDarwin[[#This Row],[Fecha]],'Plantilla AEG ES'!$E$1:$HX$13,4,FALSE)</f>
        <v>12</v>
      </c>
      <c r="AF120" s="45">
        <f>HLOOKUP(TBL_CalcDarwin[[#This Row],[Fecha]],'Plantilla AEG ES'!$E$1:$HX$13,5,FALSE)</f>
        <v>1</v>
      </c>
      <c r="AG120" s="45">
        <f>HLOOKUP(TBL_CalcDarwin[[#This Row],[Fecha]],'Plantilla AEG ES'!$E$1:$HX$13,6,FALSE)</f>
        <v>1</v>
      </c>
      <c r="AH120" s="45">
        <f>HLOOKUP(TBL_CalcDarwin[[#This Row],[Fecha]],'Plantilla AEG ES'!$E$1:$HX$13,7,FALSE)</f>
        <v>0</v>
      </c>
      <c r="AI120" s="46">
        <f>HLOOKUP(TBL_CalcDarwin[[#This Row],[Fecha]],'Plantilla AEG ES'!$E$1:$HX$13,8,FALSE)</f>
        <v>0</v>
      </c>
      <c r="AJ120" s="46">
        <f>HLOOKUP(TBL_CalcDarwin[[#This Row],[Fecha]],'Plantilla AEG ES'!$E$1:$HX$13,9,FALSE)</f>
        <v>3</v>
      </c>
      <c r="AK120" s="46">
        <f>HLOOKUP(TBL_CalcDarwin[[#This Row],[Fecha]],'Plantilla AEG ES'!$E$1:$HX$13,10,FALSE)</f>
        <v>12</v>
      </c>
      <c r="AL120" s="46">
        <f>HLOOKUP(TBL_CalcDarwin[[#This Row],[Fecha]],'Plantilla AEG ES'!$E$1:$HX$13,11,FALSE)</f>
        <v>1</v>
      </c>
      <c r="AM120" s="46">
        <f>HLOOKUP(TBL_CalcDarwin[[#This Row],[Fecha]],'Plantilla AEG ES'!$E$1:$HX$13,12,FALSE)</f>
        <v>7</v>
      </c>
      <c r="AN120" s="46">
        <f>HLOOKUP(TBL_CalcDarwin[[#This Row],[Fecha]],'Plantilla AEG ES'!$E$1:$HX$13,13,FALSE)</f>
        <v>1</v>
      </c>
      <c r="AO120" s="37">
        <f>TBL_CalcDarwin[[#This Row],[Lomitas - Barra A - 5.2 - Cerro]]+TBL_CalcDarwin[[#This Row],[Lomitas - Barra A - 5.2 - Medio]]+TBL_CalcDarwin[[#This Row],[Lomitas - Barra A - 5.2 - Mar]]</f>
        <v>25</v>
      </c>
      <c r="AP1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12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20" s="37">
        <f>TBL_CalcDarwin[[#This Row],[Expansión - Barra A - 5.2 - Cerro]]+TBL_CalcDarwin[[#This Row],[Expansión - Barra A - 5.2 - Medio]]+TBL_CalcDarwin[[#This Row],[Expansión - Barra A - 5.2 - Mar]]</f>
        <v>2</v>
      </c>
      <c r="AT120" s="37">
        <f>TBL_CalcDarwin[[#This Row],[Expansión - Barra B - 5.2 - Cerro]]</f>
        <v>1</v>
      </c>
      <c r="AU12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20" s="29">
        <f>TBL_CalcDarwin[[#This Row],[Expansión - Barra B - 5.2 - Cerro]]*TBL_CalcDarwin[[#This Row],[AEG 5.2 MW Cerro]]</f>
        <v>0.54700000000000004</v>
      </c>
      <c r="AZ120" s="18"/>
      <c r="BA120" s="18"/>
      <c r="BB120" s="18"/>
      <c r="BC120" s="18"/>
      <c r="BD120" s="18"/>
      <c r="BE120" s="18"/>
      <c r="BF120" s="18"/>
    </row>
    <row r="121" spans="2:58" ht="12" x14ac:dyDescent="0.2">
      <c r="B121" s="55">
        <f t="shared" si="6"/>
        <v>45617.958333333052</v>
      </c>
      <c r="C121" s="17">
        <f t="shared" si="11"/>
        <v>4.9583333333333339</v>
      </c>
      <c r="D121" s="34">
        <f>TBL_CalcDarwin[[#This Row],[Darwin PLOM
MW]]+TBL_CalcDarwin[[#This Row],[Darwin PLOME
MW]]</f>
        <v>65.656999999999996</v>
      </c>
      <c r="E121" s="34">
        <f>TBL_CalcDarwin[[#This Row],[PLOM MW TOTAL BARRA A]]+TBL_CalcDarwin[[#This Row],[PLOM MW TOTAL BARRA B]]</f>
        <v>63.58</v>
      </c>
      <c r="F121" s="34">
        <f>TBL_CalcDarwin[[#This Row],[PLOME MW TOTAL BARRA A]]+TBL_CalcDarwin[[#This Row],[PLOME MW TOTAL BARRA B]]</f>
        <v>2.077</v>
      </c>
      <c r="G121" s="48">
        <f>'Plantilla Datos'!D126</f>
        <v>5.3</v>
      </c>
      <c r="H121" s="48">
        <f>'Plantilla Datos'!E126</f>
        <v>6.7</v>
      </c>
      <c r="I121" s="49">
        <f>'Plantilla Datos'!F126</f>
        <v>17.2</v>
      </c>
      <c r="J121" s="47">
        <f>CEILING('Plantilla Datos'!$L$3*TBL_CalcDarwin[[#This Row],[Darwin Gusts
m/s]],0.5)</f>
        <v>5</v>
      </c>
      <c r="K121" s="47">
        <f>CEILING('Plantilla Datos'!$L$4*TBL_CalcDarwin[[#This Row],[Darwin Gusts
m/s]],0.5)</f>
        <v>6</v>
      </c>
      <c r="L121" s="47">
        <f>CEILING(TBL_CalcDarwin[[#This Row],[Darwin Gusts
m/s]],0.5)</f>
        <v>7</v>
      </c>
      <c r="M12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12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2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2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21" s="41">
        <f>INDEX(Curva_Temp[Temp],MATCH(TBL_CalcDarwin[[#This Row],[Darwin Temp.
°C]],Curva_Temp[Temp]))</f>
        <v>15</v>
      </c>
      <c r="R121" s="41">
        <f>INDEX(Curva_Temp[Warranted Power Curve for 
1.194Kg/m3 air density '[kW']
SG 5.0-145 (AM+1, 5.2MW) AT 
90M],MATCH(TBL_CalcDarwin[[#This Row],[Darwin Temp.
°C]],Curva_Temp[Temp]))</f>
        <v>5200</v>
      </c>
      <c r="S121" s="41" cm="1">
        <f t="array" ref="S121">INDEX(Curva_Temp[Temp],MATCH(TBL_CalcDarwin[[#This Row],[Darwin Temp.
°C]],Curva_Temp[Temp])+1)</f>
        <v>20</v>
      </c>
      <c r="T121" s="41" cm="1">
        <f t="array" ref="T121">INDEX(Curva_Temp[Warranted Power Curve for 
1.194Kg/m3 air density '[kW']
SG 5.0-145 (AM+1, 5.2MW) AT 
90M],MATCH(TBL_CalcDarwin[[#This Row],[Darwin Temp.
°C]],Curva_Temp[Temp])+1)</f>
        <v>5000</v>
      </c>
      <c r="U12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2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2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21" s="41">
        <f>INDEX(Curva_Temp[Temp],MATCH(TBL_CalcDarwin[[#This Row],[Darwin Temp.
°C]],Curva_Temp[Temp]))</f>
        <v>15</v>
      </c>
      <c r="Z121" s="41">
        <f>INDEX(Curva_Temp[Warranted Power Curve for 
1.194Kg/m3 air density '[kW']
SG 5.0-145 (AM 0, 5.0MW) AT 
90M],MATCH(TBL_CalcDarwin[[#This Row],[Darwin Temp.
°C]],Curva_Temp[Temp]))</f>
        <v>5000</v>
      </c>
      <c r="AA121" s="41" cm="1">
        <f t="array" ref="AA121">INDEX(Curva_Temp[Temp],MATCH(TBL_CalcDarwin[[#This Row],[Darwin Temp.
°C]],Curva_Temp[Temp])+1)</f>
        <v>20</v>
      </c>
      <c r="AB121" s="41" cm="1">
        <f t="array" ref="AB121">INDEX(Curva_Temp[Warranted Power Curve for 
1.194Kg/m3 air density '[kW']
SG 5.0-145 (AM 0, 5.0MW) AT 
90M],MATCH(TBL_CalcDarwin[[#This Row],[Darwin Temp.
°C]],Curva_Temp[Temp])+1)</f>
        <v>5000</v>
      </c>
      <c r="AC121" s="45">
        <f>HLOOKUP(TBL_CalcDarwin[[#This Row],[Fecha]],'Plantilla AEG ES'!$E$1:$HX$13,2,FALSE)</f>
        <v>5</v>
      </c>
      <c r="AD121" s="45">
        <f>HLOOKUP(TBL_CalcDarwin[[#This Row],[Fecha]],'Plantilla AEG ES'!$E$1:$HX$13,3,FALSE)</f>
        <v>8</v>
      </c>
      <c r="AE121" s="45">
        <f>HLOOKUP(TBL_CalcDarwin[[#This Row],[Fecha]],'Plantilla AEG ES'!$E$1:$HX$13,4,FALSE)</f>
        <v>12</v>
      </c>
      <c r="AF121" s="45">
        <f>HLOOKUP(TBL_CalcDarwin[[#This Row],[Fecha]],'Plantilla AEG ES'!$E$1:$HX$13,5,FALSE)</f>
        <v>1</v>
      </c>
      <c r="AG121" s="45">
        <f>HLOOKUP(TBL_CalcDarwin[[#This Row],[Fecha]],'Plantilla AEG ES'!$E$1:$HX$13,6,FALSE)</f>
        <v>1</v>
      </c>
      <c r="AH121" s="45">
        <f>HLOOKUP(TBL_CalcDarwin[[#This Row],[Fecha]],'Plantilla AEG ES'!$E$1:$HX$13,7,FALSE)</f>
        <v>0</v>
      </c>
      <c r="AI121" s="46">
        <f>HLOOKUP(TBL_CalcDarwin[[#This Row],[Fecha]],'Plantilla AEG ES'!$E$1:$HX$13,8,FALSE)</f>
        <v>0</v>
      </c>
      <c r="AJ121" s="46">
        <f>HLOOKUP(TBL_CalcDarwin[[#This Row],[Fecha]],'Plantilla AEG ES'!$E$1:$HX$13,9,FALSE)</f>
        <v>3</v>
      </c>
      <c r="AK121" s="46">
        <f>HLOOKUP(TBL_CalcDarwin[[#This Row],[Fecha]],'Plantilla AEG ES'!$E$1:$HX$13,10,FALSE)</f>
        <v>12</v>
      </c>
      <c r="AL121" s="46">
        <f>HLOOKUP(TBL_CalcDarwin[[#This Row],[Fecha]],'Plantilla AEG ES'!$E$1:$HX$13,11,FALSE)</f>
        <v>1</v>
      </c>
      <c r="AM121" s="46">
        <f>HLOOKUP(TBL_CalcDarwin[[#This Row],[Fecha]],'Plantilla AEG ES'!$E$1:$HX$13,12,FALSE)</f>
        <v>7</v>
      </c>
      <c r="AN121" s="46">
        <f>HLOOKUP(TBL_CalcDarwin[[#This Row],[Fecha]],'Plantilla AEG ES'!$E$1:$HX$13,13,FALSE)</f>
        <v>1</v>
      </c>
      <c r="AO121" s="37">
        <f>TBL_CalcDarwin[[#This Row],[Lomitas - Barra A - 5.2 - Cerro]]+TBL_CalcDarwin[[#This Row],[Lomitas - Barra A - 5.2 - Medio]]+TBL_CalcDarwin[[#This Row],[Lomitas - Barra A - 5.2 - Mar]]</f>
        <v>25</v>
      </c>
      <c r="AP1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12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21" s="37">
        <f>TBL_CalcDarwin[[#This Row],[Expansión - Barra A - 5.2 - Cerro]]+TBL_CalcDarwin[[#This Row],[Expansión - Barra A - 5.2 - Medio]]+TBL_CalcDarwin[[#This Row],[Expansión - Barra A - 5.2 - Mar]]</f>
        <v>2</v>
      </c>
      <c r="AT121" s="37">
        <f>TBL_CalcDarwin[[#This Row],[Expansión - Barra B - 5.2 - Cerro]]</f>
        <v>1</v>
      </c>
      <c r="AU12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21" s="29">
        <f>TBL_CalcDarwin[[#This Row],[Expansión - Barra B - 5.2 - Cerro]]*TBL_CalcDarwin[[#This Row],[AEG 5.2 MW Cerro]]</f>
        <v>0.54700000000000004</v>
      </c>
      <c r="AZ121" s="18"/>
      <c r="BA121" s="18"/>
      <c r="BB121" s="18"/>
      <c r="BC121" s="18"/>
      <c r="BD121" s="18"/>
      <c r="BE121" s="18"/>
      <c r="BF121" s="18"/>
    </row>
    <row r="122" spans="2:58" ht="12" x14ac:dyDescent="0.2">
      <c r="B122" s="55">
        <f t="shared" si="6"/>
        <v>45617.999999999716</v>
      </c>
      <c r="C122" s="17">
        <f t="shared" si="11"/>
        <v>5.0000000000000009</v>
      </c>
      <c r="D122" s="34">
        <f>TBL_CalcDarwin[[#This Row],[Darwin PLOM
MW]]+TBL_CalcDarwin[[#This Row],[Darwin PLOME
MW]]</f>
        <v>63.076999999999998</v>
      </c>
      <c r="E122" s="34">
        <f>TBL_CalcDarwin[[#This Row],[PLOM MW TOTAL BARRA A]]+TBL_CalcDarwin[[#This Row],[PLOM MW TOTAL BARRA B]]</f>
        <v>61</v>
      </c>
      <c r="F122" s="34">
        <f>TBL_CalcDarwin[[#This Row],[PLOME MW TOTAL BARRA A]]+TBL_CalcDarwin[[#This Row],[PLOME MW TOTAL BARRA B]]</f>
        <v>2.077</v>
      </c>
      <c r="G122" s="48">
        <f>'Plantilla Datos'!D127</f>
        <v>5.0999999999999996</v>
      </c>
      <c r="H122" s="48">
        <f>'Plantilla Datos'!E127</f>
        <v>6.6</v>
      </c>
      <c r="I122" s="49">
        <f>'Plantilla Datos'!F127</f>
        <v>17.100000000000001</v>
      </c>
      <c r="J122" s="47">
        <f>CEILING('Plantilla Datos'!$L$3*TBL_CalcDarwin[[#This Row],[Darwin Gusts
m/s]],0.5)</f>
        <v>5</v>
      </c>
      <c r="K122" s="47">
        <f>CEILING('Plantilla Datos'!$L$4*TBL_CalcDarwin[[#This Row],[Darwin Gusts
m/s]],0.5)</f>
        <v>6</v>
      </c>
      <c r="L122" s="47">
        <f>CEILING(TBL_CalcDarwin[[#This Row],[Darwin Gusts
m/s]],0.5)</f>
        <v>7</v>
      </c>
      <c r="M12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12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2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2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22" s="41">
        <f>INDEX(Curva_Temp[Temp],MATCH(TBL_CalcDarwin[[#This Row],[Darwin Temp.
°C]],Curva_Temp[Temp]))</f>
        <v>15</v>
      </c>
      <c r="R122" s="41">
        <f>INDEX(Curva_Temp[Warranted Power Curve for 
1.194Kg/m3 air density '[kW']
SG 5.0-145 (AM+1, 5.2MW) AT 
90M],MATCH(TBL_CalcDarwin[[#This Row],[Darwin Temp.
°C]],Curva_Temp[Temp]))</f>
        <v>5200</v>
      </c>
      <c r="S122" s="41" cm="1">
        <f t="array" ref="S122">INDEX(Curva_Temp[Temp],MATCH(TBL_CalcDarwin[[#This Row],[Darwin Temp.
°C]],Curva_Temp[Temp])+1)</f>
        <v>20</v>
      </c>
      <c r="T122" s="41" cm="1">
        <f t="array" ref="T122">INDEX(Curva_Temp[Warranted Power Curve for 
1.194Kg/m3 air density '[kW']
SG 5.0-145 (AM+1, 5.2MW) AT 
90M],MATCH(TBL_CalcDarwin[[#This Row],[Darwin Temp.
°C]],Curva_Temp[Temp])+1)</f>
        <v>5000</v>
      </c>
      <c r="U12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2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2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22" s="41">
        <f>INDEX(Curva_Temp[Temp],MATCH(TBL_CalcDarwin[[#This Row],[Darwin Temp.
°C]],Curva_Temp[Temp]))</f>
        <v>15</v>
      </c>
      <c r="Z122" s="41">
        <f>INDEX(Curva_Temp[Warranted Power Curve for 
1.194Kg/m3 air density '[kW']
SG 5.0-145 (AM 0, 5.0MW) AT 
90M],MATCH(TBL_CalcDarwin[[#This Row],[Darwin Temp.
°C]],Curva_Temp[Temp]))</f>
        <v>5000</v>
      </c>
      <c r="AA122" s="41" cm="1">
        <f t="array" ref="AA122">INDEX(Curva_Temp[Temp],MATCH(TBL_CalcDarwin[[#This Row],[Darwin Temp.
°C]],Curva_Temp[Temp])+1)</f>
        <v>20</v>
      </c>
      <c r="AB122" s="41" cm="1">
        <f t="array" ref="AB122">INDEX(Curva_Temp[Warranted Power Curve for 
1.194Kg/m3 air density '[kW']
SG 5.0-145 (AM 0, 5.0MW) AT 
90M],MATCH(TBL_CalcDarwin[[#This Row],[Darwin Temp.
°C]],Curva_Temp[Temp])+1)</f>
        <v>5000</v>
      </c>
      <c r="AC122" s="45">
        <f>HLOOKUP(TBL_CalcDarwin[[#This Row],[Fecha]],'Plantilla AEG ES'!$E$1:$HX$13,2,FALSE)</f>
        <v>5</v>
      </c>
      <c r="AD122" s="45">
        <f>HLOOKUP(TBL_CalcDarwin[[#This Row],[Fecha]],'Plantilla AEG ES'!$E$1:$HX$13,3,FALSE)</f>
        <v>7</v>
      </c>
      <c r="AE122" s="45">
        <f>HLOOKUP(TBL_CalcDarwin[[#This Row],[Fecha]],'Plantilla AEG ES'!$E$1:$HX$13,4,FALSE)</f>
        <v>11</v>
      </c>
      <c r="AF122" s="45">
        <f>HLOOKUP(TBL_CalcDarwin[[#This Row],[Fecha]],'Plantilla AEG ES'!$E$1:$HX$13,5,FALSE)</f>
        <v>1</v>
      </c>
      <c r="AG122" s="45">
        <f>HLOOKUP(TBL_CalcDarwin[[#This Row],[Fecha]],'Plantilla AEG ES'!$E$1:$HX$13,6,FALSE)</f>
        <v>1</v>
      </c>
      <c r="AH122" s="45">
        <f>HLOOKUP(TBL_CalcDarwin[[#This Row],[Fecha]],'Plantilla AEG ES'!$E$1:$HX$13,7,FALSE)</f>
        <v>0</v>
      </c>
      <c r="AI122" s="46">
        <f>HLOOKUP(TBL_CalcDarwin[[#This Row],[Fecha]],'Plantilla AEG ES'!$E$1:$HX$13,8,FALSE)</f>
        <v>0</v>
      </c>
      <c r="AJ122" s="46">
        <f>HLOOKUP(TBL_CalcDarwin[[#This Row],[Fecha]],'Plantilla AEG ES'!$E$1:$HX$13,9,FALSE)</f>
        <v>3</v>
      </c>
      <c r="AK122" s="46">
        <f>HLOOKUP(TBL_CalcDarwin[[#This Row],[Fecha]],'Plantilla AEG ES'!$E$1:$HX$13,10,FALSE)</f>
        <v>12</v>
      </c>
      <c r="AL122" s="46">
        <f>HLOOKUP(TBL_CalcDarwin[[#This Row],[Fecha]],'Plantilla AEG ES'!$E$1:$HX$13,11,FALSE)</f>
        <v>1</v>
      </c>
      <c r="AM122" s="46">
        <f>HLOOKUP(TBL_CalcDarwin[[#This Row],[Fecha]],'Plantilla AEG ES'!$E$1:$HX$13,12,FALSE)</f>
        <v>7</v>
      </c>
      <c r="AN122" s="46">
        <f>HLOOKUP(TBL_CalcDarwin[[#This Row],[Fecha]],'Plantilla AEG ES'!$E$1:$HX$13,13,FALSE)</f>
        <v>1</v>
      </c>
      <c r="AO122" s="37">
        <f>TBL_CalcDarwin[[#This Row],[Lomitas - Barra A - 5.2 - Cerro]]+TBL_CalcDarwin[[#This Row],[Lomitas - Barra A - 5.2 - Medio]]+TBL_CalcDarwin[[#This Row],[Lomitas - Barra A - 5.2 - Mar]]</f>
        <v>23</v>
      </c>
      <c r="AP1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2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22" s="37">
        <f>TBL_CalcDarwin[[#This Row],[Expansión - Barra A - 5.2 - Cerro]]+TBL_CalcDarwin[[#This Row],[Expansión - Barra A - 5.2 - Medio]]+TBL_CalcDarwin[[#This Row],[Expansión - Barra A - 5.2 - Mar]]</f>
        <v>2</v>
      </c>
      <c r="AT122" s="37">
        <f>TBL_CalcDarwin[[#This Row],[Expansión - Barra B - 5.2 - Cerro]]</f>
        <v>1</v>
      </c>
      <c r="AU12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22" s="29">
        <f>TBL_CalcDarwin[[#This Row],[Expansión - Barra B - 5.2 - Cerro]]*TBL_CalcDarwin[[#This Row],[AEG 5.2 MW Cerro]]</f>
        <v>0.54700000000000004</v>
      </c>
      <c r="AZ122" s="18"/>
      <c r="BA122" s="18"/>
      <c r="BB122" s="18"/>
      <c r="BC122" s="18"/>
      <c r="BD122" s="18"/>
      <c r="BE122" s="18"/>
      <c r="BF122" s="18"/>
    </row>
    <row r="123" spans="2:58" ht="12" x14ac:dyDescent="0.2">
      <c r="B123" s="55">
        <f t="shared" si="6"/>
        <v>45618.04166666638</v>
      </c>
      <c r="C123" s="17">
        <f t="shared" si="11"/>
        <v>5.0416666666666679</v>
      </c>
      <c r="D123" s="34">
        <f>TBL_CalcDarwin[[#This Row],[Darwin PLOM
MW]]+TBL_CalcDarwin[[#This Row],[Darwin PLOME
MW]]</f>
        <v>50.536000000000001</v>
      </c>
      <c r="E123" s="34">
        <f>TBL_CalcDarwin[[#This Row],[PLOM MW TOTAL BARRA A]]+TBL_CalcDarwin[[#This Row],[PLOM MW TOTAL BARRA B]]</f>
        <v>48.697000000000003</v>
      </c>
      <c r="F123" s="34">
        <f>TBL_CalcDarwin[[#This Row],[PLOME MW TOTAL BARRA A]]+TBL_CalcDarwin[[#This Row],[PLOME MW TOTAL BARRA B]]</f>
        <v>1.839</v>
      </c>
      <c r="G123" s="48">
        <f>'Plantilla Datos'!D128</f>
        <v>5</v>
      </c>
      <c r="H123" s="48">
        <f>'Plantilla Datos'!E128</f>
        <v>6.4</v>
      </c>
      <c r="I123" s="49">
        <f>'Plantilla Datos'!F128</f>
        <v>17</v>
      </c>
      <c r="J123" s="47">
        <f>CEILING('Plantilla Datos'!$L$3*TBL_CalcDarwin[[#This Row],[Darwin Gusts
m/s]],0.5)</f>
        <v>5</v>
      </c>
      <c r="K123" s="47">
        <f>CEILING('Plantilla Datos'!$L$4*TBL_CalcDarwin[[#This Row],[Darwin Gusts
m/s]],0.5)</f>
        <v>5.5</v>
      </c>
      <c r="L123" s="47">
        <f>CEILING(TBL_CalcDarwin[[#This Row],[Darwin Gusts
m/s]],0.5)</f>
        <v>6.5</v>
      </c>
      <c r="M12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12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2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2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23" s="41">
        <f>INDEX(Curva_Temp[Temp],MATCH(TBL_CalcDarwin[[#This Row],[Darwin Temp.
°C]],Curva_Temp[Temp]))</f>
        <v>15</v>
      </c>
      <c r="R123" s="41">
        <f>INDEX(Curva_Temp[Warranted Power Curve for 
1.194Kg/m3 air density '[kW']
SG 5.0-145 (AM+1, 5.2MW) AT 
90M],MATCH(TBL_CalcDarwin[[#This Row],[Darwin Temp.
°C]],Curva_Temp[Temp]))</f>
        <v>5200</v>
      </c>
      <c r="S123" s="41" cm="1">
        <f t="array" ref="S123">INDEX(Curva_Temp[Temp],MATCH(TBL_CalcDarwin[[#This Row],[Darwin Temp.
°C]],Curva_Temp[Temp])+1)</f>
        <v>20</v>
      </c>
      <c r="T123" s="41" cm="1">
        <f t="array" ref="T123">INDEX(Curva_Temp[Warranted Power Curve for 
1.194Kg/m3 air density '[kW']
SG 5.0-145 (AM+1, 5.2MW) AT 
90M],MATCH(TBL_CalcDarwin[[#This Row],[Darwin Temp.
°C]],Curva_Temp[Temp])+1)</f>
        <v>5000</v>
      </c>
      <c r="U12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2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2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23" s="41">
        <f>INDEX(Curva_Temp[Temp],MATCH(TBL_CalcDarwin[[#This Row],[Darwin Temp.
°C]],Curva_Temp[Temp]))</f>
        <v>15</v>
      </c>
      <c r="Z123" s="41">
        <f>INDEX(Curva_Temp[Warranted Power Curve for 
1.194Kg/m3 air density '[kW']
SG 5.0-145 (AM 0, 5.0MW) AT 
90M],MATCH(TBL_CalcDarwin[[#This Row],[Darwin Temp.
°C]],Curva_Temp[Temp]))</f>
        <v>5000</v>
      </c>
      <c r="AA123" s="41" cm="1">
        <f t="array" ref="AA123">INDEX(Curva_Temp[Temp],MATCH(TBL_CalcDarwin[[#This Row],[Darwin Temp.
°C]],Curva_Temp[Temp])+1)</f>
        <v>20</v>
      </c>
      <c r="AB123" s="41" cm="1">
        <f t="array" ref="AB123">INDEX(Curva_Temp[Warranted Power Curve for 
1.194Kg/m3 air density '[kW']
SG 5.0-145 (AM 0, 5.0MW) AT 
90M],MATCH(TBL_CalcDarwin[[#This Row],[Darwin Temp.
°C]],Curva_Temp[Temp])+1)</f>
        <v>5000</v>
      </c>
      <c r="AC123" s="45">
        <f>HLOOKUP(TBL_CalcDarwin[[#This Row],[Fecha]],'Plantilla AEG ES'!$E$1:$HX$13,2,FALSE)</f>
        <v>5</v>
      </c>
      <c r="AD123" s="45">
        <f>HLOOKUP(TBL_CalcDarwin[[#This Row],[Fecha]],'Plantilla AEG ES'!$E$1:$HX$13,3,FALSE)</f>
        <v>7</v>
      </c>
      <c r="AE123" s="45">
        <f>HLOOKUP(TBL_CalcDarwin[[#This Row],[Fecha]],'Plantilla AEG ES'!$E$1:$HX$13,4,FALSE)</f>
        <v>11</v>
      </c>
      <c r="AF123" s="45">
        <f>HLOOKUP(TBL_CalcDarwin[[#This Row],[Fecha]],'Plantilla AEG ES'!$E$1:$HX$13,5,FALSE)</f>
        <v>1</v>
      </c>
      <c r="AG123" s="45">
        <f>HLOOKUP(TBL_CalcDarwin[[#This Row],[Fecha]],'Plantilla AEG ES'!$E$1:$HX$13,6,FALSE)</f>
        <v>1</v>
      </c>
      <c r="AH123" s="45">
        <f>HLOOKUP(TBL_CalcDarwin[[#This Row],[Fecha]],'Plantilla AEG ES'!$E$1:$HX$13,7,FALSE)</f>
        <v>0</v>
      </c>
      <c r="AI123" s="46">
        <f>HLOOKUP(TBL_CalcDarwin[[#This Row],[Fecha]],'Plantilla AEG ES'!$E$1:$HX$13,8,FALSE)</f>
        <v>0</v>
      </c>
      <c r="AJ123" s="46">
        <f>HLOOKUP(TBL_CalcDarwin[[#This Row],[Fecha]],'Plantilla AEG ES'!$E$1:$HX$13,9,FALSE)</f>
        <v>3</v>
      </c>
      <c r="AK123" s="46">
        <f>HLOOKUP(TBL_CalcDarwin[[#This Row],[Fecha]],'Plantilla AEG ES'!$E$1:$HX$13,10,FALSE)</f>
        <v>12</v>
      </c>
      <c r="AL123" s="46">
        <f>HLOOKUP(TBL_CalcDarwin[[#This Row],[Fecha]],'Plantilla AEG ES'!$E$1:$HX$13,11,FALSE)</f>
        <v>1</v>
      </c>
      <c r="AM123" s="46">
        <f>HLOOKUP(TBL_CalcDarwin[[#This Row],[Fecha]],'Plantilla AEG ES'!$E$1:$HX$13,12,FALSE)</f>
        <v>7</v>
      </c>
      <c r="AN123" s="46">
        <f>HLOOKUP(TBL_CalcDarwin[[#This Row],[Fecha]],'Plantilla AEG ES'!$E$1:$HX$13,13,FALSE)</f>
        <v>1</v>
      </c>
      <c r="AO123" s="37">
        <f>TBL_CalcDarwin[[#This Row],[Lomitas - Barra A - 5.2 - Cerro]]+TBL_CalcDarwin[[#This Row],[Lomitas - Barra A - 5.2 - Medio]]+TBL_CalcDarwin[[#This Row],[Lomitas - Barra A - 5.2 - Mar]]</f>
        <v>23</v>
      </c>
      <c r="AP1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21.876000000000001</v>
      </c>
      <c r="AR12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123" s="37">
        <f>TBL_CalcDarwin[[#This Row],[Expansión - Barra A - 5.2 - Cerro]]+TBL_CalcDarwin[[#This Row],[Expansión - Barra A - 5.2 - Medio]]+TBL_CalcDarwin[[#This Row],[Expansión - Barra A - 5.2 - Mar]]</f>
        <v>2</v>
      </c>
      <c r="AT123" s="37">
        <f>TBL_CalcDarwin[[#This Row],[Expansión - Barra B - 5.2 - Cerro]]</f>
        <v>1</v>
      </c>
      <c r="AU12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123" s="29">
        <f>TBL_CalcDarwin[[#This Row],[Expansión - Barra B - 5.2 - Cerro]]*TBL_CalcDarwin[[#This Row],[AEG 5.2 MW Cerro]]</f>
        <v>0.54700000000000004</v>
      </c>
      <c r="AZ123" s="18"/>
      <c r="BA123" s="18"/>
      <c r="BB123" s="18"/>
      <c r="BC123" s="18"/>
      <c r="BD123" s="18"/>
      <c r="BE123" s="18"/>
      <c r="BF123" s="18"/>
    </row>
    <row r="124" spans="2:58" ht="12" x14ac:dyDescent="0.2">
      <c r="B124" s="55">
        <f t="shared" si="6"/>
        <v>45618.083333333045</v>
      </c>
      <c r="C124" s="17">
        <f t="shared" si="11"/>
        <v>5.0833333333333348</v>
      </c>
      <c r="D124" s="34">
        <f>TBL_CalcDarwin[[#This Row],[Darwin PLOM
MW]]+TBL_CalcDarwin[[#This Row],[Darwin PLOME
MW]]</f>
        <v>50.536000000000001</v>
      </c>
      <c r="E124" s="34">
        <f>TBL_CalcDarwin[[#This Row],[PLOM MW TOTAL BARRA A]]+TBL_CalcDarwin[[#This Row],[PLOM MW TOTAL BARRA B]]</f>
        <v>48.697000000000003</v>
      </c>
      <c r="F124" s="34">
        <f>TBL_CalcDarwin[[#This Row],[PLOME MW TOTAL BARRA A]]+TBL_CalcDarwin[[#This Row],[PLOME MW TOTAL BARRA B]]</f>
        <v>1.839</v>
      </c>
      <c r="G124" s="48">
        <f>'Plantilla Datos'!D129</f>
        <v>4.9000000000000004</v>
      </c>
      <c r="H124" s="48">
        <f>'Plantilla Datos'!E129</f>
        <v>6.4</v>
      </c>
      <c r="I124" s="49">
        <f>'Plantilla Datos'!F129</f>
        <v>17</v>
      </c>
      <c r="J124" s="47">
        <f>CEILING('Plantilla Datos'!$L$3*TBL_CalcDarwin[[#This Row],[Darwin Gusts
m/s]],0.5)</f>
        <v>5</v>
      </c>
      <c r="K124" s="47">
        <f>CEILING('Plantilla Datos'!$L$4*TBL_CalcDarwin[[#This Row],[Darwin Gusts
m/s]],0.5)</f>
        <v>5.5</v>
      </c>
      <c r="L124" s="47">
        <f>CEILING(TBL_CalcDarwin[[#This Row],[Darwin Gusts
m/s]],0.5)</f>
        <v>6.5</v>
      </c>
      <c r="M12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12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2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2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24" s="41">
        <f>INDEX(Curva_Temp[Temp],MATCH(TBL_CalcDarwin[[#This Row],[Darwin Temp.
°C]],Curva_Temp[Temp]))</f>
        <v>15</v>
      </c>
      <c r="R124" s="41">
        <f>INDEX(Curva_Temp[Warranted Power Curve for 
1.194Kg/m3 air density '[kW']
SG 5.0-145 (AM+1, 5.2MW) AT 
90M],MATCH(TBL_CalcDarwin[[#This Row],[Darwin Temp.
°C]],Curva_Temp[Temp]))</f>
        <v>5200</v>
      </c>
      <c r="S124" s="41" cm="1">
        <f t="array" ref="S124">INDEX(Curva_Temp[Temp],MATCH(TBL_CalcDarwin[[#This Row],[Darwin Temp.
°C]],Curva_Temp[Temp])+1)</f>
        <v>20</v>
      </c>
      <c r="T124" s="41" cm="1">
        <f t="array" ref="T124">INDEX(Curva_Temp[Warranted Power Curve for 
1.194Kg/m3 air density '[kW']
SG 5.0-145 (AM+1, 5.2MW) AT 
90M],MATCH(TBL_CalcDarwin[[#This Row],[Darwin Temp.
°C]],Curva_Temp[Temp])+1)</f>
        <v>5000</v>
      </c>
      <c r="U12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2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2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24" s="41">
        <f>INDEX(Curva_Temp[Temp],MATCH(TBL_CalcDarwin[[#This Row],[Darwin Temp.
°C]],Curva_Temp[Temp]))</f>
        <v>15</v>
      </c>
      <c r="Z124" s="41">
        <f>INDEX(Curva_Temp[Warranted Power Curve for 
1.194Kg/m3 air density '[kW']
SG 5.0-145 (AM 0, 5.0MW) AT 
90M],MATCH(TBL_CalcDarwin[[#This Row],[Darwin Temp.
°C]],Curva_Temp[Temp]))</f>
        <v>5000</v>
      </c>
      <c r="AA124" s="41" cm="1">
        <f t="array" ref="AA124">INDEX(Curva_Temp[Temp],MATCH(TBL_CalcDarwin[[#This Row],[Darwin Temp.
°C]],Curva_Temp[Temp])+1)</f>
        <v>20</v>
      </c>
      <c r="AB124" s="41" cm="1">
        <f t="array" ref="AB124">INDEX(Curva_Temp[Warranted Power Curve for 
1.194Kg/m3 air density '[kW']
SG 5.0-145 (AM 0, 5.0MW) AT 
90M],MATCH(TBL_CalcDarwin[[#This Row],[Darwin Temp.
°C]],Curva_Temp[Temp])+1)</f>
        <v>5000</v>
      </c>
      <c r="AC124" s="45">
        <f>HLOOKUP(TBL_CalcDarwin[[#This Row],[Fecha]],'Plantilla AEG ES'!$E$1:$HX$13,2,FALSE)</f>
        <v>5</v>
      </c>
      <c r="AD124" s="45">
        <f>HLOOKUP(TBL_CalcDarwin[[#This Row],[Fecha]],'Plantilla AEG ES'!$E$1:$HX$13,3,FALSE)</f>
        <v>7</v>
      </c>
      <c r="AE124" s="45">
        <f>HLOOKUP(TBL_CalcDarwin[[#This Row],[Fecha]],'Plantilla AEG ES'!$E$1:$HX$13,4,FALSE)</f>
        <v>11</v>
      </c>
      <c r="AF124" s="45">
        <f>HLOOKUP(TBL_CalcDarwin[[#This Row],[Fecha]],'Plantilla AEG ES'!$E$1:$HX$13,5,FALSE)</f>
        <v>1</v>
      </c>
      <c r="AG124" s="45">
        <f>HLOOKUP(TBL_CalcDarwin[[#This Row],[Fecha]],'Plantilla AEG ES'!$E$1:$HX$13,6,FALSE)</f>
        <v>1</v>
      </c>
      <c r="AH124" s="45">
        <f>HLOOKUP(TBL_CalcDarwin[[#This Row],[Fecha]],'Plantilla AEG ES'!$E$1:$HX$13,7,FALSE)</f>
        <v>0</v>
      </c>
      <c r="AI124" s="46">
        <f>HLOOKUP(TBL_CalcDarwin[[#This Row],[Fecha]],'Plantilla AEG ES'!$E$1:$HX$13,8,FALSE)</f>
        <v>0</v>
      </c>
      <c r="AJ124" s="46">
        <f>HLOOKUP(TBL_CalcDarwin[[#This Row],[Fecha]],'Plantilla AEG ES'!$E$1:$HX$13,9,FALSE)</f>
        <v>3</v>
      </c>
      <c r="AK124" s="46">
        <f>HLOOKUP(TBL_CalcDarwin[[#This Row],[Fecha]],'Plantilla AEG ES'!$E$1:$HX$13,10,FALSE)</f>
        <v>12</v>
      </c>
      <c r="AL124" s="46">
        <f>HLOOKUP(TBL_CalcDarwin[[#This Row],[Fecha]],'Plantilla AEG ES'!$E$1:$HX$13,11,FALSE)</f>
        <v>1</v>
      </c>
      <c r="AM124" s="46">
        <f>HLOOKUP(TBL_CalcDarwin[[#This Row],[Fecha]],'Plantilla AEG ES'!$E$1:$HX$13,12,FALSE)</f>
        <v>7</v>
      </c>
      <c r="AN124" s="46">
        <f>HLOOKUP(TBL_CalcDarwin[[#This Row],[Fecha]],'Plantilla AEG ES'!$E$1:$HX$13,13,FALSE)</f>
        <v>1</v>
      </c>
      <c r="AO124" s="37">
        <f>TBL_CalcDarwin[[#This Row],[Lomitas - Barra A - 5.2 - Cerro]]+TBL_CalcDarwin[[#This Row],[Lomitas - Barra A - 5.2 - Medio]]+TBL_CalcDarwin[[#This Row],[Lomitas - Barra A - 5.2 - Mar]]</f>
        <v>23</v>
      </c>
      <c r="AP1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21.876000000000001</v>
      </c>
      <c r="AR12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124" s="37">
        <f>TBL_CalcDarwin[[#This Row],[Expansión - Barra A - 5.2 - Cerro]]+TBL_CalcDarwin[[#This Row],[Expansión - Barra A - 5.2 - Medio]]+TBL_CalcDarwin[[#This Row],[Expansión - Barra A - 5.2 - Mar]]</f>
        <v>2</v>
      </c>
      <c r="AT124" s="37">
        <f>TBL_CalcDarwin[[#This Row],[Expansión - Barra B - 5.2 - Cerro]]</f>
        <v>1</v>
      </c>
      <c r="AU12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124" s="29">
        <f>TBL_CalcDarwin[[#This Row],[Expansión - Barra B - 5.2 - Cerro]]*TBL_CalcDarwin[[#This Row],[AEG 5.2 MW Cerro]]</f>
        <v>0.54700000000000004</v>
      </c>
      <c r="AZ124" s="18"/>
      <c r="BA124" s="18"/>
      <c r="BB124" s="18"/>
      <c r="BC124" s="18"/>
      <c r="BD124" s="18"/>
      <c r="BE124" s="18"/>
      <c r="BF124" s="18"/>
    </row>
    <row r="125" spans="2:58" ht="12" x14ac:dyDescent="0.2">
      <c r="B125" s="55">
        <f t="shared" si="6"/>
        <v>45618.124999999709</v>
      </c>
      <c r="C125" s="17">
        <f>C124+TIME(1,0,0)</f>
        <v>5.1250000000000018</v>
      </c>
      <c r="D125" s="34">
        <f>TBL_CalcDarwin[[#This Row],[Darwin PLOM
MW]]+TBL_CalcDarwin[[#This Row],[Darwin PLOME
MW]]</f>
        <v>50.536000000000001</v>
      </c>
      <c r="E125" s="34">
        <f>TBL_CalcDarwin[[#This Row],[PLOM MW TOTAL BARRA A]]+TBL_CalcDarwin[[#This Row],[PLOM MW TOTAL BARRA B]]</f>
        <v>48.697000000000003</v>
      </c>
      <c r="F125" s="34">
        <f>TBL_CalcDarwin[[#This Row],[PLOME MW TOTAL BARRA A]]+TBL_CalcDarwin[[#This Row],[PLOME MW TOTAL BARRA B]]</f>
        <v>1.839</v>
      </c>
      <c r="G125" s="48">
        <f>'Plantilla Datos'!D130</f>
        <v>4.9000000000000004</v>
      </c>
      <c r="H125" s="48">
        <f>'Plantilla Datos'!E130</f>
        <v>6.3</v>
      </c>
      <c r="I125" s="49">
        <f>'Plantilla Datos'!F130</f>
        <v>17</v>
      </c>
      <c r="J125" s="47">
        <f>CEILING('Plantilla Datos'!$L$3*TBL_CalcDarwin[[#This Row],[Darwin Gusts
m/s]],0.5)</f>
        <v>5</v>
      </c>
      <c r="K125" s="47">
        <f>CEILING('Plantilla Datos'!$L$4*TBL_CalcDarwin[[#This Row],[Darwin Gusts
m/s]],0.5)</f>
        <v>5.5</v>
      </c>
      <c r="L125" s="47">
        <f>CEILING(TBL_CalcDarwin[[#This Row],[Darwin Gusts
m/s]],0.5)</f>
        <v>6.5</v>
      </c>
      <c r="M12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12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2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2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25" s="41">
        <f>INDEX(Curva_Temp[Temp],MATCH(TBL_CalcDarwin[[#This Row],[Darwin Temp.
°C]],Curva_Temp[Temp]))</f>
        <v>15</v>
      </c>
      <c r="R125" s="41">
        <f>INDEX(Curva_Temp[Warranted Power Curve for 
1.194Kg/m3 air density '[kW']
SG 5.0-145 (AM+1, 5.2MW) AT 
90M],MATCH(TBL_CalcDarwin[[#This Row],[Darwin Temp.
°C]],Curva_Temp[Temp]))</f>
        <v>5200</v>
      </c>
      <c r="S125" s="41" cm="1">
        <f t="array" ref="S125">INDEX(Curva_Temp[Temp],MATCH(TBL_CalcDarwin[[#This Row],[Darwin Temp.
°C]],Curva_Temp[Temp])+1)</f>
        <v>20</v>
      </c>
      <c r="T125" s="41" cm="1">
        <f t="array" ref="T125">INDEX(Curva_Temp[Warranted Power Curve for 
1.194Kg/m3 air density '[kW']
SG 5.0-145 (AM+1, 5.2MW) AT 
90M],MATCH(TBL_CalcDarwin[[#This Row],[Darwin Temp.
°C]],Curva_Temp[Temp])+1)</f>
        <v>5000</v>
      </c>
      <c r="U12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2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2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25" s="41">
        <f>INDEX(Curva_Temp[Temp],MATCH(TBL_CalcDarwin[[#This Row],[Darwin Temp.
°C]],Curva_Temp[Temp]))</f>
        <v>15</v>
      </c>
      <c r="Z125" s="41">
        <f>INDEX(Curva_Temp[Warranted Power Curve for 
1.194Kg/m3 air density '[kW']
SG 5.0-145 (AM 0, 5.0MW) AT 
90M],MATCH(TBL_CalcDarwin[[#This Row],[Darwin Temp.
°C]],Curva_Temp[Temp]))</f>
        <v>5000</v>
      </c>
      <c r="AA125" s="41" cm="1">
        <f t="array" ref="AA125">INDEX(Curva_Temp[Temp],MATCH(TBL_CalcDarwin[[#This Row],[Darwin Temp.
°C]],Curva_Temp[Temp])+1)</f>
        <v>20</v>
      </c>
      <c r="AB125" s="41" cm="1">
        <f t="array" ref="AB125">INDEX(Curva_Temp[Warranted Power Curve for 
1.194Kg/m3 air density '[kW']
SG 5.0-145 (AM 0, 5.0MW) AT 
90M],MATCH(TBL_CalcDarwin[[#This Row],[Darwin Temp.
°C]],Curva_Temp[Temp])+1)</f>
        <v>5000</v>
      </c>
      <c r="AC125" s="45">
        <f>HLOOKUP(TBL_CalcDarwin[[#This Row],[Fecha]],'Plantilla AEG ES'!$E$1:$HX$13,2,FALSE)</f>
        <v>5</v>
      </c>
      <c r="AD125" s="45">
        <f>HLOOKUP(TBL_CalcDarwin[[#This Row],[Fecha]],'Plantilla AEG ES'!$E$1:$HX$13,3,FALSE)</f>
        <v>7</v>
      </c>
      <c r="AE125" s="45">
        <f>HLOOKUP(TBL_CalcDarwin[[#This Row],[Fecha]],'Plantilla AEG ES'!$E$1:$HX$13,4,FALSE)</f>
        <v>11</v>
      </c>
      <c r="AF125" s="45">
        <f>HLOOKUP(TBL_CalcDarwin[[#This Row],[Fecha]],'Plantilla AEG ES'!$E$1:$HX$13,5,FALSE)</f>
        <v>1</v>
      </c>
      <c r="AG125" s="45">
        <f>HLOOKUP(TBL_CalcDarwin[[#This Row],[Fecha]],'Plantilla AEG ES'!$E$1:$HX$13,6,FALSE)</f>
        <v>1</v>
      </c>
      <c r="AH125" s="45">
        <f>HLOOKUP(TBL_CalcDarwin[[#This Row],[Fecha]],'Plantilla AEG ES'!$E$1:$HX$13,7,FALSE)</f>
        <v>0</v>
      </c>
      <c r="AI125" s="46">
        <f>HLOOKUP(TBL_CalcDarwin[[#This Row],[Fecha]],'Plantilla AEG ES'!$E$1:$HX$13,8,FALSE)</f>
        <v>0</v>
      </c>
      <c r="AJ125" s="46">
        <f>HLOOKUP(TBL_CalcDarwin[[#This Row],[Fecha]],'Plantilla AEG ES'!$E$1:$HX$13,9,FALSE)</f>
        <v>3</v>
      </c>
      <c r="AK125" s="46">
        <f>HLOOKUP(TBL_CalcDarwin[[#This Row],[Fecha]],'Plantilla AEG ES'!$E$1:$HX$13,10,FALSE)</f>
        <v>12</v>
      </c>
      <c r="AL125" s="46">
        <f>HLOOKUP(TBL_CalcDarwin[[#This Row],[Fecha]],'Plantilla AEG ES'!$E$1:$HX$13,11,FALSE)</f>
        <v>1</v>
      </c>
      <c r="AM125" s="46">
        <f>HLOOKUP(TBL_CalcDarwin[[#This Row],[Fecha]],'Plantilla AEG ES'!$E$1:$HX$13,12,FALSE)</f>
        <v>7</v>
      </c>
      <c r="AN125" s="46">
        <f>HLOOKUP(TBL_CalcDarwin[[#This Row],[Fecha]],'Plantilla AEG ES'!$E$1:$HX$13,13,FALSE)</f>
        <v>1</v>
      </c>
      <c r="AO125" s="37">
        <f>TBL_CalcDarwin[[#This Row],[Lomitas - Barra A - 5.2 - Cerro]]+TBL_CalcDarwin[[#This Row],[Lomitas - Barra A - 5.2 - Medio]]+TBL_CalcDarwin[[#This Row],[Lomitas - Barra A - 5.2 - Mar]]</f>
        <v>23</v>
      </c>
      <c r="AP1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21.876000000000001</v>
      </c>
      <c r="AR12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125" s="37">
        <f>TBL_CalcDarwin[[#This Row],[Expansión - Barra A - 5.2 - Cerro]]+TBL_CalcDarwin[[#This Row],[Expansión - Barra A - 5.2 - Medio]]+TBL_CalcDarwin[[#This Row],[Expansión - Barra A - 5.2 - Mar]]</f>
        <v>2</v>
      </c>
      <c r="AT125" s="37">
        <f>TBL_CalcDarwin[[#This Row],[Expansión - Barra B - 5.2 - Cerro]]</f>
        <v>1</v>
      </c>
      <c r="AU12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125" s="29">
        <f>TBL_CalcDarwin[[#This Row],[Expansión - Barra B - 5.2 - Cerro]]*TBL_CalcDarwin[[#This Row],[AEG 5.2 MW Cerro]]</f>
        <v>0.54700000000000004</v>
      </c>
      <c r="AZ125" s="18"/>
      <c r="BA125" s="18"/>
      <c r="BB125" s="18"/>
      <c r="BC125" s="18"/>
      <c r="BD125" s="18"/>
      <c r="BE125" s="18"/>
      <c r="BF125" s="18"/>
    </row>
    <row r="126" spans="2:58" ht="12" x14ac:dyDescent="0.2">
      <c r="B126" s="55">
        <f t="shared" si="6"/>
        <v>45618.166666666373</v>
      </c>
      <c r="C126" s="17">
        <f t="shared" ref="C126:C142" si="12">C125+TIME(1,0,0)</f>
        <v>5.1666666666666687</v>
      </c>
      <c r="D126" s="34">
        <f>TBL_CalcDarwin[[#This Row],[Darwin PLOM
MW]]+TBL_CalcDarwin[[#This Row],[Darwin PLOME
MW]]</f>
        <v>50.536000000000001</v>
      </c>
      <c r="E126" s="34">
        <f>TBL_CalcDarwin[[#This Row],[PLOM MW TOTAL BARRA A]]+TBL_CalcDarwin[[#This Row],[PLOM MW TOTAL BARRA B]]</f>
        <v>48.697000000000003</v>
      </c>
      <c r="F126" s="34">
        <f>TBL_CalcDarwin[[#This Row],[PLOME MW TOTAL BARRA A]]+TBL_CalcDarwin[[#This Row],[PLOME MW TOTAL BARRA B]]</f>
        <v>1.839</v>
      </c>
      <c r="G126" s="48">
        <f>'Plantilla Datos'!D131</f>
        <v>4.9000000000000004</v>
      </c>
      <c r="H126" s="48">
        <f>'Plantilla Datos'!E131</f>
        <v>6.3</v>
      </c>
      <c r="I126" s="49">
        <f>'Plantilla Datos'!F131</f>
        <v>17</v>
      </c>
      <c r="J126" s="47">
        <f>CEILING('Plantilla Datos'!$L$3*TBL_CalcDarwin[[#This Row],[Darwin Gusts
m/s]],0.5)</f>
        <v>5</v>
      </c>
      <c r="K126" s="47">
        <f>CEILING('Plantilla Datos'!$L$4*TBL_CalcDarwin[[#This Row],[Darwin Gusts
m/s]],0.5)</f>
        <v>5.5</v>
      </c>
      <c r="L126" s="47">
        <f>CEILING(TBL_CalcDarwin[[#This Row],[Darwin Gusts
m/s]],0.5)</f>
        <v>6.5</v>
      </c>
      <c r="M12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12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2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2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26" s="41">
        <f>INDEX(Curva_Temp[Temp],MATCH(TBL_CalcDarwin[[#This Row],[Darwin Temp.
°C]],Curva_Temp[Temp]))</f>
        <v>15</v>
      </c>
      <c r="R126" s="41">
        <f>INDEX(Curva_Temp[Warranted Power Curve for 
1.194Kg/m3 air density '[kW']
SG 5.0-145 (AM+1, 5.2MW) AT 
90M],MATCH(TBL_CalcDarwin[[#This Row],[Darwin Temp.
°C]],Curva_Temp[Temp]))</f>
        <v>5200</v>
      </c>
      <c r="S126" s="41" cm="1">
        <f t="array" ref="S126">INDEX(Curva_Temp[Temp],MATCH(TBL_CalcDarwin[[#This Row],[Darwin Temp.
°C]],Curva_Temp[Temp])+1)</f>
        <v>20</v>
      </c>
      <c r="T126" s="41" cm="1">
        <f t="array" ref="T126">INDEX(Curva_Temp[Warranted Power Curve for 
1.194Kg/m3 air density '[kW']
SG 5.0-145 (AM+1, 5.2MW) AT 
90M],MATCH(TBL_CalcDarwin[[#This Row],[Darwin Temp.
°C]],Curva_Temp[Temp])+1)</f>
        <v>5000</v>
      </c>
      <c r="U12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2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2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26" s="41">
        <f>INDEX(Curva_Temp[Temp],MATCH(TBL_CalcDarwin[[#This Row],[Darwin Temp.
°C]],Curva_Temp[Temp]))</f>
        <v>15</v>
      </c>
      <c r="Z126" s="41">
        <f>INDEX(Curva_Temp[Warranted Power Curve for 
1.194Kg/m3 air density '[kW']
SG 5.0-145 (AM 0, 5.0MW) AT 
90M],MATCH(TBL_CalcDarwin[[#This Row],[Darwin Temp.
°C]],Curva_Temp[Temp]))</f>
        <v>5000</v>
      </c>
      <c r="AA126" s="41" cm="1">
        <f t="array" ref="AA126">INDEX(Curva_Temp[Temp],MATCH(TBL_CalcDarwin[[#This Row],[Darwin Temp.
°C]],Curva_Temp[Temp])+1)</f>
        <v>20</v>
      </c>
      <c r="AB126" s="41" cm="1">
        <f t="array" ref="AB126">INDEX(Curva_Temp[Warranted Power Curve for 
1.194Kg/m3 air density '[kW']
SG 5.0-145 (AM 0, 5.0MW) AT 
90M],MATCH(TBL_CalcDarwin[[#This Row],[Darwin Temp.
°C]],Curva_Temp[Temp])+1)</f>
        <v>5000</v>
      </c>
      <c r="AC126" s="45">
        <f>HLOOKUP(TBL_CalcDarwin[[#This Row],[Fecha]],'Plantilla AEG ES'!$E$1:$HX$13,2,FALSE)</f>
        <v>5</v>
      </c>
      <c r="AD126" s="45">
        <f>HLOOKUP(TBL_CalcDarwin[[#This Row],[Fecha]],'Plantilla AEG ES'!$E$1:$HX$13,3,FALSE)</f>
        <v>7</v>
      </c>
      <c r="AE126" s="45">
        <f>HLOOKUP(TBL_CalcDarwin[[#This Row],[Fecha]],'Plantilla AEG ES'!$E$1:$HX$13,4,FALSE)</f>
        <v>11</v>
      </c>
      <c r="AF126" s="45">
        <f>HLOOKUP(TBL_CalcDarwin[[#This Row],[Fecha]],'Plantilla AEG ES'!$E$1:$HX$13,5,FALSE)</f>
        <v>1</v>
      </c>
      <c r="AG126" s="45">
        <f>HLOOKUP(TBL_CalcDarwin[[#This Row],[Fecha]],'Plantilla AEG ES'!$E$1:$HX$13,6,FALSE)</f>
        <v>1</v>
      </c>
      <c r="AH126" s="45">
        <f>HLOOKUP(TBL_CalcDarwin[[#This Row],[Fecha]],'Plantilla AEG ES'!$E$1:$HX$13,7,FALSE)</f>
        <v>0</v>
      </c>
      <c r="AI126" s="46">
        <f>HLOOKUP(TBL_CalcDarwin[[#This Row],[Fecha]],'Plantilla AEG ES'!$E$1:$HX$13,8,FALSE)</f>
        <v>0</v>
      </c>
      <c r="AJ126" s="46">
        <f>HLOOKUP(TBL_CalcDarwin[[#This Row],[Fecha]],'Plantilla AEG ES'!$E$1:$HX$13,9,FALSE)</f>
        <v>3</v>
      </c>
      <c r="AK126" s="46">
        <f>HLOOKUP(TBL_CalcDarwin[[#This Row],[Fecha]],'Plantilla AEG ES'!$E$1:$HX$13,10,FALSE)</f>
        <v>12</v>
      </c>
      <c r="AL126" s="46">
        <f>HLOOKUP(TBL_CalcDarwin[[#This Row],[Fecha]],'Plantilla AEG ES'!$E$1:$HX$13,11,FALSE)</f>
        <v>1</v>
      </c>
      <c r="AM126" s="46">
        <f>HLOOKUP(TBL_CalcDarwin[[#This Row],[Fecha]],'Plantilla AEG ES'!$E$1:$HX$13,12,FALSE)</f>
        <v>7</v>
      </c>
      <c r="AN126" s="46">
        <f>HLOOKUP(TBL_CalcDarwin[[#This Row],[Fecha]],'Plantilla AEG ES'!$E$1:$HX$13,13,FALSE)</f>
        <v>1</v>
      </c>
      <c r="AO126" s="37">
        <f>TBL_CalcDarwin[[#This Row],[Lomitas - Barra A - 5.2 - Cerro]]+TBL_CalcDarwin[[#This Row],[Lomitas - Barra A - 5.2 - Medio]]+TBL_CalcDarwin[[#This Row],[Lomitas - Barra A - 5.2 - Mar]]</f>
        <v>23</v>
      </c>
      <c r="AP1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21.876000000000001</v>
      </c>
      <c r="AR12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126" s="37">
        <f>TBL_CalcDarwin[[#This Row],[Expansión - Barra A - 5.2 - Cerro]]+TBL_CalcDarwin[[#This Row],[Expansión - Barra A - 5.2 - Medio]]+TBL_CalcDarwin[[#This Row],[Expansión - Barra A - 5.2 - Mar]]</f>
        <v>2</v>
      </c>
      <c r="AT126" s="37">
        <f>TBL_CalcDarwin[[#This Row],[Expansión - Barra B - 5.2 - Cerro]]</f>
        <v>1</v>
      </c>
      <c r="AU12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126" s="29">
        <f>TBL_CalcDarwin[[#This Row],[Expansión - Barra B - 5.2 - Cerro]]*TBL_CalcDarwin[[#This Row],[AEG 5.2 MW Cerro]]</f>
        <v>0.54700000000000004</v>
      </c>
      <c r="AZ126" s="18"/>
      <c r="BA126" s="18"/>
      <c r="BB126" s="18"/>
      <c r="BC126" s="18"/>
      <c r="BD126" s="18"/>
      <c r="BE126" s="18"/>
      <c r="BF126" s="18"/>
    </row>
    <row r="127" spans="2:58" ht="12" x14ac:dyDescent="0.2">
      <c r="B127" s="55">
        <f t="shared" si="6"/>
        <v>45618.208333333037</v>
      </c>
      <c r="C127" s="17">
        <f t="shared" si="12"/>
        <v>5.2083333333333357</v>
      </c>
      <c r="D127" s="34">
        <f>TBL_CalcDarwin[[#This Row],[Darwin PLOM
MW]]+TBL_CalcDarwin[[#This Row],[Darwin PLOME
MW]]</f>
        <v>50.536000000000001</v>
      </c>
      <c r="E127" s="34">
        <f>TBL_CalcDarwin[[#This Row],[PLOM MW TOTAL BARRA A]]+TBL_CalcDarwin[[#This Row],[PLOM MW TOTAL BARRA B]]</f>
        <v>48.697000000000003</v>
      </c>
      <c r="F127" s="34">
        <f>TBL_CalcDarwin[[#This Row],[PLOME MW TOTAL BARRA A]]+TBL_CalcDarwin[[#This Row],[PLOME MW TOTAL BARRA B]]</f>
        <v>1.839</v>
      </c>
      <c r="G127" s="48">
        <f>'Plantilla Datos'!D132</f>
        <v>4.9000000000000004</v>
      </c>
      <c r="H127" s="48">
        <f>'Plantilla Datos'!E132</f>
        <v>6.3</v>
      </c>
      <c r="I127" s="49">
        <f>'Plantilla Datos'!F132</f>
        <v>17.100000000000001</v>
      </c>
      <c r="J127" s="47">
        <f>CEILING('Plantilla Datos'!$L$3*TBL_CalcDarwin[[#This Row],[Darwin Gusts
m/s]],0.5)</f>
        <v>5</v>
      </c>
      <c r="K127" s="47">
        <f>CEILING('Plantilla Datos'!$L$4*TBL_CalcDarwin[[#This Row],[Darwin Gusts
m/s]],0.5)</f>
        <v>5.5</v>
      </c>
      <c r="L127" s="47">
        <f>CEILING(TBL_CalcDarwin[[#This Row],[Darwin Gusts
m/s]],0.5)</f>
        <v>6.5</v>
      </c>
      <c r="M12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12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2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2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27" s="41">
        <f>INDEX(Curva_Temp[Temp],MATCH(TBL_CalcDarwin[[#This Row],[Darwin Temp.
°C]],Curva_Temp[Temp]))</f>
        <v>15</v>
      </c>
      <c r="R127" s="41">
        <f>INDEX(Curva_Temp[Warranted Power Curve for 
1.194Kg/m3 air density '[kW']
SG 5.0-145 (AM+1, 5.2MW) AT 
90M],MATCH(TBL_CalcDarwin[[#This Row],[Darwin Temp.
°C]],Curva_Temp[Temp]))</f>
        <v>5200</v>
      </c>
      <c r="S127" s="41" cm="1">
        <f t="array" ref="S127">INDEX(Curva_Temp[Temp],MATCH(TBL_CalcDarwin[[#This Row],[Darwin Temp.
°C]],Curva_Temp[Temp])+1)</f>
        <v>20</v>
      </c>
      <c r="T127" s="41" cm="1">
        <f t="array" ref="T127">INDEX(Curva_Temp[Warranted Power Curve for 
1.194Kg/m3 air density '[kW']
SG 5.0-145 (AM+1, 5.2MW) AT 
90M],MATCH(TBL_CalcDarwin[[#This Row],[Darwin Temp.
°C]],Curva_Temp[Temp])+1)</f>
        <v>5000</v>
      </c>
      <c r="U12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2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2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27" s="41">
        <f>INDEX(Curva_Temp[Temp],MATCH(TBL_CalcDarwin[[#This Row],[Darwin Temp.
°C]],Curva_Temp[Temp]))</f>
        <v>15</v>
      </c>
      <c r="Z127" s="41">
        <f>INDEX(Curva_Temp[Warranted Power Curve for 
1.194Kg/m3 air density '[kW']
SG 5.0-145 (AM 0, 5.0MW) AT 
90M],MATCH(TBL_CalcDarwin[[#This Row],[Darwin Temp.
°C]],Curva_Temp[Temp]))</f>
        <v>5000</v>
      </c>
      <c r="AA127" s="41" cm="1">
        <f t="array" ref="AA127">INDEX(Curva_Temp[Temp],MATCH(TBL_CalcDarwin[[#This Row],[Darwin Temp.
°C]],Curva_Temp[Temp])+1)</f>
        <v>20</v>
      </c>
      <c r="AB127" s="41" cm="1">
        <f t="array" ref="AB127">INDEX(Curva_Temp[Warranted Power Curve for 
1.194Kg/m3 air density '[kW']
SG 5.0-145 (AM 0, 5.0MW) AT 
90M],MATCH(TBL_CalcDarwin[[#This Row],[Darwin Temp.
°C]],Curva_Temp[Temp])+1)</f>
        <v>5000</v>
      </c>
      <c r="AC127" s="45">
        <f>HLOOKUP(TBL_CalcDarwin[[#This Row],[Fecha]],'Plantilla AEG ES'!$E$1:$HX$13,2,FALSE)</f>
        <v>5</v>
      </c>
      <c r="AD127" s="45">
        <f>HLOOKUP(TBL_CalcDarwin[[#This Row],[Fecha]],'Plantilla AEG ES'!$E$1:$HX$13,3,FALSE)</f>
        <v>7</v>
      </c>
      <c r="AE127" s="45">
        <f>HLOOKUP(TBL_CalcDarwin[[#This Row],[Fecha]],'Plantilla AEG ES'!$E$1:$HX$13,4,FALSE)</f>
        <v>11</v>
      </c>
      <c r="AF127" s="45">
        <f>HLOOKUP(TBL_CalcDarwin[[#This Row],[Fecha]],'Plantilla AEG ES'!$E$1:$HX$13,5,FALSE)</f>
        <v>1</v>
      </c>
      <c r="AG127" s="45">
        <f>HLOOKUP(TBL_CalcDarwin[[#This Row],[Fecha]],'Plantilla AEG ES'!$E$1:$HX$13,6,FALSE)</f>
        <v>1</v>
      </c>
      <c r="AH127" s="45">
        <f>HLOOKUP(TBL_CalcDarwin[[#This Row],[Fecha]],'Plantilla AEG ES'!$E$1:$HX$13,7,FALSE)</f>
        <v>0</v>
      </c>
      <c r="AI127" s="46">
        <f>HLOOKUP(TBL_CalcDarwin[[#This Row],[Fecha]],'Plantilla AEG ES'!$E$1:$HX$13,8,FALSE)</f>
        <v>0</v>
      </c>
      <c r="AJ127" s="46">
        <f>HLOOKUP(TBL_CalcDarwin[[#This Row],[Fecha]],'Plantilla AEG ES'!$E$1:$HX$13,9,FALSE)</f>
        <v>3</v>
      </c>
      <c r="AK127" s="46">
        <f>HLOOKUP(TBL_CalcDarwin[[#This Row],[Fecha]],'Plantilla AEG ES'!$E$1:$HX$13,10,FALSE)</f>
        <v>12</v>
      </c>
      <c r="AL127" s="46">
        <f>HLOOKUP(TBL_CalcDarwin[[#This Row],[Fecha]],'Plantilla AEG ES'!$E$1:$HX$13,11,FALSE)</f>
        <v>1</v>
      </c>
      <c r="AM127" s="46">
        <f>HLOOKUP(TBL_CalcDarwin[[#This Row],[Fecha]],'Plantilla AEG ES'!$E$1:$HX$13,12,FALSE)</f>
        <v>7</v>
      </c>
      <c r="AN127" s="46">
        <f>HLOOKUP(TBL_CalcDarwin[[#This Row],[Fecha]],'Plantilla AEG ES'!$E$1:$HX$13,13,FALSE)</f>
        <v>1</v>
      </c>
      <c r="AO127" s="37">
        <f>TBL_CalcDarwin[[#This Row],[Lomitas - Barra A - 5.2 - Cerro]]+TBL_CalcDarwin[[#This Row],[Lomitas - Barra A - 5.2 - Medio]]+TBL_CalcDarwin[[#This Row],[Lomitas - Barra A - 5.2 - Mar]]</f>
        <v>23</v>
      </c>
      <c r="AP1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21.876000000000001</v>
      </c>
      <c r="AR12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127" s="37">
        <f>TBL_CalcDarwin[[#This Row],[Expansión - Barra A - 5.2 - Cerro]]+TBL_CalcDarwin[[#This Row],[Expansión - Barra A - 5.2 - Medio]]+TBL_CalcDarwin[[#This Row],[Expansión - Barra A - 5.2 - Mar]]</f>
        <v>2</v>
      </c>
      <c r="AT127" s="37">
        <f>TBL_CalcDarwin[[#This Row],[Expansión - Barra B - 5.2 - Cerro]]</f>
        <v>1</v>
      </c>
      <c r="AU12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127" s="29">
        <f>TBL_CalcDarwin[[#This Row],[Expansión - Barra B - 5.2 - Cerro]]*TBL_CalcDarwin[[#This Row],[AEG 5.2 MW Cerro]]</f>
        <v>0.54700000000000004</v>
      </c>
      <c r="AZ127" s="18"/>
      <c r="BA127" s="18"/>
      <c r="BB127" s="18"/>
      <c r="BC127" s="18"/>
      <c r="BD127" s="18"/>
      <c r="BE127" s="18"/>
      <c r="BF127" s="18"/>
    </row>
    <row r="128" spans="2:58" ht="12" x14ac:dyDescent="0.2">
      <c r="B128" s="55">
        <f t="shared" si="6"/>
        <v>45618.249999999702</v>
      </c>
      <c r="C128" s="17">
        <f t="shared" si="12"/>
        <v>5.2500000000000027</v>
      </c>
      <c r="D128" s="34">
        <f>TBL_CalcDarwin[[#This Row],[Darwin PLOM
MW]]+TBL_CalcDarwin[[#This Row],[Darwin PLOME
MW]]</f>
        <v>49.213000000000001</v>
      </c>
      <c r="E128" s="34">
        <f>TBL_CalcDarwin[[#This Row],[PLOM MW TOTAL BARRA A]]+TBL_CalcDarwin[[#This Row],[PLOM MW TOTAL BARRA B]]</f>
        <v>47.704000000000001</v>
      </c>
      <c r="F128" s="34">
        <f>TBL_CalcDarwin[[#This Row],[PLOME MW TOTAL BARRA A]]+TBL_CalcDarwin[[#This Row],[PLOME MW TOTAL BARRA B]]</f>
        <v>1.5089999999999999</v>
      </c>
      <c r="G128" s="48">
        <f>'Plantilla Datos'!D133</f>
        <v>4.8</v>
      </c>
      <c r="H128" s="48">
        <f>'Plantilla Datos'!E133</f>
        <v>6.2</v>
      </c>
      <c r="I128" s="49">
        <f>'Plantilla Datos'!F133</f>
        <v>17.3</v>
      </c>
      <c r="J128" s="47">
        <f>CEILING('Plantilla Datos'!$L$3*TBL_CalcDarwin[[#This Row],[Darwin Gusts
m/s]],0.5)</f>
        <v>4.5</v>
      </c>
      <c r="K128" s="47">
        <f>CEILING('Plantilla Datos'!$L$4*TBL_CalcDarwin[[#This Row],[Darwin Gusts
m/s]],0.5)</f>
        <v>5.5</v>
      </c>
      <c r="L128" s="47">
        <f>CEILING(TBL_CalcDarwin[[#This Row],[Darwin Gusts
m/s]],0.5)</f>
        <v>6.5</v>
      </c>
      <c r="M12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12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2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2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28" s="41">
        <f>INDEX(Curva_Temp[Temp],MATCH(TBL_CalcDarwin[[#This Row],[Darwin Temp.
°C]],Curva_Temp[Temp]))</f>
        <v>15</v>
      </c>
      <c r="R128" s="41">
        <f>INDEX(Curva_Temp[Warranted Power Curve for 
1.194Kg/m3 air density '[kW']
SG 5.0-145 (AM+1, 5.2MW) AT 
90M],MATCH(TBL_CalcDarwin[[#This Row],[Darwin Temp.
°C]],Curva_Temp[Temp]))</f>
        <v>5200</v>
      </c>
      <c r="S128" s="41" cm="1">
        <f t="array" ref="S128">INDEX(Curva_Temp[Temp],MATCH(TBL_CalcDarwin[[#This Row],[Darwin Temp.
°C]],Curva_Temp[Temp])+1)</f>
        <v>20</v>
      </c>
      <c r="T128" s="41" cm="1">
        <f t="array" ref="T128">INDEX(Curva_Temp[Warranted Power Curve for 
1.194Kg/m3 air density '[kW']
SG 5.0-145 (AM+1, 5.2MW) AT 
90M],MATCH(TBL_CalcDarwin[[#This Row],[Darwin Temp.
°C]],Curva_Temp[Temp])+1)</f>
        <v>5000</v>
      </c>
      <c r="U12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2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2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28" s="41">
        <f>INDEX(Curva_Temp[Temp],MATCH(TBL_CalcDarwin[[#This Row],[Darwin Temp.
°C]],Curva_Temp[Temp]))</f>
        <v>15</v>
      </c>
      <c r="Z128" s="41">
        <f>INDEX(Curva_Temp[Warranted Power Curve for 
1.194Kg/m3 air density '[kW']
SG 5.0-145 (AM 0, 5.0MW) AT 
90M],MATCH(TBL_CalcDarwin[[#This Row],[Darwin Temp.
°C]],Curva_Temp[Temp]))</f>
        <v>5000</v>
      </c>
      <c r="AA128" s="41" cm="1">
        <f t="array" ref="AA128">INDEX(Curva_Temp[Temp],MATCH(TBL_CalcDarwin[[#This Row],[Darwin Temp.
°C]],Curva_Temp[Temp])+1)</f>
        <v>20</v>
      </c>
      <c r="AB128" s="41" cm="1">
        <f t="array" ref="AB128">INDEX(Curva_Temp[Warranted Power Curve for 
1.194Kg/m3 air density '[kW']
SG 5.0-145 (AM 0, 5.0MW) AT 
90M],MATCH(TBL_CalcDarwin[[#This Row],[Darwin Temp.
°C]],Curva_Temp[Temp])+1)</f>
        <v>5000</v>
      </c>
      <c r="AC128" s="45">
        <f>HLOOKUP(TBL_CalcDarwin[[#This Row],[Fecha]],'Plantilla AEG ES'!$E$1:$HX$13,2,FALSE)</f>
        <v>5</v>
      </c>
      <c r="AD128" s="45">
        <f>HLOOKUP(TBL_CalcDarwin[[#This Row],[Fecha]],'Plantilla AEG ES'!$E$1:$HX$13,3,FALSE)</f>
        <v>7</v>
      </c>
      <c r="AE128" s="45">
        <f>HLOOKUP(TBL_CalcDarwin[[#This Row],[Fecha]],'Plantilla AEG ES'!$E$1:$HX$13,4,FALSE)</f>
        <v>11</v>
      </c>
      <c r="AF128" s="45">
        <f>HLOOKUP(TBL_CalcDarwin[[#This Row],[Fecha]],'Plantilla AEG ES'!$E$1:$HX$13,5,FALSE)</f>
        <v>1</v>
      </c>
      <c r="AG128" s="45">
        <f>HLOOKUP(TBL_CalcDarwin[[#This Row],[Fecha]],'Plantilla AEG ES'!$E$1:$HX$13,6,FALSE)</f>
        <v>1</v>
      </c>
      <c r="AH128" s="45">
        <f>HLOOKUP(TBL_CalcDarwin[[#This Row],[Fecha]],'Plantilla AEG ES'!$E$1:$HX$13,7,FALSE)</f>
        <v>0</v>
      </c>
      <c r="AI128" s="46">
        <f>HLOOKUP(TBL_CalcDarwin[[#This Row],[Fecha]],'Plantilla AEG ES'!$E$1:$HX$13,8,FALSE)</f>
        <v>0</v>
      </c>
      <c r="AJ128" s="46">
        <f>HLOOKUP(TBL_CalcDarwin[[#This Row],[Fecha]],'Plantilla AEG ES'!$E$1:$HX$13,9,FALSE)</f>
        <v>3</v>
      </c>
      <c r="AK128" s="46">
        <f>HLOOKUP(TBL_CalcDarwin[[#This Row],[Fecha]],'Plantilla AEG ES'!$E$1:$HX$13,10,FALSE)</f>
        <v>12</v>
      </c>
      <c r="AL128" s="46">
        <f>HLOOKUP(TBL_CalcDarwin[[#This Row],[Fecha]],'Plantilla AEG ES'!$E$1:$HX$13,11,FALSE)</f>
        <v>1</v>
      </c>
      <c r="AM128" s="46">
        <f>HLOOKUP(TBL_CalcDarwin[[#This Row],[Fecha]],'Plantilla AEG ES'!$E$1:$HX$13,12,FALSE)</f>
        <v>7</v>
      </c>
      <c r="AN128" s="46">
        <f>HLOOKUP(TBL_CalcDarwin[[#This Row],[Fecha]],'Plantilla AEG ES'!$E$1:$HX$13,13,FALSE)</f>
        <v>1</v>
      </c>
      <c r="AO128" s="37">
        <f>TBL_CalcDarwin[[#This Row],[Lomitas - Barra A - 5.2 - Cerro]]+TBL_CalcDarwin[[#This Row],[Lomitas - Barra A - 5.2 - Medio]]+TBL_CalcDarwin[[#This Row],[Lomitas - Barra A - 5.2 - Mar]]</f>
        <v>23</v>
      </c>
      <c r="AP1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21.051000000000002</v>
      </c>
      <c r="AR12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128" s="37">
        <f>TBL_CalcDarwin[[#This Row],[Expansión - Barra A - 5.2 - Cerro]]+TBL_CalcDarwin[[#This Row],[Expansión - Barra A - 5.2 - Medio]]+TBL_CalcDarwin[[#This Row],[Expansión - Barra A - 5.2 - Mar]]</f>
        <v>2</v>
      </c>
      <c r="AT128" s="37">
        <f>TBL_CalcDarwin[[#This Row],[Expansión - Barra B - 5.2 - Cerro]]</f>
        <v>1</v>
      </c>
      <c r="AU12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28" s="29">
        <f>TBL_CalcDarwin[[#This Row],[Expansión - Barra B - 5.2 - Cerro]]*TBL_CalcDarwin[[#This Row],[AEG 5.2 MW Cerro]]</f>
        <v>0.38200000000000001</v>
      </c>
      <c r="AZ128" s="18"/>
      <c r="BA128" s="18"/>
      <c r="BB128" s="18"/>
      <c r="BC128" s="18"/>
      <c r="BD128" s="18"/>
      <c r="BE128" s="18"/>
      <c r="BF128" s="18"/>
    </row>
    <row r="129" spans="2:58" ht="12" x14ac:dyDescent="0.2">
      <c r="B129" s="55">
        <f t="shared" si="6"/>
        <v>45618.291666666366</v>
      </c>
      <c r="C129" s="17">
        <f t="shared" si="12"/>
        <v>5.2916666666666696</v>
      </c>
      <c r="D129" s="34">
        <f>TBL_CalcDarwin[[#This Row],[Darwin PLOM
MW]]+TBL_CalcDarwin[[#This Row],[Darwin PLOME
MW]]</f>
        <v>49.213000000000001</v>
      </c>
      <c r="E129" s="34">
        <f>TBL_CalcDarwin[[#This Row],[PLOM MW TOTAL BARRA A]]+TBL_CalcDarwin[[#This Row],[PLOM MW TOTAL BARRA B]]</f>
        <v>47.704000000000001</v>
      </c>
      <c r="F129" s="34">
        <f>TBL_CalcDarwin[[#This Row],[PLOME MW TOTAL BARRA A]]+TBL_CalcDarwin[[#This Row],[PLOME MW TOTAL BARRA B]]</f>
        <v>1.5089999999999999</v>
      </c>
      <c r="G129" s="48">
        <f>'Plantilla Datos'!D134</f>
        <v>4.8</v>
      </c>
      <c r="H129" s="48">
        <f>'Plantilla Datos'!E134</f>
        <v>6.2</v>
      </c>
      <c r="I129" s="49">
        <f>'Plantilla Datos'!F134</f>
        <v>17.3</v>
      </c>
      <c r="J129" s="47">
        <f>CEILING('Plantilla Datos'!$L$3*TBL_CalcDarwin[[#This Row],[Darwin Gusts
m/s]],0.5)</f>
        <v>4.5</v>
      </c>
      <c r="K129" s="47">
        <f>CEILING('Plantilla Datos'!$L$4*TBL_CalcDarwin[[#This Row],[Darwin Gusts
m/s]],0.5)</f>
        <v>5.5</v>
      </c>
      <c r="L129" s="47">
        <f>CEILING(TBL_CalcDarwin[[#This Row],[Darwin Gusts
m/s]],0.5)</f>
        <v>6.5</v>
      </c>
      <c r="M12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12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2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2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29" s="41">
        <f>INDEX(Curva_Temp[Temp],MATCH(TBL_CalcDarwin[[#This Row],[Darwin Temp.
°C]],Curva_Temp[Temp]))</f>
        <v>15</v>
      </c>
      <c r="R129" s="41">
        <f>INDEX(Curva_Temp[Warranted Power Curve for 
1.194Kg/m3 air density '[kW']
SG 5.0-145 (AM+1, 5.2MW) AT 
90M],MATCH(TBL_CalcDarwin[[#This Row],[Darwin Temp.
°C]],Curva_Temp[Temp]))</f>
        <v>5200</v>
      </c>
      <c r="S129" s="41" cm="1">
        <f t="array" ref="S129">INDEX(Curva_Temp[Temp],MATCH(TBL_CalcDarwin[[#This Row],[Darwin Temp.
°C]],Curva_Temp[Temp])+1)</f>
        <v>20</v>
      </c>
      <c r="T129" s="41" cm="1">
        <f t="array" ref="T129">INDEX(Curva_Temp[Warranted Power Curve for 
1.194Kg/m3 air density '[kW']
SG 5.0-145 (AM+1, 5.2MW) AT 
90M],MATCH(TBL_CalcDarwin[[#This Row],[Darwin Temp.
°C]],Curva_Temp[Temp])+1)</f>
        <v>5000</v>
      </c>
      <c r="U12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2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2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29" s="41">
        <f>INDEX(Curva_Temp[Temp],MATCH(TBL_CalcDarwin[[#This Row],[Darwin Temp.
°C]],Curva_Temp[Temp]))</f>
        <v>15</v>
      </c>
      <c r="Z129" s="41">
        <f>INDEX(Curva_Temp[Warranted Power Curve for 
1.194Kg/m3 air density '[kW']
SG 5.0-145 (AM 0, 5.0MW) AT 
90M],MATCH(TBL_CalcDarwin[[#This Row],[Darwin Temp.
°C]],Curva_Temp[Temp]))</f>
        <v>5000</v>
      </c>
      <c r="AA129" s="41" cm="1">
        <f t="array" ref="AA129">INDEX(Curva_Temp[Temp],MATCH(TBL_CalcDarwin[[#This Row],[Darwin Temp.
°C]],Curva_Temp[Temp])+1)</f>
        <v>20</v>
      </c>
      <c r="AB129" s="41" cm="1">
        <f t="array" ref="AB129">INDEX(Curva_Temp[Warranted Power Curve for 
1.194Kg/m3 air density '[kW']
SG 5.0-145 (AM 0, 5.0MW) AT 
90M],MATCH(TBL_CalcDarwin[[#This Row],[Darwin Temp.
°C]],Curva_Temp[Temp])+1)</f>
        <v>5000</v>
      </c>
      <c r="AC129" s="45">
        <f>HLOOKUP(TBL_CalcDarwin[[#This Row],[Fecha]],'Plantilla AEG ES'!$E$1:$HX$13,2,FALSE)</f>
        <v>5</v>
      </c>
      <c r="AD129" s="45">
        <f>HLOOKUP(TBL_CalcDarwin[[#This Row],[Fecha]],'Plantilla AEG ES'!$E$1:$HX$13,3,FALSE)</f>
        <v>7</v>
      </c>
      <c r="AE129" s="45">
        <f>HLOOKUP(TBL_CalcDarwin[[#This Row],[Fecha]],'Plantilla AEG ES'!$E$1:$HX$13,4,FALSE)</f>
        <v>11</v>
      </c>
      <c r="AF129" s="45">
        <f>HLOOKUP(TBL_CalcDarwin[[#This Row],[Fecha]],'Plantilla AEG ES'!$E$1:$HX$13,5,FALSE)</f>
        <v>1</v>
      </c>
      <c r="AG129" s="45">
        <f>HLOOKUP(TBL_CalcDarwin[[#This Row],[Fecha]],'Plantilla AEG ES'!$E$1:$HX$13,6,FALSE)</f>
        <v>1</v>
      </c>
      <c r="AH129" s="45">
        <f>HLOOKUP(TBL_CalcDarwin[[#This Row],[Fecha]],'Plantilla AEG ES'!$E$1:$HX$13,7,FALSE)</f>
        <v>0</v>
      </c>
      <c r="AI129" s="46">
        <f>HLOOKUP(TBL_CalcDarwin[[#This Row],[Fecha]],'Plantilla AEG ES'!$E$1:$HX$13,8,FALSE)</f>
        <v>0</v>
      </c>
      <c r="AJ129" s="46">
        <f>HLOOKUP(TBL_CalcDarwin[[#This Row],[Fecha]],'Plantilla AEG ES'!$E$1:$HX$13,9,FALSE)</f>
        <v>3</v>
      </c>
      <c r="AK129" s="46">
        <f>HLOOKUP(TBL_CalcDarwin[[#This Row],[Fecha]],'Plantilla AEG ES'!$E$1:$HX$13,10,FALSE)</f>
        <v>12</v>
      </c>
      <c r="AL129" s="46">
        <f>HLOOKUP(TBL_CalcDarwin[[#This Row],[Fecha]],'Plantilla AEG ES'!$E$1:$HX$13,11,FALSE)</f>
        <v>1</v>
      </c>
      <c r="AM129" s="46">
        <f>HLOOKUP(TBL_CalcDarwin[[#This Row],[Fecha]],'Plantilla AEG ES'!$E$1:$HX$13,12,FALSE)</f>
        <v>7</v>
      </c>
      <c r="AN129" s="46">
        <f>HLOOKUP(TBL_CalcDarwin[[#This Row],[Fecha]],'Plantilla AEG ES'!$E$1:$HX$13,13,FALSE)</f>
        <v>1</v>
      </c>
      <c r="AO129" s="37">
        <f>TBL_CalcDarwin[[#This Row],[Lomitas - Barra A - 5.2 - Cerro]]+TBL_CalcDarwin[[#This Row],[Lomitas - Barra A - 5.2 - Medio]]+TBL_CalcDarwin[[#This Row],[Lomitas - Barra A - 5.2 - Mar]]</f>
        <v>23</v>
      </c>
      <c r="AP1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21.051000000000002</v>
      </c>
      <c r="AR12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129" s="37">
        <f>TBL_CalcDarwin[[#This Row],[Expansión - Barra A - 5.2 - Cerro]]+TBL_CalcDarwin[[#This Row],[Expansión - Barra A - 5.2 - Medio]]+TBL_CalcDarwin[[#This Row],[Expansión - Barra A - 5.2 - Mar]]</f>
        <v>2</v>
      </c>
      <c r="AT129" s="37">
        <f>TBL_CalcDarwin[[#This Row],[Expansión - Barra B - 5.2 - Cerro]]</f>
        <v>1</v>
      </c>
      <c r="AU12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29" s="29">
        <f>TBL_CalcDarwin[[#This Row],[Expansión - Barra B - 5.2 - Cerro]]*TBL_CalcDarwin[[#This Row],[AEG 5.2 MW Cerro]]</f>
        <v>0.38200000000000001</v>
      </c>
      <c r="AZ129" s="18"/>
      <c r="BA129" s="18"/>
      <c r="BB129" s="18"/>
      <c r="BC129" s="18"/>
      <c r="BD129" s="18"/>
      <c r="BE129" s="18"/>
      <c r="BF129" s="18"/>
    </row>
    <row r="130" spans="2:58" ht="12" x14ac:dyDescent="0.2">
      <c r="B130" s="55">
        <f t="shared" si="6"/>
        <v>45618.33333333303</v>
      </c>
      <c r="C130" s="17">
        <f t="shared" si="12"/>
        <v>5.3333333333333366</v>
      </c>
      <c r="D130" s="34">
        <f>TBL_CalcDarwin[[#This Row],[Darwin PLOM
MW]]+TBL_CalcDarwin[[#This Row],[Darwin PLOME
MW]]</f>
        <v>63.076999999999998</v>
      </c>
      <c r="E130" s="34">
        <f>TBL_CalcDarwin[[#This Row],[PLOM MW TOTAL BARRA A]]+TBL_CalcDarwin[[#This Row],[PLOM MW TOTAL BARRA B]]</f>
        <v>61</v>
      </c>
      <c r="F130" s="34">
        <f>TBL_CalcDarwin[[#This Row],[PLOME MW TOTAL BARRA A]]+TBL_CalcDarwin[[#This Row],[PLOME MW TOTAL BARRA B]]</f>
        <v>2.077</v>
      </c>
      <c r="G130" s="48">
        <f>'Plantilla Datos'!D135</f>
        <v>5.4</v>
      </c>
      <c r="H130" s="48">
        <f>'Plantilla Datos'!E135</f>
        <v>6.9</v>
      </c>
      <c r="I130" s="49">
        <f>'Plantilla Datos'!F135</f>
        <v>17.8</v>
      </c>
      <c r="J130" s="47">
        <f>CEILING('Plantilla Datos'!$L$3*TBL_CalcDarwin[[#This Row],[Darwin Gusts
m/s]],0.5)</f>
        <v>5</v>
      </c>
      <c r="K130" s="47">
        <f>CEILING('Plantilla Datos'!$L$4*TBL_CalcDarwin[[#This Row],[Darwin Gusts
m/s]],0.5)</f>
        <v>6</v>
      </c>
      <c r="L130" s="47">
        <f>CEILING(TBL_CalcDarwin[[#This Row],[Darwin Gusts
m/s]],0.5)</f>
        <v>7</v>
      </c>
      <c r="M13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13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3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3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30" s="41">
        <f>INDEX(Curva_Temp[Temp],MATCH(TBL_CalcDarwin[[#This Row],[Darwin Temp.
°C]],Curva_Temp[Temp]))</f>
        <v>15</v>
      </c>
      <c r="R130" s="41">
        <f>INDEX(Curva_Temp[Warranted Power Curve for 
1.194Kg/m3 air density '[kW']
SG 5.0-145 (AM+1, 5.2MW) AT 
90M],MATCH(TBL_CalcDarwin[[#This Row],[Darwin Temp.
°C]],Curva_Temp[Temp]))</f>
        <v>5200</v>
      </c>
      <c r="S130" s="41" cm="1">
        <f t="array" ref="S130">INDEX(Curva_Temp[Temp],MATCH(TBL_CalcDarwin[[#This Row],[Darwin Temp.
°C]],Curva_Temp[Temp])+1)</f>
        <v>20</v>
      </c>
      <c r="T130" s="41" cm="1">
        <f t="array" ref="T130">INDEX(Curva_Temp[Warranted Power Curve for 
1.194Kg/m3 air density '[kW']
SG 5.0-145 (AM+1, 5.2MW) AT 
90M],MATCH(TBL_CalcDarwin[[#This Row],[Darwin Temp.
°C]],Curva_Temp[Temp])+1)</f>
        <v>5000</v>
      </c>
      <c r="U13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3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3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30" s="41">
        <f>INDEX(Curva_Temp[Temp],MATCH(TBL_CalcDarwin[[#This Row],[Darwin Temp.
°C]],Curva_Temp[Temp]))</f>
        <v>15</v>
      </c>
      <c r="Z130" s="41">
        <f>INDEX(Curva_Temp[Warranted Power Curve for 
1.194Kg/m3 air density '[kW']
SG 5.0-145 (AM 0, 5.0MW) AT 
90M],MATCH(TBL_CalcDarwin[[#This Row],[Darwin Temp.
°C]],Curva_Temp[Temp]))</f>
        <v>5000</v>
      </c>
      <c r="AA130" s="41" cm="1">
        <f t="array" ref="AA130">INDEX(Curva_Temp[Temp],MATCH(TBL_CalcDarwin[[#This Row],[Darwin Temp.
°C]],Curva_Temp[Temp])+1)</f>
        <v>20</v>
      </c>
      <c r="AB130" s="41" cm="1">
        <f t="array" ref="AB130">INDEX(Curva_Temp[Warranted Power Curve for 
1.194Kg/m3 air density '[kW']
SG 5.0-145 (AM 0, 5.0MW) AT 
90M],MATCH(TBL_CalcDarwin[[#This Row],[Darwin Temp.
°C]],Curva_Temp[Temp])+1)</f>
        <v>5000</v>
      </c>
      <c r="AC130" s="45">
        <f>HLOOKUP(TBL_CalcDarwin[[#This Row],[Fecha]],'Plantilla AEG ES'!$E$1:$HX$13,2,FALSE)</f>
        <v>5</v>
      </c>
      <c r="AD130" s="45">
        <f>HLOOKUP(TBL_CalcDarwin[[#This Row],[Fecha]],'Plantilla AEG ES'!$E$1:$HX$13,3,FALSE)</f>
        <v>7</v>
      </c>
      <c r="AE130" s="45">
        <f>HLOOKUP(TBL_CalcDarwin[[#This Row],[Fecha]],'Plantilla AEG ES'!$E$1:$HX$13,4,FALSE)</f>
        <v>11</v>
      </c>
      <c r="AF130" s="45">
        <f>HLOOKUP(TBL_CalcDarwin[[#This Row],[Fecha]],'Plantilla AEG ES'!$E$1:$HX$13,5,FALSE)</f>
        <v>1</v>
      </c>
      <c r="AG130" s="45">
        <f>HLOOKUP(TBL_CalcDarwin[[#This Row],[Fecha]],'Plantilla AEG ES'!$E$1:$HX$13,6,FALSE)</f>
        <v>1</v>
      </c>
      <c r="AH130" s="45">
        <f>HLOOKUP(TBL_CalcDarwin[[#This Row],[Fecha]],'Plantilla AEG ES'!$E$1:$HX$13,7,FALSE)</f>
        <v>0</v>
      </c>
      <c r="AI130" s="46">
        <f>HLOOKUP(TBL_CalcDarwin[[#This Row],[Fecha]],'Plantilla AEG ES'!$E$1:$HX$13,8,FALSE)</f>
        <v>0</v>
      </c>
      <c r="AJ130" s="46">
        <f>HLOOKUP(TBL_CalcDarwin[[#This Row],[Fecha]],'Plantilla AEG ES'!$E$1:$HX$13,9,FALSE)</f>
        <v>3</v>
      </c>
      <c r="AK130" s="46">
        <f>HLOOKUP(TBL_CalcDarwin[[#This Row],[Fecha]],'Plantilla AEG ES'!$E$1:$HX$13,10,FALSE)</f>
        <v>12</v>
      </c>
      <c r="AL130" s="46">
        <f>HLOOKUP(TBL_CalcDarwin[[#This Row],[Fecha]],'Plantilla AEG ES'!$E$1:$HX$13,11,FALSE)</f>
        <v>1</v>
      </c>
      <c r="AM130" s="46">
        <f>HLOOKUP(TBL_CalcDarwin[[#This Row],[Fecha]],'Plantilla AEG ES'!$E$1:$HX$13,12,FALSE)</f>
        <v>7</v>
      </c>
      <c r="AN130" s="46">
        <f>HLOOKUP(TBL_CalcDarwin[[#This Row],[Fecha]],'Plantilla AEG ES'!$E$1:$HX$13,13,FALSE)</f>
        <v>1</v>
      </c>
      <c r="AO130" s="37">
        <f>TBL_CalcDarwin[[#This Row],[Lomitas - Barra A - 5.2 - Cerro]]+TBL_CalcDarwin[[#This Row],[Lomitas - Barra A - 5.2 - Medio]]+TBL_CalcDarwin[[#This Row],[Lomitas - Barra A - 5.2 - Mar]]</f>
        <v>23</v>
      </c>
      <c r="AP13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3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30" s="37">
        <f>TBL_CalcDarwin[[#This Row],[Expansión - Barra A - 5.2 - Cerro]]+TBL_CalcDarwin[[#This Row],[Expansión - Barra A - 5.2 - Medio]]+TBL_CalcDarwin[[#This Row],[Expansión - Barra A - 5.2 - Mar]]</f>
        <v>2</v>
      </c>
      <c r="AT130" s="37">
        <f>TBL_CalcDarwin[[#This Row],[Expansión - Barra B - 5.2 - Cerro]]</f>
        <v>1</v>
      </c>
      <c r="AU13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30" s="29">
        <f>TBL_CalcDarwin[[#This Row],[Expansión - Barra B - 5.2 - Cerro]]*TBL_CalcDarwin[[#This Row],[AEG 5.2 MW Cerro]]</f>
        <v>0.54700000000000004</v>
      </c>
      <c r="AZ130" s="18"/>
      <c r="BA130" s="18"/>
      <c r="BB130" s="18"/>
      <c r="BC130" s="18"/>
      <c r="BD130" s="18"/>
      <c r="BE130" s="18"/>
      <c r="BF130" s="18"/>
    </row>
    <row r="131" spans="2:58" ht="12" x14ac:dyDescent="0.2">
      <c r="B131" s="55">
        <f t="shared" si="6"/>
        <v>45618.374999999694</v>
      </c>
      <c r="C131" s="17">
        <f t="shared" si="12"/>
        <v>5.3750000000000036</v>
      </c>
      <c r="D131" s="34">
        <f>TBL_CalcDarwin[[#This Row],[Darwin PLOM
MW]]+TBL_CalcDarwin[[#This Row],[Darwin PLOME
MW]]</f>
        <v>97.623000000000005</v>
      </c>
      <c r="E131" s="34">
        <f>TBL_CalcDarwin[[#This Row],[PLOM MW TOTAL BARRA A]]+TBL_CalcDarwin[[#This Row],[PLOM MW TOTAL BARRA B]]</f>
        <v>94.06</v>
      </c>
      <c r="F131" s="34">
        <f>TBL_CalcDarwin[[#This Row],[PLOME MW TOTAL BARRA A]]+TBL_CalcDarwin[[#This Row],[PLOME MW TOTAL BARRA B]]</f>
        <v>3.5630000000000002</v>
      </c>
      <c r="G131" s="48">
        <f>'Plantilla Datos'!D136</f>
        <v>6.1</v>
      </c>
      <c r="H131" s="48">
        <f>'Plantilla Datos'!E136</f>
        <v>7.7</v>
      </c>
      <c r="I131" s="49">
        <f>'Plantilla Datos'!F136</f>
        <v>18.3</v>
      </c>
      <c r="J131" s="47">
        <f>CEILING('Plantilla Datos'!$L$3*TBL_CalcDarwin[[#This Row],[Darwin Gusts
m/s]],0.5)</f>
        <v>6</v>
      </c>
      <c r="K131" s="47">
        <f>CEILING('Plantilla Datos'!$L$4*TBL_CalcDarwin[[#This Row],[Darwin Gusts
m/s]],0.5)</f>
        <v>7</v>
      </c>
      <c r="L131" s="47">
        <f>CEILING(TBL_CalcDarwin[[#This Row],[Darwin Gusts
m/s]],0.5)</f>
        <v>8</v>
      </c>
      <c r="M13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5.0679999999999996</v>
      </c>
      <c r="N13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3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3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31" s="41">
        <f>INDEX(Curva_Temp[Temp],MATCH(TBL_CalcDarwin[[#This Row],[Darwin Temp.
°C]],Curva_Temp[Temp]))</f>
        <v>15</v>
      </c>
      <c r="R131" s="41">
        <f>INDEX(Curva_Temp[Warranted Power Curve for 
1.194Kg/m3 air density '[kW']
SG 5.0-145 (AM+1, 5.2MW) AT 
90M],MATCH(TBL_CalcDarwin[[#This Row],[Darwin Temp.
°C]],Curva_Temp[Temp]))</f>
        <v>5200</v>
      </c>
      <c r="S131" s="41" cm="1">
        <f t="array" ref="S131">INDEX(Curva_Temp[Temp],MATCH(TBL_CalcDarwin[[#This Row],[Darwin Temp.
°C]],Curva_Temp[Temp])+1)</f>
        <v>20</v>
      </c>
      <c r="T131" s="41" cm="1">
        <f t="array" ref="T131">INDEX(Curva_Temp[Warranted Power Curve for 
1.194Kg/m3 air density '[kW']
SG 5.0-145 (AM+1, 5.2MW) AT 
90M],MATCH(TBL_CalcDarwin[[#This Row],[Darwin Temp.
°C]],Curva_Temp[Temp])+1)</f>
        <v>5000</v>
      </c>
      <c r="U13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3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3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31" s="41">
        <f>INDEX(Curva_Temp[Temp],MATCH(TBL_CalcDarwin[[#This Row],[Darwin Temp.
°C]],Curva_Temp[Temp]))</f>
        <v>15</v>
      </c>
      <c r="Z131" s="41">
        <f>INDEX(Curva_Temp[Warranted Power Curve for 
1.194Kg/m3 air density '[kW']
SG 5.0-145 (AM 0, 5.0MW) AT 
90M],MATCH(TBL_CalcDarwin[[#This Row],[Darwin Temp.
°C]],Curva_Temp[Temp]))</f>
        <v>5000</v>
      </c>
      <c r="AA131" s="41" cm="1">
        <f t="array" ref="AA131">INDEX(Curva_Temp[Temp],MATCH(TBL_CalcDarwin[[#This Row],[Darwin Temp.
°C]],Curva_Temp[Temp])+1)</f>
        <v>20</v>
      </c>
      <c r="AB131" s="41" cm="1">
        <f t="array" ref="AB131">INDEX(Curva_Temp[Warranted Power Curve for 
1.194Kg/m3 air density '[kW']
SG 5.0-145 (AM 0, 5.0MW) AT 
90M],MATCH(TBL_CalcDarwin[[#This Row],[Darwin Temp.
°C]],Curva_Temp[Temp])+1)</f>
        <v>5000</v>
      </c>
      <c r="AC131" s="45">
        <f>HLOOKUP(TBL_CalcDarwin[[#This Row],[Fecha]],'Plantilla AEG ES'!$E$1:$HX$13,2,FALSE)</f>
        <v>5</v>
      </c>
      <c r="AD131" s="45">
        <f>HLOOKUP(TBL_CalcDarwin[[#This Row],[Fecha]],'Plantilla AEG ES'!$E$1:$HX$13,3,FALSE)</f>
        <v>7</v>
      </c>
      <c r="AE131" s="45">
        <f>HLOOKUP(TBL_CalcDarwin[[#This Row],[Fecha]],'Plantilla AEG ES'!$E$1:$HX$13,4,FALSE)</f>
        <v>11</v>
      </c>
      <c r="AF131" s="45">
        <f>HLOOKUP(TBL_CalcDarwin[[#This Row],[Fecha]],'Plantilla AEG ES'!$E$1:$HX$13,5,FALSE)</f>
        <v>1</v>
      </c>
      <c r="AG131" s="45">
        <f>HLOOKUP(TBL_CalcDarwin[[#This Row],[Fecha]],'Plantilla AEG ES'!$E$1:$HX$13,6,FALSE)</f>
        <v>1</v>
      </c>
      <c r="AH131" s="45">
        <f>HLOOKUP(TBL_CalcDarwin[[#This Row],[Fecha]],'Plantilla AEG ES'!$E$1:$HX$13,7,FALSE)</f>
        <v>0</v>
      </c>
      <c r="AI131" s="46">
        <f>HLOOKUP(TBL_CalcDarwin[[#This Row],[Fecha]],'Plantilla AEG ES'!$E$1:$HX$13,8,FALSE)</f>
        <v>0</v>
      </c>
      <c r="AJ131" s="46">
        <f>HLOOKUP(TBL_CalcDarwin[[#This Row],[Fecha]],'Plantilla AEG ES'!$E$1:$HX$13,9,FALSE)</f>
        <v>3</v>
      </c>
      <c r="AK131" s="46">
        <f>HLOOKUP(TBL_CalcDarwin[[#This Row],[Fecha]],'Plantilla AEG ES'!$E$1:$HX$13,10,FALSE)</f>
        <v>12</v>
      </c>
      <c r="AL131" s="46">
        <f>HLOOKUP(TBL_CalcDarwin[[#This Row],[Fecha]],'Plantilla AEG ES'!$E$1:$HX$13,11,FALSE)</f>
        <v>1</v>
      </c>
      <c r="AM131" s="46">
        <f>HLOOKUP(TBL_CalcDarwin[[#This Row],[Fecha]],'Plantilla AEG ES'!$E$1:$HX$13,12,FALSE)</f>
        <v>7</v>
      </c>
      <c r="AN131" s="46">
        <f>HLOOKUP(TBL_CalcDarwin[[#This Row],[Fecha]],'Plantilla AEG ES'!$E$1:$HX$13,13,FALSE)</f>
        <v>1</v>
      </c>
      <c r="AO131" s="37">
        <f>TBL_CalcDarwin[[#This Row],[Lomitas - Barra A - 5.2 - Cerro]]+TBL_CalcDarwin[[#This Row],[Lomitas - Barra A - 5.2 - Medio]]+TBL_CalcDarwin[[#This Row],[Lomitas - Barra A - 5.2 - Mar]]</f>
        <v>23</v>
      </c>
      <c r="AP13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3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31" s="37">
        <f>TBL_CalcDarwin[[#This Row],[Expansión - Barra A - 5.2 - Cerro]]+TBL_CalcDarwin[[#This Row],[Expansión - Barra A - 5.2 - Medio]]+TBL_CalcDarwin[[#This Row],[Expansión - Barra A - 5.2 - Mar]]</f>
        <v>2</v>
      </c>
      <c r="AT131" s="37">
        <f>TBL_CalcDarwin[[#This Row],[Expansión - Barra B - 5.2 - Cerro]]</f>
        <v>1</v>
      </c>
      <c r="AU13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31" s="29">
        <f>TBL_CalcDarwin[[#This Row],[Expansión - Barra B - 5.2 - Cerro]]*TBL_CalcDarwin[[#This Row],[AEG 5.2 MW Cerro]]</f>
        <v>0.98299999999999998</v>
      </c>
      <c r="AZ131" s="18"/>
      <c r="BA131" s="18"/>
      <c r="BB131" s="18"/>
      <c r="BC131" s="18"/>
      <c r="BD131" s="18"/>
      <c r="BE131" s="18"/>
      <c r="BF131" s="18"/>
    </row>
    <row r="132" spans="2:58" ht="12" x14ac:dyDescent="0.2">
      <c r="B132" s="55">
        <f t="shared" si="6"/>
        <v>45618.416666666359</v>
      </c>
      <c r="C132" s="17">
        <f t="shared" si="12"/>
        <v>5.4166666666666705</v>
      </c>
      <c r="D132" s="34">
        <f>TBL_CalcDarwin[[#This Row],[Darwin PLOM
MW]]+TBL_CalcDarwin[[#This Row],[Darwin PLOME
MW]]</f>
        <v>118.092</v>
      </c>
      <c r="E132" s="34">
        <f>TBL_CalcDarwin[[#This Row],[PLOM MW TOTAL BARRA A]]+TBL_CalcDarwin[[#This Row],[PLOM MW TOTAL BARRA B]]</f>
        <v>113.58199999999999</v>
      </c>
      <c r="F132" s="34">
        <f>TBL_CalcDarwin[[#This Row],[PLOME MW TOTAL BARRA A]]+TBL_CalcDarwin[[#This Row],[PLOME MW TOTAL BARRA B]]</f>
        <v>4.51</v>
      </c>
      <c r="G132" s="48">
        <f>'Plantilla Datos'!D137</f>
        <v>6.7</v>
      </c>
      <c r="H132" s="48">
        <f>'Plantilla Datos'!E137</f>
        <v>8.5</v>
      </c>
      <c r="I132" s="49">
        <f>'Plantilla Datos'!F137</f>
        <v>18.8</v>
      </c>
      <c r="J132" s="47">
        <f>CEILING('Plantilla Datos'!$L$3*TBL_CalcDarwin[[#This Row],[Darwin Gusts
m/s]],0.5)</f>
        <v>6.5</v>
      </c>
      <c r="K132" s="47">
        <f>CEILING('Plantilla Datos'!$L$4*TBL_CalcDarwin[[#This Row],[Darwin Gusts
m/s]],0.5)</f>
        <v>7.5</v>
      </c>
      <c r="L132" s="47">
        <f>CEILING(TBL_CalcDarwin[[#This Row],[Darwin Gusts
m/s]],0.5)</f>
        <v>8.5</v>
      </c>
      <c r="M13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5.048</v>
      </c>
      <c r="N13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3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3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32" s="41">
        <f>INDEX(Curva_Temp[Temp],MATCH(TBL_CalcDarwin[[#This Row],[Darwin Temp.
°C]],Curva_Temp[Temp]))</f>
        <v>15</v>
      </c>
      <c r="R132" s="41">
        <f>INDEX(Curva_Temp[Warranted Power Curve for 
1.194Kg/m3 air density '[kW']
SG 5.0-145 (AM+1, 5.2MW) AT 
90M],MATCH(TBL_CalcDarwin[[#This Row],[Darwin Temp.
°C]],Curva_Temp[Temp]))</f>
        <v>5200</v>
      </c>
      <c r="S132" s="41" cm="1">
        <f t="array" ref="S132">INDEX(Curva_Temp[Temp],MATCH(TBL_CalcDarwin[[#This Row],[Darwin Temp.
°C]],Curva_Temp[Temp])+1)</f>
        <v>20</v>
      </c>
      <c r="T132" s="41" cm="1">
        <f t="array" ref="T132">INDEX(Curva_Temp[Warranted Power Curve for 
1.194Kg/m3 air density '[kW']
SG 5.0-145 (AM+1, 5.2MW) AT 
90M],MATCH(TBL_CalcDarwin[[#This Row],[Darwin Temp.
°C]],Curva_Temp[Temp])+1)</f>
        <v>5000</v>
      </c>
      <c r="U13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3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3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32" s="41">
        <f>INDEX(Curva_Temp[Temp],MATCH(TBL_CalcDarwin[[#This Row],[Darwin Temp.
°C]],Curva_Temp[Temp]))</f>
        <v>15</v>
      </c>
      <c r="Z132" s="41">
        <f>INDEX(Curva_Temp[Warranted Power Curve for 
1.194Kg/m3 air density '[kW']
SG 5.0-145 (AM 0, 5.0MW) AT 
90M],MATCH(TBL_CalcDarwin[[#This Row],[Darwin Temp.
°C]],Curva_Temp[Temp]))</f>
        <v>5000</v>
      </c>
      <c r="AA132" s="41" cm="1">
        <f t="array" ref="AA132">INDEX(Curva_Temp[Temp],MATCH(TBL_CalcDarwin[[#This Row],[Darwin Temp.
°C]],Curva_Temp[Temp])+1)</f>
        <v>20</v>
      </c>
      <c r="AB132" s="41" cm="1">
        <f t="array" ref="AB132">INDEX(Curva_Temp[Warranted Power Curve for 
1.194Kg/m3 air density '[kW']
SG 5.0-145 (AM 0, 5.0MW) AT 
90M],MATCH(TBL_CalcDarwin[[#This Row],[Darwin Temp.
°C]],Curva_Temp[Temp])+1)</f>
        <v>5000</v>
      </c>
      <c r="AC132" s="45">
        <f>HLOOKUP(TBL_CalcDarwin[[#This Row],[Fecha]],'Plantilla AEG ES'!$E$1:$HX$13,2,FALSE)</f>
        <v>5</v>
      </c>
      <c r="AD132" s="45">
        <f>HLOOKUP(TBL_CalcDarwin[[#This Row],[Fecha]],'Plantilla AEG ES'!$E$1:$HX$13,3,FALSE)</f>
        <v>7</v>
      </c>
      <c r="AE132" s="45">
        <f>HLOOKUP(TBL_CalcDarwin[[#This Row],[Fecha]],'Plantilla AEG ES'!$E$1:$HX$13,4,FALSE)</f>
        <v>11</v>
      </c>
      <c r="AF132" s="45">
        <f>HLOOKUP(TBL_CalcDarwin[[#This Row],[Fecha]],'Plantilla AEG ES'!$E$1:$HX$13,5,FALSE)</f>
        <v>1</v>
      </c>
      <c r="AG132" s="45">
        <f>HLOOKUP(TBL_CalcDarwin[[#This Row],[Fecha]],'Plantilla AEG ES'!$E$1:$HX$13,6,FALSE)</f>
        <v>1</v>
      </c>
      <c r="AH132" s="45">
        <f>HLOOKUP(TBL_CalcDarwin[[#This Row],[Fecha]],'Plantilla AEG ES'!$E$1:$HX$13,7,FALSE)</f>
        <v>0</v>
      </c>
      <c r="AI132" s="46">
        <f>HLOOKUP(TBL_CalcDarwin[[#This Row],[Fecha]],'Plantilla AEG ES'!$E$1:$HX$13,8,FALSE)</f>
        <v>0</v>
      </c>
      <c r="AJ132" s="46">
        <f>HLOOKUP(TBL_CalcDarwin[[#This Row],[Fecha]],'Plantilla AEG ES'!$E$1:$HX$13,9,FALSE)</f>
        <v>3</v>
      </c>
      <c r="AK132" s="46">
        <f>HLOOKUP(TBL_CalcDarwin[[#This Row],[Fecha]],'Plantilla AEG ES'!$E$1:$HX$13,10,FALSE)</f>
        <v>12</v>
      </c>
      <c r="AL132" s="46">
        <f>HLOOKUP(TBL_CalcDarwin[[#This Row],[Fecha]],'Plantilla AEG ES'!$E$1:$HX$13,11,FALSE)</f>
        <v>1</v>
      </c>
      <c r="AM132" s="46">
        <f>HLOOKUP(TBL_CalcDarwin[[#This Row],[Fecha]],'Plantilla AEG ES'!$E$1:$HX$13,12,FALSE)</f>
        <v>7</v>
      </c>
      <c r="AN132" s="46">
        <f>HLOOKUP(TBL_CalcDarwin[[#This Row],[Fecha]],'Plantilla AEG ES'!$E$1:$HX$13,13,FALSE)</f>
        <v>1</v>
      </c>
      <c r="AO132" s="37">
        <f>TBL_CalcDarwin[[#This Row],[Lomitas - Barra A - 5.2 - Cerro]]+TBL_CalcDarwin[[#This Row],[Lomitas - Barra A - 5.2 - Medio]]+TBL_CalcDarwin[[#This Row],[Lomitas - Barra A - 5.2 - Mar]]</f>
        <v>23</v>
      </c>
      <c r="AP13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51.834000000000003</v>
      </c>
      <c r="AR13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32" s="37">
        <f>TBL_CalcDarwin[[#This Row],[Expansión - Barra A - 5.2 - Cerro]]+TBL_CalcDarwin[[#This Row],[Expansión - Barra A - 5.2 - Medio]]+TBL_CalcDarwin[[#This Row],[Expansión - Barra A - 5.2 - Mar]]</f>
        <v>2</v>
      </c>
      <c r="AT132" s="37">
        <f>TBL_CalcDarwin[[#This Row],[Expansión - Barra B - 5.2 - Cerro]]</f>
        <v>1</v>
      </c>
      <c r="AU13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32" s="29">
        <f>TBL_CalcDarwin[[#This Row],[Expansión - Barra B - 5.2 - Cerro]]*TBL_CalcDarwin[[#This Row],[AEG 5.2 MW Cerro]]</f>
        <v>1.266</v>
      </c>
      <c r="AZ132" s="18"/>
      <c r="BA132" s="18"/>
      <c r="BB132" s="18"/>
      <c r="BC132" s="18"/>
      <c r="BD132" s="18"/>
      <c r="BE132" s="18"/>
      <c r="BF132" s="18"/>
    </row>
    <row r="133" spans="2:58" ht="12" x14ac:dyDescent="0.2">
      <c r="B133" s="55">
        <f t="shared" si="6"/>
        <v>45618.458333333023</v>
      </c>
      <c r="C133" s="17">
        <f t="shared" si="12"/>
        <v>5.4583333333333375</v>
      </c>
      <c r="D133" s="34">
        <f>TBL_CalcDarwin[[#This Row],[Darwin PLOM
MW]]+TBL_CalcDarwin[[#This Row],[Darwin PLOME
MW]]</f>
        <v>160.476</v>
      </c>
      <c r="E133" s="34">
        <f>TBL_CalcDarwin[[#This Row],[PLOM MW TOTAL BARRA A]]+TBL_CalcDarwin[[#This Row],[PLOM MW TOTAL BARRA B]]</f>
        <v>154.87299999999999</v>
      </c>
      <c r="F133" s="34">
        <f>TBL_CalcDarwin[[#This Row],[PLOME MW TOTAL BARRA A]]+TBL_CalcDarwin[[#This Row],[PLOME MW TOTAL BARRA B]]</f>
        <v>5.6029999999999998</v>
      </c>
      <c r="G133" s="48">
        <f>'Plantilla Datos'!D138</f>
        <v>7.3</v>
      </c>
      <c r="H133" s="48">
        <f>'Plantilla Datos'!E138</f>
        <v>9.1999999999999993</v>
      </c>
      <c r="I133" s="49">
        <f>'Plantilla Datos'!F138</f>
        <v>19.2</v>
      </c>
      <c r="J133" s="47">
        <f>CEILING('Plantilla Datos'!$L$3*TBL_CalcDarwin[[#This Row],[Darwin Gusts
m/s]],0.5)</f>
        <v>7</v>
      </c>
      <c r="K133" s="47">
        <f>CEILING('Plantilla Datos'!$L$4*TBL_CalcDarwin[[#This Row],[Darwin Gusts
m/s]],0.5)</f>
        <v>8</v>
      </c>
      <c r="L133" s="47">
        <f>CEILING(TBL_CalcDarwin[[#This Row],[Darwin Gusts
m/s]],0.5)</f>
        <v>9.5</v>
      </c>
      <c r="M13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5.032</v>
      </c>
      <c r="N13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3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3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33" s="41">
        <f>INDEX(Curva_Temp[Temp],MATCH(TBL_CalcDarwin[[#This Row],[Darwin Temp.
°C]],Curva_Temp[Temp]))</f>
        <v>15</v>
      </c>
      <c r="R133" s="41">
        <f>INDEX(Curva_Temp[Warranted Power Curve for 
1.194Kg/m3 air density '[kW']
SG 5.0-145 (AM+1, 5.2MW) AT 
90M],MATCH(TBL_CalcDarwin[[#This Row],[Darwin Temp.
°C]],Curva_Temp[Temp]))</f>
        <v>5200</v>
      </c>
      <c r="S133" s="41" cm="1">
        <f t="array" ref="S133">INDEX(Curva_Temp[Temp],MATCH(TBL_CalcDarwin[[#This Row],[Darwin Temp.
°C]],Curva_Temp[Temp])+1)</f>
        <v>20</v>
      </c>
      <c r="T133" s="41" cm="1">
        <f t="array" ref="T133">INDEX(Curva_Temp[Warranted Power Curve for 
1.194Kg/m3 air density '[kW']
SG 5.0-145 (AM+1, 5.2MW) AT 
90M],MATCH(TBL_CalcDarwin[[#This Row],[Darwin Temp.
°C]],Curva_Temp[Temp])+1)</f>
        <v>5000</v>
      </c>
      <c r="U13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3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3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33" s="41">
        <f>INDEX(Curva_Temp[Temp],MATCH(TBL_CalcDarwin[[#This Row],[Darwin Temp.
°C]],Curva_Temp[Temp]))</f>
        <v>15</v>
      </c>
      <c r="Z133" s="41">
        <f>INDEX(Curva_Temp[Warranted Power Curve for 
1.194Kg/m3 air density '[kW']
SG 5.0-145 (AM 0, 5.0MW) AT 
90M],MATCH(TBL_CalcDarwin[[#This Row],[Darwin Temp.
°C]],Curva_Temp[Temp]))</f>
        <v>5000</v>
      </c>
      <c r="AA133" s="41" cm="1">
        <f t="array" ref="AA133">INDEX(Curva_Temp[Temp],MATCH(TBL_CalcDarwin[[#This Row],[Darwin Temp.
°C]],Curva_Temp[Temp])+1)</f>
        <v>20</v>
      </c>
      <c r="AB133" s="41" cm="1">
        <f t="array" ref="AB133">INDEX(Curva_Temp[Warranted Power Curve for 
1.194Kg/m3 air density '[kW']
SG 5.0-145 (AM 0, 5.0MW) AT 
90M],MATCH(TBL_CalcDarwin[[#This Row],[Darwin Temp.
°C]],Curva_Temp[Temp])+1)</f>
        <v>5000</v>
      </c>
      <c r="AC133" s="45">
        <f>HLOOKUP(TBL_CalcDarwin[[#This Row],[Fecha]],'Plantilla AEG ES'!$E$1:$HX$13,2,FALSE)</f>
        <v>5</v>
      </c>
      <c r="AD133" s="45">
        <f>HLOOKUP(TBL_CalcDarwin[[#This Row],[Fecha]],'Plantilla AEG ES'!$E$1:$HX$13,3,FALSE)</f>
        <v>8</v>
      </c>
      <c r="AE133" s="45">
        <f>HLOOKUP(TBL_CalcDarwin[[#This Row],[Fecha]],'Plantilla AEG ES'!$E$1:$HX$13,4,FALSE)</f>
        <v>12</v>
      </c>
      <c r="AF133" s="45">
        <f>HLOOKUP(TBL_CalcDarwin[[#This Row],[Fecha]],'Plantilla AEG ES'!$E$1:$HX$13,5,FALSE)</f>
        <v>1</v>
      </c>
      <c r="AG133" s="45">
        <f>HLOOKUP(TBL_CalcDarwin[[#This Row],[Fecha]],'Plantilla AEG ES'!$E$1:$HX$13,6,FALSE)</f>
        <v>1</v>
      </c>
      <c r="AH133" s="45">
        <f>HLOOKUP(TBL_CalcDarwin[[#This Row],[Fecha]],'Plantilla AEG ES'!$E$1:$HX$13,7,FALSE)</f>
        <v>0</v>
      </c>
      <c r="AI133" s="46">
        <f>HLOOKUP(TBL_CalcDarwin[[#This Row],[Fecha]],'Plantilla AEG ES'!$E$1:$HX$13,8,FALSE)</f>
        <v>0</v>
      </c>
      <c r="AJ133" s="46">
        <f>HLOOKUP(TBL_CalcDarwin[[#This Row],[Fecha]],'Plantilla AEG ES'!$E$1:$HX$13,9,FALSE)</f>
        <v>3</v>
      </c>
      <c r="AK133" s="46">
        <f>HLOOKUP(TBL_CalcDarwin[[#This Row],[Fecha]],'Plantilla AEG ES'!$E$1:$HX$13,10,FALSE)</f>
        <v>12</v>
      </c>
      <c r="AL133" s="46">
        <f>HLOOKUP(TBL_CalcDarwin[[#This Row],[Fecha]],'Plantilla AEG ES'!$E$1:$HX$13,11,FALSE)</f>
        <v>1</v>
      </c>
      <c r="AM133" s="46">
        <f>HLOOKUP(TBL_CalcDarwin[[#This Row],[Fecha]],'Plantilla AEG ES'!$E$1:$HX$13,12,FALSE)</f>
        <v>7</v>
      </c>
      <c r="AN133" s="46">
        <f>HLOOKUP(TBL_CalcDarwin[[#This Row],[Fecha]],'Plantilla AEG ES'!$E$1:$HX$13,13,FALSE)</f>
        <v>1</v>
      </c>
      <c r="AO133" s="37">
        <f>TBL_CalcDarwin[[#This Row],[Lomitas - Barra A - 5.2 - Cerro]]+TBL_CalcDarwin[[#This Row],[Lomitas - Barra A - 5.2 - Medio]]+TBL_CalcDarwin[[#This Row],[Lomitas - Barra A - 5.2 - Mar]]</f>
        <v>25</v>
      </c>
      <c r="AP13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13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33" s="37">
        <f>TBL_CalcDarwin[[#This Row],[Expansión - Barra A - 5.2 - Cerro]]+TBL_CalcDarwin[[#This Row],[Expansión - Barra A - 5.2 - Medio]]+TBL_CalcDarwin[[#This Row],[Expansión - Barra A - 5.2 - Mar]]</f>
        <v>2</v>
      </c>
      <c r="AT133" s="37">
        <f>TBL_CalcDarwin[[#This Row],[Expansión - Barra B - 5.2 - Cerro]]</f>
        <v>1</v>
      </c>
      <c r="AU13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33" s="29">
        <f>TBL_CalcDarwin[[#This Row],[Expansión - Barra B - 5.2 - Cerro]]*TBL_CalcDarwin[[#This Row],[AEG 5.2 MW Cerro]]</f>
        <v>1.597</v>
      </c>
      <c r="AZ133" s="18"/>
      <c r="BA133" s="18"/>
      <c r="BB133" s="18"/>
      <c r="BC133" s="18"/>
      <c r="BD133" s="18"/>
      <c r="BE133" s="18"/>
      <c r="BF133" s="18"/>
    </row>
    <row r="134" spans="2:58" ht="12" x14ac:dyDescent="0.2">
      <c r="B134" s="55">
        <f t="shared" ref="B134:B197" si="13">B133+TIME(1,0,0)</f>
        <v>45618.499999999687</v>
      </c>
      <c r="C134" s="17">
        <f t="shared" si="12"/>
        <v>5.5000000000000044</v>
      </c>
      <c r="D134" s="34">
        <f>TBL_CalcDarwin[[#This Row],[Darwin PLOM
MW]]+TBL_CalcDarwin[[#This Row],[Darwin PLOME
MW]]</f>
        <v>188.511</v>
      </c>
      <c r="E134" s="34">
        <f>TBL_CalcDarwin[[#This Row],[PLOM MW TOTAL BARRA A]]+TBL_CalcDarwin[[#This Row],[PLOM MW TOTAL BARRA B]]</f>
        <v>181.18899999999999</v>
      </c>
      <c r="F134" s="34">
        <f>TBL_CalcDarwin[[#This Row],[PLOME MW TOTAL BARRA A]]+TBL_CalcDarwin[[#This Row],[PLOME MW TOTAL BARRA B]]</f>
        <v>7.3220000000000001</v>
      </c>
      <c r="G134" s="48">
        <f>'Plantilla Datos'!D139</f>
        <v>8</v>
      </c>
      <c r="H134" s="48">
        <f>'Plantilla Datos'!E139</f>
        <v>10</v>
      </c>
      <c r="I134" s="49">
        <f>'Plantilla Datos'!F139</f>
        <v>19.7</v>
      </c>
      <c r="J134" s="47">
        <f>CEILING('Plantilla Datos'!$L$3*TBL_CalcDarwin[[#This Row],[Darwin Gusts
m/s]],0.5)</f>
        <v>7.5</v>
      </c>
      <c r="K134" s="47">
        <f>CEILING('Plantilla Datos'!$L$4*TBL_CalcDarwin[[#This Row],[Darwin Gusts
m/s]],0.5)</f>
        <v>9</v>
      </c>
      <c r="L134" s="47">
        <f>CEILING(TBL_CalcDarwin[[#This Row],[Darwin Gusts
m/s]],0.5)</f>
        <v>10</v>
      </c>
      <c r="M13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5.0119999999999996</v>
      </c>
      <c r="N13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3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3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34" s="41">
        <f>INDEX(Curva_Temp[Temp],MATCH(TBL_CalcDarwin[[#This Row],[Darwin Temp.
°C]],Curva_Temp[Temp]))</f>
        <v>15</v>
      </c>
      <c r="R134" s="41">
        <f>INDEX(Curva_Temp[Warranted Power Curve for 
1.194Kg/m3 air density '[kW']
SG 5.0-145 (AM+1, 5.2MW) AT 
90M],MATCH(TBL_CalcDarwin[[#This Row],[Darwin Temp.
°C]],Curva_Temp[Temp]))</f>
        <v>5200</v>
      </c>
      <c r="S134" s="41" cm="1">
        <f t="array" ref="S134">INDEX(Curva_Temp[Temp],MATCH(TBL_CalcDarwin[[#This Row],[Darwin Temp.
°C]],Curva_Temp[Temp])+1)</f>
        <v>20</v>
      </c>
      <c r="T134" s="41" cm="1">
        <f t="array" ref="T134">INDEX(Curva_Temp[Warranted Power Curve for 
1.194Kg/m3 air density '[kW']
SG 5.0-145 (AM+1, 5.2MW) AT 
90M],MATCH(TBL_CalcDarwin[[#This Row],[Darwin Temp.
°C]],Curva_Temp[Temp])+1)</f>
        <v>5000</v>
      </c>
      <c r="U13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3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3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34" s="41">
        <f>INDEX(Curva_Temp[Temp],MATCH(TBL_CalcDarwin[[#This Row],[Darwin Temp.
°C]],Curva_Temp[Temp]))</f>
        <v>15</v>
      </c>
      <c r="Z134" s="41">
        <f>INDEX(Curva_Temp[Warranted Power Curve for 
1.194Kg/m3 air density '[kW']
SG 5.0-145 (AM 0, 5.0MW) AT 
90M],MATCH(TBL_CalcDarwin[[#This Row],[Darwin Temp.
°C]],Curva_Temp[Temp]))</f>
        <v>5000</v>
      </c>
      <c r="AA134" s="41" cm="1">
        <f t="array" ref="AA134">INDEX(Curva_Temp[Temp],MATCH(TBL_CalcDarwin[[#This Row],[Darwin Temp.
°C]],Curva_Temp[Temp])+1)</f>
        <v>20</v>
      </c>
      <c r="AB134" s="41" cm="1">
        <f t="array" ref="AB134">INDEX(Curva_Temp[Warranted Power Curve for 
1.194Kg/m3 air density '[kW']
SG 5.0-145 (AM 0, 5.0MW) AT 
90M],MATCH(TBL_CalcDarwin[[#This Row],[Darwin Temp.
°C]],Curva_Temp[Temp])+1)</f>
        <v>5000</v>
      </c>
      <c r="AC134" s="45">
        <f>HLOOKUP(TBL_CalcDarwin[[#This Row],[Fecha]],'Plantilla AEG ES'!$E$1:$HX$13,2,FALSE)</f>
        <v>5</v>
      </c>
      <c r="AD134" s="45">
        <f>HLOOKUP(TBL_CalcDarwin[[#This Row],[Fecha]],'Plantilla AEG ES'!$E$1:$HX$13,3,FALSE)</f>
        <v>8</v>
      </c>
      <c r="AE134" s="45">
        <f>HLOOKUP(TBL_CalcDarwin[[#This Row],[Fecha]],'Plantilla AEG ES'!$E$1:$HX$13,4,FALSE)</f>
        <v>12</v>
      </c>
      <c r="AF134" s="45">
        <f>HLOOKUP(TBL_CalcDarwin[[#This Row],[Fecha]],'Plantilla AEG ES'!$E$1:$HX$13,5,FALSE)</f>
        <v>1</v>
      </c>
      <c r="AG134" s="45">
        <f>HLOOKUP(TBL_CalcDarwin[[#This Row],[Fecha]],'Plantilla AEG ES'!$E$1:$HX$13,6,FALSE)</f>
        <v>1</v>
      </c>
      <c r="AH134" s="45">
        <f>HLOOKUP(TBL_CalcDarwin[[#This Row],[Fecha]],'Plantilla AEG ES'!$E$1:$HX$13,7,FALSE)</f>
        <v>0</v>
      </c>
      <c r="AI134" s="46">
        <f>HLOOKUP(TBL_CalcDarwin[[#This Row],[Fecha]],'Plantilla AEG ES'!$E$1:$HX$13,8,FALSE)</f>
        <v>0</v>
      </c>
      <c r="AJ134" s="46">
        <f>HLOOKUP(TBL_CalcDarwin[[#This Row],[Fecha]],'Plantilla AEG ES'!$E$1:$HX$13,9,FALSE)</f>
        <v>3</v>
      </c>
      <c r="AK134" s="46">
        <f>HLOOKUP(TBL_CalcDarwin[[#This Row],[Fecha]],'Plantilla AEG ES'!$E$1:$HX$13,10,FALSE)</f>
        <v>12</v>
      </c>
      <c r="AL134" s="46">
        <f>HLOOKUP(TBL_CalcDarwin[[#This Row],[Fecha]],'Plantilla AEG ES'!$E$1:$HX$13,11,FALSE)</f>
        <v>1</v>
      </c>
      <c r="AM134" s="46">
        <f>HLOOKUP(TBL_CalcDarwin[[#This Row],[Fecha]],'Plantilla AEG ES'!$E$1:$HX$13,12,FALSE)</f>
        <v>7</v>
      </c>
      <c r="AN134" s="46">
        <f>HLOOKUP(TBL_CalcDarwin[[#This Row],[Fecha]],'Plantilla AEG ES'!$E$1:$HX$13,13,FALSE)</f>
        <v>1</v>
      </c>
      <c r="AO134" s="37">
        <f>TBL_CalcDarwin[[#This Row],[Lomitas - Barra A - 5.2 - Cerro]]+TBL_CalcDarwin[[#This Row],[Lomitas - Barra A - 5.2 - Medio]]+TBL_CalcDarwin[[#This Row],[Lomitas - Barra A - 5.2 - Mar]]</f>
        <v>25</v>
      </c>
      <c r="AP13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88.225999999999999</v>
      </c>
      <c r="AR13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92.962999999999994</v>
      </c>
      <c r="AS134" s="37">
        <f>TBL_CalcDarwin[[#This Row],[Expansión - Barra A - 5.2 - Cerro]]+TBL_CalcDarwin[[#This Row],[Expansión - Barra A - 5.2 - Medio]]+TBL_CalcDarwin[[#This Row],[Expansión - Barra A - 5.2 - Mar]]</f>
        <v>2</v>
      </c>
      <c r="AT134" s="37">
        <f>TBL_CalcDarwin[[#This Row],[Expansión - Barra B - 5.2 - Cerro]]</f>
        <v>1</v>
      </c>
      <c r="AU13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34" s="29">
        <f>TBL_CalcDarwin[[#This Row],[Expansión - Barra B - 5.2 - Cerro]]*TBL_CalcDarwin[[#This Row],[AEG 5.2 MW Cerro]]</f>
        <v>1.978</v>
      </c>
      <c r="AZ134" s="18"/>
      <c r="BA134" s="18"/>
      <c r="BB134" s="18"/>
      <c r="BC134" s="18"/>
      <c r="BD134" s="18"/>
      <c r="BE134" s="18"/>
      <c r="BF134" s="18"/>
    </row>
    <row r="135" spans="2:58" ht="12" x14ac:dyDescent="0.2">
      <c r="B135" s="55">
        <f t="shared" si="13"/>
        <v>45618.541666666351</v>
      </c>
      <c r="C135" s="17">
        <f t="shared" si="12"/>
        <v>5.5416666666666714</v>
      </c>
      <c r="D135" s="34">
        <f>TBL_CalcDarwin[[#This Row],[Darwin PLOM
MW]]+TBL_CalcDarwin[[#This Row],[Darwin PLOME
MW]]</f>
        <v>217.79000000000002</v>
      </c>
      <c r="E135" s="34">
        <f>TBL_CalcDarwin[[#This Row],[PLOM MW TOTAL BARRA A]]+TBL_CalcDarwin[[#This Row],[PLOM MW TOTAL BARRA B]]</f>
        <v>209.13000000000002</v>
      </c>
      <c r="F135" s="34">
        <f>TBL_CalcDarwin[[#This Row],[PLOME MW TOTAL BARRA A]]+TBL_CalcDarwin[[#This Row],[PLOME MW TOTAL BARRA B]]</f>
        <v>8.66</v>
      </c>
      <c r="G135" s="48">
        <f>'Plantilla Datos'!D140</f>
        <v>8.6</v>
      </c>
      <c r="H135" s="48">
        <f>'Plantilla Datos'!E140</f>
        <v>10.7</v>
      </c>
      <c r="I135" s="49">
        <f>'Plantilla Datos'!F140</f>
        <v>20.100000000000001</v>
      </c>
      <c r="J135" s="47">
        <f>CEILING('Plantilla Datos'!$L$3*TBL_CalcDarwin[[#This Row],[Darwin Gusts
m/s]],0.5)</f>
        <v>8</v>
      </c>
      <c r="K135" s="47">
        <f>CEILING('Plantilla Datos'!$L$4*TBL_CalcDarwin[[#This Row],[Darwin Gusts
m/s]],0.5)</f>
        <v>9.5</v>
      </c>
      <c r="L135" s="47">
        <f>CEILING(TBL_CalcDarwin[[#This Row],[Darwin Gusts
m/s]],0.5)</f>
        <v>11</v>
      </c>
      <c r="M13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4.9980000000000002</v>
      </c>
      <c r="N13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3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3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35" s="41">
        <f>INDEX(Curva_Temp[Temp],MATCH(TBL_CalcDarwin[[#This Row],[Darwin Temp.
°C]],Curva_Temp[Temp]))</f>
        <v>20</v>
      </c>
      <c r="R135" s="41">
        <f>INDEX(Curva_Temp[Warranted Power Curve for 
1.194Kg/m3 air density '[kW']
SG 5.0-145 (AM+1, 5.2MW) AT 
90M],MATCH(TBL_CalcDarwin[[#This Row],[Darwin Temp.
°C]],Curva_Temp[Temp]))</f>
        <v>5000</v>
      </c>
      <c r="S135" s="41" cm="1">
        <f t="array" ref="S135">INDEX(Curva_Temp[Temp],MATCH(TBL_CalcDarwin[[#This Row],[Darwin Temp.
°C]],Curva_Temp[Temp])+1)</f>
        <v>25</v>
      </c>
      <c r="T135" s="41" cm="1">
        <f t="array" ref="T135">INDEX(Curva_Temp[Warranted Power Curve for 
1.194Kg/m3 air density '[kW']
SG 5.0-145 (AM+1, 5.2MW) AT 
90M],MATCH(TBL_CalcDarwin[[#This Row],[Darwin Temp.
°C]],Curva_Temp[Temp])+1)</f>
        <v>4900</v>
      </c>
      <c r="U13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4.9980000000000002</v>
      </c>
      <c r="V13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3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3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35" s="41">
        <f>INDEX(Curva_Temp[Temp],MATCH(TBL_CalcDarwin[[#This Row],[Darwin Temp.
°C]],Curva_Temp[Temp]))</f>
        <v>20</v>
      </c>
      <c r="Z135" s="41">
        <f>INDEX(Curva_Temp[Warranted Power Curve for 
1.194Kg/m3 air density '[kW']
SG 5.0-145 (AM 0, 5.0MW) AT 
90M],MATCH(TBL_CalcDarwin[[#This Row],[Darwin Temp.
°C]],Curva_Temp[Temp]))</f>
        <v>5000</v>
      </c>
      <c r="AA135" s="41" cm="1">
        <f t="array" ref="AA135">INDEX(Curva_Temp[Temp],MATCH(TBL_CalcDarwin[[#This Row],[Darwin Temp.
°C]],Curva_Temp[Temp])+1)</f>
        <v>25</v>
      </c>
      <c r="AB135" s="41" cm="1">
        <f t="array" ref="AB135">INDEX(Curva_Temp[Warranted Power Curve for 
1.194Kg/m3 air density '[kW']
SG 5.0-145 (AM 0, 5.0MW) AT 
90M],MATCH(TBL_CalcDarwin[[#This Row],[Darwin Temp.
°C]],Curva_Temp[Temp])+1)</f>
        <v>4900</v>
      </c>
      <c r="AC135" s="45">
        <f>HLOOKUP(TBL_CalcDarwin[[#This Row],[Fecha]],'Plantilla AEG ES'!$E$1:$HX$13,2,FALSE)</f>
        <v>5</v>
      </c>
      <c r="AD135" s="45">
        <f>HLOOKUP(TBL_CalcDarwin[[#This Row],[Fecha]],'Plantilla AEG ES'!$E$1:$HX$13,3,FALSE)</f>
        <v>8</v>
      </c>
      <c r="AE135" s="45">
        <f>HLOOKUP(TBL_CalcDarwin[[#This Row],[Fecha]],'Plantilla AEG ES'!$E$1:$HX$13,4,FALSE)</f>
        <v>12</v>
      </c>
      <c r="AF135" s="45">
        <f>HLOOKUP(TBL_CalcDarwin[[#This Row],[Fecha]],'Plantilla AEG ES'!$E$1:$HX$13,5,FALSE)</f>
        <v>1</v>
      </c>
      <c r="AG135" s="45">
        <f>HLOOKUP(TBL_CalcDarwin[[#This Row],[Fecha]],'Plantilla AEG ES'!$E$1:$HX$13,6,FALSE)</f>
        <v>1</v>
      </c>
      <c r="AH135" s="45">
        <f>HLOOKUP(TBL_CalcDarwin[[#This Row],[Fecha]],'Plantilla AEG ES'!$E$1:$HX$13,7,FALSE)</f>
        <v>0</v>
      </c>
      <c r="AI135" s="46">
        <f>HLOOKUP(TBL_CalcDarwin[[#This Row],[Fecha]],'Plantilla AEG ES'!$E$1:$HX$13,8,FALSE)</f>
        <v>0</v>
      </c>
      <c r="AJ135" s="46">
        <f>HLOOKUP(TBL_CalcDarwin[[#This Row],[Fecha]],'Plantilla AEG ES'!$E$1:$HX$13,9,FALSE)</f>
        <v>3</v>
      </c>
      <c r="AK135" s="46">
        <f>HLOOKUP(TBL_CalcDarwin[[#This Row],[Fecha]],'Plantilla AEG ES'!$E$1:$HX$13,10,FALSE)</f>
        <v>12</v>
      </c>
      <c r="AL135" s="46">
        <f>HLOOKUP(TBL_CalcDarwin[[#This Row],[Fecha]],'Plantilla AEG ES'!$E$1:$HX$13,11,FALSE)</f>
        <v>1</v>
      </c>
      <c r="AM135" s="46">
        <f>HLOOKUP(TBL_CalcDarwin[[#This Row],[Fecha]],'Plantilla AEG ES'!$E$1:$HX$13,12,FALSE)</f>
        <v>7</v>
      </c>
      <c r="AN135" s="46">
        <f>HLOOKUP(TBL_CalcDarwin[[#This Row],[Fecha]],'Plantilla AEG ES'!$E$1:$HX$13,13,FALSE)</f>
        <v>1</v>
      </c>
      <c r="AO135" s="37">
        <f>TBL_CalcDarwin[[#This Row],[Lomitas - Barra A - 5.2 - Cerro]]+TBL_CalcDarwin[[#This Row],[Lomitas - Barra A - 5.2 - Medio]]+TBL_CalcDarwin[[#This Row],[Lomitas - Barra A - 5.2 - Mar]]</f>
        <v>25</v>
      </c>
      <c r="AP13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3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35" s="37">
        <f>TBL_CalcDarwin[[#This Row],[Expansión - Barra A - 5.2 - Cerro]]+TBL_CalcDarwin[[#This Row],[Expansión - Barra A - 5.2 - Medio]]+TBL_CalcDarwin[[#This Row],[Expansión - Barra A - 5.2 - Mar]]</f>
        <v>2</v>
      </c>
      <c r="AT135" s="37">
        <f>TBL_CalcDarwin[[#This Row],[Expansión - Barra B - 5.2 - Cerro]]</f>
        <v>1</v>
      </c>
      <c r="AU13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35" s="29">
        <f>TBL_CalcDarwin[[#This Row],[Expansión - Barra B - 5.2 - Cerro]]*TBL_CalcDarwin[[#This Row],[AEG 5.2 MW Cerro]]</f>
        <v>2.4089999999999998</v>
      </c>
      <c r="AZ135" s="18"/>
      <c r="BA135" s="18"/>
      <c r="BB135" s="18"/>
      <c r="BC135" s="18"/>
      <c r="BD135" s="18"/>
      <c r="BE135" s="18"/>
      <c r="BF135" s="18"/>
    </row>
    <row r="136" spans="2:58" ht="12" x14ac:dyDescent="0.2">
      <c r="B136" s="55">
        <f t="shared" si="13"/>
        <v>45618.583333333016</v>
      </c>
      <c r="C136" s="17">
        <f t="shared" si="12"/>
        <v>5.5833333333333384</v>
      </c>
      <c r="D136" s="34">
        <f>TBL_CalcDarwin[[#This Row],[Darwin PLOM
MW]]+TBL_CalcDarwin[[#This Row],[Darwin PLOME
MW]]</f>
        <v>217.79000000000002</v>
      </c>
      <c r="E136" s="34">
        <f>TBL_CalcDarwin[[#This Row],[PLOM MW TOTAL BARRA A]]+TBL_CalcDarwin[[#This Row],[PLOM MW TOTAL BARRA B]]</f>
        <v>209.13000000000002</v>
      </c>
      <c r="F136" s="34">
        <f>TBL_CalcDarwin[[#This Row],[PLOME MW TOTAL BARRA A]]+TBL_CalcDarwin[[#This Row],[PLOME MW TOTAL BARRA B]]</f>
        <v>8.66</v>
      </c>
      <c r="G136" s="48">
        <f>'Plantilla Datos'!D141</f>
        <v>8.6</v>
      </c>
      <c r="H136" s="48">
        <f>'Plantilla Datos'!E141</f>
        <v>10.8</v>
      </c>
      <c r="I136" s="49">
        <f>'Plantilla Datos'!F141</f>
        <v>19.7</v>
      </c>
      <c r="J136" s="47">
        <f>CEILING('Plantilla Datos'!$L$3*TBL_CalcDarwin[[#This Row],[Darwin Gusts
m/s]],0.5)</f>
        <v>8</v>
      </c>
      <c r="K136" s="47">
        <f>CEILING('Plantilla Datos'!$L$4*TBL_CalcDarwin[[#This Row],[Darwin Gusts
m/s]],0.5)</f>
        <v>9.5</v>
      </c>
      <c r="L136" s="47">
        <f>CEILING(TBL_CalcDarwin[[#This Row],[Darwin Gusts
m/s]],0.5)</f>
        <v>11</v>
      </c>
      <c r="M13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5.0119999999999996</v>
      </c>
      <c r="N13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3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3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36" s="41">
        <f>INDEX(Curva_Temp[Temp],MATCH(TBL_CalcDarwin[[#This Row],[Darwin Temp.
°C]],Curva_Temp[Temp]))</f>
        <v>15</v>
      </c>
      <c r="R136" s="41">
        <f>INDEX(Curva_Temp[Warranted Power Curve for 
1.194Kg/m3 air density '[kW']
SG 5.0-145 (AM+1, 5.2MW) AT 
90M],MATCH(TBL_CalcDarwin[[#This Row],[Darwin Temp.
°C]],Curva_Temp[Temp]))</f>
        <v>5200</v>
      </c>
      <c r="S136" s="41" cm="1">
        <f t="array" ref="S136">INDEX(Curva_Temp[Temp],MATCH(TBL_CalcDarwin[[#This Row],[Darwin Temp.
°C]],Curva_Temp[Temp])+1)</f>
        <v>20</v>
      </c>
      <c r="T136" s="41" cm="1">
        <f t="array" ref="T136">INDEX(Curva_Temp[Warranted Power Curve for 
1.194Kg/m3 air density '[kW']
SG 5.0-145 (AM+1, 5.2MW) AT 
90M],MATCH(TBL_CalcDarwin[[#This Row],[Darwin Temp.
°C]],Curva_Temp[Temp])+1)</f>
        <v>5000</v>
      </c>
      <c r="U13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3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3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36" s="41">
        <f>INDEX(Curva_Temp[Temp],MATCH(TBL_CalcDarwin[[#This Row],[Darwin Temp.
°C]],Curva_Temp[Temp]))</f>
        <v>15</v>
      </c>
      <c r="Z136" s="41">
        <f>INDEX(Curva_Temp[Warranted Power Curve for 
1.194Kg/m3 air density '[kW']
SG 5.0-145 (AM 0, 5.0MW) AT 
90M],MATCH(TBL_CalcDarwin[[#This Row],[Darwin Temp.
°C]],Curva_Temp[Temp]))</f>
        <v>5000</v>
      </c>
      <c r="AA136" s="41" cm="1">
        <f t="array" ref="AA136">INDEX(Curva_Temp[Temp],MATCH(TBL_CalcDarwin[[#This Row],[Darwin Temp.
°C]],Curva_Temp[Temp])+1)</f>
        <v>20</v>
      </c>
      <c r="AB136" s="41" cm="1">
        <f t="array" ref="AB136">INDEX(Curva_Temp[Warranted Power Curve for 
1.194Kg/m3 air density '[kW']
SG 5.0-145 (AM 0, 5.0MW) AT 
90M],MATCH(TBL_CalcDarwin[[#This Row],[Darwin Temp.
°C]],Curva_Temp[Temp])+1)</f>
        <v>5000</v>
      </c>
      <c r="AC136" s="45">
        <f>HLOOKUP(TBL_CalcDarwin[[#This Row],[Fecha]],'Plantilla AEG ES'!$E$1:$HX$13,2,FALSE)</f>
        <v>5</v>
      </c>
      <c r="AD136" s="45">
        <f>HLOOKUP(TBL_CalcDarwin[[#This Row],[Fecha]],'Plantilla AEG ES'!$E$1:$HX$13,3,FALSE)</f>
        <v>8</v>
      </c>
      <c r="AE136" s="45">
        <f>HLOOKUP(TBL_CalcDarwin[[#This Row],[Fecha]],'Plantilla AEG ES'!$E$1:$HX$13,4,FALSE)</f>
        <v>12</v>
      </c>
      <c r="AF136" s="45">
        <f>HLOOKUP(TBL_CalcDarwin[[#This Row],[Fecha]],'Plantilla AEG ES'!$E$1:$HX$13,5,FALSE)</f>
        <v>1</v>
      </c>
      <c r="AG136" s="45">
        <f>HLOOKUP(TBL_CalcDarwin[[#This Row],[Fecha]],'Plantilla AEG ES'!$E$1:$HX$13,6,FALSE)</f>
        <v>1</v>
      </c>
      <c r="AH136" s="45">
        <f>HLOOKUP(TBL_CalcDarwin[[#This Row],[Fecha]],'Plantilla AEG ES'!$E$1:$HX$13,7,FALSE)</f>
        <v>0</v>
      </c>
      <c r="AI136" s="46">
        <f>HLOOKUP(TBL_CalcDarwin[[#This Row],[Fecha]],'Plantilla AEG ES'!$E$1:$HX$13,8,FALSE)</f>
        <v>0</v>
      </c>
      <c r="AJ136" s="46">
        <f>HLOOKUP(TBL_CalcDarwin[[#This Row],[Fecha]],'Plantilla AEG ES'!$E$1:$HX$13,9,FALSE)</f>
        <v>3</v>
      </c>
      <c r="AK136" s="46">
        <f>HLOOKUP(TBL_CalcDarwin[[#This Row],[Fecha]],'Plantilla AEG ES'!$E$1:$HX$13,10,FALSE)</f>
        <v>12</v>
      </c>
      <c r="AL136" s="46">
        <f>HLOOKUP(TBL_CalcDarwin[[#This Row],[Fecha]],'Plantilla AEG ES'!$E$1:$HX$13,11,FALSE)</f>
        <v>1</v>
      </c>
      <c r="AM136" s="46">
        <f>HLOOKUP(TBL_CalcDarwin[[#This Row],[Fecha]],'Plantilla AEG ES'!$E$1:$HX$13,12,FALSE)</f>
        <v>7</v>
      </c>
      <c r="AN136" s="46">
        <f>HLOOKUP(TBL_CalcDarwin[[#This Row],[Fecha]],'Plantilla AEG ES'!$E$1:$HX$13,13,FALSE)</f>
        <v>1</v>
      </c>
      <c r="AO136" s="37">
        <f>TBL_CalcDarwin[[#This Row],[Lomitas - Barra A - 5.2 - Cerro]]+TBL_CalcDarwin[[#This Row],[Lomitas - Barra A - 5.2 - Medio]]+TBL_CalcDarwin[[#This Row],[Lomitas - Barra A - 5.2 - Mar]]</f>
        <v>25</v>
      </c>
      <c r="AP13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3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36" s="37">
        <f>TBL_CalcDarwin[[#This Row],[Expansión - Barra A - 5.2 - Cerro]]+TBL_CalcDarwin[[#This Row],[Expansión - Barra A - 5.2 - Medio]]+TBL_CalcDarwin[[#This Row],[Expansión - Barra A - 5.2 - Mar]]</f>
        <v>2</v>
      </c>
      <c r="AT136" s="37">
        <f>TBL_CalcDarwin[[#This Row],[Expansión - Barra B - 5.2 - Cerro]]</f>
        <v>1</v>
      </c>
      <c r="AU13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36" s="29">
        <f>TBL_CalcDarwin[[#This Row],[Expansión - Barra B - 5.2 - Cerro]]*TBL_CalcDarwin[[#This Row],[AEG 5.2 MW Cerro]]</f>
        <v>2.4089999999999998</v>
      </c>
      <c r="AZ136" s="18"/>
      <c r="BA136" s="18"/>
      <c r="BB136" s="18"/>
      <c r="BC136" s="18"/>
      <c r="BD136" s="18"/>
      <c r="BE136" s="18"/>
      <c r="BF136" s="18"/>
    </row>
    <row r="137" spans="2:58" ht="12" x14ac:dyDescent="0.2">
      <c r="B137" s="55">
        <f t="shared" si="13"/>
        <v>45618.62499999968</v>
      </c>
      <c r="C137" s="17">
        <f t="shared" si="12"/>
        <v>5.6250000000000053</v>
      </c>
      <c r="D137" s="34">
        <f>TBL_CalcDarwin[[#This Row],[Darwin PLOM
MW]]+TBL_CalcDarwin[[#This Row],[Darwin PLOME
MW]]</f>
        <v>217.79000000000002</v>
      </c>
      <c r="E137" s="34">
        <f>TBL_CalcDarwin[[#This Row],[PLOM MW TOTAL BARRA A]]+TBL_CalcDarwin[[#This Row],[PLOM MW TOTAL BARRA B]]</f>
        <v>209.13000000000002</v>
      </c>
      <c r="F137" s="34">
        <f>TBL_CalcDarwin[[#This Row],[PLOME MW TOTAL BARRA A]]+TBL_CalcDarwin[[#This Row],[PLOME MW TOTAL BARRA B]]</f>
        <v>8.66</v>
      </c>
      <c r="G137" s="48">
        <f>'Plantilla Datos'!D142</f>
        <v>8.6999999999999993</v>
      </c>
      <c r="H137" s="48">
        <f>'Plantilla Datos'!E142</f>
        <v>10.9</v>
      </c>
      <c r="I137" s="49">
        <f>'Plantilla Datos'!F142</f>
        <v>19.399999999999999</v>
      </c>
      <c r="J137" s="47">
        <f>CEILING('Plantilla Datos'!$L$3*TBL_CalcDarwin[[#This Row],[Darwin Gusts
m/s]],0.5)</f>
        <v>8</v>
      </c>
      <c r="K137" s="47">
        <f>CEILING('Plantilla Datos'!$L$4*TBL_CalcDarwin[[#This Row],[Darwin Gusts
m/s]],0.5)</f>
        <v>9.5</v>
      </c>
      <c r="L137" s="47">
        <f>CEILING(TBL_CalcDarwin[[#This Row],[Darwin Gusts
m/s]],0.5)</f>
        <v>11</v>
      </c>
      <c r="M13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5.024</v>
      </c>
      <c r="N13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3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3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37" s="41">
        <f>INDEX(Curva_Temp[Temp],MATCH(TBL_CalcDarwin[[#This Row],[Darwin Temp.
°C]],Curva_Temp[Temp]))</f>
        <v>15</v>
      </c>
      <c r="R137" s="41">
        <f>INDEX(Curva_Temp[Warranted Power Curve for 
1.194Kg/m3 air density '[kW']
SG 5.0-145 (AM+1, 5.2MW) AT 
90M],MATCH(TBL_CalcDarwin[[#This Row],[Darwin Temp.
°C]],Curva_Temp[Temp]))</f>
        <v>5200</v>
      </c>
      <c r="S137" s="41" cm="1">
        <f t="array" ref="S137">INDEX(Curva_Temp[Temp],MATCH(TBL_CalcDarwin[[#This Row],[Darwin Temp.
°C]],Curva_Temp[Temp])+1)</f>
        <v>20</v>
      </c>
      <c r="T137" s="41" cm="1">
        <f t="array" ref="T137">INDEX(Curva_Temp[Warranted Power Curve for 
1.194Kg/m3 air density '[kW']
SG 5.0-145 (AM+1, 5.2MW) AT 
90M],MATCH(TBL_CalcDarwin[[#This Row],[Darwin Temp.
°C]],Curva_Temp[Temp])+1)</f>
        <v>5000</v>
      </c>
      <c r="U13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3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3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37" s="41">
        <f>INDEX(Curva_Temp[Temp],MATCH(TBL_CalcDarwin[[#This Row],[Darwin Temp.
°C]],Curva_Temp[Temp]))</f>
        <v>15</v>
      </c>
      <c r="Z137" s="41">
        <f>INDEX(Curva_Temp[Warranted Power Curve for 
1.194Kg/m3 air density '[kW']
SG 5.0-145 (AM 0, 5.0MW) AT 
90M],MATCH(TBL_CalcDarwin[[#This Row],[Darwin Temp.
°C]],Curva_Temp[Temp]))</f>
        <v>5000</v>
      </c>
      <c r="AA137" s="41" cm="1">
        <f t="array" ref="AA137">INDEX(Curva_Temp[Temp],MATCH(TBL_CalcDarwin[[#This Row],[Darwin Temp.
°C]],Curva_Temp[Temp])+1)</f>
        <v>20</v>
      </c>
      <c r="AB137" s="41" cm="1">
        <f t="array" ref="AB137">INDEX(Curva_Temp[Warranted Power Curve for 
1.194Kg/m3 air density '[kW']
SG 5.0-145 (AM 0, 5.0MW) AT 
90M],MATCH(TBL_CalcDarwin[[#This Row],[Darwin Temp.
°C]],Curva_Temp[Temp])+1)</f>
        <v>5000</v>
      </c>
      <c r="AC137" s="45">
        <f>HLOOKUP(TBL_CalcDarwin[[#This Row],[Fecha]],'Plantilla AEG ES'!$E$1:$HX$13,2,FALSE)</f>
        <v>5</v>
      </c>
      <c r="AD137" s="45">
        <f>HLOOKUP(TBL_CalcDarwin[[#This Row],[Fecha]],'Plantilla AEG ES'!$E$1:$HX$13,3,FALSE)</f>
        <v>8</v>
      </c>
      <c r="AE137" s="45">
        <f>HLOOKUP(TBL_CalcDarwin[[#This Row],[Fecha]],'Plantilla AEG ES'!$E$1:$HX$13,4,FALSE)</f>
        <v>12</v>
      </c>
      <c r="AF137" s="45">
        <f>HLOOKUP(TBL_CalcDarwin[[#This Row],[Fecha]],'Plantilla AEG ES'!$E$1:$HX$13,5,FALSE)</f>
        <v>1</v>
      </c>
      <c r="AG137" s="45">
        <f>HLOOKUP(TBL_CalcDarwin[[#This Row],[Fecha]],'Plantilla AEG ES'!$E$1:$HX$13,6,FALSE)</f>
        <v>1</v>
      </c>
      <c r="AH137" s="45">
        <f>HLOOKUP(TBL_CalcDarwin[[#This Row],[Fecha]],'Plantilla AEG ES'!$E$1:$HX$13,7,FALSE)</f>
        <v>0</v>
      </c>
      <c r="AI137" s="46">
        <f>HLOOKUP(TBL_CalcDarwin[[#This Row],[Fecha]],'Plantilla AEG ES'!$E$1:$HX$13,8,FALSE)</f>
        <v>0</v>
      </c>
      <c r="AJ137" s="46">
        <f>HLOOKUP(TBL_CalcDarwin[[#This Row],[Fecha]],'Plantilla AEG ES'!$E$1:$HX$13,9,FALSE)</f>
        <v>3</v>
      </c>
      <c r="AK137" s="46">
        <f>HLOOKUP(TBL_CalcDarwin[[#This Row],[Fecha]],'Plantilla AEG ES'!$E$1:$HX$13,10,FALSE)</f>
        <v>12</v>
      </c>
      <c r="AL137" s="46">
        <f>HLOOKUP(TBL_CalcDarwin[[#This Row],[Fecha]],'Plantilla AEG ES'!$E$1:$HX$13,11,FALSE)</f>
        <v>1</v>
      </c>
      <c r="AM137" s="46">
        <f>HLOOKUP(TBL_CalcDarwin[[#This Row],[Fecha]],'Plantilla AEG ES'!$E$1:$HX$13,12,FALSE)</f>
        <v>7</v>
      </c>
      <c r="AN137" s="46">
        <f>HLOOKUP(TBL_CalcDarwin[[#This Row],[Fecha]],'Plantilla AEG ES'!$E$1:$HX$13,13,FALSE)</f>
        <v>1</v>
      </c>
      <c r="AO137" s="37">
        <f>TBL_CalcDarwin[[#This Row],[Lomitas - Barra A - 5.2 - Cerro]]+TBL_CalcDarwin[[#This Row],[Lomitas - Barra A - 5.2 - Medio]]+TBL_CalcDarwin[[#This Row],[Lomitas - Barra A - 5.2 - Mar]]</f>
        <v>25</v>
      </c>
      <c r="AP13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3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37" s="37">
        <f>TBL_CalcDarwin[[#This Row],[Expansión - Barra A - 5.2 - Cerro]]+TBL_CalcDarwin[[#This Row],[Expansión - Barra A - 5.2 - Medio]]+TBL_CalcDarwin[[#This Row],[Expansión - Barra A - 5.2 - Mar]]</f>
        <v>2</v>
      </c>
      <c r="AT137" s="37">
        <f>TBL_CalcDarwin[[#This Row],[Expansión - Barra B - 5.2 - Cerro]]</f>
        <v>1</v>
      </c>
      <c r="AU13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37" s="29">
        <f>TBL_CalcDarwin[[#This Row],[Expansión - Barra B - 5.2 - Cerro]]*TBL_CalcDarwin[[#This Row],[AEG 5.2 MW Cerro]]</f>
        <v>2.4089999999999998</v>
      </c>
      <c r="AZ137" s="18"/>
      <c r="BA137" s="18"/>
      <c r="BB137" s="18"/>
      <c r="BC137" s="18"/>
      <c r="BD137" s="18"/>
      <c r="BE137" s="18"/>
      <c r="BF137" s="18"/>
    </row>
    <row r="138" spans="2:58" ht="12" x14ac:dyDescent="0.2">
      <c r="B138" s="55">
        <f t="shared" si="13"/>
        <v>45618.666666666344</v>
      </c>
      <c r="C138" s="17">
        <f t="shared" si="12"/>
        <v>5.6666666666666723</v>
      </c>
      <c r="D138" s="34">
        <f>TBL_CalcDarwin[[#This Row],[Darwin PLOM
MW]]+TBL_CalcDarwin[[#This Row],[Darwin PLOME
MW]]</f>
        <v>217.79000000000002</v>
      </c>
      <c r="E138" s="34">
        <f>TBL_CalcDarwin[[#This Row],[PLOM MW TOTAL BARRA A]]+TBL_CalcDarwin[[#This Row],[PLOM MW TOTAL BARRA B]]</f>
        <v>209.13000000000002</v>
      </c>
      <c r="F138" s="34">
        <f>TBL_CalcDarwin[[#This Row],[PLOME MW TOTAL BARRA A]]+TBL_CalcDarwin[[#This Row],[PLOME MW TOTAL BARRA B]]</f>
        <v>8.66</v>
      </c>
      <c r="G138" s="48">
        <f>'Plantilla Datos'!D143</f>
        <v>8.8000000000000007</v>
      </c>
      <c r="H138" s="48">
        <f>'Plantilla Datos'!E143</f>
        <v>10.9</v>
      </c>
      <c r="I138" s="49">
        <f>'Plantilla Datos'!F143</f>
        <v>19.100000000000001</v>
      </c>
      <c r="J138" s="47">
        <f>CEILING('Plantilla Datos'!$L$3*TBL_CalcDarwin[[#This Row],[Darwin Gusts
m/s]],0.5)</f>
        <v>8</v>
      </c>
      <c r="K138" s="47">
        <f>CEILING('Plantilla Datos'!$L$4*TBL_CalcDarwin[[#This Row],[Darwin Gusts
m/s]],0.5)</f>
        <v>9.5</v>
      </c>
      <c r="L138" s="47">
        <f>CEILING(TBL_CalcDarwin[[#This Row],[Darwin Gusts
m/s]],0.5)</f>
        <v>11</v>
      </c>
      <c r="M13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5.0359999999999996</v>
      </c>
      <c r="N13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3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3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38" s="41">
        <f>INDEX(Curva_Temp[Temp],MATCH(TBL_CalcDarwin[[#This Row],[Darwin Temp.
°C]],Curva_Temp[Temp]))</f>
        <v>15</v>
      </c>
      <c r="R138" s="41">
        <f>INDEX(Curva_Temp[Warranted Power Curve for 
1.194Kg/m3 air density '[kW']
SG 5.0-145 (AM+1, 5.2MW) AT 
90M],MATCH(TBL_CalcDarwin[[#This Row],[Darwin Temp.
°C]],Curva_Temp[Temp]))</f>
        <v>5200</v>
      </c>
      <c r="S138" s="41" cm="1">
        <f t="array" ref="S138">INDEX(Curva_Temp[Temp],MATCH(TBL_CalcDarwin[[#This Row],[Darwin Temp.
°C]],Curva_Temp[Temp])+1)</f>
        <v>20</v>
      </c>
      <c r="T138" s="41" cm="1">
        <f t="array" ref="T138">INDEX(Curva_Temp[Warranted Power Curve for 
1.194Kg/m3 air density '[kW']
SG 5.0-145 (AM+1, 5.2MW) AT 
90M],MATCH(TBL_CalcDarwin[[#This Row],[Darwin Temp.
°C]],Curva_Temp[Temp])+1)</f>
        <v>5000</v>
      </c>
      <c r="U13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3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3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38" s="41">
        <f>INDEX(Curva_Temp[Temp],MATCH(TBL_CalcDarwin[[#This Row],[Darwin Temp.
°C]],Curva_Temp[Temp]))</f>
        <v>15</v>
      </c>
      <c r="Z138" s="41">
        <f>INDEX(Curva_Temp[Warranted Power Curve for 
1.194Kg/m3 air density '[kW']
SG 5.0-145 (AM 0, 5.0MW) AT 
90M],MATCH(TBL_CalcDarwin[[#This Row],[Darwin Temp.
°C]],Curva_Temp[Temp]))</f>
        <v>5000</v>
      </c>
      <c r="AA138" s="41" cm="1">
        <f t="array" ref="AA138">INDEX(Curva_Temp[Temp],MATCH(TBL_CalcDarwin[[#This Row],[Darwin Temp.
°C]],Curva_Temp[Temp])+1)</f>
        <v>20</v>
      </c>
      <c r="AB138" s="41" cm="1">
        <f t="array" ref="AB138">INDEX(Curva_Temp[Warranted Power Curve for 
1.194Kg/m3 air density '[kW']
SG 5.0-145 (AM 0, 5.0MW) AT 
90M],MATCH(TBL_CalcDarwin[[#This Row],[Darwin Temp.
°C]],Curva_Temp[Temp])+1)</f>
        <v>5000</v>
      </c>
      <c r="AC138" s="45">
        <f>HLOOKUP(TBL_CalcDarwin[[#This Row],[Fecha]],'Plantilla AEG ES'!$E$1:$HX$13,2,FALSE)</f>
        <v>5</v>
      </c>
      <c r="AD138" s="45">
        <f>HLOOKUP(TBL_CalcDarwin[[#This Row],[Fecha]],'Plantilla AEG ES'!$E$1:$HX$13,3,FALSE)</f>
        <v>8</v>
      </c>
      <c r="AE138" s="45">
        <f>HLOOKUP(TBL_CalcDarwin[[#This Row],[Fecha]],'Plantilla AEG ES'!$E$1:$HX$13,4,FALSE)</f>
        <v>12</v>
      </c>
      <c r="AF138" s="45">
        <f>HLOOKUP(TBL_CalcDarwin[[#This Row],[Fecha]],'Plantilla AEG ES'!$E$1:$HX$13,5,FALSE)</f>
        <v>1</v>
      </c>
      <c r="AG138" s="45">
        <f>HLOOKUP(TBL_CalcDarwin[[#This Row],[Fecha]],'Plantilla AEG ES'!$E$1:$HX$13,6,FALSE)</f>
        <v>1</v>
      </c>
      <c r="AH138" s="45">
        <f>HLOOKUP(TBL_CalcDarwin[[#This Row],[Fecha]],'Plantilla AEG ES'!$E$1:$HX$13,7,FALSE)</f>
        <v>0</v>
      </c>
      <c r="AI138" s="46">
        <f>HLOOKUP(TBL_CalcDarwin[[#This Row],[Fecha]],'Plantilla AEG ES'!$E$1:$HX$13,8,FALSE)</f>
        <v>0</v>
      </c>
      <c r="AJ138" s="46">
        <f>HLOOKUP(TBL_CalcDarwin[[#This Row],[Fecha]],'Plantilla AEG ES'!$E$1:$HX$13,9,FALSE)</f>
        <v>3</v>
      </c>
      <c r="AK138" s="46">
        <f>HLOOKUP(TBL_CalcDarwin[[#This Row],[Fecha]],'Plantilla AEG ES'!$E$1:$HX$13,10,FALSE)</f>
        <v>12</v>
      </c>
      <c r="AL138" s="46">
        <f>HLOOKUP(TBL_CalcDarwin[[#This Row],[Fecha]],'Plantilla AEG ES'!$E$1:$HX$13,11,FALSE)</f>
        <v>1</v>
      </c>
      <c r="AM138" s="46">
        <f>HLOOKUP(TBL_CalcDarwin[[#This Row],[Fecha]],'Plantilla AEG ES'!$E$1:$HX$13,12,FALSE)</f>
        <v>7</v>
      </c>
      <c r="AN138" s="46">
        <f>HLOOKUP(TBL_CalcDarwin[[#This Row],[Fecha]],'Plantilla AEG ES'!$E$1:$HX$13,13,FALSE)</f>
        <v>1</v>
      </c>
      <c r="AO138" s="37">
        <f>TBL_CalcDarwin[[#This Row],[Lomitas - Barra A - 5.2 - Cerro]]+TBL_CalcDarwin[[#This Row],[Lomitas - Barra A - 5.2 - Medio]]+TBL_CalcDarwin[[#This Row],[Lomitas - Barra A - 5.2 - Mar]]</f>
        <v>25</v>
      </c>
      <c r="AP13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3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38" s="37">
        <f>TBL_CalcDarwin[[#This Row],[Expansión - Barra A - 5.2 - Cerro]]+TBL_CalcDarwin[[#This Row],[Expansión - Barra A - 5.2 - Medio]]+TBL_CalcDarwin[[#This Row],[Expansión - Barra A - 5.2 - Mar]]</f>
        <v>2</v>
      </c>
      <c r="AT138" s="37">
        <f>TBL_CalcDarwin[[#This Row],[Expansión - Barra B - 5.2 - Cerro]]</f>
        <v>1</v>
      </c>
      <c r="AU13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38" s="29">
        <f>TBL_CalcDarwin[[#This Row],[Expansión - Barra B - 5.2 - Cerro]]*TBL_CalcDarwin[[#This Row],[AEG 5.2 MW Cerro]]</f>
        <v>2.4089999999999998</v>
      </c>
      <c r="AZ138" s="18"/>
      <c r="BA138" s="18"/>
      <c r="BB138" s="18"/>
      <c r="BC138" s="18"/>
      <c r="BD138" s="18"/>
      <c r="BE138" s="18"/>
      <c r="BF138" s="18"/>
    </row>
    <row r="139" spans="2:58" ht="12" x14ac:dyDescent="0.2">
      <c r="B139" s="55">
        <f t="shared" si="13"/>
        <v>45618.708333333008</v>
      </c>
      <c r="C139" s="17">
        <f t="shared" si="12"/>
        <v>5.7083333333333393</v>
      </c>
      <c r="D139" s="34">
        <f>TBL_CalcDarwin[[#This Row],[Darwin PLOM
MW]]+TBL_CalcDarwin[[#This Row],[Darwin PLOME
MW]]</f>
        <v>217.79000000000002</v>
      </c>
      <c r="E139" s="34">
        <f>TBL_CalcDarwin[[#This Row],[PLOM MW TOTAL BARRA A]]+TBL_CalcDarwin[[#This Row],[PLOM MW TOTAL BARRA B]]</f>
        <v>209.13000000000002</v>
      </c>
      <c r="F139" s="34">
        <f>TBL_CalcDarwin[[#This Row],[PLOME MW TOTAL BARRA A]]+TBL_CalcDarwin[[#This Row],[PLOME MW TOTAL BARRA B]]</f>
        <v>8.66</v>
      </c>
      <c r="G139" s="48">
        <f>'Plantilla Datos'!D144</f>
        <v>8.8000000000000007</v>
      </c>
      <c r="H139" s="48">
        <f>'Plantilla Datos'!E144</f>
        <v>11</v>
      </c>
      <c r="I139" s="49">
        <f>'Plantilla Datos'!F144</f>
        <v>18.7</v>
      </c>
      <c r="J139" s="47">
        <f>CEILING('Plantilla Datos'!$L$3*TBL_CalcDarwin[[#This Row],[Darwin Gusts
m/s]],0.5)</f>
        <v>8</v>
      </c>
      <c r="K139" s="47">
        <f>CEILING('Plantilla Datos'!$L$4*TBL_CalcDarwin[[#This Row],[Darwin Gusts
m/s]],0.5)</f>
        <v>9.5</v>
      </c>
      <c r="L139" s="47">
        <f>CEILING(TBL_CalcDarwin[[#This Row],[Darwin Gusts
m/s]],0.5)</f>
        <v>11</v>
      </c>
      <c r="M13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5.0519999999999996</v>
      </c>
      <c r="N13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3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3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39" s="41">
        <f>INDEX(Curva_Temp[Temp],MATCH(TBL_CalcDarwin[[#This Row],[Darwin Temp.
°C]],Curva_Temp[Temp]))</f>
        <v>15</v>
      </c>
      <c r="R139" s="41">
        <f>INDEX(Curva_Temp[Warranted Power Curve for 
1.194Kg/m3 air density '[kW']
SG 5.0-145 (AM+1, 5.2MW) AT 
90M],MATCH(TBL_CalcDarwin[[#This Row],[Darwin Temp.
°C]],Curva_Temp[Temp]))</f>
        <v>5200</v>
      </c>
      <c r="S139" s="41" cm="1">
        <f t="array" ref="S139">INDEX(Curva_Temp[Temp],MATCH(TBL_CalcDarwin[[#This Row],[Darwin Temp.
°C]],Curva_Temp[Temp])+1)</f>
        <v>20</v>
      </c>
      <c r="T139" s="41" cm="1">
        <f t="array" ref="T139">INDEX(Curva_Temp[Warranted Power Curve for 
1.194Kg/m3 air density '[kW']
SG 5.0-145 (AM+1, 5.2MW) AT 
90M],MATCH(TBL_CalcDarwin[[#This Row],[Darwin Temp.
°C]],Curva_Temp[Temp])+1)</f>
        <v>5000</v>
      </c>
      <c r="U13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3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3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39" s="41">
        <f>INDEX(Curva_Temp[Temp],MATCH(TBL_CalcDarwin[[#This Row],[Darwin Temp.
°C]],Curva_Temp[Temp]))</f>
        <v>15</v>
      </c>
      <c r="Z139" s="41">
        <f>INDEX(Curva_Temp[Warranted Power Curve for 
1.194Kg/m3 air density '[kW']
SG 5.0-145 (AM 0, 5.0MW) AT 
90M],MATCH(TBL_CalcDarwin[[#This Row],[Darwin Temp.
°C]],Curva_Temp[Temp]))</f>
        <v>5000</v>
      </c>
      <c r="AA139" s="41" cm="1">
        <f t="array" ref="AA139">INDEX(Curva_Temp[Temp],MATCH(TBL_CalcDarwin[[#This Row],[Darwin Temp.
°C]],Curva_Temp[Temp])+1)</f>
        <v>20</v>
      </c>
      <c r="AB139" s="41" cm="1">
        <f t="array" ref="AB139">INDEX(Curva_Temp[Warranted Power Curve for 
1.194Kg/m3 air density '[kW']
SG 5.0-145 (AM 0, 5.0MW) AT 
90M],MATCH(TBL_CalcDarwin[[#This Row],[Darwin Temp.
°C]],Curva_Temp[Temp])+1)</f>
        <v>5000</v>
      </c>
      <c r="AC139" s="45">
        <f>HLOOKUP(TBL_CalcDarwin[[#This Row],[Fecha]],'Plantilla AEG ES'!$E$1:$HX$13,2,FALSE)</f>
        <v>5</v>
      </c>
      <c r="AD139" s="45">
        <f>HLOOKUP(TBL_CalcDarwin[[#This Row],[Fecha]],'Plantilla AEG ES'!$E$1:$HX$13,3,FALSE)</f>
        <v>8</v>
      </c>
      <c r="AE139" s="45">
        <f>HLOOKUP(TBL_CalcDarwin[[#This Row],[Fecha]],'Plantilla AEG ES'!$E$1:$HX$13,4,FALSE)</f>
        <v>12</v>
      </c>
      <c r="AF139" s="45">
        <f>HLOOKUP(TBL_CalcDarwin[[#This Row],[Fecha]],'Plantilla AEG ES'!$E$1:$HX$13,5,FALSE)</f>
        <v>1</v>
      </c>
      <c r="AG139" s="45">
        <f>HLOOKUP(TBL_CalcDarwin[[#This Row],[Fecha]],'Plantilla AEG ES'!$E$1:$HX$13,6,FALSE)</f>
        <v>1</v>
      </c>
      <c r="AH139" s="45">
        <f>HLOOKUP(TBL_CalcDarwin[[#This Row],[Fecha]],'Plantilla AEG ES'!$E$1:$HX$13,7,FALSE)</f>
        <v>0</v>
      </c>
      <c r="AI139" s="46">
        <f>HLOOKUP(TBL_CalcDarwin[[#This Row],[Fecha]],'Plantilla AEG ES'!$E$1:$HX$13,8,FALSE)</f>
        <v>0</v>
      </c>
      <c r="AJ139" s="46">
        <f>HLOOKUP(TBL_CalcDarwin[[#This Row],[Fecha]],'Plantilla AEG ES'!$E$1:$HX$13,9,FALSE)</f>
        <v>3</v>
      </c>
      <c r="AK139" s="46">
        <f>HLOOKUP(TBL_CalcDarwin[[#This Row],[Fecha]],'Plantilla AEG ES'!$E$1:$HX$13,10,FALSE)</f>
        <v>12</v>
      </c>
      <c r="AL139" s="46">
        <f>HLOOKUP(TBL_CalcDarwin[[#This Row],[Fecha]],'Plantilla AEG ES'!$E$1:$HX$13,11,FALSE)</f>
        <v>1</v>
      </c>
      <c r="AM139" s="46">
        <f>HLOOKUP(TBL_CalcDarwin[[#This Row],[Fecha]],'Plantilla AEG ES'!$E$1:$HX$13,12,FALSE)</f>
        <v>7</v>
      </c>
      <c r="AN139" s="46">
        <f>HLOOKUP(TBL_CalcDarwin[[#This Row],[Fecha]],'Plantilla AEG ES'!$E$1:$HX$13,13,FALSE)</f>
        <v>1</v>
      </c>
      <c r="AO139" s="37">
        <f>TBL_CalcDarwin[[#This Row],[Lomitas - Barra A - 5.2 - Cerro]]+TBL_CalcDarwin[[#This Row],[Lomitas - Barra A - 5.2 - Medio]]+TBL_CalcDarwin[[#This Row],[Lomitas - Barra A - 5.2 - Mar]]</f>
        <v>25</v>
      </c>
      <c r="AP13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3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39" s="37">
        <f>TBL_CalcDarwin[[#This Row],[Expansión - Barra A - 5.2 - Cerro]]+TBL_CalcDarwin[[#This Row],[Expansión - Barra A - 5.2 - Medio]]+TBL_CalcDarwin[[#This Row],[Expansión - Barra A - 5.2 - Mar]]</f>
        <v>2</v>
      </c>
      <c r="AT139" s="37">
        <f>TBL_CalcDarwin[[#This Row],[Expansión - Barra B - 5.2 - Cerro]]</f>
        <v>1</v>
      </c>
      <c r="AU13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39" s="29">
        <f>TBL_CalcDarwin[[#This Row],[Expansión - Barra B - 5.2 - Cerro]]*TBL_CalcDarwin[[#This Row],[AEG 5.2 MW Cerro]]</f>
        <v>2.4089999999999998</v>
      </c>
      <c r="AZ139" s="18"/>
      <c r="BA139" s="18"/>
      <c r="BB139" s="18"/>
      <c r="BC139" s="18"/>
      <c r="BD139" s="18"/>
      <c r="BE139" s="18"/>
      <c r="BF139" s="18"/>
    </row>
    <row r="140" spans="2:58" ht="12" x14ac:dyDescent="0.2">
      <c r="B140" s="55">
        <f t="shared" si="13"/>
        <v>45618.749999999673</v>
      </c>
      <c r="C140" s="17">
        <f t="shared" si="12"/>
        <v>5.7500000000000062</v>
      </c>
      <c r="D140" s="34">
        <f>TBL_CalcDarwin[[#This Row],[Darwin PLOM
MW]]+TBL_CalcDarwin[[#This Row],[Darwin PLOME
MW]]</f>
        <v>217.79000000000002</v>
      </c>
      <c r="E140" s="34">
        <f>TBL_CalcDarwin[[#This Row],[PLOM MW TOTAL BARRA A]]+TBL_CalcDarwin[[#This Row],[PLOM MW TOTAL BARRA B]]</f>
        <v>209.13000000000002</v>
      </c>
      <c r="F140" s="34">
        <f>TBL_CalcDarwin[[#This Row],[PLOME MW TOTAL BARRA A]]+TBL_CalcDarwin[[#This Row],[PLOME MW TOTAL BARRA B]]</f>
        <v>8.66</v>
      </c>
      <c r="G140" s="48">
        <f>'Plantilla Datos'!D145</f>
        <v>8.9</v>
      </c>
      <c r="H140" s="48">
        <f>'Plantilla Datos'!E145</f>
        <v>11</v>
      </c>
      <c r="I140" s="49">
        <f>'Plantilla Datos'!F145</f>
        <v>18.399999999999999</v>
      </c>
      <c r="J140" s="47">
        <f>CEILING('Plantilla Datos'!$L$3*TBL_CalcDarwin[[#This Row],[Darwin Gusts
m/s]],0.5)</f>
        <v>8</v>
      </c>
      <c r="K140" s="47">
        <f>CEILING('Plantilla Datos'!$L$4*TBL_CalcDarwin[[#This Row],[Darwin Gusts
m/s]],0.5)</f>
        <v>9.5</v>
      </c>
      <c r="L140" s="47">
        <f>CEILING(TBL_CalcDarwin[[#This Row],[Darwin Gusts
m/s]],0.5)</f>
        <v>11</v>
      </c>
      <c r="M14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5.0640000000000001</v>
      </c>
      <c r="N14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4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4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40" s="41">
        <f>INDEX(Curva_Temp[Temp],MATCH(TBL_CalcDarwin[[#This Row],[Darwin Temp.
°C]],Curva_Temp[Temp]))</f>
        <v>15</v>
      </c>
      <c r="R140" s="41">
        <f>INDEX(Curva_Temp[Warranted Power Curve for 
1.194Kg/m3 air density '[kW']
SG 5.0-145 (AM+1, 5.2MW) AT 
90M],MATCH(TBL_CalcDarwin[[#This Row],[Darwin Temp.
°C]],Curva_Temp[Temp]))</f>
        <v>5200</v>
      </c>
      <c r="S140" s="41" cm="1">
        <f t="array" ref="S140">INDEX(Curva_Temp[Temp],MATCH(TBL_CalcDarwin[[#This Row],[Darwin Temp.
°C]],Curva_Temp[Temp])+1)</f>
        <v>20</v>
      </c>
      <c r="T140" s="41" cm="1">
        <f t="array" ref="T140">INDEX(Curva_Temp[Warranted Power Curve for 
1.194Kg/m3 air density '[kW']
SG 5.0-145 (AM+1, 5.2MW) AT 
90M],MATCH(TBL_CalcDarwin[[#This Row],[Darwin Temp.
°C]],Curva_Temp[Temp])+1)</f>
        <v>5000</v>
      </c>
      <c r="U14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4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4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40" s="41">
        <f>INDEX(Curva_Temp[Temp],MATCH(TBL_CalcDarwin[[#This Row],[Darwin Temp.
°C]],Curva_Temp[Temp]))</f>
        <v>15</v>
      </c>
      <c r="Z140" s="41">
        <f>INDEX(Curva_Temp[Warranted Power Curve for 
1.194Kg/m3 air density '[kW']
SG 5.0-145 (AM 0, 5.0MW) AT 
90M],MATCH(TBL_CalcDarwin[[#This Row],[Darwin Temp.
°C]],Curva_Temp[Temp]))</f>
        <v>5000</v>
      </c>
      <c r="AA140" s="41" cm="1">
        <f t="array" ref="AA140">INDEX(Curva_Temp[Temp],MATCH(TBL_CalcDarwin[[#This Row],[Darwin Temp.
°C]],Curva_Temp[Temp])+1)</f>
        <v>20</v>
      </c>
      <c r="AB140" s="41" cm="1">
        <f t="array" ref="AB140">INDEX(Curva_Temp[Warranted Power Curve for 
1.194Kg/m3 air density '[kW']
SG 5.0-145 (AM 0, 5.0MW) AT 
90M],MATCH(TBL_CalcDarwin[[#This Row],[Darwin Temp.
°C]],Curva_Temp[Temp])+1)</f>
        <v>5000</v>
      </c>
      <c r="AC140" s="45">
        <f>HLOOKUP(TBL_CalcDarwin[[#This Row],[Fecha]],'Plantilla AEG ES'!$E$1:$HX$13,2,FALSE)</f>
        <v>5</v>
      </c>
      <c r="AD140" s="45">
        <f>HLOOKUP(TBL_CalcDarwin[[#This Row],[Fecha]],'Plantilla AEG ES'!$E$1:$HX$13,3,FALSE)</f>
        <v>8</v>
      </c>
      <c r="AE140" s="45">
        <f>HLOOKUP(TBL_CalcDarwin[[#This Row],[Fecha]],'Plantilla AEG ES'!$E$1:$HX$13,4,FALSE)</f>
        <v>12</v>
      </c>
      <c r="AF140" s="45">
        <f>HLOOKUP(TBL_CalcDarwin[[#This Row],[Fecha]],'Plantilla AEG ES'!$E$1:$HX$13,5,FALSE)</f>
        <v>1</v>
      </c>
      <c r="AG140" s="45">
        <f>HLOOKUP(TBL_CalcDarwin[[#This Row],[Fecha]],'Plantilla AEG ES'!$E$1:$HX$13,6,FALSE)</f>
        <v>1</v>
      </c>
      <c r="AH140" s="45">
        <f>HLOOKUP(TBL_CalcDarwin[[#This Row],[Fecha]],'Plantilla AEG ES'!$E$1:$HX$13,7,FALSE)</f>
        <v>0</v>
      </c>
      <c r="AI140" s="46">
        <f>HLOOKUP(TBL_CalcDarwin[[#This Row],[Fecha]],'Plantilla AEG ES'!$E$1:$HX$13,8,FALSE)</f>
        <v>0</v>
      </c>
      <c r="AJ140" s="46">
        <f>HLOOKUP(TBL_CalcDarwin[[#This Row],[Fecha]],'Plantilla AEG ES'!$E$1:$HX$13,9,FALSE)</f>
        <v>3</v>
      </c>
      <c r="AK140" s="46">
        <f>HLOOKUP(TBL_CalcDarwin[[#This Row],[Fecha]],'Plantilla AEG ES'!$E$1:$HX$13,10,FALSE)</f>
        <v>12</v>
      </c>
      <c r="AL140" s="46">
        <f>HLOOKUP(TBL_CalcDarwin[[#This Row],[Fecha]],'Plantilla AEG ES'!$E$1:$HX$13,11,FALSE)</f>
        <v>1</v>
      </c>
      <c r="AM140" s="46">
        <f>HLOOKUP(TBL_CalcDarwin[[#This Row],[Fecha]],'Plantilla AEG ES'!$E$1:$HX$13,12,FALSE)</f>
        <v>7</v>
      </c>
      <c r="AN140" s="46">
        <f>HLOOKUP(TBL_CalcDarwin[[#This Row],[Fecha]],'Plantilla AEG ES'!$E$1:$HX$13,13,FALSE)</f>
        <v>1</v>
      </c>
      <c r="AO140" s="37">
        <f>TBL_CalcDarwin[[#This Row],[Lomitas - Barra A - 5.2 - Cerro]]+TBL_CalcDarwin[[#This Row],[Lomitas - Barra A - 5.2 - Medio]]+TBL_CalcDarwin[[#This Row],[Lomitas - Barra A - 5.2 - Mar]]</f>
        <v>25</v>
      </c>
      <c r="AP14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4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40" s="37">
        <f>TBL_CalcDarwin[[#This Row],[Expansión - Barra A - 5.2 - Cerro]]+TBL_CalcDarwin[[#This Row],[Expansión - Barra A - 5.2 - Medio]]+TBL_CalcDarwin[[#This Row],[Expansión - Barra A - 5.2 - Mar]]</f>
        <v>2</v>
      </c>
      <c r="AT140" s="37">
        <f>TBL_CalcDarwin[[#This Row],[Expansión - Barra B - 5.2 - Cerro]]</f>
        <v>1</v>
      </c>
      <c r="AU14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40" s="29">
        <f>TBL_CalcDarwin[[#This Row],[Expansión - Barra B - 5.2 - Cerro]]*TBL_CalcDarwin[[#This Row],[AEG 5.2 MW Cerro]]</f>
        <v>2.4089999999999998</v>
      </c>
      <c r="AZ140" s="18"/>
      <c r="BA140" s="18"/>
      <c r="BB140" s="18"/>
      <c r="BC140" s="18"/>
      <c r="BD140" s="18"/>
      <c r="BE140" s="18"/>
      <c r="BF140" s="18"/>
    </row>
    <row r="141" spans="2:58" ht="12" x14ac:dyDescent="0.2">
      <c r="B141" s="55">
        <f t="shared" si="13"/>
        <v>45618.791666666337</v>
      </c>
      <c r="C141" s="17">
        <f t="shared" si="12"/>
        <v>5.7916666666666732</v>
      </c>
      <c r="D141" s="34">
        <f>TBL_CalcDarwin[[#This Row],[Darwin PLOM
MW]]+TBL_CalcDarwin[[#This Row],[Darwin PLOME
MW]]</f>
        <v>225.572</v>
      </c>
      <c r="E141" s="34">
        <f>TBL_CalcDarwin[[#This Row],[PLOM MW TOTAL BARRA A]]+TBL_CalcDarwin[[#This Row],[PLOM MW TOTAL BARRA B]]</f>
        <v>215.97399999999999</v>
      </c>
      <c r="F141" s="34">
        <f>TBL_CalcDarwin[[#This Row],[PLOME MW TOTAL BARRA A]]+TBL_CalcDarwin[[#This Row],[PLOME MW TOTAL BARRA B]]</f>
        <v>9.5980000000000008</v>
      </c>
      <c r="G141" s="48">
        <f>'Plantilla Datos'!D146</f>
        <v>8.9</v>
      </c>
      <c r="H141" s="48">
        <f>'Plantilla Datos'!E146</f>
        <v>11.1</v>
      </c>
      <c r="I141" s="49">
        <f>'Plantilla Datos'!F146</f>
        <v>17.899999999999999</v>
      </c>
      <c r="J141" s="47">
        <f>CEILING('Plantilla Datos'!$L$3*TBL_CalcDarwin[[#This Row],[Darwin Gusts
m/s]],0.5)</f>
        <v>8.5</v>
      </c>
      <c r="K141" s="47">
        <f>CEILING('Plantilla Datos'!$L$4*TBL_CalcDarwin[[#This Row],[Darwin Gusts
m/s]],0.5)</f>
        <v>9.5</v>
      </c>
      <c r="L141" s="47">
        <f>CEILING(TBL_CalcDarwin[[#This Row],[Darwin Gusts
m/s]],0.5)</f>
        <v>11.5</v>
      </c>
      <c r="M14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5.0839999999999996</v>
      </c>
      <c r="N14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4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4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5.0839999999999996</v>
      </c>
      <c r="Q141" s="41">
        <f>INDEX(Curva_Temp[Temp],MATCH(TBL_CalcDarwin[[#This Row],[Darwin Temp.
°C]],Curva_Temp[Temp]))</f>
        <v>15</v>
      </c>
      <c r="R141" s="41">
        <f>INDEX(Curva_Temp[Warranted Power Curve for 
1.194Kg/m3 air density '[kW']
SG 5.0-145 (AM+1, 5.2MW) AT 
90M],MATCH(TBL_CalcDarwin[[#This Row],[Darwin Temp.
°C]],Curva_Temp[Temp]))</f>
        <v>5200</v>
      </c>
      <c r="S141" s="41" cm="1">
        <f t="array" ref="S141">INDEX(Curva_Temp[Temp],MATCH(TBL_CalcDarwin[[#This Row],[Darwin Temp.
°C]],Curva_Temp[Temp])+1)</f>
        <v>20</v>
      </c>
      <c r="T141" s="41" cm="1">
        <f t="array" ref="T141">INDEX(Curva_Temp[Warranted Power Curve for 
1.194Kg/m3 air density '[kW']
SG 5.0-145 (AM+1, 5.2MW) AT 
90M],MATCH(TBL_CalcDarwin[[#This Row],[Darwin Temp.
°C]],Curva_Temp[Temp])+1)</f>
        <v>5000</v>
      </c>
      <c r="U14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4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4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41" s="41">
        <f>INDEX(Curva_Temp[Temp],MATCH(TBL_CalcDarwin[[#This Row],[Darwin Temp.
°C]],Curva_Temp[Temp]))</f>
        <v>15</v>
      </c>
      <c r="Z141" s="41">
        <f>INDEX(Curva_Temp[Warranted Power Curve for 
1.194Kg/m3 air density '[kW']
SG 5.0-145 (AM 0, 5.0MW) AT 
90M],MATCH(TBL_CalcDarwin[[#This Row],[Darwin Temp.
°C]],Curva_Temp[Temp]))</f>
        <v>5000</v>
      </c>
      <c r="AA141" s="41" cm="1">
        <f t="array" ref="AA141">INDEX(Curva_Temp[Temp],MATCH(TBL_CalcDarwin[[#This Row],[Darwin Temp.
°C]],Curva_Temp[Temp])+1)</f>
        <v>20</v>
      </c>
      <c r="AB141" s="41" cm="1">
        <f t="array" ref="AB141">INDEX(Curva_Temp[Warranted Power Curve for 
1.194Kg/m3 air density '[kW']
SG 5.0-145 (AM 0, 5.0MW) AT 
90M],MATCH(TBL_CalcDarwin[[#This Row],[Darwin Temp.
°C]],Curva_Temp[Temp])+1)</f>
        <v>5000</v>
      </c>
      <c r="AC141" s="45">
        <f>HLOOKUP(TBL_CalcDarwin[[#This Row],[Fecha]],'Plantilla AEG ES'!$E$1:$HX$13,2,FALSE)</f>
        <v>5</v>
      </c>
      <c r="AD141" s="45">
        <f>HLOOKUP(TBL_CalcDarwin[[#This Row],[Fecha]],'Plantilla AEG ES'!$E$1:$HX$13,3,FALSE)</f>
        <v>8</v>
      </c>
      <c r="AE141" s="45">
        <f>HLOOKUP(TBL_CalcDarwin[[#This Row],[Fecha]],'Plantilla AEG ES'!$E$1:$HX$13,4,FALSE)</f>
        <v>12</v>
      </c>
      <c r="AF141" s="45">
        <f>HLOOKUP(TBL_CalcDarwin[[#This Row],[Fecha]],'Plantilla AEG ES'!$E$1:$HX$13,5,FALSE)</f>
        <v>1</v>
      </c>
      <c r="AG141" s="45">
        <f>HLOOKUP(TBL_CalcDarwin[[#This Row],[Fecha]],'Plantilla AEG ES'!$E$1:$HX$13,6,FALSE)</f>
        <v>1</v>
      </c>
      <c r="AH141" s="45">
        <f>HLOOKUP(TBL_CalcDarwin[[#This Row],[Fecha]],'Plantilla AEG ES'!$E$1:$HX$13,7,FALSE)</f>
        <v>0</v>
      </c>
      <c r="AI141" s="46">
        <f>HLOOKUP(TBL_CalcDarwin[[#This Row],[Fecha]],'Plantilla AEG ES'!$E$1:$HX$13,8,FALSE)</f>
        <v>0</v>
      </c>
      <c r="AJ141" s="46">
        <f>HLOOKUP(TBL_CalcDarwin[[#This Row],[Fecha]],'Plantilla AEG ES'!$E$1:$HX$13,9,FALSE)</f>
        <v>3</v>
      </c>
      <c r="AK141" s="46">
        <f>HLOOKUP(TBL_CalcDarwin[[#This Row],[Fecha]],'Plantilla AEG ES'!$E$1:$HX$13,10,FALSE)</f>
        <v>12</v>
      </c>
      <c r="AL141" s="46">
        <f>HLOOKUP(TBL_CalcDarwin[[#This Row],[Fecha]],'Plantilla AEG ES'!$E$1:$HX$13,11,FALSE)</f>
        <v>1</v>
      </c>
      <c r="AM141" s="46">
        <f>HLOOKUP(TBL_CalcDarwin[[#This Row],[Fecha]],'Plantilla AEG ES'!$E$1:$HX$13,12,FALSE)</f>
        <v>7</v>
      </c>
      <c r="AN141" s="46">
        <f>HLOOKUP(TBL_CalcDarwin[[#This Row],[Fecha]],'Plantilla AEG ES'!$E$1:$HX$13,13,FALSE)</f>
        <v>1</v>
      </c>
      <c r="AO141" s="37">
        <f>TBL_CalcDarwin[[#This Row],[Lomitas - Barra A - 5.2 - Cerro]]+TBL_CalcDarwin[[#This Row],[Lomitas - Barra A - 5.2 - Medio]]+TBL_CalcDarwin[[#This Row],[Lomitas - Barra A - 5.2 - Mar]]</f>
        <v>25</v>
      </c>
      <c r="AP14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106.134</v>
      </c>
      <c r="AR14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109.83999999999999</v>
      </c>
      <c r="AS141" s="37">
        <f>TBL_CalcDarwin[[#This Row],[Expansión - Barra A - 5.2 - Cerro]]+TBL_CalcDarwin[[#This Row],[Expansión - Barra A - 5.2 - Medio]]+TBL_CalcDarwin[[#This Row],[Expansión - Barra A - 5.2 - Mar]]</f>
        <v>2</v>
      </c>
      <c r="AT141" s="37">
        <f>TBL_CalcDarwin[[#This Row],[Expansión - Barra B - 5.2 - Cerro]]</f>
        <v>1</v>
      </c>
      <c r="AU14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6.7200000000000006</v>
      </c>
      <c r="AV141" s="29">
        <f>TBL_CalcDarwin[[#This Row],[Expansión - Barra B - 5.2 - Cerro]]*TBL_CalcDarwin[[#This Row],[AEG 5.2 MW Cerro]]</f>
        <v>2.8780000000000001</v>
      </c>
      <c r="AZ141" s="18"/>
      <c r="BA141" s="18"/>
      <c r="BB141" s="18"/>
      <c r="BC141" s="18"/>
      <c r="BD141" s="18"/>
      <c r="BE141" s="18"/>
      <c r="BF141" s="18"/>
    </row>
    <row r="142" spans="2:58" ht="12" x14ac:dyDescent="0.2">
      <c r="B142" s="55">
        <f t="shared" si="13"/>
        <v>45618.833333333001</v>
      </c>
      <c r="C142" s="17">
        <f t="shared" si="12"/>
        <v>5.8333333333333401</v>
      </c>
      <c r="D142" s="34">
        <f>TBL_CalcDarwin[[#This Row],[Darwin PLOM
MW]]+TBL_CalcDarwin[[#This Row],[Darwin PLOME
MW]]</f>
        <v>199.93799999999999</v>
      </c>
      <c r="E142" s="34">
        <f>TBL_CalcDarwin[[#This Row],[PLOM MW TOTAL BARRA A]]+TBL_CalcDarwin[[#This Row],[PLOM MW TOTAL BARRA B]]</f>
        <v>192.61599999999999</v>
      </c>
      <c r="F142" s="34">
        <f>TBL_CalcDarwin[[#This Row],[PLOME MW TOTAL BARRA A]]+TBL_CalcDarwin[[#This Row],[PLOME MW TOTAL BARRA B]]</f>
        <v>7.3220000000000001</v>
      </c>
      <c r="G142" s="48">
        <f>'Plantilla Datos'!D147</f>
        <v>8.1999999999999993</v>
      </c>
      <c r="H142" s="48">
        <f>'Plantilla Datos'!E147</f>
        <v>10.3</v>
      </c>
      <c r="I142" s="49">
        <f>'Plantilla Datos'!F147</f>
        <v>17.899999999999999</v>
      </c>
      <c r="J142" s="47">
        <f>CEILING('Plantilla Datos'!$L$3*TBL_CalcDarwin[[#This Row],[Darwin Gusts
m/s]],0.5)</f>
        <v>7.5</v>
      </c>
      <c r="K142" s="47">
        <f>CEILING('Plantilla Datos'!$L$4*TBL_CalcDarwin[[#This Row],[Darwin Gusts
m/s]],0.5)</f>
        <v>9</v>
      </c>
      <c r="L142" s="47">
        <f>CEILING(TBL_CalcDarwin[[#This Row],[Darwin Gusts
m/s]],0.5)</f>
        <v>10.5</v>
      </c>
      <c r="M14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5.0839999999999996</v>
      </c>
      <c r="N14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4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4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42" s="41">
        <f>INDEX(Curva_Temp[Temp],MATCH(TBL_CalcDarwin[[#This Row],[Darwin Temp.
°C]],Curva_Temp[Temp]))</f>
        <v>15</v>
      </c>
      <c r="R142" s="41">
        <f>INDEX(Curva_Temp[Warranted Power Curve for 
1.194Kg/m3 air density '[kW']
SG 5.0-145 (AM+1, 5.2MW) AT 
90M],MATCH(TBL_CalcDarwin[[#This Row],[Darwin Temp.
°C]],Curva_Temp[Temp]))</f>
        <v>5200</v>
      </c>
      <c r="S142" s="41" cm="1">
        <f t="array" ref="S142">INDEX(Curva_Temp[Temp],MATCH(TBL_CalcDarwin[[#This Row],[Darwin Temp.
°C]],Curva_Temp[Temp])+1)</f>
        <v>20</v>
      </c>
      <c r="T142" s="41" cm="1">
        <f t="array" ref="T142">INDEX(Curva_Temp[Warranted Power Curve for 
1.194Kg/m3 air density '[kW']
SG 5.0-145 (AM+1, 5.2MW) AT 
90M],MATCH(TBL_CalcDarwin[[#This Row],[Darwin Temp.
°C]],Curva_Temp[Temp])+1)</f>
        <v>5000</v>
      </c>
      <c r="U14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4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4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42" s="41">
        <f>INDEX(Curva_Temp[Temp],MATCH(TBL_CalcDarwin[[#This Row],[Darwin Temp.
°C]],Curva_Temp[Temp]))</f>
        <v>15</v>
      </c>
      <c r="Z142" s="41">
        <f>INDEX(Curva_Temp[Warranted Power Curve for 
1.194Kg/m3 air density '[kW']
SG 5.0-145 (AM 0, 5.0MW) AT 
90M],MATCH(TBL_CalcDarwin[[#This Row],[Darwin Temp.
°C]],Curva_Temp[Temp]))</f>
        <v>5000</v>
      </c>
      <c r="AA142" s="41" cm="1">
        <f t="array" ref="AA142">INDEX(Curva_Temp[Temp],MATCH(TBL_CalcDarwin[[#This Row],[Darwin Temp.
°C]],Curva_Temp[Temp])+1)</f>
        <v>20</v>
      </c>
      <c r="AB142" s="41" cm="1">
        <f t="array" ref="AB142">INDEX(Curva_Temp[Warranted Power Curve for 
1.194Kg/m3 air density '[kW']
SG 5.0-145 (AM 0, 5.0MW) AT 
90M],MATCH(TBL_CalcDarwin[[#This Row],[Darwin Temp.
°C]],Curva_Temp[Temp])+1)</f>
        <v>5000</v>
      </c>
      <c r="AC142" s="45">
        <f>HLOOKUP(TBL_CalcDarwin[[#This Row],[Fecha]],'Plantilla AEG ES'!$E$1:$HX$13,2,FALSE)</f>
        <v>5</v>
      </c>
      <c r="AD142" s="45">
        <f>HLOOKUP(TBL_CalcDarwin[[#This Row],[Fecha]],'Plantilla AEG ES'!$E$1:$HX$13,3,FALSE)</f>
        <v>8</v>
      </c>
      <c r="AE142" s="45">
        <f>HLOOKUP(TBL_CalcDarwin[[#This Row],[Fecha]],'Plantilla AEG ES'!$E$1:$HX$13,4,FALSE)</f>
        <v>12</v>
      </c>
      <c r="AF142" s="45">
        <f>HLOOKUP(TBL_CalcDarwin[[#This Row],[Fecha]],'Plantilla AEG ES'!$E$1:$HX$13,5,FALSE)</f>
        <v>1</v>
      </c>
      <c r="AG142" s="45">
        <f>HLOOKUP(TBL_CalcDarwin[[#This Row],[Fecha]],'Plantilla AEG ES'!$E$1:$HX$13,6,FALSE)</f>
        <v>1</v>
      </c>
      <c r="AH142" s="45">
        <f>HLOOKUP(TBL_CalcDarwin[[#This Row],[Fecha]],'Plantilla AEG ES'!$E$1:$HX$13,7,FALSE)</f>
        <v>0</v>
      </c>
      <c r="AI142" s="46">
        <f>HLOOKUP(TBL_CalcDarwin[[#This Row],[Fecha]],'Plantilla AEG ES'!$E$1:$HX$13,8,FALSE)</f>
        <v>0</v>
      </c>
      <c r="AJ142" s="46">
        <f>HLOOKUP(TBL_CalcDarwin[[#This Row],[Fecha]],'Plantilla AEG ES'!$E$1:$HX$13,9,FALSE)</f>
        <v>3</v>
      </c>
      <c r="AK142" s="46">
        <f>HLOOKUP(TBL_CalcDarwin[[#This Row],[Fecha]],'Plantilla AEG ES'!$E$1:$HX$13,10,FALSE)</f>
        <v>12</v>
      </c>
      <c r="AL142" s="46">
        <f>HLOOKUP(TBL_CalcDarwin[[#This Row],[Fecha]],'Plantilla AEG ES'!$E$1:$HX$13,11,FALSE)</f>
        <v>1</v>
      </c>
      <c r="AM142" s="46">
        <f>HLOOKUP(TBL_CalcDarwin[[#This Row],[Fecha]],'Plantilla AEG ES'!$E$1:$HX$13,12,FALSE)</f>
        <v>7</v>
      </c>
      <c r="AN142" s="46">
        <f>HLOOKUP(TBL_CalcDarwin[[#This Row],[Fecha]],'Plantilla AEG ES'!$E$1:$HX$13,13,FALSE)</f>
        <v>1</v>
      </c>
      <c r="AO142" s="37">
        <f>TBL_CalcDarwin[[#This Row],[Lomitas - Barra A - 5.2 - Cerro]]+TBL_CalcDarwin[[#This Row],[Lomitas - Barra A - 5.2 - Medio]]+TBL_CalcDarwin[[#This Row],[Lomitas - Barra A - 5.2 - Mar]]</f>
        <v>25</v>
      </c>
      <c r="AP14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4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42" s="37">
        <f>TBL_CalcDarwin[[#This Row],[Expansión - Barra A - 5.2 - Cerro]]+TBL_CalcDarwin[[#This Row],[Expansión - Barra A - 5.2 - Medio]]+TBL_CalcDarwin[[#This Row],[Expansión - Barra A - 5.2 - Mar]]</f>
        <v>2</v>
      </c>
      <c r="AT142" s="37">
        <f>TBL_CalcDarwin[[#This Row],[Expansión - Barra B - 5.2 - Cerro]]</f>
        <v>1</v>
      </c>
      <c r="AU14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42" s="29">
        <f>TBL_CalcDarwin[[#This Row],[Expansión - Barra B - 5.2 - Cerro]]*TBL_CalcDarwin[[#This Row],[AEG 5.2 MW Cerro]]</f>
        <v>1.978</v>
      </c>
      <c r="AZ142" s="18"/>
      <c r="BA142" s="18"/>
      <c r="BB142" s="18"/>
      <c r="BC142" s="18"/>
      <c r="BD142" s="18"/>
      <c r="BE142" s="18"/>
      <c r="BF142" s="18"/>
    </row>
    <row r="143" spans="2:58" ht="12" x14ac:dyDescent="0.2">
      <c r="B143" s="55">
        <f t="shared" si="13"/>
        <v>45618.874999999665</v>
      </c>
      <c r="C143" s="17">
        <f>C142+TIME(1,0,0)</f>
        <v>5.8750000000000071</v>
      </c>
      <c r="D143" s="34">
        <f>TBL_CalcDarwin[[#This Row],[Darwin PLOM
MW]]+TBL_CalcDarwin[[#This Row],[Darwin PLOME
MW]]</f>
        <v>166.10399999999998</v>
      </c>
      <c r="E143" s="34">
        <f>TBL_CalcDarwin[[#This Row],[PLOM MW TOTAL BARRA A]]+TBL_CalcDarwin[[#This Row],[PLOM MW TOTAL BARRA B]]</f>
        <v>160.03199999999998</v>
      </c>
      <c r="F143" s="34">
        <f>TBL_CalcDarwin[[#This Row],[PLOME MW TOTAL BARRA A]]+TBL_CalcDarwin[[#This Row],[PLOME MW TOTAL BARRA B]]</f>
        <v>6.0719999999999992</v>
      </c>
      <c r="G143" s="48">
        <f>'Plantilla Datos'!D148</f>
        <v>7.5</v>
      </c>
      <c r="H143" s="48">
        <f>'Plantilla Datos'!E148</f>
        <v>9.5</v>
      </c>
      <c r="I143" s="49">
        <f>'Plantilla Datos'!F148</f>
        <v>17.899999999999999</v>
      </c>
      <c r="J143" s="47">
        <f>CEILING('Plantilla Datos'!$L$3*TBL_CalcDarwin[[#This Row],[Darwin Gusts
m/s]],0.5)</f>
        <v>7</v>
      </c>
      <c r="K143" s="47">
        <f>CEILING('Plantilla Datos'!$L$4*TBL_CalcDarwin[[#This Row],[Darwin Gusts
m/s]],0.5)</f>
        <v>8.5</v>
      </c>
      <c r="L143" s="47">
        <f>CEILING(TBL_CalcDarwin[[#This Row],[Darwin Gusts
m/s]],0.5)</f>
        <v>9.5</v>
      </c>
      <c r="M14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5.0839999999999996</v>
      </c>
      <c r="N14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4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4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43" s="41">
        <f>INDEX(Curva_Temp[Temp],MATCH(TBL_CalcDarwin[[#This Row],[Darwin Temp.
°C]],Curva_Temp[Temp]))</f>
        <v>15</v>
      </c>
      <c r="R143" s="41">
        <f>INDEX(Curva_Temp[Warranted Power Curve for 
1.194Kg/m3 air density '[kW']
SG 5.0-145 (AM+1, 5.2MW) AT 
90M],MATCH(TBL_CalcDarwin[[#This Row],[Darwin Temp.
°C]],Curva_Temp[Temp]))</f>
        <v>5200</v>
      </c>
      <c r="S143" s="41" cm="1">
        <f t="array" ref="S143">INDEX(Curva_Temp[Temp],MATCH(TBL_CalcDarwin[[#This Row],[Darwin Temp.
°C]],Curva_Temp[Temp])+1)</f>
        <v>20</v>
      </c>
      <c r="T143" s="41" cm="1">
        <f t="array" ref="T143">INDEX(Curva_Temp[Warranted Power Curve for 
1.194Kg/m3 air density '[kW']
SG 5.0-145 (AM+1, 5.2MW) AT 
90M],MATCH(TBL_CalcDarwin[[#This Row],[Darwin Temp.
°C]],Curva_Temp[Temp])+1)</f>
        <v>5000</v>
      </c>
      <c r="U14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4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4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43" s="41">
        <f>INDEX(Curva_Temp[Temp],MATCH(TBL_CalcDarwin[[#This Row],[Darwin Temp.
°C]],Curva_Temp[Temp]))</f>
        <v>15</v>
      </c>
      <c r="Z143" s="41">
        <f>INDEX(Curva_Temp[Warranted Power Curve for 
1.194Kg/m3 air density '[kW']
SG 5.0-145 (AM 0, 5.0MW) AT 
90M],MATCH(TBL_CalcDarwin[[#This Row],[Darwin Temp.
°C]],Curva_Temp[Temp]))</f>
        <v>5000</v>
      </c>
      <c r="AA143" s="41" cm="1">
        <f t="array" ref="AA143">INDEX(Curva_Temp[Temp],MATCH(TBL_CalcDarwin[[#This Row],[Darwin Temp.
°C]],Curva_Temp[Temp])+1)</f>
        <v>20</v>
      </c>
      <c r="AB143" s="41" cm="1">
        <f t="array" ref="AB143">INDEX(Curva_Temp[Warranted Power Curve for 
1.194Kg/m3 air density '[kW']
SG 5.0-145 (AM 0, 5.0MW) AT 
90M],MATCH(TBL_CalcDarwin[[#This Row],[Darwin Temp.
°C]],Curva_Temp[Temp])+1)</f>
        <v>5000</v>
      </c>
      <c r="AC143" s="45">
        <f>HLOOKUP(TBL_CalcDarwin[[#This Row],[Fecha]],'Plantilla AEG ES'!$E$1:$HX$13,2,FALSE)</f>
        <v>5</v>
      </c>
      <c r="AD143" s="45">
        <f>HLOOKUP(TBL_CalcDarwin[[#This Row],[Fecha]],'Plantilla AEG ES'!$E$1:$HX$13,3,FALSE)</f>
        <v>8</v>
      </c>
      <c r="AE143" s="45">
        <f>HLOOKUP(TBL_CalcDarwin[[#This Row],[Fecha]],'Plantilla AEG ES'!$E$1:$HX$13,4,FALSE)</f>
        <v>12</v>
      </c>
      <c r="AF143" s="45">
        <f>HLOOKUP(TBL_CalcDarwin[[#This Row],[Fecha]],'Plantilla AEG ES'!$E$1:$HX$13,5,FALSE)</f>
        <v>1</v>
      </c>
      <c r="AG143" s="45">
        <f>HLOOKUP(TBL_CalcDarwin[[#This Row],[Fecha]],'Plantilla AEG ES'!$E$1:$HX$13,6,FALSE)</f>
        <v>1</v>
      </c>
      <c r="AH143" s="45">
        <f>HLOOKUP(TBL_CalcDarwin[[#This Row],[Fecha]],'Plantilla AEG ES'!$E$1:$HX$13,7,FALSE)</f>
        <v>0</v>
      </c>
      <c r="AI143" s="46">
        <f>HLOOKUP(TBL_CalcDarwin[[#This Row],[Fecha]],'Plantilla AEG ES'!$E$1:$HX$13,8,FALSE)</f>
        <v>0</v>
      </c>
      <c r="AJ143" s="46">
        <f>HLOOKUP(TBL_CalcDarwin[[#This Row],[Fecha]],'Plantilla AEG ES'!$E$1:$HX$13,9,FALSE)</f>
        <v>3</v>
      </c>
      <c r="AK143" s="46">
        <f>HLOOKUP(TBL_CalcDarwin[[#This Row],[Fecha]],'Plantilla AEG ES'!$E$1:$HX$13,10,FALSE)</f>
        <v>12</v>
      </c>
      <c r="AL143" s="46">
        <f>HLOOKUP(TBL_CalcDarwin[[#This Row],[Fecha]],'Plantilla AEG ES'!$E$1:$HX$13,11,FALSE)</f>
        <v>1</v>
      </c>
      <c r="AM143" s="46">
        <f>HLOOKUP(TBL_CalcDarwin[[#This Row],[Fecha]],'Plantilla AEG ES'!$E$1:$HX$13,12,FALSE)</f>
        <v>7</v>
      </c>
      <c r="AN143" s="46">
        <f>HLOOKUP(TBL_CalcDarwin[[#This Row],[Fecha]],'Plantilla AEG ES'!$E$1:$HX$13,13,FALSE)</f>
        <v>1</v>
      </c>
      <c r="AO143" s="37">
        <f>TBL_CalcDarwin[[#This Row],[Lomitas - Barra A - 5.2 - Cerro]]+TBL_CalcDarwin[[#This Row],[Lomitas - Barra A - 5.2 - Medio]]+TBL_CalcDarwin[[#This Row],[Lomitas - Barra A - 5.2 - Mar]]</f>
        <v>25</v>
      </c>
      <c r="AP14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14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43" s="37">
        <f>TBL_CalcDarwin[[#This Row],[Expansión - Barra A - 5.2 - Cerro]]+TBL_CalcDarwin[[#This Row],[Expansión - Barra A - 5.2 - Medio]]+TBL_CalcDarwin[[#This Row],[Expansión - Barra A - 5.2 - Mar]]</f>
        <v>2</v>
      </c>
      <c r="AT143" s="37">
        <f>TBL_CalcDarwin[[#This Row],[Expansión - Barra B - 5.2 - Cerro]]</f>
        <v>1</v>
      </c>
      <c r="AU14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43" s="29">
        <f>TBL_CalcDarwin[[#This Row],[Expansión - Barra B - 5.2 - Cerro]]*TBL_CalcDarwin[[#This Row],[AEG 5.2 MW Cerro]]</f>
        <v>1.597</v>
      </c>
      <c r="AZ143" s="18"/>
      <c r="BA143" s="18"/>
      <c r="BB143" s="18"/>
      <c r="BC143" s="18"/>
      <c r="BD143" s="18"/>
      <c r="BE143" s="18"/>
      <c r="BF143" s="18"/>
    </row>
    <row r="144" spans="2:58" ht="12" x14ac:dyDescent="0.2">
      <c r="B144" s="55">
        <f t="shared" si="13"/>
        <v>45618.91666666633</v>
      </c>
      <c r="C144" s="17">
        <f t="shared" ref="C144:C148" si="14">C143+TIME(1,0,0)</f>
        <v>5.9166666666666741</v>
      </c>
      <c r="D144" s="34">
        <f>TBL_CalcDarwin[[#This Row],[Darwin PLOM
MW]]+TBL_CalcDarwin[[#This Row],[Darwin PLOME
MW]]</f>
        <v>137.999</v>
      </c>
      <c r="E144" s="34">
        <f>TBL_CalcDarwin[[#This Row],[PLOM MW TOTAL BARRA A]]+TBL_CalcDarwin[[#This Row],[PLOM MW TOTAL BARRA B]]</f>
        <v>133.489</v>
      </c>
      <c r="F144" s="34">
        <f>TBL_CalcDarwin[[#This Row],[PLOME MW TOTAL BARRA A]]+TBL_CalcDarwin[[#This Row],[PLOME MW TOTAL BARRA B]]</f>
        <v>4.51</v>
      </c>
      <c r="G144" s="48">
        <f>'Plantilla Datos'!D149</f>
        <v>6.8</v>
      </c>
      <c r="H144" s="48">
        <f>'Plantilla Datos'!E149</f>
        <v>8.6</v>
      </c>
      <c r="I144" s="49">
        <f>'Plantilla Datos'!F149</f>
        <v>17.899999999999999</v>
      </c>
      <c r="J144" s="47">
        <f>CEILING('Plantilla Datos'!$L$3*TBL_CalcDarwin[[#This Row],[Darwin Gusts
m/s]],0.5)</f>
        <v>6.5</v>
      </c>
      <c r="K144" s="47">
        <f>CEILING('Plantilla Datos'!$L$4*TBL_CalcDarwin[[#This Row],[Darwin Gusts
m/s]],0.5)</f>
        <v>7.5</v>
      </c>
      <c r="L144" s="47">
        <f>CEILING(TBL_CalcDarwin[[#This Row],[Darwin Gusts
m/s]],0.5)</f>
        <v>9</v>
      </c>
      <c r="M14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5.0839999999999996</v>
      </c>
      <c r="N14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4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4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44" s="41">
        <f>INDEX(Curva_Temp[Temp],MATCH(TBL_CalcDarwin[[#This Row],[Darwin Temp.
°C]],Curva_Temp[Temp]))</f>
        <v>15</v>
      </c>
      <c r="R144" s="41">
        <f>INDEX(Curva_Temp[Warranted Power Curve for 
1.194Kg/m3 air density '[kW']
SG 5.0-145 (AM+1, 5.2MW) AT 
90M],MATCH(TBL_CalcDarwin[[#This Row],[Darwin Temp.
°C]],Curva_Temp[Temp]))</f>
        <v>5200</v>
      </c>
      <c r="S144" s="41" cm="1">
        <f t="array" ref="S144">INDEX(Curva_Temp[Temp],MATCH(TBL_CalcDarwin[[#This Row],[Darwin Temp.
°C]],Curva_Temp[Temp])+1)</f>
        <v>20</v>
      </c>
      <c r="T144" s="41" cm="1">
        <f t="array" ref="T144">INDEX(Curva_Temp[Warranted Power Curve for 
1.194Kg/m3 air density '[kW']
SG 5.0-145 (AM+1, 5.2MW) AT 
90M],MATCH(TBL_CalcDarwin[[#This Row],[Darwin Temp.
°C]],Curva_Temp[Temp])+1)</f>
        <v>5000</v>
      </c>
      <c r="U14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4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4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44" s="41">
        <f>INDEX(Curva_Temp[Temp],MATCH(TBL_CalcDarwin[[#This Row],[Darwin Temp.
°C]],Curva_Temp[Temp]))</f>
        <v>15</v>
      </c>
      <c r="Z144" s="41">
        <f>INDEX(Curva_Temp[Warranted Power Curve for 
1.194Kg/m3 air density '[kW']
SG 5.0-145 (AM 0, 5.0MW) AT 
90M],MATCH(TBL_CalcDarwin[[#This Row],[Darwin Temp.
°C]],Curva_Temp[Temp]))</f>
        <v>5000</v>
      </c>
      <c r="AA144" s="41" cm="1">
        <f t="array" ref="AA144">INDEX(Curva_Temp[Temp],MATCH(TBL_CalcDarwin[[#This Row],[Darwin Temp.
°C]],Curva_Temp[Temp])+1)</f>
        <v>20</v>
      </c>
      <c r="AB144" s="41" cm="1">
        <f t="array" ref="AB144">INDEX(Curva_Temp[Warranted Power Curve for 
1.194Kg/m3 air density '[kW']
SG 5.0-145 (AM 0, 5.0MW) AT 
90M],MATCH(TBL_CalcDarwin[[#This Row],[Darwin Temp.
°C]],Curva_Temp[Temp])+1)</f>
        <v>5000</v>
      </c>
      <c r="AC144" s="45">
        <f>HLOOKUP(TBL_CalcDarwin[[#This Row],[Fecha]],'Plantilla AEG ES'!$E$1:$HX$13,2,FALSE)</f>
        <v>5</v>
      </c>
      <c r="AD144" s="45">
        <f>HLOOKUP(TBL_CalcDarwin[[#This Row],[Fecha]],'Plantilla AEG ES'!$E$1:$HX$13,3,FALSE)</f>
        <v>8</v>
      </c>
      <c r="AE144" s="45">
        <f>HLOOKUP(TBL_CalcDarwin[[#This Row],[Fecha]],'Plantilla AEG ES'!$E$1:$HX$13,4,FALSE)</f>
        <v>12</v>
      </c>
      <c r="AF144" s="45">
        <f>HLOOKUP(TBL_CalcDarwin[[#This Row],[Fecha]],'Plantilla AEG ES'!$E$1:$HX$13,5,FALSE)</f>
        <v>1</v>
      </c>
      <c r="AG144" s="45">
        <f>HLOOKUP(TBL_CalcDarwin[[#This Row],[Fecha]],'Plantilla AEG ES'!$E$1:$HX$13,6,FALSE)</f>
        <v>1</v>
      </c>
      <c r="AH144" s="45">
        <f>HLOOKUP(TBL_CalcDarwin[[#This Row],[Fecha]],'Plantilla AEG ES'!$E$1:$HX$13,7,FALSE)</f>
        <v>0</v>
      </c>
      <c r="AI144" s="46">
        <f>HLOOKUP(TBL_CalcDarwin[[#This Row],[Fecha]],'Plantilla AEG ES'!$E$1:$HX$13,8,FALSE)</f>
        <v>0</v>
      </c>
      <c r="AJ144" s="46">
        <f>HLOOKUP(TBL_CalcDarwin[[#This Row],[Fecha]],'Plantilla AEG ES'!$E$1:$HX$13,9,FALSE)</f>
        <v>3</v>
      </c>
      <c r="AK144" s="46">
        <f>HLOOKUP(TBL_CalcDarwin[[#This Row],[Fecha]],'Plantilla AEG ES'!$E$1:$HX$13,10,FALSE)</f>
        <v>12</v>
      </c>
      <c r="AL144" s="46">
        <f>HLOOKUP(TBL_CalcDarwin[[#This Row],[Fecha]],'Plantilla AEG ES'!$E$1:$HX$13,11,FALSE)</f>
        <v>1</v>
      </c>
      <c r="AM144" s="46">
        <f>HLOOKUP(TBL_CalcDarwin[[#This Row],[Fecha]],'Plantilla AEG ES'!$E$1:$HX$13,12,FALSE)</f>
        <v>7</v>
      </c>
      <c r="AN144" s="46">
        <f>HLOOKUP(TBL_CalcDarwin[[#This Row],[Fecha]],'Plantilla AEG ES'!$E$1:$HX$13,13,FALSE)</f>
        <v>1</v>
      </c>
      <c r="AO144" s="37">
        <f>TBL_CalcDarwin[[#This Row],[Lomitas - Barra A - 5.2 - Cerro]]+TBL_CalcDarwin[[#This Row],[Lomitas - Barra A - 5.2 - Medio]]+TBL_CalcDarwin[[#This Row],[Lomitas - Barra A - 5.2 - Mar]]</f>
        <v>25</v>
      </c>
      <c r="AP14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14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44" s="37">
        <f>TBL_CalcDarwin[[#This Row],[Expansión - Barra A - 5.2 - Cerro]]+TBL_CalcDarwin[[#This Row],[Expansión - Barra A - 5.2 - Medio]]+TBL_CalcDarwin[[#This Row],[Expansión - Barra A - 5.2 - Mar]]</f>
        <v>2</v>
      </c>
      <c r="AT144" s="37">
        <f>TBL_CalcDarwin[[#This Row],[Expansión - Barra B - 5.2 - Cerro]]</f>
        <v>1</v>
      </c>
      <c r="AU14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44" s="29">
        <f>TBL_CalcDarwin[[#This Row],[Expansión - Barra B - 5.2 - Cerro]]*TBL_CalcDarwin[[#This Row],[AEG 5.2 MW Cerro]]</f>
        <v>1.266</v>
      </c>
      <c r="AZ144" s="18"/>
      <c r="BA144" s="18"/>
      <c r="BB144" s="18"/>
      <c r="BC144" s="18"/>
      <c r="BD144" s="18"/>
      <c r="BE144" s="18"/>
      <c r="BF144" s="18"/>
    </row>
    <row r="145" spans="2:58" ht="12" x14ac:dyDescent="0.2">
      <c r="B145" s="55">
        <f t="shared" si="13"/>
        <v>45618.958333332994</v>
      </c>
      <c r="C145" s="17">
        <f t="shared" si="14"/>
        <v>5.958333333333341</v>
      </c>
      <c r="D145" s="34">
        <f>TBL_CalcDarwin[[#This Row],[Darwin PLOM
MW]]+TBL_CalcDarwin[[#This Row],[Darwin PLOME
MW]]</f>
        <v>101.629</v>
      </c>
      <c r="E145" s="34">
        <f>TBL_CalcDarwin[[#This Row],[PLOM MW TOTAL BARRA A]]+TBL_CalcDarwin[[#This Row],[PLOM MW TOTAL BARRA B]]</f>
        <v>98.066000000000003</v>
      </c>
      <c r="F145" s="34">
        <f>TBL_CalcDarwin[[#This Row],[PLOME MW TOTAL BARRA A]]+TBL_CalcDarwin[[#This Row],[PLOME MW TOTAL BARRA B]]</f>
        <v>3.5630000000000002</v>
      </c>
      <c r="G145" s="48">
        <f>'Plantilla Datos'!D150</f>
        <v>6.2</v>
      </c>
      <c r="H145" s="48">
        <f>'Plantilla Datos'!E150</f>
        <v>7.8</v>
      </c>
      <c r="I145" s="49">
        <f>'Plantilla Datos'!F150</f>
        <v>17.899999999999999</v>
      </c>
      <c r="J145" s="47">
        <f>CEILING('Plantilla Datos'!$L$3*TBL_CalcDarwin[[#This Row],[Darwin Gusts
m/s]],0.5)</f>
        <v>6</v>
      </c>
      <c r="K145" s="47">
        <f>CEILING('Plantilla Datos'!$L$4*TBL_CalcDarwin[[#This Row],[Darwin Gusts
m/s]],0.5)</f>
        <v>7</v>
      </c>
      <c r="L145" s="47">
        <f>CEILING(TBL_CalcDarwin[[#This Row],[Darwin Gusts
m/s]],0.5)</f>
        <v>8</v>
      </c>
      <c r="M14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5.0839999999999996</v>
      </c>
      <c r="N14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4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4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45" s="41">
        <f>INDEX(Curva_Temp[Temp],MATCH(TBL_CalcDarwin[[#This Row],[Darwin Temp.
°C]],Curva_Temp[Temp]))</f>
        <v>15</v>
      </c>
      <c r="R145" s="41">
        <f>INDEX(Curva_Temp[Warranted Power Curve for 
1.194Kg/m3 air density '[kW']
SG 5.0-145 (AM+1, 5.2MW) AT 
90M],MATCH(TBL_CalcDarwin[[#This Row],[Darwin Temp.
°C]],Curva_Temp[Temp]))</f>
        <v>5200</v>
      </c>
      <c r="S145" s="41" cm="1">
        <f t="array" ref="S145">INDEX(Curva_Temp[Temp],MATCH(TBL_CalcDarwin[[#This Row],[Darwin Temp.
°C]],Curva_Temp[Temp])+1)</f>
        <v>20</v>
      </c>
      <c r="T145" s="41" cm="1">
        <f t="array" ref="T145">INDEX(Curva_Temp[Warranted Power Curve for 
1.194Kg/m3 air density '[kW']
SG 5.0-145 (AM+1, 5.2MW) AT 
90M],MATCH(TBL_CalcDarwin[[#This Row],[Darwin Temp.
°C]],Curva_Temp[Temp])+1)</f>
        <v>5000</v>
      </c>
      <c r="U14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4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4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45" s="41">
        <f>INDEX(Curva_Temp[Temp],MATCH(TBL_CalcDarwin[[#This Row],[Darwin Temp.
°C]],Curva_Temp[Temp]))</f>
        <v>15</v>
      </c>
      <c r="Z145" s="41">
        <f>INDEX(Curva_Temp[Warranted Power Curve for 
1.194Kg/m3 air density '[kW']
SG 5.0-145 (AM 0, 5.0MW) AT 
90M],MATCH(TBL_CalcDarwin[[#This Row],[Darwin Temp.
°C]],Curva_Temp[Temp]))</f>
        <v>5000</v>
      </c>
      <c r="AA145" s="41" cm="1">
        <f t="array" ref="AA145">INDEX(Curva_Temp[Temp],MATCH(TBL_CalcDarwin[[#This Row],[Darwin Temp.
°C]],Curva_Temp[Temp])+1)</f>
        <v>20</v>
      </c>
      <c r="AB145" s="41" cm="1">
        <f t="array" ref="AB145">INDEX(Curva_Temp[Warranted Power Curve for 
1.194Kg/m3 air density '[kW']
SG 5.0-145 (AM 0, 5.0MW) AT 
90M],MATCH(TBL_CalcDarwin[[#This Row],[Darwin Temp.
°C]],Curva_Temp[Temp])+1)</f>
        <v>5000</v>
      </c>
      <c r="AC145" s="45">
        <f>HLOOKUP(TBL_CalcDarwin[[#This Row],[Fecha]],'Plantilla AEG ES'!$E$1:$HX$13,2,FALSE)</f>
        <v>5</v>
      </c>
      <c r="AD145" s="45">
        <f>HLOOKUP(TBL_CalcDarwin[[#This Row],[Fecha]],'Plantilla AEG ES'!$E$1:$HX$13,3,FALSE)</f>
        <v>8</v>
      </c>
      <c r="AE145" s="45">
        <f>HLOOKUP(TBL_CalcDarwin[[#This Row],[Fecha]],'Plantilla AEG ES'!$E$1:$HX$13,4,FALSE)</f>
        <v>12</v>
      </c>
      <c r="AF145" s="45">
        <f>HLOOKUP(TBL_CalcDarwin[[#This Row],[Fecha]],'Plantilla AEG ES'!$E$1:$HX$13,5,FALSE)</f>
        <v>1</v>
      </c>
      <c r="AG145" s="45">
        <f>HLOOKUP(TBL_CalcDarwin[[#This Row],[Fecha]],'Plantilla AEG ES'!$E$1:$HX$13,6,FALSE)</f>
        <v>1</v>
      </c>
      <c r="AH145" s="45">
        <f>HLOOKUP(TBL_CalcDarwin[[#This Row],[Fecha]],'Plantilla AEG ES'!$E$1:$HX$13,7,FALSE)</f>
        <v>0</v>
      </c>
      <c r="AI145" s="46">
        <f>HLOOKUP(TBL_CalcDarwin[[#This Row],[Fecha]],'Plantilla AEG ES'!$E$1:$HX$13,8,FALSE)</f>
        <v>0</v>
      </c>
      <c r="AJ145" s="46">
        <f>HLOOKUP(TBL_CalcDarwin[[#This Row],[Fecha]],'Plantilla AEG ES'!$E$1:$HX$13,9,FALSE)</f>
        <v>3</v>
      </c>
      <c r="AK145" s="46">
        <f>HLOOKUP(TBL_CalcDarwin[[#This Row],[Fecha]],'Plantilla AEG ES'!$E$1:$HX$13,10,FALSE)</f>
        <v>12</v>
      </c>
      <c r="AL145" s="46">
        <f>HLOOKUP(TBL_CalcDarwin[[#This Row],[Fecha]],'Plantilla AEG ES'!$E$1:$HX$13,11,FALSE)</f>
        <v>1</v>
      </c>
      <c r="AM145" s="46">
        <f>HLOOKUP(TBL_CalcDarwin[[#This Row],[Fecha]],'Plantilla AEG ES'!$E$1:$HX$13,12,FALSE)</f>
        <v>7</v>
      </c>
      <c r="AN145" s="46">
        <f>HLOOKUP(TBL_CalcDarwin[[#This Row],[Fecha]],'Plantilla AEG ES'!$E$1:$HX$13,13,FALSE)</f>
        <v>1</v>
      </c>
      <c r="AO145" s="37">
        <f>TBL_CalcDarwin[[#This Row],[Lomitas - Barra A - 5.2 - Cerro]]+TBL_CalcDarwin[[#This Row],[Lomitas - Barra A - 5.2 - Medio]]+TBL_CalcDarwin[[#This Row],[Lomitas - Barra A - 5.2 - Mar]]</f>
        <v>25</v>
      </c>
      <c r="AP14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14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45" s="37">
        <f>TBL_CalcDarwin[[#This Row],[Expansión - Barra A - 5.2 - Cerro]]+TBL_CalcDarwin[[#This Row],[Expansión - Barra A - 5.2 - Medio]]+TBL_CalcDarwin[[#This Row],[Expansión - Barra A - 5.2 - Mar]]</f>
        <v>2</v>
      </c>
      <c r="AT145" s="37">
        <f>TBL_CalcDarwin[[#This Row],[Expansión - Barra B - 5.2 - Cerro]]</f>
        <v>1</v>
      </c>
      <c r="AU14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45" s="29">
        <f>TBL_CalcDarwin[[#This Row],[Expansión - Barra B - 5.2 - Cerro]]*TBL_CalcDarwin[[#This Row],[AEG 5.2 MW Cerro]]</f>
        <v>0.98299999999999998</v>
      </c>
      <c r="AZ145" s="18"/>
      <c r="BA145" s="18"/>
      <c r="BB145" s="18"/>
      <c r="BC145" s="18"/>
      <c r="BD145" s="18"/>
      <c r="BE145" s="18"/>
      <c r="BF145" s="18"/>
    </row>
    <row r="146" spans="2:58" ht="12" x14ac:dyDescent="0.2">
      <c r="B146" s="55">
        <f t="shared" si="13"/>
        <v>45618.999999999658</v>
      </c>
      <c r="C146" s="17">
        <f t="shared" si="14"/>
        <v>6.000000000000008</v>
      </c>
      <c r="D146" s="34">
        <f>TBL_CalcDarwin[[#This Row],[Darwin PLOM
MW]]+TBL_CalcDarwin[[#This Row],[Darwin PLOME
MW]]</f>
        <v>64.665000000000006</v>
      </c>
      <c r="E146" s="34">
        <f>TBL_CalcDarwin[[#This Row],[PLOM MW TOTAL BARRA A]]+TBL_CalcDarwin[[#This Row],[PLOM MW TOTAL BARRA B]]</f>
        <v>62.192</v>
      </c>
      <c r="F146" s="34">
        <f>TBL_CalcDarwin[[#This Row],[PLOME MW TOTAL BARRA A]]+TBL_CalcDarwin[[#This Row],[PLOME MW TOTAL BARRA B]]</f>
        <v>2.4729999999999999</v>
      </c>
      <c r="G146" s="48">
        <f>'Plantilla Datos'!D151</f>
        <v>5.5</v>
      </c>
      <c r="H146" s="48">
        <f>'Plantilla Datos'!E151</f>
        <v>7</v>
      </c>
      <c r="I146" s="49">
        <f>'Plantilla Datos'!F151</f>
        <v>18</v>
      </c>
      <c r="J146" s="47">
        <f>CEILING('Plantilla Datos'!$L$3*TBL_CalcDarwin[[#This Row],[Darwin Gusts
m/s]],0.5)</f>
        <v>5.5</v>
      </c>
      <c r="K146" s="47">
        <f>CEILING('Plantilla Datos'!$L$4*TBL_CalcDarwin[[#This Row],[Darwin Gusts
m/s]],0.5)</f>
        <v>6</v>
      </c>
      <c r="L146" s="47">
        <f>CEILING(TBL_CalcDarwin[[#This Row],[Darwin Gusts
m/s]],0.5)</f>
        <v>7</v>
      </c>
      <c r="M14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</v>
      </c>
      <c r="N14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4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4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46" s="41">
        <f>INDEX(Curva_Temp[Temp],MATCH(TBL_CalcDarwin[[#This Row],[Darwin Temp.
°C]],Curva_Temp[Temp]))</f>
        <v>15</v>
      </c>
      <c r="R146" s="41">
        <f>INDEX(Curva_Temp[Warranted Power Curve for 
1.194Kg/m3 air density '[kW']
SG 5.0-145 (AM+1, 5.2MW) AT 
90M],MATCH(TBL_CalcDarwin[[#This Row],[Darwin Temp.
°C]],Curva_Temp[Temp]))</f>
        <v>5200</v>
      </c>
      <c r="S146" s="41" cm="1">
        <f t="array" ref="S146">INDEX(Curva_Temp[Temp],MATCH(TBL_CalcDarwin[[#This Row],[Darwin Temp.
°C]],Curva_Temp[Temp])+1)</f>
        <v>20</v>
      </c>
      <c r="T146" s="41" cm="1">
        <f t="array" ref="T146">INDEX(Curva_Temp[Warranted Power Curve for 
1.194Kg/m3 air density '[kW']
SG 5.0-145 (AM+1, 5.2MW) AT 
90M],MATCH(TBL_CalcDarwin[[#This Row],[Darwin Temp.
°C]],Curva_Temp[Temp])+1)</f>
        <v>5000</v>
      </c>
      <c r="U14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4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4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46" s="41">
        <f>INDEX(Curva_Temp[Temp],MATCH(TBL_CalcDarwin[[#This Row],[Darwin Temp.
°C]],Curva_Temp[Temp]))</f>
        <v>15</v>
      </c>
      <c r="Z146" s="41">
        <f>INDEX(Curva_Temp[Warranted Power Curve for 
1.194Kg/m3 air density '[kW']
SG 5.0-145 (AM 0, 5.0MW) AT 
90M],MATCH(TBL_CalcDarwin[[#This Row],[Darwin Temp.
°C]],Curva_Temp[Temp]))</f>
        <v>5000</v>
      </c>
      <c r="AA146" s="41" cm="1">
        <f t="array" ref="AA146">INDEX(Curva_Temp[Temp],MATCH(TBL_CalcDarwin[[#This Row],[Darwin Temp.
°C]],Curva_Temp[Temp])+1)</f>
        <v>20</v>
      </c>
      <c r="AB146" s="41" cm="1">
        <f t="array" ref="AB146">INDEX(Curva_Temp[Warranted Power Curve for 
1.194Kg/m3 air density '[kW']
SG 5.0-145 (AM 0, 5.0MW) AT 
90M],MATCH(TBL_CalcDarwin[[#This Row],[Darwin Temp.
°C]],Curva_Temp[Temp])+1)</f>
        <v>5000</v>
      </c>
      <c r="AC146" s="45">
        <f>HLOOKUP(TBL_CalcDarwin[[#This Row],[Fecha]],'Plantilla AEG ES'!$E$1:$HX$13,2,FALSE)</f>
        <v>5</v>
      </c>
      <c r="AD146" s="45">
        <f>HLOOKUP(TBL_CalcDarwin[[#This Row],[Fecha]],'Plantilla AEG ES'!$E$1:$HX$13,3,FALSE)</f>
        <v>7</v>
      </c>
      <c r="AE146" s="45">
        <f>HLOOKUP(TBL_CalcDarwin[[#This Row],[Fecha]],'Plantilla AEG ES'!$E$1:$HX$13,4,FALSE)</f>
        <v>11</v>
      </c>
      <c r="AF146" s="45">
        <f>HLOOKUP(TBL_CalcDarwin[[#This Row],[Fecha]],'Plantilla AEG ES'!$E$1:$HX$13,5,FALSE)</f>
        <v>1</v>
      </c>
      <c r="AG146" s="45">
        <f>HLOOKUP(TBL_CalcDarwin[[#This Row],[Fecha]],'Plantilla AEG ES'!$E$1:$HX$13,6,FALSE)</f>
        <v>1</v>
      </c>
      <c r="AH146" s="45">
        <f>HLOOKUP(TBL_CalcDarwin[[#This Row],[Fecha]],'Plantilla AEG ES'!$E$1:$HX$13,7,FALSE)</f>
        <v>0</v>
      </c>
      <c r="AI146" s="46">
        <f>HLOOKUP(TBL_CalcDarwin[[#This Row],[Fecha]],'Plantilla AEG ES'!$E$1:$HX$13,8,FALSE)</f>
        <v>0</v>
      </c>
      <c r="AJ146" s="46">
        <f>HLOOKUP(TBL_CalcDarwin[[#This Row],[Fecha]],'Plantilla AEG ES'!$E$1:$HX$13,9,FALSE)</f>
        <v>3</v>
      </c>
      <c r="AK146" s="46">
        <f>HLOOKUP(TBL_CalcDarwin[[#This Row],[Fecha]],'Plantilla AEG ES'!$E$1:$HX$13,10,FALSE)</f>
        <v>12</v>
      </c>
      <c r="AL146" s="46">
        <f>HLOOKUP(TBL_CalcDarwin[[#This Row],[Fecha]],'Plantilla AEG ES'!$E$1:$HX$13,11,FALSE)</f>
        <v>1</v>
      </c>
      <c r="AM146" s="46">
        <f>HLOOKUP(TBL_CalcDarwin[[#This Row],[Fecha]],'Plantilla AEG ES'!$E$1:$HX$13,12,FALSE)</f>
        <v>7</v>
      </c>
      <c r="AN146" s="46">
        <f>HLOOKUP(TBL_CalcDarwin[[#This Row],[Fecha]],'Plantilla AEG ES'!$E$1:$HX$13,13,FALSE)</f>
        <v>1</v>
      </c>
      <c r="AO146" s="37">
        <f>TBL_CalcDarwin[[#This Row],[Lomitas - Barra A - 5.2 - Cerro]]+TBL_CalcDarwin[[#This Row],[Lomitas - Barra A - 5.2 - Medio]]+TBL_CalcDarwin[[#This Row],[Lomitas - Barra A - 5.2 - Mar]]</f>
        <v>23</v>
      </c>
      <c r="AP14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28.173000000000002</v>
      </c>
      <c r="AR14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34.018999999999998</v>
      </c>
      <c r="AS146" s="37">
        <f>TBL_CalcDarwin[[#This Row],[Expansión - Barra A - 5.2 - Cerro]]+TBL_CalcDarwin[[#This Row],[Expansión - Barra A - 5.2 - Medio]]+TBL_CalcDarwin[[#This Row],[Expansión - Barra A - 5.2 - Mar]]</f>
        <v>2</v>
      </c>
      <c r="AT146" s="37">
        <f>TBL_CalcDarwin[[#This Row],[Expansión - Barra B - 5.2 - Cerro]]</f>
        <v>1</v>
      </c>
      <c r="AU14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1.728</v>
      </c>
      <c r="AV146" s="29">
        <f>TBL_CalcDarwin[[#This Row],[Expansión - Barra B - 5.2 - Cerro]]*TBL_CalcDarwin[[#This Row],[AEG 5.2 MW Cerro]]</f>
        <v>0.745</v>
      </c>
      <c r="AZ146" s="18"/>
      <c r="BA146" s="18"/>
      <c r="BB146" s="18"/>
      <c r="BC146" s="18"/>
      <c r="BD146" s="18"/>
      <c r="BE146" s="18"/>
      <c r="BF146" s="18"/>
    </row>
    <row r="147" spans="2:58" ht="12" x14ac:dyDescent="0.2">
      <c r="B147" s="55">
        <f t="shared" si="13"/>
        <v>45619.041666666322</v>
      </c>
      <c r="C147" s="17">
        <f t="shared" si="14"/>
        <v>6.041666666666675</v>
      </c>
      <c r="D147" s="34">
        <f>TBL_CalcDarwin[[#This Row],[Darwin PLOM
MW]]+TBL_CalcDarwin[[#This Row],[Darwin PLOME
MW]]</f>
        <v>49.213000000000001</v>
      </c>
      <c r="E147" s="34">
        <f>TBL_CalcDarwin[[#This Row],[PLOM MW TOTAL BARRA A]]+TBL_CalcDarwin[[#This Row],[PLOM MW TOTAL BARRA B]]</f>
        <v>47.704000000000001</v>
      </c>
      <c r="F147" s="34">
        <f>TBL_CalcDarwin[[#This Row],[PLOME MW TOTAL BARRA A]]+TBL_CalcDarwin[[#This Row],[PLOME MW TOTAL BARRA B]]</f>
        <v>1.5089999999999999</v>
      </c>
      <c r="G147" s="48">
        <f>'Plantilla Datos'!D152</f>
        <v>4.8</v>
      </c>
      <c r="H147" s="48">
        <f>'Plantilla Datos'!E152</f>
        <v>6.1</v>
      </c>
      <c r="I147" s="49">
        <f>'Plantilla Datos'!F152</f>
        <v>18</v>
      </c>
      <c r="J147" s="47">
        <f>CEILING('Plantilla Datos'!$L$3*TBL_CalcDarwin[[#This Row],[Darwin Gusts
m/s]],0.5)</f>
        <v>4.5</v>
      </c>
      <c r="K147" s="47">
        <f>CEILING('Plantilla Datos'!$L$4*TBL_CalcDarwin[[#This Row],[Darwin Gusts
m/s]],0.5)</f>
        <v>5.5</v>
      </c>
      <c r="L147" s="47">
        <f>CEILING(TBL_CalcDarwin[[#This Row],[Darwin Gusts
m/s]],0.5)</f>
        <v>6.5</v>
      </c>
      <c r="M14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</v>
      </c>
      <c r="N14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4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4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47" s="41">
        <f>INDEX(Curva_Temp[Temp],MATCH(TBL_CalcDarwin[[#This Row],[Darwin Temp.
°C]],Curva_Temp[Temp]))</f>
        <v>15</v>
      </c>
      <c r="R147" s="41">
        <f>INDEX(Curva_Temp[Warranted Power Curve for 
1.194Kg/m3 air density '[kW']
SG 5.0-145 (AM+1, 5.2MW) AT 
90M],MATCH(TBL_CalcDarwin[[#This Row],[Darwin Temp.
°C]],Curva_Temp[Temp]))</f>
        <v>5200</v>
      </c>
      <c r="S147" s="41" cm="1">
        <f t="array" ref="S147">INDEX(Curva_Temp[Temp],MATCH(TBL_CalcDarwin[[#This Row],[Darwin Temp.
°C]],Curva_Temp[Temp])+1)</f>
        <v>20</v>
      </c>
      <c r="T147" s="41" cm="1">
        <f t="array" ref="T147">INDEX(Curva_Temp[Warranted Power Curve for 
1.194Kg/m3 air density '[kW']
SG 5.0-145 (AM+1, 5.2MW) AT 
90M],MATCH(TBL_CalcDarwin[[#This Row],[Darwin Temp.
°C]],Curva_Temp[Temp])+1)</f>
        <v>5000</v>
      </c>
      <c r="U14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4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4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47" s="41">
        <f>INDEX(Curva_Temp[Temp],MATCH(TBL_CalcDarwin[[#This Row],[Darwin Temp.
°C]],Curva_Temp[Temp]))</f>
        <v>15</v>
      </c>
      <c r="Z147" s="41">
        <f>INDEX(Curva_Temp[Warranted Power Curve for 
1.194Kg/m3 air density '[kW']
SG 5.0-145 (AM 0, 5.0MW) AT 
90M],MATCH(TBL_CalcDarwin[[#This Row],[Darwin Temp.
°C]],Curva_Temp[Temp]))</f>
        <v>5000</v>
      </c>
      <c r="AA147" s="41" cm="1">
        <f t="array" ref="AA147">INDEX(Curva_Temp[Temp],MATCH(TBL_CalcDarwin[[#This Row],[Darwin Temp.
°C]],Curva_Temp[Temp])+1)</f>
        <v>20</v>
      </c>
      <c r="AB147" s="41" cm="1">
        <f t="array" ref="AB147">INDEX(Curva_Temp[Warranted Power Curve for 
1.194Kg/m3 air density '[kW']
SG 5.0-145 (AM 0, 5.0MW) AT 
90M],MATCH(TBL_CalcDarwin[[#This Row],[Darwin Temp.
°C]],Curva_Temp[Temp])+1)</f>
        <v>5000</v>
      </c>
      <c r="AC147" s="45">
        <f>HLOOKUP(TBL_CalcDarwin[[#This Row],[Fecha]],'Plantilla AEG ES'!$E$1:$HX$13,2,FALSE)</f>
        <v>5</v>
      </c>
      <c r="AD147" s="45">
        <f>HLOOKUP(TBL_CalcDarwin[[#This Row],[Fecha]],'Plantilla AEG ES'!$E$1:$HX$13,3,FALSE)</f>
        <v>7</v>
      </c>
      <c r="AE147" s="45">
        <f>HLOOKUP(TBL_CalcDarwin[[#This Row],[Fecha]],'Plantilla AEG ES'!$E$1:$HX$13,4,FALSE)</f>
        <v>11</v>
      </c>
      <c r="AF147" s="45">
        <f>HLOOKUP(TBL_CalcDarwin[[#This Row],[Fecha]],'Plantilla AEG ES'!$E$1:$HX$13,5,FALSE)</f>
        <v>1</v>
      </c>
      <c r="AG147" s="45">
        <f>HLOOKUP(TBL_CalcDarwin[[#This Row],[Fecha]],'Plantilla AEG ES'!$E$1:$HX$13,6,FALSE)</f>
        <v>1</v>
      </c>
      <c r="AH147" s="45">
        <f>HLOOKUP(TBL_CalcDarwin[[#This Row],[Fecha]],'Plantilla AEG ES'!$E$1:$HX$13,7,FALSE)</f>
        <v>0</v>
      </c>
      <c r="AI147" s="46">
        <f>HLOOKUP(TBL_CalcDarwin[[#This Row],[Fecha]],'Plantilla AEG ES'!$E$1:$HX$13,8,FALSE)</f>
        <v>0</v>
      </c>
      <c r="AJ147" s="46">
        <f>HLOOKUP(TBL_CalcDarwin[[#This Row],[Fecha]],'Plantilla AEG ES'!$E$1:$HX$13,9,FALSE)</f>
        <v>3</v>
      </c>
      <c r="AK147" s="46">
        <f>HLOOKUP(TBL_CalcDarwin[[#This Row],[Fecha]],'Plantilla AEG ES'!$E$1:$HX$13,10,FALSE)</f>
        <v>12</v>
      </c>
      <c r="AL147" s="46">
        <f>HLOOKUP(TBL_CalcDarwin[[#This Row],[Fecha]],'Plantilla AEG ES'!$E$1:$HX$13,11,FALSE)</f>
        <v>1</v>
      </c>
      <c r="AM147" s="46">
        <f>HLOOKUP(TBL_CalcDarwin[[#This Row],[Fecha]],'Plantilla AEG ES'!$E$1:$HX$13,12,FALSE)</f>
        <v>7</v>
      </c>
      <c r="AN147" s="46">
        <f>HLOOKUP(TBL_CalcDarwin[[#This Row],[Fecha]],'Plantilla AEG ES'!$E$1:$HX$13,13,FALSE)</f>
        <v>1</v>
      </c>
      <c r="AO147" s="37">
        <f>TBL_CalcDarwin[[#This Row],[Lomitas - Barra A - 5.2 - Cerro]]+TBL_CalcDarwin[[#This Row],[Lomitas - Barra A - 5.2 - Medio]]+TBL_CalcDarwin[[#This Row],[Lomitas - Barra A - 5.2 - Mar]]</f>
        <v>23</v>
      </c>
      <c r="AP14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21.051000000000002</v>
      </c>
      <c r="AR14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147" s="37">
        <f>TBL_CalcDarwin[[#This Row],[Expansión - Barra A - 5.2 - Cerro]]+TBL_CalcDarwin[[#This Row],[Expansión - Barra A - 5.2 - Medio]]+TBL_CalcDarwin[[#This Row],[Expansión - Barra A - 5.2 - Mar]]</f>
        <v>2</v>
      </c>
      <c r="AT147" s="37">
        <f>TBL_CalcDarwin[[#This Row],[Expansión - Barra B - 5.2 - Cerro]]</f>
        <v>1</v>
      </c>
      <c r="AU14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47" s="29">
        <f>TBL_CalcDarwin[[#This Row],[Expansión - Barra B - 5.2 - Cerro]]*TBL_CalcDarwin[[#This Row],[AEG 5.2 MW Cerro]]</f>
        <v>0.38200000000000001</v>
      </c>
      <c r="AZ147" s="18"/>
      <c r="BA147" s="18"/>
      <c r="BB147" s="18"/>
      <c r="BC147" s="18"/>
      <c r="BD147" s="18"/>
      <c r="BE147" s="18"/>
      <c r="BF147" s="18"/>
    </row>
    <row r="148" spans="2:58" ht="12" x14ac:dyDescent="0.2">
      <c r="B148" s="55">
        <f t="shared" si="13"/>
        <v>45619.083333332987</v>
      </c>
      <c r="C148" s="17">
        <f t="shared" si="14"/>
        <v>6.0833333333333419</v>
      </c>
      <c r="D148" s="34">
        <f>TBL_CalcDarwin[[#This Row],[Darwin PLOM
MW]]+TBL_CalcDarwin[[#This Row],[Darwin PLOME
MW]]</f>
        <v>49.213000000000001</v>
      </c>
      <c r="E148" s="34">
        <f>TBL_CalcDarwin[[#This Row],[PLOM MW TOTAL BARRA A]]+TBL_CalcDarwin[[#This Row],[PLOM MW TOTAL BARRA B]]</f>
        <v>47.704000000000001</v>
      </c>
      <c r="F148" s="34">
        <f>TBL_CalcDarwin[[#This Row],[PLOME MW TOTAL BARRA A]]+TBL_CalcDarwin[[#This Row],[PLOME MW TOTAL BARRA B]]</f>
        <v>1.5089999999999999</v>
      </c>
      <c r="G148" s="48">
        <f>'Plantilla Datos'!D153</f>
        <v>4.8</v>
      </c>
      <c r="H148" s="48">
        <f>'Plantilla Datos'!E153</f>
        <v>6.1</v>
      </c>
      <c r="I148" s="49">
        <f>'Plantilla Datos'!F153</f>
        <v>18.100000000000001</v>
      </c>
      <c r="J148" s="47">
        <f>CEILING('Plantilla Datos'!$L$3*TBL_CalcDarwin[[#This Row],[Darwin Gusts
m/s]],0.5)</f>
        <v>4.5</v>
      </c>
      <c r="K148" s="47">
        <f>CEILING('Plantilla Datos'!$L$4*TBL_CalcDarwin[[#This Row],[Darwin Gusts
m/s]],0.5)</f>
        <v>5.5</v>
      </c>
      <c r="L148" s="47">
        <f>CEILING(TBL_CalcDarwin[[#This Row],[Darwin Gusts
m/s]],0.5)</f>
        <v>6.5</v>
      </c>
      <c r="M14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5.0759999999999996</v>
      </c>
      <c r="N14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4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4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48" s="41">
        <f>INDEX(Curva_Temp[Temp],MATCH(TBL_CalcDarwin[[#This Row],[Darwin Temp.
°C]],Curva_Temp[Temp]))</f>
        <v>15</v>
      </c>
      <c r="R148" s="41">
        <f>INDEX(Curva_Temp[Warranted Power Curve for 
1.194Kg/m3 air density '[kW']
SG 5.0-145 (AM+1, 5.2MW) AT 
90M],MATCH(TBL_CalcDarwin[[#This Row],[Darwin Temp.
°C]],Curva_Temp[Temp]))</f>
        <v>5200</v>
      </c>
      <c r="S148" s="41" cm="1">
        <f t="array" ref="S148">INDEX(Curva_Temp[Temp],MATCH(TBL_CalcDarwin[[#This Row],[Darwin Temp.
°C]],Curva_Temp[Temp])+1)</f>
        <v>20</v>
      </c>
      <c r="T148" s="41" cm="1">
        <f t="array" ref="T148">INDEX(Curva_Temp[Warranted Power Curve for 
1.194Kg/m3 air density '[kW']
SG 5.0-145 (AM+1, 5.2MW) AT 
90M],MATCH(TBL_CalcDarwin[[#This Row],[Darwin Temp.
°C]],Curva_Temp[Temp])+1)</f>
        <v>5000</v>
      </c>
      <c r="U14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4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4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48" s="41">
        <f>INDEX(Curva_Temp[Temp],MATCH(TBL_CalcDarwin[[#This Row],[Darwin Temp.
°C]],Curva_Temp[Temp]))</f>
        <v>15</v>
      </c>
      <c r="Z148" s="41">
        <f>INDEX(Curva_Temp[Warranted Power Curve for 
1.194Kg/m3 air density '[kW']
SG 5.0-145 (AM 0, 5.0MW) AT 
90M],MATCH(TBL_CalcDarwin[[#This Row],[Darwin Temp.
°C]],Curva_Temp[Temp]))</f>
        <v>5000</v>
      </c>
      <c r="AA148" s="41" cm="1">
        <f t="array" ref="AA148">INDEX(Curva_Temp[Temp],MATCH(TBL_CalcDarwin[[#This Row],[Darwin Temp.
°C]],Curva_Temp[Temp])+1)</f>
        <v>20</v>
      </c>
      <c r="AB148" s="41" cm="1">
        <f t="array" ref="AB148">INDEX(Curva_Temp[Warranted Power Curve for 
1.194Kg/m3 air density '[kW']
SG 5.0-145 (AM 0, 5.0MW) AT 
90M],MATCH(TBL_CalcDarwin[[#This Row],[Darwin Temp.
°C]],Curva_Temp[Temp])+1)</f>
        <v>5000</v>
      </c>
      <c r="AC148" s="45">
        <f>HLOOKUP(TBL_CalcDarwin[[#This Row],[Fecha]],'Plantilla AEG ES'!$E$1:$HX$13,2,FALSE)</f>
        <v>5</v>
      </c>
      <c r="AD148" s="45">
        <f>HLOOKUP(TBL_CalcDarwin[[#This Row],[Fecha]],'Plantilla AEG ES'!$E$1:$HX$13,3,FALSE)</f>
        <v>7</v>
      </c>
      <c r="AE148" s="45">
        <f>HLOOKUP(TBL_CalcDarwin[[#This Row],[Fecha]],'Plantilla AEG ES'!$E$1:$HX$13,4,FALSE)</f>
        <v>11</v>
      </c>
      <c r="AF148" s="45">
        <f>HLOOKUP(TBL_CalcDarwin[[#This Row],[Fecha]],'Plantilla AEG ES'!$E$1:$HX$13,5,FALSE)</f>
        <v>1</v>
      </c>
      <c r="AG148" s="45">
        <f>HLOOKUP(TBL_CalcDarwin[[#This Row],[Fecha]],'Plantilla AEG ES'!$E$1:$HX$13,6,FALSE)</f>
        <v>1</v>
      </c>
      <c r="AH148" s="45">
        <f>HLOOKUP(TBL_CalcDarwin[[#This Row],[Fecha]],'Plantilla AEG ES'!$E$1:$HX$13,7,FALSE)</f>
        <v>0</v>
      </c>
      <c r="AI148" s="46">
        <f>HLOOKUP(TBL_CalcDarwin[[#This Row],[Fecha]],'Plantilla AEG ES'!$E$1:$HX$13,8,FALSE)</f>
        <v>0</v>
      </c>
      <c r="AJ148" s="46">
        <f>HLOOKUP(TBL_CalcDarwin[[#This Row],[Fecha]],'Plantilla AEG ES'!$E$1:$HX$13,9,FALSE)</f>
        <v>3</v>
      </c>
      <c r="AK148" s="46">
        <f>HLOOKUP(TBL_CalcDarwin[[#This Row],[Fecha]],'Plantilla AEG ES'!$E$1:$HX$13,10,FALSE)</f>
        <v>12</v>
      </c>
      <c r="AL148" s="46">
        <f>HLOOKUP(TBL_CalcDarwin[[#This Row],[Fecha]],'Plantilla AEG ES'!$E$1:$HX$13,11,FALSE)</f>
        <v>1</v>
      </c>
      <c r="AM148" s="46">
        <f>HLOOKUP(TBL_CalcDarwin[[#This Row],[Fecha]],'Plantilla AEG ES'!$E$1:$HX$13,12,FALSE)</f>
        <v>7</v>
      </c>
      <c r="AN148" s="46">
        <f>HLOOKUP(TBL_CalcDarwin[[#This Row],[Fecha]],'Plantilla AEG ES'!$E$1:$HX$13,13,FALSE)</f>
        <v>1</v>
      </c>
      <c r="AO148" s="37">
        <f>TBL_CalcDarwin[[#This Row],[Lomitas - Barra A - 5.2 - Cerro]]+TBL_CalcDarwin[[#This Row],[Lomitas - Barra A - 5.2 - Medio]]+TBL_CalcDarwin[[#This Row],[Lomitas - Barra A - 5.2 - Mar]]</f>
        <v>23</v>
      </c>
      <c r="AP14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21.051000000000002</v>
      </c>
      <c r="AR14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148" s="37">
        <f>TBL_CalcDarwin[[#This Row],[Expansión - Barra A - 5.2 - Cerro]]+TBL_CalcDarwin[[#This Row],[Expansión - Barra A - 5.2 - Medio]]+TBL_CalcDarwin[[#This Row],[Expansión - Barra A - 5.2 - Mar]]</f>
        <v>2</v>
      </c>
      <c r="AT148" s="37">
        <f>TBL_CalcDarwin[[#This Row],[Expansión - Barra B - 5.2 - Cerro]]</f>
        <v>1</v>
      </c>
      <c r="AU14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48" s="29">
        <f>TBL_CalcDarwin[[#This Row],[Expansión - Barra B - 5.2 - Cerro]]*TBL_CalcDarwin[[#This Row],[AEG 5.2 MW Cerro]]</f>
        <v>0.38200000000000001</v>
      </c>
      <c r="AZ148" s="18"/>
      <c r="BA148" s="18"/>
      <c r="BB148" s="18"/>
      <c r="BC148" s="18"/>
      <c r="BD148" s="18"/>
      <c r="BE148" s="18"/>
      <c r="BF148" s="18"/>
    </row>
    <row r="149" spans="2:58" ht="12" x14ac:dyDescent="0.2">
      <c r="B149" s="55">
        <f t="shared" si="13"/>
        <v>45619.124999999651</v>
      </c>
      <c r="C149" s="17">
        <f>C148+TIME(1,0,0)</f>
        <v>6.1250000000000089</v>
      </c>
      <c r="D149" s="34">
        <f>TBL_CalcDarwin[[#This Row],[Darwin PLOM
MW]]+TBL_CalcDarwin[[#This Row],[Darwin PLOME
MW]]</f>
        <v>49.213000000000001</v>
      </c>
      <c r="E149" s="34">
        <f>TBL_CalcDarwin[[#This Row],[PLOM MW TOTAL BARRA A]]+TBL_CalcDarwin[[#This Row],[PLOM MW TOTAL BARRA B]]</f>
        <v>47.704000000000001</v>
      </c>
      <c r="F149" s="34">
        <f>TBL_CalcDarwin[[#This Row],[PLOME MW TOTAL BARRA A]]+TBL_CalcDarwin[[#This Row],[PLOME MW TOTAL BARRA B]]</f>
        <v>1.5089999999999999</v>
      </c>
      <c r="G149" s="48">
        <f>'Plantilla Datos'!D154</f>
        <v>4.8</v>
      </c>
      <c r="H149" s="48">
        <f>'Plantilla Datos'!E154</f>
        <v>6.1</v>
      </c>
      <c r="I149" s="49">
        <f>'Plantilla Datos'!F154</f>
        <v>18.2</v>
      </c>
      <c r="J149" s="47">
        <f>CEILING('Plantilla Datos'!$L$3*TBL_CalcDarwin[[#This Row],[Darwin Gusts
m/s]],0.5)</f>
        <v>4.5</v>
      </c>
      <c r="K149" s="47">
        <f>CEILING('Plantilla Datos'!$L$4*TBL_CalcDarwin[[#This Row],[Darwin Gusts
m/s]],0.5)</f>
        <v>5.5</v>
      </c>
      <c r="L149" s="47">
        <f>CEILING(TBL_CalcDarwin[[#This Row],[Darwin Gusts
m/s]],0.5)</f>
        <v>6.5</v>
      </c>
      <c r="M14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5.0720000000000001</v>
      </c>
      <c r="N14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4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4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49" s="41">
        <f>INDEX(Curva_Temp[Temp],MATCH(TBL_CalcDarwin[[#This Row],[Darwin Temp.
°C]],Curva_Temp[Temp]))</f>
        <v>15</v>
      </c>
      <c r="R149" s="41">
        <f>INDEX(Curva_Temp[Warranted Power Curve for 
1.194Kg/m3 air density '[kW']
SG 5.0-145 (AM+1, 5.2MW) AT 
90M],MATCH(TBL_CalcDarwin[[#This Row],[Darwin Temp.
°C]],Curva_Temp[Temp]))</f>
        <v>5200</v>
      </c>
      <c r="S149" s="41" cm="1">
        <f t="array" ref="S149">INDEX(Curva_Temp[Temp],MATCH(TBL_CalcDarwin[[#This Row],[Darwin Temp.
°C]],Curva_Temp[Temp])+1)</f>
        <v>20</v>
      </c>
      <c r="T149" s="41" cm="1">
        <f t="array" ref="T149">INDEX(Curva_Temp[Warranted Power Curve for 
1.194Kg/m3 air density '[kW']
SG 5.0-145 (AM+1, 5.2MW) AT 
90M],MATCH(TBL_CalcDarwin[[#This Row],[Darwin Temp.
°C]],Curva_Temp[Temp])+1)</f>
        <v>5000</v>
      </c>
      <c r="U14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4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4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49" s="41">
        <f>INDEX(Curva_Temp[Temp],MATCH(TBL_CalcDarwin[[#This Row],[Darwin Temp.
°C]],Curva_Temp[Temp]))</f>
        <v>15</v>
      </c>
      <c r="Z149" s="41">
        <f>INDEX(Curva_Temp[Warranted Power Curve for 
1.194Kg/m3 air density '[kW']
SG 5.0-145 (AM 0, 5.0MW) AT 
90M],MATCH(TBL_CalcDarwin[[#This Row],[Darwin Temp.
°C]],Curva_Temp[Temp]))</f>
        <v>5000</v>
      </c>
      <c r="AA149" s="41" cm="1">
        <f t="array" ref="AA149">INDEX(Curva_Temp[Temp],MATCH(TBL_CalcDarwin[[#This Row],[Darwin Temp.
°C]],Curva_Temp[Temp])+1)</f>
        <v>20</v>
      </c>
      <c r="AB149" s="41" cm="1">
        <f t="array" ref="AB149">INDEX(Curva_Temp[Warranted Power Curve for 
1.194Kg/m3 air density '[kW']
SG 5.0-145 (AM 0, 5.0MW) AT 
90M],MATCH(TBL_CalcDarwin[[#This Row],[Darwin Temp.
°C]],Curva_Temp[Temp])+1)</f>
        <v>5000</v>
      </c>
      <c r="AC149" s="45">
        <f>HLOOKUP(TBL_CalcDarwin[[#This Row],[Fecha]],'Plantilla AEG ES'!$E$1:$HX$13,2,FALSE)</f>
        <v>5</v>
      </c>
      <c r="AD149" s="45">
        <f>HLOOKUP(TBL_CalcDarwin[[#This Row],[Fecha]],'Plantilla AEG ES'!$E$1:$HX$13,3,FALSE)</f>
        <v>7</v>
      </c>
      <c r="AE149" s="45">
        <f>HLOOKUP(TBL_CalcDarwin[[#This Row],[Fecha]],'Plantilla AEG ES'!$E$1:$HX$13,4,FALSE)</f>
        <v>11</v>
      </c>
      <c r="AF149" s="45">
        <f>HLOOKUP(TBL_CalcDarwin[[#This Row],[Fecha]],'Plantilla AEG ES'!$E$1:$HX$13,5,FALSE)</f>
        <v>1</v>
      </c>
      <c r="AG149" s="45">
        <f>HLOOKUP(TBL_CalcDarwin[[#This Row],[Fecha]],'Plantilla AEG ES'!$E$1:$HX$13,6,FALSE)</f>
        <v>1</v>
      </c>
      <c r="AH149" s="45">
        <f>HLOOKUP(TBL_CalcDarwin[[#This Row],[Fecha]],'Plantilla AEG ES'!$E$1:$HX$13,7,FALSE)</f>
        <v>0</v>
      </c>
      <c r="AI149" s="46">
        <f>HLOOKUP(TBL_CalcDarwin[[#This Row],[Fecha]],'Plantilla AEG ES'!$E$1:$HX$13,8,FALSE)</f>
        <v>0</v>
      </c>
      <c r="AJ149" s="46">
        <f>HLOOKUP(TBL_CalcDarwin[[#This Row],[Fecha]],'Plantilla AEG ES'!$E$1:$HX$13,9,FALSE)</f>
        <v>3</v>
      </c>
      <c r="AK149" s="46">
        <f>HLOOKUP(TBL_CalcDarwin[[#This Row],[Fecha]],'Plantilla AEG ES'!$E$1:$HX$13,10,FALSE)</f>
        <v>12</v>
      </c>
      <c r="AL149" s="46">
        <f>HLOOKUP(TBL_CalcDarwin[[#This Row],[Fecha]],'Plantilla AEG ES'!$E$1:$HX$13,11,FALSE)</f>
        <v>1</v>
      </c>
      <c r="AM149" s="46">
        <f>HLOOKUP(TBL_CalcDarwin[[#This Row],[Fecha]],'Plantilla AEG ES'!$E$1:$HX$13,12,FALSE)</f>
        <v>7</v>
      </c>
      <c r="AN149" s="46">
        <f>HLOOKUP(TBL_CalcDarwin[[#This Row],[Fecha]],'Plantilla AEG ES'!$E$1:$HX$13,13,FALSE)</f>
        <v>1</v>
      </c>
      <c r="AO149" s="37">
        <f>TBL_CalcDarwin[[#This Row],[Lomitas - Barra A - 5.2 - Cerro]]+TBL_CalcDarwin[[#This Row],[Lomitas - Barra A - 5.2 - Medio]]+TBL_CalcDarwin[[#This Row],[Lomitas - Barra A - 5.2 - Mar]]</f>
        <v>23</v>
      </c>
      <c r="AP14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21.051000000000002</v>
      </c>
      <c r="AR14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149" s="37">
        <f>TBL_CalcDarwin[[#This Row],[Expansión - Barra A - 5.2 - Cerro]]+TBL_CalcDarwin[[#This Row],[Expansión - Barra A - 5.2 - Medio]]+TBL_CalcDarwin[[#This Row],[Expansión - Barra A - 5.2 - Mar]]</f>
        <v>2</v>
      </c>
      <c r="AT149" s="37">
        <f>TBL_CalcDarwin[[#This Row],[Expansión - Barra B - 5.2 - Cerro]]</f>
        <v>1</v>
      </c>
      <c r="AU14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49" s="29">
        <f>TBL_CalcDarwin[[#This Row],[Expansión - Barra B - 5.2 - Cerro]]*TBL_CalcDarwin[[#This Row],[AEG 5.2 MW Cerro]]</f>
        <v>0.38200000000000001</v>
      </c>
      <c r="AZ149" s="18"/>
      <c r="BA149" s="18"/>
      <c r="BB149" s="18"/>
      <c r="BC149" s="18"/>
      <c r="BD149" s="18"/>
      <c r="BE149" s="18"/>
      <c r="BF149" s="18"/>
    </row>
    <row r="150" spans="2:58" ht="12" x14ac:dyDescent="0.2">
      <c r="B150" s="55">
        <f t="shared" si="13"/>
        <v>45619.166666666315</v>
      </c>
      <c r="C150" s="17">
        <f t="shared" ref="C150:C166" si="15">C149+TIME(1,0,0)</f>
        <v>6.1666666666666758</v>
      </c>
      <c r="D150" s="34">
        <f>TBL_CalcDarwin[[#This Row],[Darwin PLOM
MW]]+TBL_CalcDarwin[[#This Row],[Darwin PLOME
MW]]</f>
        <v>49.213000000000001</v>
      </c>
      <c r="E150" s="34">
        <f>TBL_CalcDarwin[[#This Row],[PLOM MW TOTAL BARRA A]]+TBL_CalcDarwin[[#This Row],[PLOM MW TOTAL BARRA B]]</f>
        <v>47.704000000000001</v>
      </c>
      <c r="F150" s="34">
        <f>TBL_CalcDarwin[[#This Row],[PLOME MW TOTAL BARRA A]]+TBL_CalcDarwin[[#This Row],[PLOME MW TOTAL BARRA B]]</f>
        <v>1.5089999999999999</v>
      </c>
      <c r="G150" s="48">
        <f>'Plantilla Datos'!D155</f>
        <v>4.8</v>
      </c>
      <c r="H150" s="48">
        <f>'Plantilla Datos'!E155</f>
        <v>6.1</v>
      </c>
      <c r="I150" s="49">
        <f>'Plantilla Datos'!F155</f>
        <v>18.3</v>
      </c>
      <c r="J150" s="47">
        <f>CEILING('Plantilla Datos'!$L$3*TBL_CalcDarwin[[#This Row],[Darwin Gusts
m/s]],0.5)</f>
        <v>4.5</v>
      </c>
      <c r="K150" s="47">
        <f>CEILING('Plantilla Datos'!$L$4*TBL_CalcDarwin[[#This Row],[Darwin Gusts
m/s]],0.5)</f>
        <v>5.5</v>
      </c>
      <c r="L150" s="47">
        <f>CEILING(TBL_CalcDarwin[[#This Row],[Darwin Gusts
m/s]],0.5)</f>
        <v>6.5</v>
      </c>
      <c r="M15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5.0679999999999996</v>
      </c>
      <c r="N15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5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5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50" s="41">
        <f>INDEX(Curva_Temp[Temp],MATCH(TBL_CalcDarwin[[#This Row],[Darwin Temp.
°C]],Curva_Temp[Temp]))</f>
        <v>15</v>
      </c>
      <c r="R150" s="41">
        <f>INDEX(Curva_Temp[Warranted Power Curve for 
1.194Kg/m3 air density '[kW']
SG 5.0-145 (AM+1, 5.2MW) AT 
90M],MATCH(TBL_CalcDarwin[[#This Row],[Darwin Temp.
°C]],Curva_Temp[Temp]))</f>
        <v>5200</v>
      </c>
      <c r="S150" s="41" cm="1">
        <f t="array" ref="S150">INDEX(Curva_Temp[Temp],MATCH(TBL_CalcDarwin[[#This Row],[Darwin Temp.
°C]],Curva_Temp[Temp])+1)</f>
        <v>20</v>
      </c>
      <c r="T150" s="41" cm="1">
        <f t="array" ref="T150">INDEX(Curva_Temp[Warranted Power Curve for 
1.194Kg/m3 air density '[kW']
SG 5.0-145 (AM+1, 5.2MW) AT 
90M],MATCH(TBL_CalcDarwin[[#This Row],[Darwin Temp.
°C]],Curva_Temp[Temp])+1)</f>
        <v>5000</v>
      </c>
      <c r="U15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5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5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50" s="41">
        <f>INDEX(Curva_Temp[Temp],MATCH(TBL_CalcDarwin[[#This Row],[Darwin Temp.
°C]],Curva_Temp[Temp]))</f>
        <v>15</v>
      </c>
      <c r="Z150" s="41">
        <f>INDEX(Curva_Temp[Warranted Power Curve for 
1.194Kg/m3 air density '[kW']
SG 5.0-145 (AM 0, 5.0MW) AT 
90M],MATCH(TBL_CalcDarwin[[#This Row],[Darwin Temp.
°C]],Curva_Temp[Temp]))</f>
        <v>5000</v>
      </c>
      <c r="AA150" s="41" cm="1">
        <f t="array" ref="AA150">INDEX(Curva_Temp[Temp],MATCH(TBL_CalcDarwin[[#This Row],[Darwin Temp.
°C]],Curva_Temp[Temp])+1)</f>
        <v>20</v>
      </c>
      <c r="AB150" s="41" cm="1">
        <f t="array" ref="AB150">INDEX(Curva_Temp[Warranted Power Curve for 
1.194Kg/m3 air density '[kW']
SG 5.0-145 (AM 0, 5.0MW) AT 
90M],MATCH(TBL_CalcDarwin[[#This Row],[Darwin Temp.
°C]],Curva_Temp[Temp])+1)</f>
        <v>5000</v>
      </c>
      <c r="AC150" s="45">
        <f>HLOOKUP(TBL_CalcDarwin[[#This Row],[Fecha]],'Plantilla AEG ES'!$E$1:$HX$13,2,FALSE)</f>
        <v>5</v>
      </c>
      <c r="AD150" s="45">
        <f>HLOOKUP(TBL_CalcDarwin[[#This Row],[Fecha]],'Plantilla AEG ES'!$E$1:$HX$13,3,FALSE)</f>
        <v>7</v>
      </c>
      <c r="AE150" s="45">
        <f>HLOOKUP(TBL_CalcDarwin[[#This Row],[Fecha]],'Plantilla AEG ES'!$E$1:$HX$13,4,FALSE)</f>
        <v>11</v>
      </c>
      <c r="AF150" s="45">
        <f>HLOOKUP(TBL_CalcDarwin[[#This Row],[Fecha]],'Plantilla AEG ES'!$E$1:$HX$13,5,FALSE)</f>
        <v>1</v>
      </c>
      <c r="AG150" s="45">
        <f>HLOOKUP(TBL_CalcDarwin[[#This Row],[Fecha]],'Plantilla AEG ES'!$E$1:$HX$13,6,FALSE)</f>
        <v>1</v>
      </c>
      <c r="AH150" s="45">
        <f>HLOOKUP(TBL_CalcDarwin[[#This Row],[Fecha]],'Plantilla AEG ES'!$E$1:$HX$13,7,FALSE)</f>
        <v>0</v>
      </c>
      <c r="AI150" s="46">
        <f>HLOOKUP(TBL_CalcDarwin[[#This Row],[Fecha]],'Plantilla AEG ES'!$E$1:$HX$13,8,FALSE)</f>
        <v>0</v>
      </c>
      <c r="AJ150" s="46">
        <f>HLOOKUP(TBL_CalcDarwin[[#This Row],[Fecha]],'Plantilla AEG ES'!$E$1:$HX$13,9,FALSE)</f>
        <v>3</v>
      </c>
      <c r="AK150" s="46">
        <f>HLOOKUP(TBL_CalcDarwin[[#This Row],[Fecha]],'Plantilla AEG ES'!$E$1:$HX$13,10,FALSE)</f>
        <v>12</v>
      </c>
      <c r="AL150" s="46">
        <f>HLOOKUP(TBL_CalcDarwin[[#This Row],[Fecha]],'Plantilla AEG ES'!$E$1:$HX$13,11,FALSE)</f>
        <v>1</v>
      </c>
      <c r="AM150" s="46">
        <f>HLOOKUP(TBL_CalcDarwin[[#This Row],[Fecha]],'Plantilla AEG ES'!$E$1:$HX$13,12,FALSE)</f>
        <v>7</v>
      </c>
      <c r="AN150" s="46">
        <f>HLOOKUP(TBL_CalcDarwin[[#This Row],[Fecha]],'Plantilla AEG ES'!$E$1:$HX$13,13,FALSE)</f>
        <v>1</v>
      </c>
      <c r="AO150" s="37">
        <f>TBL_CalcDarwin[[#This Row],[Lomitas - Barra A - 5.2 - Cerro]]+TBL_CalcDarwin[[#This Row],[Lomitas - Barra A - 5.2 - Medio]]+TBL_CalcDarwin[[#This Row],[Lomitas - Barra A - 5.2 - Mar]]</f>
        <v>23</v>
      </c>
      <c r="AP15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21.051000000000002</v>
      </c>
      <c r="AR15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150" s="37">
        <f>TBL_CalcDarwin[[#This Row],[Expansión - Barra A - 5.2 - Cerro]]+TBL_CalcDarwin[[#This Row],[Expansión - Barra A - 5.2 - Medio]]+TBL_CalcDarwin[[#This Row],[Expansión - Barra A - 5.2 - Mar]]</f>
        <v>2</v>
      </c>
      <c r="AT150" s="37">
        <f>TBL_CalcDarwin[[#This Row],[Expansión - Barra B - 5.2 - Cerro]]</f>
        <v>1</v>
      </c>
      <c r="AU15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50" s="29">
        <f>TBL_CalcDarwin[[#This Row],[Expansión - Barra B - 5.2 - Cerro]]*TBL_CalcDarwin[[#This Row],[AEG 5.2 MW Cerro]]</f>
        <v>0.38200000000000001</v>
      </c>
      <c r="AZ150" s="18"/>
      <c r="BA150" s="18"/>
      <c r="BB150" s="18"/>
      <c r="BC150" s="18"/>
      <c r="BD150" s="18"/>
      <c r="BE150" s="18"/>
      <c r="BF150" s="18"/>
    </row>
    <row r="151" spans="2:58" ht="12" x14ac:dyDescent="0.2">
      <c r="B151" s="55">
        <f t="shared" si="13"/>
        <v>45619.208333332979</v>
      </c>
      <c r="C151" s="17">
        <f t="shared" si="15"/>
        <v>6.2083333333333428</v>
      </c>
      <c r="D151" s="34">
        <f>TBL_CalcDarwin[[#This Row],[Darwin PLOM
MW]]+TBL_CalcDarwin[[#This Row],[Darwin PLOME
MW]]</f>
        <v>49.213000000000001</v>
      </c>
      <c r="E151" s="34">
        <f>TBL_CalcDarwin[[#This Row],[PLOM MW TOTAL BARRA A]]+TBL_CalcDarwin[[#This Row],[PLOM MW TOTAL BARRA B]]</f>
        <v>47.704000000000001</v>
      </c>
      <c r="F151" s="34">
        <f>TBL_CalcDarwin[[#This Row],[PLOME MW TOTAL BARRA A]]+TBL_CalcDarwin[[#This Row],[PLOME MW TOTAL BARRA B]]</f>
        <v>1.5089999999999999</v>
      </c>
      <c r="G151" s="48">
        <f>'Plantilla Datos'!D156</f>
        <v>4.8</v>
      </c>
      <c r="H151" s="48">
        <f>'Plantilla Datos'!E156</f>
        <v>6.1</v>
      </c>
      <c r="I151" s="49">
        <f>'Plantilla Datos'!F156</f>
        <v>18.5</v>
      </c>
      <c r="J151" s="47">
        <f>CEILING('Plantilla Datos'!$L$3*TBL_CalcDarwin[[#This Row],[Darwin Gusts
m/s]],0.5)</f>
        <v>4.5</v>
      </c>
      <c r="K151" s="47">
        <f>CEILING('Plantilla Datos'!$L$4*TBL_CalcDarwin[[#This Row],[Darwin Gusts
m/s]],0.5)</f>
        <v>5.5</v>
      </c>
      <c r="L151" s="47">
        <f>CEILING(TBL_CalcDarwin[[#This Row],[Darwin Gusts
m/s]],0.5)</f>
        <v>6.5</v>
      </c>
      <c r="M15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5.0599999999999996</v>
      </c>
      <c r="N15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5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5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51" s="41">
        <f>INDEX(Curva_Temp[Temp],MATCH(TBL_CalcDarwin[[#This Row],[Darwin Temp.
°C]],Curva_Temp[Temp]))</f>
        <v>15</v>
      </c>
      <c r="R151" s="41">
        <f>INDEX(Curva_Temp[Warranted Power Curve for 
1.194Kg/m3 air density '[kW']
SG 5.0-145 (AM+1, 5.2MW) AT 
90M],MATCH(TBL_CalcDarwin[[#This Row],[Darwin Temp.
°C]],Curva_Temp[Temp]))</f>
        <v>5200</v>
      </c>
      <c r="S151" s="41" cm="1">
        <f t="array" ref="S151">INDEX(Curva_Temp[Temp],MATCH(TBL_CalcDarwin[[#This Row],[Darwin Temp.
°C]],Curva_Temp[Temp])+1)</f>
        <v>20</v>
      </c>
      <c r="T151" s="41" cm="1">
        <f t="array" ref="T151">INDEX(Curva_Temp[Warranted Power Curve for 
1.194Kg/m3 air density '[kW']
SG 5.0-145 (AM+1, 5.2MW) AT 
90M],MATCH(TBL_CalcDarwin[[#This Row],[Darwin Temp.
°C]],Curva_Temp[Temp])+1)</f>
        <v>5000</v>
      </c>
      <c r="U15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5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5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51" s="41">
        <f>INDEX(Curva_Temp[Temp],MATCH(TBL_CalcDarwin[[#This Row],[Darwin Temp.
°C]],Curva_Temp[Temp]))</f>
        <v>15</v>
      </c>
      <c r="Z151" s="41">
        <f>INDEX(Curva_Temp[Warranted Power Curve for 
1.194Kg/m3 air density '[kW']
SG 5.0-145 (AM 0, 5.0MW) AT 
90M],MATCH(TBL_CalcDarwin[[#This Row],[Darwin Temp.
°C]],Curva_Temp[Temp]))</f>
        <v>5000</v>
      </c>
      <c r="AA151" s="41" cm="1">
        <f t="array" ref="AA151">INDEX(Curva_Temp[Temp],MATCH(TBL_CalcDarwin[[#This Row],[Darwin Temp.
°C]],Curva_Temp[Temp])+1)</f>
        <v>20</v>
      </c>
      <c r="AB151" s="41" cm="1">
        <f t="array" ref="AB151">INDEX(Curva_Temp[Warranted Power Curve for 
1.194Kg/m3 air density '[kW']
SG 5.0-145 (AM 0, 5.0MW) AT 
90M],MATCH(TBL_CalcDarwin[[#This Row],[Darwin Temp.
°C]],Curva_Temp[Temp])+1)</f>
        <v>5000</v>
      </c>
      <c r="AC151" s="45">
        <f>HLOOKUP(TBL_CalcDarwin[[#This Row],[Fecha]],'Plantilla AEG ES'!$E$1:$HX$13,2,FALSE)</f>
        <v>5</v>
      </c>
      <c r="AD151" s="45">
        <f>HLOOKUP(TBL_CalcDarwin[[#This Row],[Fecha]],'Plantilla AEG ES'!$E$1:$HX$13,3,FALSE)</f>
        <v>7</v>
      </c>
      <c r="AE151" s="45">
        <f>HLOOKUP(TBL_CalcDarwin[[#This Row],[Fecha]],'Plantilla AEG ES'!$E$1:$HX$13,4,FALSE)</f>
        <v>11</v>
      </c>
      <c r="AF151" s="45">
        <f>HLOOKUP(TBL_CalcDarwin[[#This Row],[Fecha]],'Plantilla AEG ES'!$E$1:$HX$13,5,FALSE)</f>
        <v>1</v>
      </c>
      <c r="AG151" s="45">
        <f>HLOOKUP(TBL_CalcDarwin[[#This Row],[Fecha]],'Plantilla AEG ES'!$E$1:$HX$13,6,FALSE)</f>
        <v>1</v>
      </c>
      <c r="AH151" s="45">
        <f>HLOOKUP(TBL_CalcDarwin[[#This Row],[Fecha]],'Plantilla AEG ES'!$E$1:$HX$13,7,FALSE)</f>
        <v>0</v>
      </c>
      <c r="AI151" s="46">
        <f>HLOOKUP(TBL_CalcDarwin[[#This Row],[Fecha]],'Plantilla AEG ES'!$E$1:$HX$13,8,FALSE)</f>
        <v>0</v>
      </c>
      <c r="AJ151" s="46">
        <f>HLOOKUP(TBL_CalcDarwin[[#This Row],[Fecha]],'Plantilla AEG ES'!$E$1:$HX$13,9,FALSE)</f>
        <v>3</v>
      </c>
      <c r="AK151" s="46">
        <f>HLOOKUP(TBL_CalcDarwin[[#This Row],[Fecha]],'Plantilla AEG ES'!$E$1:$HX$13,10,FALSE)</f>
        <v>12</v>
      </c>
      <c r="AL151" s="46">
        <f>HLOOKUP(TBL_CalcDarwin[[#This Row],[Fecha]],'Plantilla AEG ES'!$E$1:$HX$13,11,FALSE)</f>
        <v>1</v>
      </c>
      <c r="AM151" s="46">
        <f>HLOOKUP(TBL_CalcDarwin[[#This Row],[Fecha]],'Plantilla AEG ES'!$E$1:$HX$13,12,FALSE)</f>
        <v>7</v>
      </c>
      <c r="AN151" s="46">
        <f>HLOOKUP(TBL_CalcDarwin[[#This Row],[Fecha]],'Plantilla AEG ES'!$E$1:$HX$13,13,FALSE)</f>
        <v>1</v>
      </c>
      <c r="AO151" s="37">
        <f>TBL_CalcDarwin[[#This Row],[Lomitas - Barra A - 5.2 - Cerro]]+TBL_CalcDarwin[[#This Row],[Lomitas - Barra A - 5.2 - Medio]]+TBL_CalcDarwin[[#This Row],[Lomitas - Barra A - 5.2 - Mar]]</f>
        <v>23</v>
      </c>
      <c r="AP15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21.051000000000002</v>
      </c>
      <c r="AR15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151" s="37">
        <f>TBL_CalcDarwin[[#This Row],[Expansión - Barra A - 5.2 - Cerro]]+TBL_CalcDarwin[[#This Row],[Expansión - Barra A - 5.2 - Medio]]+TBL_CalcDarwin[[#This Row],[Expansión - Barra A - 5.2 - Mar]]</f>
        <v>2</v>
      </c>
      <c r="AT151" s="37">
        <f>TBL_CalcDarwin[[#This Row],[Expansión - Barra B - 5.2 - Cerro]]</f>
        <v>1</v>
      </c>
      <c r="AU15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51" s="29">
        <f>TBL_CalcDarwin[[#This Row],[Expansión - Barra B - 5.2 - Cerro]]*TBL_CalcDarwin[[#This Row],[AEG 5.2 MW Cerro]]</f>
        <v>0.38200000000000001</v>
      </c>
      <c r="AZ151" s="18"/>
      <c r="BA151" s="18"/>
      <c r="BB151" s="18"/>
      <c r="BC151" s="18"/>
      <c r="BD151" s="18"/>
      <c r="BE151" s="18"/>
      <c r="BF151" s="18"/>
    </row>
    <row r="152" spans="2:58" ht="12" x14ac:dyDescent="0.2">
      <c r="B152" s="55">
        <f t="shared" si="13"/>
        <v>45619.249999999643</v>
      </c>
      <c r="C152" s="17">
        <f t="shared" si="15"/>
        <v>6.2500000000000098</v>
      </c>
      <c r="D152" s="34">
        <f>TBL_CalcDarwin[[#This Row],[Darwin PLOM
MW]]+TBL_CalcDarwin[[#This Row],[Darwin PLOME
MW]]</f>
        <v>49.213000000000001</v>
      </c>
      <c r="E152" s="34">
        <f>TBL_CalcDarwin[[#This Row],[PLOM MW TOTAL BARRA A]]+TBL_CalcDarwin[[#This Row],[PLOM MW TOTAL BARRA B]]</f>
        <v>47.704000000000001</v>
      </c>
      <c r="F152" s="34">
        <f>TBL_CalcDarwin[[#This Row],[PLOME MW TOTAL BARRA A]]+TBL_CalcDarwin[[#This Row],[PLOME MW TOTAL BARRA B]]</f>
        <v>1.5089999999999999</v>
      </c>
      <c r="G152" s="48">
        <f>'Plantilla Datos'!D157</f>
        <v>4.8</v>
      </c>
      <c r="H152" s="48">
        <f>'Plantilla Datos'!E157</f>
        <v>6.1</v>
      </c>
      <c r="I152" s="49">
        <f>'Plantilla Datos'!F157</f>
        <v>18.8</v>
      </c>
      <c r="J152" s="47">
        <f>CEILING('Plantilla Datos'!$L$3*TBL_CalcDarwin[[#This Row],[Darwin Gusts
m/s]],0.5)</f>
        <v>4.5</v>
      </c>
      <c r="K152" s="47">
        <f>CEILING('Plantilla Datos'!$L$4*TBL_CalcDarwin[[#This Row],[Darwin Gusts
m/s]],0.5)</f>
        <v>5.5</v>
      </c>
      <c r="L152" s="47">
        <f>CEILING(TBL_CalcDarwin[[#This Row],[Darwin Gusts
m/s]],0.5)</f>
        <v>6.5</v>
      </c>
      <c r="M15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5.048</v>
      </c>
      <c r="N15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5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5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52" s="41">
        <f>INDEX(Curva_Temp[Temp],MATCH(TBL_CalcDarwin[[#This Row],[Darwin Temp.
°C]],Curva_Temp[Temp]))</f>
        <v>15</v>
      </c>
      <c r="R152" s="41">
        <f>INDEX(Curva_Temp[Warranted Power Curve for 
1.194Kg/m3 air density '[kW']
SG 5.0-145 (AM+1, 5.2MW) AT 
90M],MATCH(TBL_CalcDarwin[[#This Row],[Darwin Temp.
°C]],Curva_Temp[Temp]))</f>
        <v>5200</v>
      </c>
      <c r="S152" s="41" cm="1">
        <f t="array" ref="S152">INDEX(Curva_Temp[Temp],MATCH(TBL_CalcDarwin[[#This Row],[Darwin Temp.
°C]],Curva_Temp[Temp])+1)</f>
        <v>20</v>
      </c>
      <c r="T152" s="41" cm="1">
        <f t="array" ref="T152">INDEX(Curva_Temp[Warranted Power Curve for 
1.194Kg/m3 air density '[kW']
SG 5.0-145 (AM+1, 5.2MW) AT 
90M],MATCH(TBL_CalcDarwin[[#This Row],[Darwin Temp.
°C]],Curva_Temp[Temp])+1)</f>
        <v>5000</v>
      </c>
      <c r="U15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5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5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52" s="41">
        <f>INDEX(Curva_Temp[Temp],MATCH(TBL_CalcDarwin[[#This Row],[Darwin Temp.
°C]],Curva_Temp[Temp]))</f>
        <v>15</v>
      </c>
      <c r="Z152" s="41">
        <f>INDEX(Curva_Temp[Warranted Power Curve for 
1.194Kg/m3 air density '[kW']
SG 5.0-145 (AM 0, 5.0MW) AT 
90M],MATCH(TBL_CalcDarwin[[#This Row],[Darwin Temp.
°C]],Curva_Temp[Temp]))</f>
        <v>5000</v>
      </c>
      <c r="AA152" s="41" cm="1">
        <f t="array" ref="AA152">INDEX(Curva_Temp[Temp],MATCH(TBL_CalcDarwin[[#This Row],[Darwin Temp.
°C]],Curva_Temp[Temp])+1)</f>
        <v>20</v>
      </c>
      <c r="AB152" s="41" cm="1">
        <f t="array" ref="AB152">INDEX(Curva_Temp[Warranted Power Curve for 
1.194Kg/m3 air density '[kW']
SG 5.0-145 (AM 0, 5.0MW) AT 
90M],MATCH(TBL_CalcDarwin[[#This Row],[Darwin Temp.
°C]],Curva_Temp[Temp])+1)</f>
        <v>5000</v>
      </c>
      <c r="AC152" s="45">
        <f>HLOOKUP(TBL_CalcDarwin[[#This Row],[Fecha]],'Plantilla AEG ES'!$E$1:$HX$13,2,FALSE)</f>
        <v>5</v>
      </c>
      <c r="AD152" s="45">
        <f>HLOOKUP(TBL_CalcDarwin[[#This Row],[Fecha]],'Plantilla AEG ES'!$E$1:$HX$13,3,FALSE)</f>
        <v>7</v>
      </c>
      <c r="AE152" s="45">
        <f>HLOOKUP(TBL_CalcDarwin[[#This Row],[Fecha]],'Plantilla AEG ES'!$E$1:$HX$13,4,FALSE)</f>
        <v>11</v>
      </c>
      <c r="AF152" s="45">
        <f>HLOOKUP(TBL_CalcDarwin[[#This Row],[Fecha]],'Plantilla AEG ES'!$E$1:$HX$13,5,FALSE)</f>
        <v>1</v>
      </c>
      <c r="AG152" s="45">
        <f>HLOOKUP(TBL_CalcDarwin[[#This Row],[Fecha]],'Plantilla AEG ES'!$E$1:$HX$13,6,FALSE)</f>
        <v>1</v>
      </c>
      <c r="AH152" s="45">
        <f>HLOOKUP(TBL_CalcDarwin[[#This Row],[Fecha]],'Plantilla AEG ES'!$E$1:$HX$13,7,FALSE)</f>
        <v>0</v>
      </c>
      <c r="AI152" s="46">
        <f>HLOOKUP(TBL_CalcDarwin[[#This Row],[Fecha]],'Plantilla AEG ES'!$E$1:$HX$13,8,FALSE)</f>
        <v>0</v>
      </c>
      <c r="AJ152" s="46">
        <f>HLOOKUP(TBL_CalcDarwin[[#This Row],[Fecha]],'Plantilla AEG ES'!$E$1:$HX$13,9,FALSE)</f>
        <v>3</v>
      </c>
      <c r="AK152" s="46">
        <f>HLOOKUP(TBL_CalcDarwin[[#This Row],[Fecha]],'Plantilla AEG ES'!$E$1:$HX$13,10,FALSE)</f>
        <v>12</v>
      </c>
      <c r="AL152" s="46">
        <f>HLOOKUP(TBL_CalcDarwin[[#This Row],[Fecha]],'Plantilla AEG ES'!$E$1:$HX$13,11,FALSE)</f>
        <v>1</v>
      </c>
      <c r="AM152" s="46">
        <f>HLOOKUP(TBL_CalcDarwin[[#This Row],[Fecha]],'Plantilla AEG ES'!$E$1:$HX$13,12,FALSE)</f>
        <v>7</v>
      </c>
      <c r="AN152" s="46">
        <f>HLOOKUP(TBL_CalcDarwin[[#This Row],[Fecha]],'Plantilla AEG ES'!$E$1:$HX$13,13,FALSE)</f>
        <v>1</v>
      </c>
      <c r="AO152" s="37">
        <f>TBL_CalcDarwin[[#This Row],[Lomitas - Barra A - 5.2 - Cerro]]+TBL_CalcDarwin[[#This Row],[Lomitas - Barra A - 5.2 - Medio]]+TBL_CalcDarwin[[#This Row],[Lomitas - Barra A - 5.2 - Mar]]</f>
        <v>23</v>
      </c>
      <c r="AP15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21.051000000000002</v>
      </c>
      <c r="AR15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152" s="37">
        <f>TBL_CalcDarwin[[#This Row],[Expansión - Barra A - 5.2 - Cerro]]+TBL_CalcDarwin[[#This Row],[Expansión - Barra A - 5.2 - Medio]]+TBL_CalcDarwin[[#This Row],[Expansión - Barra A - 5.2 - Mar]]</f>
        <v>2</v>
      </c>
      <c r="AT152" s="37">
        <f>TBL_CalcDarwin[[#This Row],[Expansión - Barra B - 5.2 - Cerro]]</f>
        <v>1</v>
      </c>
      <c r="AU15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52" s="29">
        <f>TBL_CalcDarwin[[#This Row],[Expansión - Barra B - 5.2 - Cerro]]*TBL_CalcDarwin[[#This Row],[AEG 5.2 MW Cerro]]</f>
        <v>0.38200000000000001</v>
      </c>
      <c r="AZ152" s="18"/>
      <c r="BA152" s="18"/>
      <c r="BB152" s="18"/>
      <c r="BC152" s="18"/>
      <c r="BD152" s="18"/>
      <c r="BE152" s="18"/>
      <c r="BF152" s="18"/>
    </row>
    <row r="153" spans="2:58" ht="12" x14ac:dyDescent="0.2">
      <c r="B153" s="55">
        <f t="shared" si="13"/>
        <v>45619.291666666308</v>
      </c>
      <c r="C153" s="17">
        <f t="shared" si="15"/>
        <v>6.2916666666666767</v>
      </c>
      <c r="D153" s="34">
        <f>TBL_CalcDarwin[[#This Row],[Darwin PLOM
MW]]+TBL_CalcDarwin[[#This Row],[Darwin PLOME
MW]]</f>
        <v>49.213000000000001</v>
      </c>
      <c r="E153" s="34">
        <f>TBL_CalcDarwin[[#This Row],[PLOM MW TOTAL BARRA A]]+TBL_CalcDarwin[[#This Row],[PLOM MW TOTAL BARRA B]]</f>
        <v>47.704000000000001</v>
      </c>
      <c r="F153" s="34">
        <f>TBL_CalcDarwin[[#This Row],[PLOME MW TOTAL BARRA A]]+TBL_CalcDarwin[[#This Row],[PLOME MW TOTAL BARRA B]]</f>
        <v>1.5089999999999999</v>
      </c>
      <c r="G153" s="48">
        <f>'Plantilla Datos'!D158</f>
        <v>4.8</v>
      </c>
      <c r="H153" s="48">
        <f>'Plantilla Datos'!E158</f>
        <v>6.1</v>
      </c>
      <c r="I153" s="49">
        <f>'Plantilla Datos'!F158</f>
        <v>18.899999999999999</v>
      </c>
      <c r="J153" s="47">
        <f>CEILING('Plantilla Datos'!$L$3*TBL_CalcDarwin[[#This Row],[Darwin Gusts
m/s]],0.5)</f>
        <v>4.5</v>
      </c>
      <c r="K153" s="47">
        <f>CEILING('Plantilla Datos'!$L$4*TBL_CalcDarwin[[#This Row],[Darwin Gusts
m/s]],0.5)</f>
        <v>5.5</v>
      </c>
      <c r="L153" s="47">
        <f>CEILING(TBL_CalcDarwin[[#This Row],[Darwin Gusts
m/s]],0.5)</f>
        <v>6.5</v>
      </c>
      <c r="M15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5.0439999999999996</v>
      </c>
      <c r="N15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5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5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53" s="41">
        <f>INDEX(Curva_Temp[Temp],MATCH(TBL_CalcDarwin[[#This Row],[Darwin Temp.
°C]],Curva_Temp[Temp]))</f>
        <v>15</v>
      </c>
      <c r="R153" s="41">
        <f>INDEX(Curva_Temp[Warranted Power Curve for 
1.194Kg/m3 air density '[kW']
SG 5.0-145 (AM+1, 5.2MW) AT 
90M],MATCH(TBL_CalcDarwin[[#This Row],[Darwin Temp.
°C]],Curva_Temp[Temp]))</f>
        <v>5200</v>
      </c>
      <c r="S153" s="41" cm="1">
        <f t="array" ref="S153">INDEX(Curva_Temp[Temp],MATCH(TBL_CalcDarwin[[#This Row],[Darwin Temp.
°C]],Curva_Temp[Temp])+1)</f>
        <v>20</v>
      </c>
      <c r="T153" s="41" cm="1">
        <f t="array" ref="T153">INDEX(Curva_Temp[Warranted Power Curve for 
1.194Kg/m3 air density '[kW']
SG 5.0-145 (AM+1, 5.2MW) AT 
90M],MATCH(TBL_CalcDarwin[[#This Row],[Darwin Temp.
°C]],Curva_Temp[Temp])+1)</f>
        <v>5000</v>
      </c>
      <c r="U15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5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5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53" s="41">
        <f>INDEX(Curva_Temp[Temp],MATCH(TBL_CalcDarwin[[#This Row],[Darwin Temp.
°C]],Curva_Temp[Temp]))</f>
        <v>15</v>
      </c>
      <c r="Z153" s="41">
        <f>INDEX(Curva_Temp[Warranted Power Curve for 
1.194Kg/m3 air density '[kW']
SG 5.0-145 (AM 0, 5.0MW) AT 
90M],MATCH(TBL_CalcDarwin[[#This Row],[Darwin Temp.
°C]],Curva_Temp[Temp]))</f>
        <v>5000</v>
      </c>
      <c r="AA153" s="41" cm="1">
        <f t="array" ref="AA153">INDEX(Curva_Temp[Temp],MATCH(TBL_CalcDarwin[[#This Row],[Darwin Temp.
°C]],Curva_Temp[Temp])+1)</f>
        <v>20</v>
      </c>
      <c r="AB153" s="41" cm="1">
        <f t="array" ref="AB153">INDEX(Curva_Temp[Warranted Power Curve for 
1.194Kg/m3 air density '[kW']
SG 5.0-145 (AM 0, 5.0MW) AT 
90M],MATCH(TBL_CalcDarwin[[#This Row],[Darwin Temp.
°C]],Curva_Temp[Temp])+1)</f>
        <v>5000</v>
      </c>
      <c r="AC153" s="45">
        <f>HLOOKUP(TBL_CalcDarwin[[#This Row],[Fecha]],'Plantilla AEG ES'!$E$1:$HX$13,2,FALSE)</f>
        <v>5</v>
      </c>
      <c r="AD153" s="45">
        <f>HLOOKUP(TBL_CalcDarwin[[#This Row],[Fecha]],'Plantilla AEG ES'!$E$1:$HX$13,3,FALSE)</f>
        <v>7</v>
      </c>
      <c r="AE153" s="45">
        <f>HLOOKUP(TBL_CalcDarwin[[#This Row],[Fecha]],'Plantilla AEG ES'!$E$1:$HX$13,4,FALSE)</f>
        <v>11</v>
      </c>
      <c r="AF153" s="45">
        <f>HLOOKUP(TBL_CalcDarwin[[#This Row],[Fecha]],'Plantilla AEG ES'!$E$1:$HX$13,5,FALSE)</f>
        <v>1</v>
      </c>
      <c r="AG153" s="45">
        <f>HLOOKUP(TBL_CalcDarwin[[#This Row],[Fecha]],'Plantilla AEG ES'!$E$1:$HX$13,6,FALSE)</f>
        <v>1</v>
      </c>
      <c r="AH153" s="45">
        <f>HLOOKUP(TBL_CalcDarwin[[#This Row],[Fecha]],'Plantilla AEG ES'!$E$1:$HX$13,7,FALSE)</f>
        <v>0</v>
      </c>
      <c r="AI153" s="46">
        <f>HLOOKUP(TBL_CalcDarwin[[#This Row],[Fecha]],'Plantilla AEG ES'!$E$1:$HX$13,8,FALSE)</f>
        <v>0</v>
      </c>
      <c r="AJ153" s="46">
        <f>HLOOKUP(TBL_CalcDarwin[[#This Row],[Fecha]],'Plantilla AEG ES'!$E$1:$HX$13,9,FALSE)</f>
        <v>3</v>
      </c>
      <c r="AK153" s="46">
        <f>HLOOKUP(TBL_CalcDarwin[[#This Row],[Fecha]],'Plantilla AEG ES'!$E$1:$HX$13,10,FALSE)</f>
        <v>12</v>
      </c>
      <c r="AL153" s="46">
        <f>HLOOKUP(TBL_CalcDarwin[[#This Row],[Fecha]],'Plantilla AEG ES'!$E$1:$HX$13,11,FALSE)</f>
        <v>1</v>
      </c>
      <c r="AM153" s="46">
        <f>HLOOKUP(TBL_CalcDarwin[[#This Row],[Fecha]],'Plantilla AEG ES'!$E$1:$HX$13,12,FALSE)</f>
        <v>7</v>
      </c>
      <c r="AN153" s="46">
        <f>HLOOKUP(TBL_CalcDarwin[[#This Row],[Fecha]],'Plantilla AEG ES'!$E$1:$HX$13,13,FALSE)</f>
        <v>1</v>
      </c>
      <c r="AO153" s="37">
        <f>TBL_CalcDarwin[[#This Row],[Lomitas - Barra A - 5.2 - Cerro]]+TBL_CalcDarwin[[#This Row],[Lomitas - Barra A - 5.2 - Medio]]+TBL_CalcDarwin[[#This Row],[Lomitas - Barra A - 5.2 - Mar]]</f>
        <v>23</v>
      </c>
      <c r="AP15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21.051000000000002</v>
      </c>
      <c r="AR15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153" s="37">
        <f>TBL_CalcDarwin[[#This Row],[Expansión - Barra A - 5.2 - Cerro]]+TBL_CalcDarwin[[#This Row],[Expansión - Barra A - 5.2 - Medio]]+TBL_CalcDarwin[[#This Row],[Expansión - Barra A - 5.2 - Mar]]</f>
        <v>2</v>
      </c>
      <c r="AT153" s="37">
        <f>TBL_CalcDarwin[[#This Row],[Expansión - Barra B - 5.2 - Cerro]]</f>
        <v>1</v>
      </c>
      <c r="AU15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53" s="29">
        <f>TBL_CalcDarwin[[#This Row],[Expansión - Barra B - 5.2 - Cerro]]*TBL_CalcDarwin[[#This Row],[AEG 5.2 MW Cerro]]</f>
        <v>0.38200000000000001</v>
      </c>
      <c r="AZ153" s="18"/>
      <c r="BA153" s="18"/>
      <c r="BB153" s="18"/>
      <c r="BC153" s="18"/>
      <c r="BD153" s="18"/>
      <c r="BE153" s="18"/>
      <c r="BF153" s="18"/>
    </row>
    <row r="154" spans="2:58" ht="12" x14ac:dyDescent="0.2">
      <c r="B154" s="55">
        <f t="shared" si="13"/>
        <v>45619.333333332972</v>
      </c>
      <c r="C154" s="17">
        <f t="shared" si="15"/>
        <v>6.3333333333333437</v>
      </c>
      <c r="D154" s="34">
        <f>TBL_CalcDarwin[[#This Row],[Darwin PLOM
MW]]+TBL_CalcDarwin[[#This Row],[Darwin PLOME
MW]]</f>
        <v>63.076999999999998</v>
      </c>
      <c r="E154" s="34">
        <f>TBL_CalcDarwin[[#This Row],[PLOM MW TOTAL BARRA A]]+TBL_CalcDarwin[[#This Row],[PLOM MW TOTAL BARRA B]]</f>
        <v>61</v>
      </c>
      <c r="F154" s="34">
        <f>TBL_CalcDarwin[[#This Row],[PLOME MW TOTAL BARRA A]]+TBL_CalcDarwin[[#This Row],[PLOME MW TOTAL BARRA B]]</f>
        <v>2.077</v>
      </c>
      <c r="G154" s="48">
        <f>'Plantilla Datos'!D159</f>
        <v>5.4</v>
      </c>
      <c r="H154" s="48">
        <f>'Plantilla Datos'!E159</f>
        <v>6.9</v>
      </c>
      <c r="I154" s="49">
        <f>'Plantilla Datos'!F159</f>
        <v>19.2</v>
      </c>
      <c r="J154" s="47">
        <f>CEILING('Plantilla Datos'!$L$3*TBL_CalcDarwin[[#This Row],[Darwin Gusts
m/s]],0.5)</f>
        <v>5</v>
      </c>
      <c r="K154" s="47">
        <f>CEILING('Plantilla Datos'!$L$4*TBL_CalcDarwin[[#This Row],[Darwin Gusts
m/s]],0.5)</f>
        <v>6</v>
      </c>
      <c r="L154" s="47">
        <f>CEILING(TBL_CalcDarwin[[#This Row],[Darwin Gusts
m/s]],0.5)</f>
        <v>7</v>
      </c>
      <c r="M15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5.032</v>
      </c>
      <c r="N15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5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5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54" s="41">
        <f>INDEX(Curva_Temp[Temp],MATCH(TBL_CalcDarwin[[#This Row],[Darwin Temp.
°C]],Curva_Temp[Temp]))</f>
        <v>15</v>
      </c>
      <c r="R154" s="41">
        <f>INDEX(Curva_Temp[Warranted Power Curve for 
1.194Kg/m3 air density '[kW']
SG 5.0-145 (AM+1, 5.2MW) AT 
90M],MATCH(TBL_CalcDarwin[[#This Row],[Darwin Temp.
°C]],Curva_Temp[Temp]))</f>
        <v>5200</v>
      </c>
      <c r="S154" s="41" cm="1">
        <f t="array" ref="S154">INDEX(Curva_Temp[Temp],MATCH(TBL_CalcDarwin[[#This Row],[Darwin Temp.
°C]],Curva_Temp[Temp])+1)</f>
        <v>20</v>
      </c>
      <c r="T154" s="41" cm="1">
        <f t="array" ref="T154">INDEX(Curva_Temp[Warranted Power Curve for 
1.194Kg/m3 air density '[kW']
SG 5.0-145 (AM+1, 5.2MW) AT 
90M],MATCH(TBL_CalcDarwin[[#This Row],[Darwin Temp.
°C]],Curva_Temp[Temp])+1)</f>
        <v>5000</v>
      </c>
      <c r="U15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5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5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54" s="41">
        <f>INDEX(Curva_Temp[Temp],MATCH(TBL_CalcDarwin[[#This Row],[Darwin Temp.
°C]],Curva_Temp[Temp]))</f>
        <v>15</v>
      </c>
      <c r="Z154" s="41">
        <f>INDEX(Curva_Temp[Warranted Power Curve for 
1.194Kg/m3 air density '[kW']
SG 5.0-145 (AM 0, 5.0MW) AT 
90M],MATCH(TBL_CalcDarwin[[#This Row],[Darwin Temp.
°C]],Curva_Temp[Temp]))</f>
        <v>5000</v>
      </c>
      <c r="AA154" s="41" cm="1">
        <f t="array" ref="AA154">INDEX(Curva_Temp[Temp],MATCH(TBL_CalcDarwin[[#This Row],[Darwin Temp.
°C]],Curva_Temp[Temp])+1)</f>
        <v>20</v>
      </c>
      <c r="AB154" s="41" cm="1">
        <f t="array" ref="AB154">INDEX(Curva_Temp[Warranted Power Curve for 
1.194Kg/m3 air density '[kW']
SG 5.0-145 (AM 0, 5.0MW) AT 
90M],MATCH(TBL_CalcDarwin[[#This Row],[Darwin Temp.
°C]],Curva_Temp[Temp])+1)</f>
        <v>5000</v>
      </c>
      <c r="AC154" s="45">
        <f>HLOOKUP(TBL_CalcDarwin[[#This Row],[Fecha]],'Plantilla AEG ES'!$E$1:$HX$13,2,FALSE)</f>
        <v>5</v>
      </c>
      <c r="AD154" s="45">
        <f>HLOOKUP(TBL_CalcDarwin[[#This Row],[Fecha]],'Plantilla AEG ES'!$E$1:$HX$13,3,FALSE)</f>
        <v>7</v>
      </c>
      <c r="AE154" s="45">
        <f>HLOOKUP(TBL_CalcDarwin[[#This Row],[Fecha]],'Plantilla AEG ES'!$E$1:$HX$13,4,FALSE)</f>
        <v>11</v>
      </c>
      <c r="AF154" s="45">
        <f>HLOOKUP(TBL_CalcDarwin[[#This Row],[Fecha]],'Plantilla AEG ES'!$E$1:$HX$13,5,FALSE)</f>
        <v>1</v>
      </c>
      <c r="AG154" s="45">
        <f>HLOOKUP(TBL_CalcDarwin[[#This Row],[Fecha]],'Plantilla AEG ES'!$E$1:$HX$13,6,FALSE)</f>
        <v>1</v>
      </c>
      <c r="AH154" s="45">
        <f>HLOOKUP(TBL_CalcDarwin[[#This Row],[Fecha]],'Plantilla AEG ES'!$E$1:$HX$13,7,FALSE)</f>
        <v>0</v>
      </c>
      <c r="AI154" s="46">
        <f>HLOOKUP(TBL_CalcDarwin[[#This Row],[Fecha]],'Plantilla AEG ES'!$E$1:$HX$13,8,FALSE)</f>
        <v>0</v>
      </c>
      <c r="AJ154" s="46">
        <f>HLOOKUP(TBL_CalcDarwin[[#This Row],[Fecha]],'Plantilla AEG ES'!$E$1:$HX$13,9,FALSE)</f>
        <v>3</v>
      </c>
      <c r="AK154" s="46">
        <f>HLOOKUP(TBL_CalcDarwin[[#This Row],[Fecha]],'Plantilla AEG ES'!$E$1:$HX$13,10,FALSE)</f>
        <v>12</v>
      </c>
      <c r="AL154" s="46">
        <f>HLOOKUP(TBL_CalcDarwin[[#This Row],[Fecha]],'Plantilla AEG ES'!$E$1:$HX$13,11,FALSE)</f>
        <v>1</v>
      </c>
      <c r="AM154" s="46">
        <f>HLOOKUP(TBL_CalcDarwin[[#This Row],[Fecha]],'Plantilla AEG ES'!$E$1:$HX$13,12,FALSE)</f>
        <v>7</v>
      </c>
      <c r="AN154" s="46">
        <f>HLOOKUP(TBL_CalcDarwin[[#This Row],[Fecha]],'Plantilla AEG ES'!$E$1:$HX$13,13,FALSE)</f>
        <v>1</v>
      </c>
      <c r="AO154" s="37">
        <f>TBL_CalcDarwin[[#This Row],[Lomitas - Barra A - 5.2 - Cerro]]+TBL_CalcDarwin[[#This Row],[Lomitas - Barra A - 5.2 - Medio]]+TBL_CalcDarwin[[#This Row],[Lomitas - Barra A - 5.2 - Mar]]</f>
        <v>23</v>
      </c>
      <c r="AP15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5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54" s="37">
        <f>TBL_CalcDarwin[[#This Row],[Expansión - Barra A - 5.2 - Cerro]]+TBL_CalcDarwin[[#This Row],[Expansión - Barra A - 5.2 - Medio]]+TBL_CalcDarwin[[#This Row],[Expansión - Barra A - 5.2 - Mar]]</f>
        <v>2</v>
      </c>
      <c r="AT154" s="37">
        <f>TBL_CalcDarwin[[#This Row],[Expansión - Barra B - 5.2 - Cerro]]</f>
        <v>1</v>
      </c>
      <c r="AU15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54" s="29">
        <f>TBL_CalcDarwin[[#This Row],[Expansión - Barra B - 5.2 - Cerro]]*TBL_CalcDarwin[[#This Row],[AEG 5.2 MW Cerro]]</f>
        <v>0.54700000000000004</v>
      </c>
      <c r="AZ154" s="18"/>
      <c r="BA154" s="18"/>
      <c r="BB154" s="18"/>
      <c r="BC154" s="18"/>
      <c r="BD154" s="18"/>
      <c r="BE154" s="18"/>
      <c r="BF154" s="18"/>
    </row>
    <row r="155" spans="2:58" ht="12" x14ac:dyDescent="0.2">
      <c r="B155" s="55">
        <f t="shared" si="13"/>
        <v>45619.374999999636</v>
      </c>
      <c r="C155" s="17">
        <f t="shared" si="15"/>
        <v>6.3750000000000107</v>
      </c>
      <c r="D155" s="34">
        <f>TBL_CalcDarwin[[#This Row],[Darwin PLOM
MW]]+TBL_CalcDarwin[[#This Row],[Darwin PLOME
MW]]</f>
        <v>97.623000000000005</v>
      </c>
      <c r="E155" s="34">
        <f>TBL_CalcDarwin[[#This Row],[PLOM MW TOTAL BARRA A]]+TBL_CalcDarwin[[#This Row],[PLOM MW TOTAL BARRA B]]</f>
        <v>94.06</v>
      </c>
      <c r="F155" s="34">
        <f>TBL_CalcDarwin[[#This Row],[PLOME MW TOTAL BARRA A]]+TBL_CalcDarwin[[#This Row],[PLOME MW TOTAL BARRA B]]</f>
        <v>3.5630000000000002</v>
      </c>
      <c r="G155" s="48">
        <f>'Plantilla Datos'!D160</f>
        <v>6.1</v>
      </c>
      <c r="H155" s="48">
        <f>'Plantilla Datos'!E160</f>
        <v>7.8</v>
      </c>
      <c r="I155" s="49">
        <f>'Plantilla Datos'!F160</f>
        <v>19.600000000000001</v>
      </c>
      <c r="J155" s="47">
        <f>CEILING('Plantilla Datos'!$L$3*TBL_CalcDarwin[[#This Row],[Darwin Gusts
m/s]],0.5)</f>
        <v>6</v>
      </c>
      <c r="K155" s="47">
        <f>CEILING('Plantilla Datos'!$L$4*TBL_CalcDarwin[[#This Row],[Darwin Gusts
m/s]],0.5)</f>
        <v>7</v>
      </c>
      <c r="L155" s="47">
        <f>CEILING(TBL_CalcDarwin[[#This Row],[Darwin Gusts
m/s]],0.5)</f>
        <v>8</v>
      </c>
      <c r="M15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5.016</v>
      </c>
      <c r="N15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5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5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55" s="41">
        <f>INDEX(Curva_Temp[Temp],MATCH(TBL_CalcDarwin[[#This Row],[Darwin Temp.
°C]],Curva_Temp[Temp]))</f>
        <v>15</v>
      </c>
      <c r="R155" s="41">
        <f>INDEX(Curva_Temp[Warranted Power Curve for 
1.194Kg/m3 air density '[kW']
SG 5.0-145 (AM+1, 5.2MW) AT 
90M],MATCH(TBL_CalcDarwin[[#This Row],[Darwin Temp.
°C]],Curva_Temp[Temp]))</f>
        <v>5200</v>
      </c>
      <c r="S155" s="41" cm="1">
        <f t="array" ref="S155">INDEX(Curva_Temp[Temp],MATCH(TBL_CalcDarwin[[#This Row],[Darwin Temp.
°C]],Curva_Temp[Temp])+1)</f>
        <v>20</v>
      </c>
      <c r="T155" s="41" cm="1">
        <f t="array" ref="T155">INDEX(Curva_Temp[Warranted Power Curve for 
1.194Kg/m3 air density '[kW']
SG 5.0-145 (AM+1, 5.2MW) AT 
90M],MATCH(TBL_CalcDarwin[[#This Row],[Darwin Temp.
°C]],Curva_Temp[Temp])+1)</f>
        <v>5000</v>
      </c>
      <c r="U15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5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5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55" s="41">
        <f>INDEX(Curva_Temp[Temp],MATCH(TBL_CalcDarwin[[#This Row],[Darwin Temp.
°C]],Curva_Temp[Temp]))</f>
        <v>15</v>
      </c>
      <c r="Z155" s="41">
        <f>INDEX(Curva_Temp[Warranted Power Curve for 
1.194Kg/m3 air density '[kW']
SG 5.0-145 (AM 0, 5.0MW) AT 
90M],MATCH(TBL_CalcDarwin[[#This Row],[Darwin Temp.
°C]],Curva_Temp[Temp]))</f>
        <v>5000</v>
      </c>
      <c r="AA155" s="41" cm="1">
        <f t="array" ref="AA155">INDEX(Curva_Temp[Temp],MATCH(TBL_CalcDarwin[[#This Row],[Darwin Temp.
°C]],Curva_Temp[Temp])+1)</f>
        <v>20</v>
      </c>
      <c r="AB155" s="41" cm="1">
        <f t="array" ref="AB155">INDEX(Curva_Temp[Warranted Power Curve for 
1.194Kg/m3 air density '[kW']
SG 5.0-145 (AM 0, 5.0MW) AT 
90M],MATCH(TBL_CalcDarwin[[#This Row],[Darwin Temp.
°C]],Curva_Temp[Temp])+1)</f>
        <v>5000</v>
      </c>
      <c r="AC155" s="45">
        <f>HLOOKUP(TBL_CalcDarwin[[#This Row],[Fecha]],'Plantilla AEG ES'!$E$1:$HX$13,2,FALSE)</f>
        <v>5</v>
      </c>
      <c r="AD155" s="45">
        <f>HLOOKUP(TBL_CalcDarwin[[#This Row],[Fecha]],'Plantilla AEG ES'!$E$1:$HX$13,3,FALSE)</f>
        <v>7</v>
      </c>
      <c r="AE155" s="45">
        <f>HLOOKUP(TBL_CalcDarwin[[#This Row],[Fecha]],'Plantilla AEG ES'!$E$1:$HX$13,4,FALSE)</f>
        <v>11</v>
      </c>
      <c r="AF155" s="45">
        <f>HLOOKUP(TBL_CalcDarwin[[#This Row],[Fecha]],'Plantilla AEG ES'!$E$1:$HX$13,5,FALSE)</f>
        <v>1</v>
      </c>
      <c r="AG155" s="45">
        <f>HLOOKUP(TBL_CalcDarwin[[#This Row],[Fecha]],'Plantilla AEG ES'!$E$1:$HX$13,6,FALSE)</f>
        <v>1</v>
      </c>
      <c r="AH155" s="45">
        <f>HLOOKUP(TBL_CalcDarwin[[#This Row],[Fecha]],'Plantilla AEG ES'!$E$1:$HX$13,7,FALSE)</f>
        <v>0</v>
      </c>
      <c r="AI155" s="46">
        <f>HLOOKUP(TBL_CalcDarwin[[#This Row],[Fecha]],'Plantilla AEG ES'!$E$1:$HX$13,8,FALSE)</f>
        <v>0</v>
      </c>
      <c r="AJ155" s="46">
        <f>HLOOKUP(TBL_CalcDarwin[[#This Row],[Fecha]],'Plantilla AEG ES'!$E$1:$HX$13,9,FALSE)</f>
        <v>3</v>
      </c>
      <c r="AK155" s="46">
        <f>HLOOKUP(TBL_CalcDarwin[[#This Row],[Fecha]],'Plantilla AEG ES'!$E$1:$HX$13,10,FALSE)</f>
        <v>12</v>
      </c>
      <c r="AL155" s="46">
        <f>HLOOKUP(TBL_CalcDarwin[[#This Row],[Fecha]],'Plantilla AEG ES'!$E$1:$HX$13,11,FALSE)</f>
        <v>1</v>
      </c>
      <c r="AM155" s="46">
        <f>HLOOKUP(TBL_CalcDarwin[[#This Row],[Fecha]],'Plantilla AEG ES'!$E$1:$HX$13,12,FALSE)</f>
        <v>7</v>
      </c>
      <c r="AN155" s="46">
        <f>HLOOKUP(TBL_CalcDarwin[[#This Row],[Fecha]],'Plantilla AEG ES'!$E$1:$HX$13,13,FALSE)</f>
        <v>1</v>
      </c>
      <c r="AO155" s="37">
        <f>TBL_CalcDarwin[[#This Row],[Lomitas - Barra A - 5.2 - Cerro]]+TBL_CalcDarwin[[#This Row],[Lomitas - Barra A - 5.2 - Medio]]+TBL_CalcDarwin[[#This Row],[Lomitas - Barra A - 5.2 - Mar]]</f>
        <v>23</v>
      </c>
      <c r="AP15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5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55" s="37">
        <f>TBL_CalcDarwin[[#This Row],[Expansión - Barra A - 5.2 - Cerro]]+TBL_CalcDarwin[[#This Row],[Expansión - Barra A - 5.2 - Medio]]+TBL_CalcDarwin[[#This Row],[Expansión - Barra A - 5.2 - Mar]]</f>
        <v>2</v>
      </c>
      <c r="AT155" s="37">
        <f>TBL_CalcDarwin[[#This Row],[Expansión - Barra B - 5.2 - Cerro]]</f>
        <v>1</v>
      </c>
      <c r="AU15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55" s="29">
        <f>TBL_CalcDarwin[[#This Row],[Expansión - Barra B - 5.2 - Cerro]]*TBL_CalcDarwin[[#This Row],[AEG 5.2 MW Cerro]]</f>
        <v>0.98299999999999998</v>
      </c>
      <c r="AZ155" s="18"/>
      <c r="BA155" s="18"/>
      <c r="BB155" s="18"/>
      <c r="BC155" s="18"/>
      <c r="BD155" s="18"/>
      <c r="BE155" s="18"/>
      <c r="BF155" s="18"/>
    </row>
    <row r="156" spans="2:58" ht="12" x14ac:dyDescent="0.2">
      <c r="B156" s="55">
        <f t="shared" si="13"/>
        <v>45619.4166666663</v>
      </c>
      <c r="C156" s="17">
        <f t="shared" si="15"/>
        <v>6.4166666666666776</v>
      </c>
      <c r="D156" s="34">
        <f>TBL_CalcDarwin[[#This Row],[Darwin PLOM
MW]]+TBL_CalcDarwin[[#This Row],[Darwin PLOME
MW]]</f>
        <v>132.655</v>
      </c>
      <c r="E156" s="34">
        <f>TBL_CalcDarwin[[#This Row],[PLOM MW TOTAL BARRA A]]+TBL_CalcDarwin[[#This Row],[PLOM MW TOTAL BARRA B]]</f>
        <v>128.14500000000001</v>
      </c>
      <c r="F156" s="34">
        <f>TBL_CalcDarwin[[#This Row],[PLOME MW TOTAL BARRA A]]+TBL_CalcDarwin[[#This Row],[PLOME MW TOTAL BARRA B]]</f>
        <v>4.51</v>
      </c>
      <c r="G156" s="48">
        <f>'Plantilla Datos'!D161</f>
        <v>6.8</v>
      </c>
      <c r="H156" s="48">
        <f>'Plantilla Datos'!E161</f>
        <v>8.6</v>
      </c>
      <c r="I156" s="49">
        <f>'Plantilla Datos'!F161</f>
        <v>19.899999999999999</v>
      </c>
      <c r="J156" s="47">
        <f>CEILING('Plantilla Datos'!$L$3*TBL_CalcDarwin[[#This Row],[Darwin Gusts
m/s]],0.5)</f>
        <v>6.5</v>
      </c>
      <c r="K156" s="47">
        <f>CEILING('Plantilla Datos'!$L$4*TBL_CalcDarwin[[#This Row],[Darwin Gusts
m/s]],0.5)</f>
        <v>7.5</v>
      </c>
      <c r="L156" s="47">
        <f>CEILING(TBL_CalcDarwin[[#This Row],[Darwin Gusts
m/s]],0.5)</f>
        <v>9</v>
      </c>
      <c r="M15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5.0039999999999996</v>
      </c>
      <c r="N15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5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5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56" s="41">
        <f>INDEX(Curva_Temp[Temp],MATCH(TBL_CalcDarwin[[#This Row],[Darwin Temp.
°C]],Curva_Temp[Temp]))</f>
        <v>15</v>
      </c>
      <c r="R156" s="41">
        <f>INDEX(Curva_Temp[Warranted Power Curve for 
1.194Kg/m3 air density '[kW']
SG 5.0-145 (AM+1, 5.2MW) AT 
90M],MATCH(TBL_CalcDarwin[[#This Row],[Darwin Temp.
°C]],Curva_Temp[Temp]))</f>
        <v>5200</v>
      </c>
      <c r="S156" s="41" cm="1">
        <f t="array" ref="S156">INDEX(Curva_Temp[Temp],MATCH(TBL_CalcDarwin[[#This Row],[Darwin Temp.
°C]],Curva_Temp[Temp])+1)</f>
        <v>20</v>
      </c>
      <c r="T156" s="41" cm="1">
        <f t="array" ref="T156">INDEX(Curva_Temp[Warranted Power Curve for 
1.194Kg/m3 air density '[kW']
SG 5.0-145 (AM+1, 5.2MW) AT 
90M],MATCH(TBL_CalcDarwin[[#This Row],[Darwin Temp.
°C]],Curva_Temp[Temp])+1)</f>
        <v>5000</v>
      </c>
      <c r="U15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5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5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56" s="41">
        <f>INDEX(Curva_Temp[Temp],MATCH(TBL_CalcDarwin[[#This Row],[Darwin Temp.
°C]],Curva_Temp[Temp]))</f>
        <v>15</v>
      </c>
      <c r="Z156" s="41">
        <f>INDEX(Curva_Temp[Warranted Power Curve for 
1.194Kg/m3 air density '[kW']
SG 5.0-145 (AM 0, 5.0MW) AT 
90M],MATCH(TBL_CalcDarwin[[#This Row],[Darwin Temp.
°C]],Curva_Temp[Temp]))</f>
        <v>5000</v>
      </c>
      <c r="AA156" s="41" cm="1">
        <f t="array" ref="AA156">INDEX(Curva_Temp[Temp],MATCH(TBL_CalcDarwin[[#This Row],[Darwin Temp.
°C]],Curva_Temp[Temp])+1)</f>
        <v>20</v>
      </c>
      <c r="AB156" s="41" cm="1">
        <f t="array" ref="AB156">INDEX(Curva_Temp[Warranted Power Curve for 
1.194Kg/m3 air density '[kW']
SG 5.0-145 (AM 0, 5.0MW) AT 
90M],MATCH(TBL_CalcDarwin[[#This Row],[Darwin Temp.
°C]],Curva_Temp[Temp])+1)</f>
        <v>5000</v>
      </c>
      <c r="AC156" s="45">
        <f>HLOOKUP(TBL_CalcDarwin[[#This Row],[Fecha]],'Plantilla AEG ES'!$E$1:$HX$13,2,FALSE)</f>
        <v>5</v>
      </c>
      <c r="AD156" s="45">
        <f>HLOOKUP(TBL_CalcDarwin[[#This Row],[Fecha]],'Plantilla AEG ES'!$E$1:$HX$13,3,FALSE)</f>
        <v>7</v>
      </c>
      <c r="AE156" s="45">
        <f>HLOOKUP(TBL_CalcDarwin[[#This Row],[Fecha]],'Plantilla AEG ES'!$E$1:$HX$13,4,FALSE)</f>
        <v>11</v>
      </c>
      <c r="AF156" s="45">
        <f>HLOOKUP(TBL_CalcDarwin[[#This Row],[Fecha]],'Plantilla AEG ES'!$E$1:$HX$13,5,FALSE)</f>
        <v>1</v>
      </c>
      <c r="AG156" s="45">
        <f>HLOOKUP(TBL_CalcDarwin[[#This Row],[Fecha]],'Plantilla AEG ES'!$E$1:$HX$13,6,FALSE)</f>
        <v>1</v>
      </c>
      <c r="AH156" s="45">
        <f>HLOOKUP(TBL_CalcDarwin[[#This Row],[Fecha]],'Plantilla AEG ES'!$E$1:$HX$13,7,FALSE)</f>
        <v>0</v>
      </c>
      <c r="AI156" s="46">
        <f>HLOOKUP(TBL_CalcDarwin[[#This Row],[Fecha]],'Plantilla AEG ES'!$E$1:$HX$13,8,FALSE)</f>
        <v>0</v>
      </c>
      <c r="AJ156" s="46">
        <f>HLOOKUP(TBL_CalcDarwin[[#This Row],[Fecha]],'Plantilla AEG ES'!$E$1:$HX$13,9,FALSE)</f>
        <v>3</v>
      </c>
      <c r="AK156" s="46">
        <f>HLOOKUP(TBL_CalcDarwin[[#This Row],[Fecha]],'Plantilla AEG ES'!$E$1:$HX$13,10,FALSE)</f>
        <v>12</v>
      </c>
      <c r="AL156" s="46">
        <f>HLOOKUP(TBL_CalcDarwin[[#This Row],[Fecha]],'Plantilla AEG ES'!$E$1:$HX$13,11,FALSE)</f>
        <v>1</v>
      </c>
      <c r="AM156" s="46">
        <f>HLOOKUP(TBL_CalcDarwin[[#This Row],[Fecha]],'Plantilla AEG ES'!$E$1:$HX$13,12,FALSE)</f>
        <v>7</v>
      </c>
      <c r="AN156" s="46">
        <f>HLOOKUP(TBL_CalcDarwin[[#This Row],[Fecha]],'Plantilla AEG ES'!$E$1:$HX$13,13,FALSE)</f>
        <v>1</v>
      </c>
      <c r="AO156" s="37">
        <f>TBL_CalcDarwin[[#This Row],[Lomitas - Barra A - 5.2 - Cerro]]+TBL_CalcDarwin[[#This Row],[Lomitas - Barra A - 5.2 - Medio]]+TBL_CalcDarwin[[#This Row],[Lomitas - Barra A - 5.2 - Mar]]</f>
        <v>23</v>
      </c>
      <c r="AP15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15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56" s="37">
        <f>TBL_CalcDarwin[[#This Row],[Expansión - Barra A - 5.2 - Cerro]]+TBL_CalcDarwin[[#This Row],[Expansión - Barra A - 5.2 - Medio]]+TBL_CalcDarwin[[#This Row],[Expansión - Barra A - 5.2 - Mar]]</f>
        <v>2</v>
      </c>
      <c r="AT156" s="37">
        <f>TBL_CalcDarwin[[#This Row],[Expansión - Barra B - 5.2 - Cerro]]</f>
        <v>1</v>
      </c>
      <c r="AU15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56" s="29">
        <f>TBL_CalcDarwin[[#This Row],[Expansión - Barra B - 5.2 - Cerro]]*TBL_CalcDarwin[[#This Row],[AEG 5.2 MW Cerro]]</f>
        <v>1.266</v>
      </c>
      <c r="AZ156" s="18"/>
      <c r="BA156" s="18"/>
      <c r="BB156" s="18"/>
      <c r="BC156" s="18"/>
      <c r="BD156" s="18"/>
      <c r="BE156" s="18"/>
      <c r="BF156" s="18"/>
    </row>
    <row r="157" spans="2:58" ht="12" x14ac:dyDescent="0.2">
      <c r="B157" s="55">
        <f t="shared" si="13"/>
        <v>45619.458333332965</v>
      </c>
      <c r="C157" s="17">
        <f t="shared" si="15"/>
        <v>6.4583333333333446</v>
      </c>
      <c r="D157" s="34">
        <f>TBL_CalcDarwin[[#This Row],[Darwin PLOM
MW]]+TBL_CalcDarwin[[#This Row],[Darwin PLOME
MW]]</f>
        <v>166.10399999999998</v>
      </c>
      <c r="E157" s="34">
        <f>TBL_CalcDarwin[[#This Row],[PLOM MW TOTAL BARRA A]]+TBL_CalcDarwin[[#This Row],[PLOM MW TOTAL BARRA B]]</f>
        <v>160.03199999999998</v>
      </c>
      <c r="F157" s="34">
        <f>TBL_CalcDarwin[[#This Row],[PLOME MW TOTAL BARRA A]]+TBL_CalcDarwin[[#This Row],[PLOME MW TOTAL BARRA B]]</f>
        <v>6.0719999999999992</v>
      </c>
      <c r="G157" s="48">
        <f>'Plantilla Datos'!D162</f>
        <v>7.5</v>
      </c>
      <c r="H157" s="48">
        <f>'Plantilla Datos'!E162</f>
        <v>9.4</v>
      </c>
      <c r="I157" s="49">
        <f>'Plantilla Datos'!F162</f>
        <v>20.3</v>
      </c>
      <c r="J157" s="47">
        <f>CEILING('Plantilla Datos'!$L$3*TBL_CalcDarwin[[#This Row],[Darwin Gusts
m/s]],0.5)</f>
        <v>7</v>
      </c>
      <c r="K157" s="47">
        <f>CEILING('Plantilla Datos'!$L$4*TBL_CalcDarwin[[#This Row],[Darwin Gusts
m/s]],0.5)</f>
        <v>8.5</v>
      </c>
      <c r="L157" s="47">
        <f>CEILING(TBL_CalcDarwin[[#This Row],[Darwin Gusts
m/s]],0.5)</f>
        <v>9.5</v>
      </c>
      <c r="M15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4.9939999999999998</v>
      </c>
      <c r="N15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5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5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57" s="41">
        <f>INDEX(Curva_Temp[Temp],MATCH(TBL_CalcDarwin[[#This Row],[Darwin Temp.
°C]],Curva_Temp[Temp]))</f>
        <v>20</v>
      </c>
      <c r="R157" s="41">
        <f>INDEX(Curva_Temp[Warranted Power Curve for 
1.194Kg/m3 air density '[kW']
SG 5.0-145 (AM+1, 5.2MW) AT 
90M],MATCH(TBL_CalcDarwin[[#This Row],[Darwin Temp.
°C]],Curva_Temp[Temp]))</f>
        <v>5000</v>
      </c>
      <c r="S157" s="41" cm="1">
        <f t="array" ref="S157">INDEX(Curva_Temp[Temp],MATCH(TBL_CalcDarwin[[#This Row],[Darwin Temp.
°C]],Curva_Temp[Temp])+1)</f>
        <v>25</v>
      </c>
      <c r="T157" s="41" cm="1">
        <f t="array" ref="T157">INDEX(Curva_Temp[Warranted Power Curve for 
1.194Kg/m3 air density '[kW']
SG 5.0-145 (AM+1, 5.2MW) AT 
90M],MATCH(TBL_CalcDarwin[[#This Row],[Darwin Temp.
°C]],Curva_Temp[Temp])+1)</f>
        <v>4900</v>
      </c>
      <c r="U15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4.9939999999999998</v>
      </c>
      <c r="V15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5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5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57" s="41">
        <f>INDEX(Curva_Temp[Temp],MATCH(TBL_CalcDarwin[[#This Row],[Darwin Temp.
°C]],Curva_Temp[Temp]))</f>
        <v>20</v>
      </c>
      <c r="Z157" s="41">
        <f>INDEX(Curva_Temp[Warranted Power Curve for 
1.194Kg/m3 air density '[kW']
SG 5.0-145 (AM 0, 5.0MW) AT 
90M],MATCH(TBL_CalcDarwin[[#This Row],[Darwin Temp.
°C]],Curva_Temp[Temp]))</f>
        <v>5000</v>
      </c>
      <c r="AA157" s="41" cm="1">
        <f t="array" ref="AA157">INDEX(Curva_Temp[Temp],MATCH(TBL_CalcDarwin[[#This Row],[Darwin Temp.
°C]],Curva_Temp[Temp])+1)</f>
        <v>25</v>
      </c>
      <c r="AB157" s="41" cm="1">
        <f t="array" ref="AB157">INDEX(Curva_Temp[Warranted Power Curve for 
1.194Kg/m3 air density '[kW']
SG 5.0-145 (AM 0, 5.0MW) AT 
90M],MATCH(TBL_CalcDarwin[[#This Row],[Darwin Temp.
°C]],Curva_Temp[Temp])+1)</f>
        <v>4900</v>
      </c>
      <c r="AC157" s="45">
        <f>HLOOKUP(TBL_CalcDarwin[[#This Row],[Fecha]],'Plantilla AEG ES'!$E$1:$HX$13,2,FALSE)</f>
        <v>5</v>
      </c>
      <c r="AD157" s="45">
        <f>HLOOKUP(TBL_CalcDarwin[[#This Row],[Fecha]],'Plantilla AEG ES'!$E$1:$HX$13,3,FALSE)</f>
        <v>8</v>
      </c>
      <c r="AE157" s="45">
        <f>HLOOKUP(TBL_CalcDarwin[[#This Row],[Fecha]],'Plantilla AEG ES'!$E$1:$HX$13,4,FALSE)</f>
        <v>12</v>
      </c>
      <c r="AF157" s="45">
        <f>HLOOKUP(TBL_CalcDarwin[[#This Row],[Fecha]],'Plantilla AEG ES'!$E$1:$HX$13,5,FALSE)</f>
        <v>1</v>
      </c>
      <c r="AG157" s="45">
        <f>HLOOKUP(TBL_CalcDarwin[[#This Row],[Fecha]],'Plantilla AEG ES'!$E$1:$HX$13,6,FALSE)</f>
        <v>1</v>
      </c>
      <c r="AH157" s="45">
        <f>HLOOKUP(TBL_CalcDarwin[[#This Row],[Fecha]],'Plantilla AEG ES'!$E$1:$HX$13,7,FALSE)</f>
        <v>0</v>
      </c>
      <c r="AI157" s="46">
        <f>HLOOKUP(TBL_CalcDarwin[[#This Row],[Fecha]],'Plantilla AEG ES'!$E$1:$HX$13,8,FALSE)</f>
        <v>0</v>
      </c>
      <c r="AJ157" s="46">
        <f>HLOOKUP(TBL_CalcDarwin[[#This Row],[Fecha]],'Plantilla AEG ES'!$E$1:$HX$13,9,FALSE)</f>
        <v>3</v>
      </c>
      <c r="AK157" s="46">
        <f>HLOOKUP(TBL_CalcDarwin[[#This Row],[Fecha]],'Plantilla AEG ES'!$E$1:$HX$13,10,FALSE)</f>
        <v>12</v>
      </c>
      <c r="AL157" s="46">
        <f>HLOOKUP(TBL_CalcDarwin[[#This Row],[Fecha]],'Plantilla AEG ES'!$E$1:$HX$13,11,FALSE)</f>
        <v>1</v>
      </c>
      <c r="AM157" s="46">
        <f>HLOOKUP(TBL_CalcDarwin[[#This Row],[Fecha]],'Plantilla AEG ES'!$E$1:$HX$13,12,FALSE)</f>
        <v>7</v>
      </c>
      <c r="AN157" s="46">
        <f>HLOOKUP(TBL_CalcDarwin[[#This Row],[Fecha]],'Plantilla AEG ES'!$E$1:$HX$13,13,FALSE)</f>
        <v>1</v>
      </c>
      <c r="AO157" s="37">
        <f>TBL_CalcDarwin[[#This Row],[Lomitas - Barra A - 5.2 - Cerro]]+TBL_CalcDarwin[[#This Row],[Lomitas - Barra A - 5.2 - Medio]]+TBL_CalcDarwin[[#This Row],[Lomitas - Barra A - 5.2 - Mar]]</f>
        <v>25</v>
      </c>
      <c r="AP15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15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57" s="37">
        <f>TBL_CalcDarwin[[#This Row],[Expansión - Barra A - 5.2 - Cerro]]+TBL_CalcDarwin[[#This Row],[Expansión - Barra A - 5.2 - Medio]]+TBL_CalcDarwin[[#This Row],[Expansión - Barra A - 5.2 - Mar]]</f>
        <v>2</v>
      </c>
      <c r="AT157" s="37">
        <f>TBL_CalcDarwin[[#This Row],[Expansión - Barra B - 5.2 - Cerro]]</f>
        <v>1</v>
      </c>
      <c r="AU15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57" s="29">
        <f>TBL_CalcDarwin[[#This Row],[Expansión - Barra B - 5.2 - Cerro]]*TBL_CalcDarwin[[#This Row],[AEG 5.2 MW Cerro]]</f>
        <v>1.597</v>
      </c>
      <c r="AZ157" s="18"/>
      <c r="BA157" s="18"/>
      <c r="BB157" s="18"/>
      <c r="BC157" s="18"/>
      <c r="BD157" s="18"/>
      <c r="BE157" s="18"/>
      <c r="BF157" s="18"/>
    </row>
    <row r="158" spans="2:58" ht="12" x14ac:dyDescent="0.2">
      <c r="B158" s="55">
        <f t="shared" si="13"/>
        <v>45619.499999999629</v>
      </c>
      <c r="C158" s="17">
        <f t="shared" si="15"/>
        <v>6.5000000000000115</v>
      </c>
      <c r="D158" s="34">
        <f>TBL_CalcDarwin[[#This Row],[Darwin PLOM
MW]]+TBL_CalcDarwin[[#This Row],[Darwin PLOME
MW]]</f>
        <v>199.93799999999999</v>
      </c>
      <c r="E158" s="34">
        <f>TBL_CalcDarwin[[#This Row],[PLOM MW TOTAL BARRA A]]+TBL_CalcDarwin[[#This Row],[PLOM MW TOTAL BARRA B]]</f>
        <v>192.61599999999999</v>
      </c>
      <c r="F158" s="34">
        <f>TBL_CalcDarwin[[#This Row],[PLOME MW TOTAL BARRA A]]+TBL_CalcDarwin[[#This Row],[PLOME MW TOTAL BARRA B]]</f>
        <v>7.3220000000000001</v>
      </c>
      <c r="G158" s="48">
        <f>'Plantilla Datos'!D163</f>
        <v>8.1999999999999993</v>
      </c>
      <c r="H158" s="48">
        <f>'Plantilla Datos'!E163</f>
        <v>10.199999999999999</v>
      </c>
      <c r="I158" s="49">
        <f>'Plantilla Datos'!F163</f>
        <v>20.6</v>
      </c>
      <c r="J158" s="47">
        <f>CEILING('Plantilla Datos'!$L$3*TBL_CalcDarwin[[#This Row],[Darwin Gusts
m/s]],0.5)</f>
        <v>7.5</v>
      </c>
      <c r="K158" s="47">
        <f>CEILING('Plantilla Datos'!$L$4*TBL_CalcDarwin[[#This Row],[Darwin Gusts
m/s]],0.5)</f>
        <v>9</v>
      </c>
      <c r="L158" s="47">
        <f>CEILING(TBL_CalcDarwin[[#This Row],[Darwin Gusts
m/s]],0.5)</f>
        <v>10.5</v>
      </c>
      <c r="M15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4.9880000000000004</v>
      </c>
      <c r="N15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5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5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58" s="41">
        <f>INDEX(Curva_Temp[Temp],MATCH(TBL_CalcDarwin[[#This Row],[Darwin Temp.
°C]],Curva_Temp[Temp]))</f>
        <v>20</v>
      </c>
      <c r="R158" s="41">
        <f>INDEX(Curva_Temp[Warranted Power Curve for 
1.194Kg/m3 air density '[kW']
SG 5.0-145 (AM+1, 5.2MW) AT 
90M],MATCH(TBL_CalcDarwin[[#This Row],[Darwin Temp.
°C]],Curva_Temp[Temp]))</f>
        <v>5000</v>
      </c>
      <c r="S158" s="41" cm="1">
        <f t="array" ref="S158">INDEX(Curva_Temp[Temp],MATCH(TBL_CalcDarwin[[#This Row],[Darwin Temp.
°C]],Curva_Temp[Temp])+1)</f>
        <v>25</v>
      </c>
      <c r="T158" s="41" cm="1">
        <f t="array" ref="T158">INDEX(Curva_Temp[Warranted Power Curve for 
1.194Kg/m3 air density '[kW']
SG 5.0-145 (AM+1, 5.2MW) AT 
90M],MATCH(TBL_CalcDarwin[[#This Row],[Darwin Temp.
°C]],Curva_Temp[Temp])+1)</f>
        <v>4900</v>
      </c>
      <c r="U15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4.9880000000000004</v>
      </c>
      <c r="V15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5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5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58" s="41">
        <f>INDEX(Curva_Temp[Temp],MATCH(TBL_CalcDarwin[[#This Row],[Darwin Temp.
°C]],Curva_Temp[Temp]))</f>
        <v>20</v>
      </c>
      <c r="Z158" s="41">
        <f>INDEX(Curva_Temp[Warranted Power Curve for 
1.194Kg/m3 air density '[kW']
SG 5.0-145 (AM 0, 5.0MW) AT 
90M],MATCH(TBL_CalcDarwin[[#This Row],[Darwin Temp.
°C]],Curva_Temp[Temp]))</f>
        <v>5000</v>
      </c>
      <c r="AA158" s="41" cm="1">
        <f t="array" ref="AA158">INDEX(Curva_Temp[Temp],MATCH(TBL_CalcDarwin[[#This Row],[Darwin Temp.
°C]],Curva_Temp[Temp])+1)</f>
        <v>25</v>
      </c>
      <c r="AB158" s="41" cm="1">
        <f t="array" ref="AB158">INDEX(Curva_Temp[Warranted Power Curve for 
1.194Kg/m3 air density '[kW']
SG 5.0-145 (AM 0, 5.0MW) AT 
90M],MATCH(TBL_CalcDarwin[[#This Row],[Darwin Temp.
°C]],Curva_Temp[Temp])+1)</f>
        <v>4900</v>
      </c>
      <c r="AC158" s="45">
        <f>HLOOKUP(TBL_CalcDarwin[[#This Row],[Fecha]],'Plantilla AEG ES'!$E$1:$HX$13,2,FALSE)</f>
        <v>5</v>
      </c>
      <c r="AD158" s="45">
        <f>HLOOKUP(TBL_CalcDarwin[[#This Row],[Fecha]],'Plantilla AEG ES'!$E$1:$HX$13,3,FALSE)</f>
        <v>8</v>
      </c>
      <c r="AE158" s="45">
        <f>HLOOKUP(TBL_CalcDarwin[[#This Row],[Fecha]],'Plantilla AEG ES'!$E$1:$HX$13,4,FALSE)</f>
        <v>12</v>
      </c>
      <c r="AF158" s="45">
        <f>HLOOKUP(TBL_CalcDarwin[[#This Row],[Fecha]],'Plantilla AEG ES'!$E$1:$HX$13,5,FALSE)</f>
        <v>1</v>
      </c>
      <c r="AG158" s="45">
        <f>HLOOKUP(TBL_CalcDarwin[[#This Row],[Fecha]],'Plantilla AEG ES'!$E$1:$HX$13,6,FALSE)</f>
        <v>1</v>
      </c>
      <c r="AH158" s="45">
        <f>HLOOKUP(TBL_CalcDarwin[[#This Row],[Fecha]],'Plantilla AEG ES'!$E$1:$HX$13,7,FALSE)</f>
        <v>0</v>
      </c>
      <c r="AI158" s="46">
        <f>HLOOKUP(TBL_CalcDarwin[[#This Row],[Fecha]],'Plantilla AEG ES'!$E$1:$HX$13,8,FALSE)</f>
        <v>0</v>
      </c>
      <c r="AJ158" s="46">
        <f>HLOOKUP(TBL_CalcDarwin[[#This Row],[Fecha]],'Plantilla AEG ES'!$E$1:$HX$13,9,FALSE)</f>
        <v>3</v>
      </c>
      <c r="AK158" s="46">
        <f>HLOOKUP(TBL_CalcDarwin[[#This Row],[Fecha]],'Plantilla AEG ES'!$E$1:$HX$13,10,FALSE)</f>
        <v>12</v>
      </c>
      <c r="AL158" s="46">
        <f>HLOOKUP(TBL_CalcDarwin[[#This Row],[Fecha]],'Plantilla AEG ES'!$E$1:$HX$13,11,FALSE)</f>
        <v>1</v>
      </c>
      <c r="AM158" s="46">
        <f>HLOOKUP(TBL_CalcDarwin[[#This Row],[Fecha]],'Plantilla AEG ES'!$E$1:$HX$13,12,FALSE)</f>
        <v>7</v>
      </c>
      <c r="AN158" s="46">
        <f>HLOOKUP(TBL_CalcDarwin[[#This Row],[Fecha]],'Plantilla AEG ES'!$E$1:$HX$13,13,FALSE)</f>
        <v>1</v>
      </c>
      <c r="AO158" s="37">
        <f>TBL_CalcDarwin[[#This Row],[Lomitas - Barra A - 5.2 - Cerro]]+TBL_CalcDarwin[[#This Row],[Lomitas - Barra A - 5.2 - Medio]]+TBL_CalcDarwin[[#This Row],[Lomitas - Barra A - 5.2 - Mar]]</f>
        <v>25</v>
      </c>
      <c r="AP15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5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58" s="37">
        <f>TBL_CalcDarwin[[#This Row],[Expansión - Barra A - 5.2 - Cerro]]+TBL_CalcDarwin[[#This Row],[Expansión - Barra A - 5.2 - Medio]]+TBL_CalcDarwin[[#This Row],[Expansión - Barra A - 5.2 - Mar]]</f>
        <v>2</v>
      </c>
      <c r="AT158" s="37">
        <f>TBL_CalcDarwin[[#This Row],[Expansión - Barra B - 5.2 - Cerro]]</f>
        <v>1</v>
      </c>
      <c r="AU15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58" s="29">
        <f>TBL_CalcDarwin[[#This Row],[Expansión - Barra B - 5.2 - Cerro]]*TBL_CalcDarwin[[#This Row],[AEG 5.2 MW Cerro]]</f>
        <v>1.978</v>
      </c>
      <c r="AZ158" s="18"/>
      <c r="BA158" s="18"/>
      <c r="BB158" s="18"/>
      <c r="BC158" s="18"/>
      <c r="BD158" s="18"/>
      <c r="BE158" s="18"/>
      <c r="BF158" s="18"/>
    </row>
    <row r="159" spans="2:58" ht="12" x14ac:dyDescent="0.2">
      <c r="B159" s="55">
        <f t="shared" si="13"/>
        <v>45619.541666666293</v>
      </c>
      <c r="C159" s="17">
        <f t="shared" si="15"/>
        <v>6.5416666666666785</v>
      </c>
      <c r="D159" s="34">
        <f>TBL_CalcDarwin[[#This Row],[Darwin PLOM
MW]]+TBL_CalcDarwin[[#This Row],[Darwin PLOME
MW]]</f>
        <v>223.12400000000002</v>
      </c>
      <c r="E159" s="34">
        <f>TBL_CalcDarwin[[#This Row],[PLOM MW TOTAL BARRA A]]+TBL_CalcDarwin[[#This Row],[PLOM MW TOTAL BARRA B]]</f>
        <v>213.52600000000001</v>
      </c>
      <c r="F159" s="34">
        <f>TBL_CalcDarwin[[#This Row],[PLOME MW TOTAL BARRA A]]+TBL_CalcDarwin[[#This Row],[PLOME MW TOTAL BARRA B]]</f>
        <v>9.5980000000000008</v>
      </c>
      <c r="G159" s="48">
        <f>'Plantilla Datos'!D164</f>
        <v>8.9</v>
      </c>
      <c r="H159" s="48">
        <f>'Plantilla Datos'!E164</f>
        <v>11.1</v>
      </c>
      <c r="I159" s="49">
        <f>'Plantilla Datos'!F164</f>
        <v>20.9</v>
      </c>
      <c r="J159" s="47">
        <f>CEILING('Plantilla Datos'!$L$3*TBL_CalcDarwin[[#This Row],[Darwin Gusts
m/s]],0.5)</f>
        <v>8.5</v>
      </c>
      <c r="K159" s="47">
        <f>CEILING('Plantilla Datos'!$L$4*TBL_CalcDarwin[[#This Row],[Darwin Gusts
m/s]],0.5)</f>
        <v>9.5</v>
      </c>
      <c r="L159" s="47">
        <f>CEILING(TBL_CalcDarwin[[#This Row],[Darwin Gusts
m/s]],0.5)</f>
        <v>11.5</v>
      </c>
      <c r="M15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4.9820000000000002</v>
      </c>
      <c r="N15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5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5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4.9820000000000002</v>
      </c>
      <c r="Q159" s="41">
        <f>INDEX(Curva_Temp[Temp],MATCH(TBL_CalcDarwin[[#This Row],[Darwin Temp.
°C]],Curva_Temp[Temp]))</f>
        <v>20</v>
      </c>
      <c r="R159" s="41">
        <f>INDEX(Curva_Temp[Warranted Power Curve for 
1.194Kg/m3 air density '[kW']
SG 5.0-145 (AM+1, 5.2MW) AT 
90M],MATCH(TBL_CalcDarwin[[#This Row],[Darwin Temp.
°C]],Curva_Temp[Temp]))</f>
        <v>5000</v>
      </c>
      <c r="S159" s="41" cm="1">
        <f t="array" ref="S159">INDEX(Curva_Temp[Temp],MATCH(TBL_CalcDarwin[[#This Row],[Darwin Temp.
°C]],Curva_Temp[Temp])+1)</f>
        <v>25</v>
      </c>
      <c r="T159" s="41" cm="1">
        <f t="array" ref="T159">INDEX(Curva_Temp[Warranted Power Curve for 
1.194Kg/m3 air density '[kW']
SG 5.0-145 (AM+1, 5.2MW) AT 
90M],MATCH(TBL_CalcDarwin[[#This Row],[Darwin Temp.
°C]],Curva_Temp[Temp])+1)</f>
        <v>4900</v>
      </c>
      <c r="U15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4.9820000000000002</v>
      </c>
      <c r="V15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5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5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59" s="41">
        <f>INDEX(Curva_Temp[Temp],MATCH(TBL_CalcDarwin[[#This Row],[Darwin Temp.
°C]],Curva_Temp[Temp]))</f>
        <v>20</v>
      </c>
      <c r="Z159" s="41">
        <f>INDEX(Curva_Temp[Warranted Power Curve for 
1.194Kg/m3 air density '[kW']
SG 5.0-145 (AM 0, 5.0MW) AT 
90M],MATCH(TBL_CalcDarwin[[#This Row],[Darwin Temp.
°C]],Curva_Temp[Temp]))</f>
        <v>5000</v>
      </c>
      <c r="AA159" s="41" cm="1">
        <f t="array" ref="AA159">INDEX(Curva_Temp[Temp],MATCH(TBL_CalcDarwin[[#This Row],[Darwin Temp.
°C]],Curva_Temp[Temp])+1)</f>
        <v>25</v>
      </c>
      <c r="AB159" s="41" cm="1">
        <f t="array" ref="AB159">INDEX(Curva_Temp[Warranted Power Curve for 
1.194Kg/m3 air density '[kW']
SG 5.0-145 (AM 0, 5.0MW) AT 
90M],MATCH(TBL_CalcDarwin[[#This Row],[Darwin Temp.
°C]],Curva_Temp[Temp])+1)</f>
        <v>4900</v>
      </c>
      <c r="AC159" s="45">
        <f>HLOOKUP(TBL_CalcDarwin[[#This Row],[Fecha]],'Plantilla AEG ES'!$E$1:$HX$13,2,FALSE)</f>
        <v>5</v>
      </c>
      <c r="AD159" s="45">
        <f>HLOOKUP(TBL_CalcDarwin[[#This Row],[Fecha]],'Plantilla AEG ES'!$E$1:$HX$13,3,FALSE)</f>
        <v>8</v>
      </c>
      <c r="AE159" s="45">
        <f>HLOOKUP(TBL_CalcDarwin[[#This Row],[Fecha]],'Plantilla AEG ES'!$E$1:$HX$13,4,FALSE)</f>
        <v>12</v>
      </c>
      <c r="AF159" s="45">
        <f>HLOOKUP(TBL_CalcDarwin[[#This Row],[Fecha]],'Plantilla AEG ES'!$E$1:$HX$13,5,FALSE)</f>
        <v>1</v>
      </c>
      <c r="AG159" s="45">
        <f>HLOOKUP(TBL_CalcDarwin[[#This Row],[Fecha]],'Plantilla AEG ES'!$E$1:$HX$13,6,FALSE)</f>
        <v>1</v>
      </c>
      <c r="AH159" s="45">
        <f>HLOOKUP(TBL_CalcDarwin[[#This Row],[Fecha]],'Plantilla AEG ES'!$E$1:$HX$13,7,FALSE)</f>
        <v>0</v>
      </c>
      <c r="AI159" s="46">
        <f>HLOOKUP(TBL_CalcDarwin[[#This Row],[Fecha]],'Plantilla AEG ES'!$E$1:$HX$13,8,FALSE)</f>
        <v>0</v>
      </c>
      <c r="AJ159" s="46">
        <f>HLOOKUP(TBL_CalcDarwin[[#This Row],[Fecha]],'Plantilla AEG ES'!$E$1:$HX$13,9,FALSE)</f>
        <v>3</v>
      </c>
      <c r="AK159" s="46">
        <f>HLOOKUP(TBL_CalcDarwin[[#This Row],[Fecha]],'Plantilla AEG ES'!$E$1:$HX$13,10,FALSE)</f>
        <v>12</v>
      </c>
      <c r="AL159" s="46">
        <f>HLOOKUP(TBL_CalcDarwin[[#This Row],[Fecha]],'Plantilla AEG ES'!$E$1:$HX$13,11,FALSE)</f>
        <v>1</v>
      </c>
      <c r="AM159" s="46">
        <f>HLOOKUP(TBL_CalcDarwin[[#This Row],[Fecha]],'Plantilla AEG ES'!$E$1:$HX$13,12,FALSE)</f>
        <v>7</v>
      </c>
      <c r="AN159" s="46">
        <f>HLOOKUP(TBL_CalcDarwin[[#This Row],[Fecha]],'Plantilla AEG ES'!$E$1:$HX$13,13,FALSE)</f>
        <v>1</v>
      </c>
      <c r="AO159" s="37">
        <f>TBL_CalcDarwin[[#This Row],[Lomitas - Barra A - 5.2 - Cerro]]+TBL_CalcDarwin[[#This Row],[Lomitas - Barra A - 5.2 - Medio]]+TBL_CalcDarwin[[#This Row],[Lomitas - Barra A - 5.2 - Mar]]</f>
        <v>25</v>
      </c>
      <c r="AP15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104.91000000000001</v>
      </c>
      <c r="AR15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108.616</v>
      </c>
      <c r="AS159" s="37">
        <f>TBL_CalcDarwin[[#This Row],[Expansión - Barra A - 5.2 - Cerro]]+TBL_CalcDarwin[[#This Row],[Expansión - Barra A - 5.2 - Medio]]+TBL_CalcDarwin[[#This Row],[Expansión - Barra A - 5.2 - Mar]]</f>
        <v>2</v>
      </c>
      <c r="AT159" s="37">
        <f>TBL_CalcDarwin[[#This Row],[Expansión - Barra B - 5.2 - Cerro]]</f>
        <v>1</v>
      </c>
      <c r="AU15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6.7200000000000006</v>
      </c>
      <c r="AV159" s="29">
        <f>TBL_CalcDarwin[[#This Row],[Expansión - Barra B - 5.2 - Cerro]]*TBL_CalcDarwin[[#This Row],[AEG 5.2 MW Cerro]]</f>
        <v>2.8780000000000001</v>
      </c>
      <c r="AZ159" s="18"/>
      <c r="BA159" s="18"/>
      <c r="BB159" s="18"/>
      <c r="BC159" s="18"/>
      <c r="BD159" s="18"/>
      <c r="BE159" s="18"/>
      <c r="BF159" s="18"/>
    </row>
    <row r="160" spans="2:58" ht="12" x14ac:dyDescent="0.2">
      <c r="B160" s="55">
        <f t="shared" si="13"/>
        <v>45619.583333332957</v>
      </c>
      <c r="C160" s="17">
        <f t="shared" si="15"/>
        <v>6.5833333333333455</v>
      </c>
      <c r="D160" s="34">
        <f>TBL_CalcDarwin[[#This Row],[Darwin PLOM
MW]]+TBL_CalcDarwin[[#This Row],[Darwin PLOME
MW]]</f>
        <v>228.66799999999998</v>
      </c>
      <c r="E160" s="34">
        <f>TBL_CalcDarwin[[#This Row],[PLOM MW TOTAL BARRA A]]+TBL_CalcDarwin[[#This Row],[PLOM MW TOTAL BARRA B]]</f>
        <v>218.62799999999999</v>
      </c>
      <c r="F160" s="34">
        <f>TBL_CalcDarwin[[#This Row],[PLOME MW TOTAL BARRA A]]+TBL_CalcDarwin[[#This Row],[PLOME MW TOTAL BARRA B]]</f>
        <v>10.039999999999999</v>
      </c>
      <c r="G160" s="48">
        <f>'Plantilla Datos'!D165</f>
        <v>9</v>
      </c>
      <c r="H160" s="48">
        <f>'Plantilla Datos'!E165</f>
        <v>11.2</v>
      </c>
      <c r="I160" s="49">
        <f>'Plantilla Datos'!F165</f>
        <v>20.399999999999999</v>
      </c>
      <c r="J160" s="47">
        <f>CEILING('Plantilla Datos'!$L$3*TBL_CalcDarwin[[#This Row],[Darwin Gusts
m/s]],0.5)</f>
        <v>8.5</v>
      </c>
      <c r="K160" s="47">
        <f>CEILING('Plantilla Datos'!$L$4*TBL_CalcDarwin[[#This Row],[Darwin Gusts
m/s]],0.5)</f>
        <v>10</v>
      </c>
      <c r="L160" s="47">
        <f>CEILING(TBL_CalcDarwin[[#This Row],[Darwin Gusts
m/s]],0.5)</f>
        <v>11.5</v>
      </c>
      <c r="M16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4.992</v>
      </c>
      <c r="N16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6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6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4.992</v>
      </c>
      <c r="Q160" s="41">
        <f>INDEX(Curva_Temp[Temp],MATCH(TBL_CalcDarwin[[#This Row],[Darwin Temp.
°C]],Curva_Temp[Temp]))</f>
        <v>20</v>
      </c>
      <c r="R160" s="41">
        <f>INDEX(Curva_Temp[Warranted Power Curve for 
1.194Kg/m3 air density '[kW']
SG 5.0-145 (AM+1, 5.2MW) AT 
90M],MATCH(TBL_CalcDarwin[[#This Row],[Darwin Temp.
°C]],Curva_Temp[Temp]))</f>
        <v>5000</v>
      </c>
      <c r="S160" s="41" cm="1">
        <f t="array" ref="S160">INDEX(Curva_Temp[Temp],MATCH(TBL_CalcDarwin[[#This Row],[Darwin Temp.
°C]],Curva_Temp[Temp])+1)</f>
        <v>25</v>
      </c>
      <c r="T160" s="41" cm="1">
        <f t="array" ref="T160">INDEX(Curva_Temp[Warranted Power Curve for 
1.194Kg/m3 air density '[kW']
SG 5.0-145 (AM+1, 5.2MW) AT 
90M],MATCH(TBL_CalcDarwin[[#This Row],[Darwin Temp.
°C]],Curva_Temp[Temp])+1)</f>
        <v>4900</v>
      </c>
      <c r="U16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4.992</v>
      </c>
      <c r="V16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6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6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60" s="41">
        <f>INDEX(Curva_Temp[Temp],MATCH(TBL_CalcDarwin[[#This Row],[Darwin Temp.
°C]],Curva_Temp[Temp]))</f>
        <v>20</v>
      </c>
      <c r="Z160" s="41">
        <f>INDEX(Curva_Temp[Warranted Power Curve for 
1.194Kg/m3 air density '[kW']
SG 5.0-145 (AM 0, 5.0MW) AT 
90M],MATCH(TBL_CalcDarwin[[#This Row],[Darwin Temp.
°C]],Curva_Temp[Temp]))</f>
        <v>5000</v>
      </c>
      <c r="AA160" s="41" cm="1">
        <f t="array" ref="AA160">INDEX(Curva_Temp[Temp],MATCH(TBL_CalcDarwin[[#This Row],[Darwin Temp.
°C]],Curva_Temp[Temp])+1)</f>
        <v>25</v>
      </c>
      <c r="AB160" s="41" cm="1">
        <f t="array" ref="AB160">INDEX(Curva_Temp[Warranted Power Curve for 
1.194Kg/m3 air density '[kW']
SG 5.0-145 (AM 0, 5.0MW) AT 
90M],MATCH(TBL_CalcDarwin[[#This Row],[Darwin Temp.
°C]],Curva_Temp[Temp])+1)</f>
        <v>4900</v>
      </c>
      <c r="AC160" s="45">
        <f>HLOOKUP(TBL_CalcDarwin[[#This Row],[Fecha]],'Plantilla AEG ES'!$E$1:$HX$13,2,FALSE)</f>
        <v>5</v>
      </c>
      <c r="AD160" s="45">
        <f>HLOOKUP(TBL_CalcDarwin[[#This Row],[Fecha]],'Plantilla AEG ES'!$E$1:$HX$13,3,FALSE)</f>
        <v>8</v>
      </c>
      <c r="AE160" s="45">
        <f>HLOOKUP(TBL_CalcDarwin[[#This Row],[Fecha]],'Plantilla AEG ES'!$E$1:$HX$13,4,FALSE)</f>
        <v>12</v>
      </c>
      <c r="AF160" s="45">
        <f>HLOOKUP(TBL_CalcDarwin[[#This Row],[Fecha]],'Plantilla AEG ES'!$E$1:$HX$13,5,FALSE)</f>
        <v>1</v>
      </c>
      <c r="AG160" s="45">
        <f>HLOOKUP(TBL_CalcDarwin[[#This Row],[Fecha]],'Plantilla AEG ES'!$E$1:$HX$13,6,FALSE)</f>
        <v>1</v>
      </c>
      <c r="AH160" s="45">
        <f>HLOOKUP(TBL_CalcDarwin[[#This Row],[Fecha]],'Plantilla AEG ES'!$E$1:$HX$13,7,FALSE)</f>
        <v>0</v>
      </c>
      <c r="AI160" s="46">
        <f>HLOOKUP(TBL_CalcDarwin[[#This Row],[Fecha]],'Plantilla AEG ES'!$E$1:$HX$13,8,FALSE)</f>
        <v>0</v>
      </c>
      <c r="AJ160" s="46">
        <f>HLOOKUP(TBL_CalcDarwin[[#This Row],[Fecha]],'Plantilla AEG ES'!$E$1:$HX$13,9,FALSE)</f>
        <v>3</v>
      </c>
      <c r="AK160" s="46">
        <f>HLOOKUP(TBL_CalcDarwin[[#This Row],[Fecha]],'Plantilla AEG ES'!$E$1:$HX$13,10,FALSE)</f>
        <v>12</v>
      </c>
      <c r="AL160" s="46">
        <f>HLOOKUP(TBL_CalcDarwin[[#This Row],[Fecha]],'Plantilla AEG ES'!$E$1:$HX$13,11,FALSE)</f>
        <v>1</v>
      </c>
      <c r="AM160" s="46">
        <f>HLOOKUP(TBL_CalcDarwin[[#This Row],[Fecha]],'Plantilla AEG ES'!$E$1:$HX$13,12,FALSE)</f>
        <v>7</v>
      </c>
      <c r="AN160" s="46">
        <f>HLOOKUP(TBL_CalcDarwin[[#This Row],[Fecha]],'Plantilla AEG ES'!$E$1:$HX$13,13,FALSE)</f>
        <v>1</v>
      </c>
      <c r="AO160" s="37">
        <f>TBL_CalcDarwin[[#This Row],[Lomitas - Barra A - 5.2 - Cerro]]+TBL_CalcDarwin[[#This Row],[Lomitas - Barra A - 5.2 - Medio]]+TBL_CalcDarwin[[#This Row],[Lomitas - Barra A - 5.2 - Mar]]</f>
        <v>25</v>
      </c>
      <c r="AP16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108.566</v>
      </c>
      <c r="AR16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110.062</v>
      </c>
      <c r="AS160" s="37">
        <f>TBL_CalcDarwin[[#This Row],[Expansión - Barra A - 5.2 - Cerro]]+TBL_CalcDarwin[[#This Row],[Expansión - Barra A - 5.2 - Medio]]+TBL_CalcDarwin[[#This Row],[Expansión - Barra A - 5.2 - Mar]]</f>
        <v>2</v>
      </c>
      <c r="AT160" s="37">
        <f>TBL_CalcDarwin[[#This Row],[Expansión - Barra B - 5.2 - Cerro]]</f>
        <v>1</v>
      </c>
      <c r="AU16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60" s="29">
        <f>TBL_CalcDarwin[[#This Row],[Expansión - Barra B - 5.2 - Cerro]]*TBL_CalcDarwin[[#This Row],[AEG 5.2 MW Cerro]]</f>
        <v>2.8780000000000001</v>
      </c>
      <c r="AZ160" s="18"/>
      <c r="BA160" s="18"/>
      <c r="BB160" s="18"/>
      <c r="BC160" s="18"/>
      <c r="BD160" s="18"/>
      <c r="BE160" s="18"/>
      <c r="BF160" s="18"/>
    </row>
    <row r="161" spans="2:58" ht="12" x14ac:dyDescent="0.2">
      <c r="B161" s="55">
        <f t="shared" si="13"/>
        <v>45619.624999999622</v>
      </c>
      <c r="C161" s="17">
        <f t="shared" si="15"/>
        <v>6.6250000000000124</v>
      </c>
      <c r="D161" s="34">
        <f>TBL_CalcDarwin[[#This Row],[Darwin PLOM
MW]]+TBL_CalcDarwin[[#This Row],[Darwin PLOME
MW]]</f>
        <v>228.85999999999999</v>
      </c>
      <c r="E161" s="34">
        <f>TBL_CalcDarwin[[#This Row],[PLOM MW TOTAL BARRA A]]+TBL_CalcDarwin[[#This Row],[PLOM MW TOTAL BARRA B]]</f>
        <v>218.82</v>
      </c>
      <c r="F161" s="34">
        <f>TBL_CalcDarwin[[#This Row],[PLOME MW TOTAL BARRA A]]+TBL_CalcDarwin[[#This Row],[PLOME MW TOTAL BARRA B]]</f>
        <v>10.039999999999999</v>
      </c>
      <c r="G161" s="48">
        <f>'Plantilla Datos'!D166</f>
        <v>9</v>
      </c>
      <c r="H161" s="48">
        <f>'Plantilla Datos'!E166</f>
        <v>11.3</v>
      </c>
      <c r="I161" s="49">
        <f>'Plantilla Datos'!F166</f>
        <v>20</v>
      </c>
      <c r="J161" s="47">
        <f>CEILING('Plantilla Datos'!$L$3*TBL_CalcDarwin[[#This Row],[Darwin Gusts
m/s]],0.5)</f>
        <v>8.5</v>
      </c>
      <c r="K161" s="47">
        <f>CEILING('Plantilla Datos'!$L$4*TBL_CalcDarwin[[#This Row],[Darwin Gusts
m/s]],0.5)</f>
        <v>10</v>
      </c>
      <c r="L161" s="47">
        <f>CEILING(TBL_CalcDarwin[[#This Row],[Darwin Gusts
m/s]],0.5)</f>
        <v>11.5</v>
      </c>
      <c r="M16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</v>
      </c>
      <c r="N16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6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6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</v>
      </c>
      <c r="Q161" s="41">
        <f>INDEX(Curva_Temp[Temp],MATCH(TBL_CalcDarwin[[#This Row],[Darwin Temp.
°C]],Curva_Temp[Temp]))</f>
        <v>20</v>
      </c>
      <c r="R161" s="41">
        <f>INDEX(Curva_Temp[Warranted Power Curve for 
1.194Kg/m3 air density '[kW']
SG 5.0-145 (AM+1, 5.2MW) AT 
90M],MATCH(TBL_CalcDarwin[[#This Row],[Darwin Temp.
°C]],Curva_Temp[Temp]))</f>
        <v>5000</v>
      </c>
      <c r="S161" s="41" cm="1">
        <f t="array" ref="S161">INDEX(Curva_Temp[Temp],MATCH(TBL_CalcDarwin[[#This Row],[Darwin Temp.
°C]],Curva_Temp[Temp])+1)</f>
        <v>25</v>
      </c>
      <c r="T161" s="41" cm="1">
        <f t="array" ref="T161">INDEX(Curva_Temp[Warranted Power Curve for 
1.194Kg/m3 air density '[kW']
SG 5.0-145 (AM+1, 5.2MW) AT 
90M],MATCH(TBL_CalcDarwin[[#This Row],[Darwin Temp.
°C]],Curva_Temp[Temp])+1)</f>
        <v>4900</v>
      </c>
      <c r="U16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6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6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61" s="41">
        <f>INDEX(Curva_Temp[Temp],MATCH(TBL_CalcDarwin[[#This Row],[Darwin Temp.
°C]],Curva_Temp[Temp]))</f>
        <v>20</v>
      </c>
      <c r="Z161" s="41">
        <f>INDEX(Curva_Temp[Warranted Power Curve for 
1.194Kg/m3 air density '[kW']
SG 5.0-145 (AM 0, 5.0MW) AT 
90M],MATCH(TBL_CalcDarwin[[#This Row],[Darwin Temp.
°C]],Curva_Temp[Temp]))</f>
        <v>5000</v>
      </c>
      <c r="AA161" s="41" cm="1">
        <f t="array" ref="AA161">INDEX(Curva_Temp[Temp],MATCH(TBL_CalcDarwin[[#This Row],[Darwin Temp.
°C]],Curva_Temp[Temp])+1)</f>
        <v>25</v>
      </c>
      <c r="AB161" s="41" cm="1">
        <f t="array" ref="AB161">INDEX(Curva_Temp[Warranted Power Curve for 
1.194Kg/m3 air density '[kW']
SG 5.0-145 (AM 0, 5.0MW) AT 
90M],MATCH(TBL_CalcDarwin[[#This Row],[Darwin Temp.
°C]],Curva_Temp[Temp])+1)</f>
        <v>4900</v>
      </c>
      <c r="AC161" s="45">
        <f>HLOOKUP(TBL_CalcDarwin[[#This Row],[Fecha]],'Plantilla AEG ES'!$E$1:$HX$13,2,FALSE)</f>
        <v>5</v>
      </c>
      <c r="AD161" s="45">
        <f>HLOOKUP(TBL_CalcDarwin[[#This Row],[Fecha]],'Plantilla AEG ES'!$E$1:$HX$13,3,FALSE)</f>
        <v>8</v>
      </c>
      <c r="AE161" s="45">
        <f>HLOOKUP(TBL_CalcDarwin[[#This Row],[Fecha]],'Plantilla AEG ES'!$E$1:$HX$13,4,FALSE)</f>
        <v>12</v>
      </c>
      <c r="AF161" s="45">
        <f>HLOOKUP(TBL_CalcDarwin[[#This Row],[Fecha]],'Plantilla AEG ES'!$E$1:$HX$13,5,FALSE)</f>
        <v>1</v>
      </c>
      <c r="AG161" s="45">
        <f>HLOOKUP(TBL_CalcDarwin[[#This Row],[Fecha]],'Plantilla AEG ES'!$E$1:$HX$13,6,FALSE)</f>
        <v>1</v>
      </c>
      <c r="AH161" s="45">
        <f>HLOOKUP(TBL_CalcDarwin[[#This Row],[Fecha]],'Plantilla AEG ES'!$E$1:$HX$13,7,FALSE)</f>
        <v>0</v>
      </c>
      <c r="AI161" s="46">
        <f>HLOOKUP(TBL_CalcDarwin[[#This Row],[Fecha]],'Plantilla AEG ES'!$E$1:$HX$13,8,FALSE)</f>
        <v>0</v>
      </c>
      <c r="AJ161" s="46">
        <f>HLOOKUP(TBL_CalcDarwin[[#This Row],[Fecha]],'Plantilla AEG ES'!$E$1:$HX$13,9,FALSE)</f>
        <v>3</v>
      </c>
      <c r="AK161" s="46">
        <f>HLOOKUP(TBL_CalcDarwin[[#This Row],[Fecha]],'Plantilla AEG ES'!$E$1:$HX$13,10,FALSE)</f>
        <v>12</v>
      </c>
      <c r="AL161" s="46">
        <f>HLOOKUP(TBL_CalcDarwin[[#This Row],[Fecha]],'Plantilla AEG ES'!$E$1:$HX$13,11,FALSE)</f>
        <v>1</v>
      </c>
      <c r="AM161" s="46">
        <f>HLOOKUP(TBL_CalcDarwin[[#This Row],[Fecha]],'Plantilla AEG ES'!$E$1:$HX$13,12,FALSE)</f>
        <v>7</v>
      </c>
      <c r="AN161" s="46">
        <f>HLOOKUP(TBL_CalcDarwin[[#This Row],[Fecha]],'Plantilla AEG ES'!$E$1:$HX$13,13,FALSE)</f>
        <v>1</v>
      </c>
      <c r="AO161" s="37">
        <f>TBL_CalcDarwin[[#This Row],[Lomitas - Barra A - 5.2 - Cerro]]+TBL_CalcDarwin[[#This Row],[Lomitas - Barra A - 5.2 - Medio]]+TBL_CalcDarwin[[#This Row],[Lomitas - Barra A - 5.2 - Mar]]</f>
        <v>25</v>
      </c>
      <c r="AP16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108.66200000000001</v>
      </c>
      <c r="AR16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110.158</v>
      </c>
      <c r="AS161" s="37">
        <f>TBL_CalcDarwin[[#This Row],[Expansión - Barra A - 5.2 - Cerro]]+TBL_CalcDarwin[[#This Row],[Expansión - Barra A - 5.2 - Medio]]+TBL_CalcDarwin[[#This Row],[Expansión - Barra A - 5.2 - Mar]]</f>
        <v>2</v>
      </c>
      <c r="AT161" s="37">
        <f>TBL_CalcDarwin[[#This Row],[Expansión - Barra B - 5.2 - Cerro]]</f>
        <v>1</v>
      </c>
      <c r="AU16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61" s="29">
        <f>TBL_CalcDarwin[[#This Row],[Expansión - Barra B - 5.2 - Cerro]]*TBL_CalcDarwin[[#This Row],[AEG 5.2 MW Cerro]]</f>
        <v>2.8780000000000001</v>
      </c>
      <c r="AZ161" s="18"/>
      <c r="BA161" s="18"/>
      <c r="BB161" s="18"/>
      <c r="BC161" s="18"/>
      <c r="BD161" s="18"/>
      <c r="BE161" s="18"/>
      <c r="BF161" s="18"/>
    </row>
    <row r="162" spans="2:58" ht="12" x14ac:dyDescent="0.2">
      <c r="B162" s="55">
        <f t="shared" si="13"/>
        <v>45619.666666666286</v>
      </c>
      <c r="C162" s="17">
        <f t="shared" si="15"/>
        <v>6.6666666666666794</v>
      </c>
      <c r="D162" s="34">
        <f>TBL_CalcDarwin[[#This Row],[Darwin PLOM
MW]]+TBL_CalcDarwin[[#This Row],[Darwin PLOME
MW]]</f>
        <v>229.33999999999997</v>
      </c>
      <c r="E162" s="34">
        <f>TBL_CalcDarwin[[#This Row],[PLOM MW TOTAL BARRA A]]+TBL_CalcDarwin[[#This Row],[PLOM MW TOTAL BARRA B]]</f>
        <v>219.29999999999998</v>
      </c>
      <c r="F162" s="34">
        <f>TBL_CalcDarwin[[#This Row],[PLOME MW TOTAL BARRA A]]+TBL_CalcDarwin[[#This Row],[PLOME MW TOTAL BARRA B]]</f>
        <v>10.039999999999999</v>
      </c>
      <c r="G162" s="48">
        <f>'Plantilla Datos'!D167</f>
        <v>9.1</v>
      </c>
      <c r="H162" s="48">
        <f>'Plantilla Datos'!E167</f>
        <v>11.4</v>
      </c>
      <c r="I162" s="49">
        <f>'Plantilla Datos'!F167</f>
        <v>19.5</v>
      </c>
      <c r="J162" s="47">
        <f>CEILING('Plantilla Datos'!$L$3*TBL_CalcDarwin[[#This Row],[Darwin Gusts
m/s]],0.5)</f>
        <v>8.5</v>
      </c>
      <c r="K162" s="47">
        <f>CEILING('Plantilla Datos'!$L$4*TBL_CalcDarwin[[#This Row],[Darwin Gusts
m/s]],0.5)</f>
        <v>10</v>
      </c>
      <c r="L162" s="47">
        <f>CEILING(TBL_CalcDarwin[[#This Row],[Darwin Gusts
m/s]],0.5)</f>
        <v>11.5</v>
      </c>
      <c r="M16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5.0199999999999996</v>
      </c>
      <c r="N16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6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6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5.0199999999999996</v>
      </c>
      <c r="Q162" s="41">
        <f>INDEX(Curva_Temp[Temp],MATCH(TBL_CalcDarwin[[#This Row],[Darwin Temp.
°C]],Curva_Temp[Temp]))</f>
        <v>15</v>
      </c>
      <c r="R162" s="41">
        <f>INDEX(Curva_Temp[Warranted Power Curve for 
1.194Kg/m3 air density '[kW']
SG 5.0-145 (AM+1, 5.2MW) AT 
90M],MATCH(TBL_CalcDarwin[[#This Row],[Darwin Temp.
°C]],Curva_Temp[Temp]))</f>
        <v>5200</v>
      </c>
      <c r="S162" s="41" cm="1">
        <f t="array" ref="S162">INDEX(Curva_Temp[Temp],MATCH(TBL_CalcDarwin[[#This Row],[Darwin Temp.
°C]],Curva_Temp[Temp])+1)</f>
        <v>20</v>
      </c>
      <c r="T162" s="41" cm="1">
        <f t="array" ref="T162">INDEX(Curva_Temp[Warranted Power Curve for 
1.194Kg/m3 air density '[kW']
SG 5.0-145 (AM+1, 5.2MW) AT 
90M],MATCH(TBL_CalcDarwin[[#This Row],[Darwin Temp.
°C]],Curva_Temp[Temp])+1)</f>
        <v>5000</v>
      </c>
      <c r="U16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6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6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62" s="41">
        <f>INDEX(Curva_Temp[Temp],MATCH(TBL_CalcDarwin[[#This Row],[Darwin Temp.
°C]],Curva_Temp[Temp]))</f>
        <v>15</v>
      </c>
      <c r="Z162" s="41">
        <f>INDEX(Curva_Temp[Warranted Power Curve for 
1.194Kg/m3 air density '[kW']
SG 5.0-145 (AM 0, 5.0MW) AT 
90M],MATCH(TBL_CalcDarwin[[#This Row],[Darwin Temp.
°C]],Curva_Temp[Temp]))</f>
        <v>5000</v>
      </c>
      <c r="AA162" s="41" cm="1">
        <f t="array" ref="AA162">INDEX(Curva_Temp[Temp],MATCH(TBL_CalcDarwin[[#This Row],[Darwin Temp.
°C]],Curva_Temp[Temp])+1)</f>
        <v>20</v>
      </c>
      <c r="AB162" s="41" cm="1">
        <f t="array" ref="AB162">INDEX(Curva_Temp[Warranted Power Curve for 
1.194Kg/m3 air density '[kW']
SG 5.0-145 (AM 0, 5.0MW) AT 
90M],MATCH(TBL_CalcDarwin[[#This Row],[Darwin Temp.
°C]],Curva_Temp[Temp])+1)</f>
        <v>5000</v>
      </c>
      <c r="AC162" s="45">
        <f>HLOOKUP(TBL_CalcDarwin[[#This Row],[Fecha]],'Plantilla AEG ES'!$E$1:$HX$13,2,FALSE)</f>
        <v>5</v>
      </c>
      <c r="AD162" s="45">
        <f>HLOOKUP(TBL_CalcDarwin[[#This Row],[Fecha]],'Plantilla AEG ES'!$E$1:$HX$13,3,FALSE)</f>
        <v>8</v>
      </c>
      <c r="AE162" s="45">
        <f>HLOOKUP(TBL_CalcDarwin[[#This Row],[Fecha]],'Plantilla AEG ES'!$E$1:$HX$13,4,FALSE)</f>
        <v>12</v>
      </c>
      <c r="AF162" s="45">
        <f>HLOOKUP(TBL_CalcDarwin[[#This Row],[Fecha]],'Plantilla AEG ES'!$E$1:$HX$13,5,FALSE)</f>
        <v>1</v>
      </c>
      <c r="AG162" s="45">
        <f>HLOOKUP(TBL_CalcDarwin[[#This Row],[Fecha]],'Plantilla AEG ES'!$E$1:$HX$13,6,FALSE)</f>
        <v>1</v>
      </c>
      <c r="AH162" s="45">
        <f>HLOOKUP(TBL_CalcDarwin[[#This Row],[Fecha]],'Plantilla AEG ES'!$E$1:$HX$13,7,FALSE)</f>
        <v>0</v>
      </c>
      <c r="AI162" s="46">
        <f>HLOOKUP(TBL_CalcDarwin[[#This Row],[Fecha]],'Plantilla AEG ES'!$E$1:$HX$13,8,FALSE)</f>
        <v>0</v>
      </c>
      <c r="AJ162" s="46">
        <f>HLOOKUP(TBL_CalcDarwin[[#This Row],[Fecha]],'Plantilla AEG ES'!$E$1:$HX$13,9,FALSE)</f>
        <v>3</v>
      </c>
      <c r="AK162" s="46">
        <f>HLOOKUP(TBL_CalcDarwin[[#This Row],[Fecha]],'Plantilla AEG ES'!$E$1:$HX$13,10,FALSE)</f>
        <v>12</v>
      </c>
      <c r="AL162" s="46">
        <f>HLOOKUP(TBL_CalcDarwin[[#This Row],[Fecha]],'Plantilla AEG ES'!$E$1:$HX$13,11,FALSE)</f>
        <v>1</v>
      </c>
      <c r="AM162" s="46">
        <f>HLOOKUP(TBL_CalcDarwin[[#This Row],[Fecha]],'Plantilla AEG ES'!$E$1:$HX$13,12,FALSE)</f>
        <v>7</v>
      </c>
      <c r="AN162" s="46">
        <f>HLOOKUP(TBL_CalcDarwin[[#This Row],[Fecha]],'Plantilla AEG ES'!$E$1:$HX$13,13,FALSE)</f>
        <v>1</v>
      </c>
      <c r="AO162" s="37">
        <f>TBL_CalcDarwin[[#This Row],[Lomitas - Barra A - 5.2 - Cerro]]+TBL_CalcDarwin[[#This Row],[Lomitas - Barra A - 5.2 - Medio]]+TBL_CalcDarwin[[#This Row],[Lomitas - Barra A - 5.2 - Mar]]</f>
        <v>25</v>
      </c>
      <c r="AP16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108.90199999999999</v>
      </c>
      <c r="AR16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110.398</v>
      </c>
      <c r="AS162" s="37">
        <f>TBL_CalcDarwin[[#This Row],[Expansión - Barra A - 5.2 - Cerro]]+TBL_CalcDarwin[[#This Row],[Expansión - Barra A - 5.2 - Medio]]+TBL_CalcDarwin[[#This Row],[Expansión - Barra A - 5.2 - Mar]]</f>
        <v>2</v>
      </c>
      <c r="AT162" s="37">
        <f>TBL_CalcDarwin[[#This Row],[Expansión - Barra B - 5.2 - Cerro]]</f>
        <v>1</v>
      </c>
      <c r="AU16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62" s="29">
        <f>TBL_CalcDarwin[[#This Row],[Expansión - Barra B - 5.2 - Cerro]]*TBL_CalcDarwin[[#This Row],[AEG 5.2 MW Cerro]]</f>
        <v>2.8780000000000001</v>
      </c>
      <c r="AZ162" s="18"/>
      <c r="BA162" s="18"/>
      <c r="BB162" s="18"/>
      <c r="BC162" s="18"/>
      <c r="BD162" s="18"/>
      <c r="BE162" s="18"/>
      <c r="BF162" s="18"/>
    </row>
    <row r="163" spans="2:58" ht="12" x14ac:dyDescent="0.2">
      <c r="B163" s="55">
        <f t="shared" si="13"/>
        <v>45619.70833333295</v>
      </c>
      <c r="C163" s="17">
        <f t="shared" si="15"/>
        <v>6.7083333333333464</v>
      </c>
      <c r="D163" s="34">
        <f>TBL_CalcDarwin[[#This Row],[Darwin PLOM
MW]]+TBL_CalcDarwin[[#This Row],[Darwin PLOME
MW]]</f>
        <v>229.82</v>
      </c>
      <c r="E163" s="34">
        <f>TBL_CalcDarwin[[#This Row],[PLOM MW TOTAL BARRA A]]+TBL_CalcDarwin[[#This Row],[PLOM MW TOTAL BARRA B]]</f>
        <v>219.78</v>
      </c>
      <c r="F163" s="34">
        <f>TBL_CalcDarwin[[#This Row],[PLOME MW TOTAL BARRA A]]+TBL_CalcDarwin[[#This Row],[PLOME MW TOTAL BARRA B]]</f>
        <v>10.039999999999999</v>
      </c>
      <c r="G163" s="48">
        <f>'Plantilla Datos'!D168</f>
        <v>9.1999999999999993</v>
      </c>
      <c r="H163" s="48">
        <f>'Plantilla Datos'!E168</f>
        <v>11.5</v>
      </c>
      <c r="I163" s="49">
        <f>'Plantilla Datos'!F168</f>
        <v>19</v>
      </c>
      <c r="J163" s="47">
        <f>CEILING('Plantilla Datos'!$L$3*TBL_CalcDarwin[[#This Row],[Darwin Gusts
m/s]],0.5)</f>
        <v>8.5</v>
      </c>
      <c r="K163" s="47">
        <f>CEILING('Plantilla Datos'!$L$4*TBL_CalcDarwin[[#This Row],[Darwin Gusts
m/s]],0.5)</f>
        <v>10</v>
      </c>
      <c r="L163" s="47">
        <f>CEILING(TBL_CalcDarwin[[#This Row],[Darwin Gusts
m/s]],0.5)</f>
        <v>11.5</v>
      </c>
      <c r="M16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</v>
      </c>
      <c r="N16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6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6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5.04</v>
      </c>
      <c r="Q163" s="41">
        <f>INDEX(Curva_Temp[Temp],MATCH(TBL_CalcDarwin[[#This Row],[Darwin Temp.
°C]],Curva_Temp[Temp]))</f>
        <v>15</v>
      </c>
      <c r="R163" s="41">
        <f>INDEX(Curva_Temp[Warranted Power Curve for 
1.194Kg/m3 air density '[kW']
SG 5.0-145 (AM+1, 5.2MW) AT 
90M],MATCH(TBL_CalcDarwin[[#This Row],[Darwin Temp.
°C]],Curva_Temp[Temp]))</f>
        <v>5200</v>
      </c>
      <c r="S163" s="41" cm="1">
        <f t="array" ref="S163">INDEX(Curva_Temp[Temp],MATCH(TBL_CalcDarwin[[#This Row],[Darwin Temp.
°C]],Curva_Temp[Temp])+1)</f>
        <v>20</v>
      </c>
      <c r="T163" s="41" cm="1">
        <f t="array" ref="T163">INDEX(Curva_Temp[Warranted Power Curve for 
1.194Kg/m3 air density '[kW']
SG 5.0-145 (AM+1, 5.2MW) AT 
90M],MATCH(TBL_CalcDarwin[[#This Row],[Darwin Temp.
°C]],Curva_Temp[Temp])+1)</f>
        <v>5000</v>
      </c>
      <c r="U16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6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6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63" s="41">
        <f>INDEX(Curva_Temp[Temp],MATCH(TBL_CalcDarwin[[#This Row],[Darwin Temp.
°C]],Curva_Temp[Temp]))</f>
        <v>15</v>
      </c>
      <c r="Z163" s="41">
        <f>INDEX(Curva_Temp[Warranted Power Curve for 
1.194Kg/m3 air density '[kW']
SG 5.0-145 (AM 0, 5.0MW) AT 
90M],MATCH(TBL_CalcDarwin[[#This Row],[Darwin Temp.
°C]],Curva_Temp[Temp]))</f>
        <v>5000</v>
      </c>
      <c r="AA163" s="41" cm="1">
        <f t="array" ref="AA163">INDEX(Curva_Temp[Temp],MATCH(TBL_CalcDarwin[[#This Row],[Darwin Temp.
°C]],Curva_Temp[Temp])+1)</f>
        <v>20</v>
      </c>
      <c r="AB163" s="41" cm="1">
        <f t="array" ref="AB163">INDEX(Curva_Temp[Warranted Power Curve for 
1.194Kg/m3 air density '[kW']
SG 5.0-145 (AM 0, 5.0MW) AT 
90M],MATCH(TBL_CalcDarwin[[#This Row],[Darwin Temp.
°C]],Curva_Temp[Temp])+1)</f>
        <v>5000</v>
      </c>
      <c r="AC163" s="45">
        <f>HLOOKUP(TBL_CalcDarwin[[#This Row],[Fecha]],'Plantilla AEG ES'!$E$1:$HX$13,2,FALSE)</f>
        <v>5</v>
      </c>
      <c r="AD163" s="45">
        <f>HLOOKUP(TBL_CalcDarwin[[#This Row],[Fecha]],'Plantilla AEG ES'!$E$1:$HX$13,3,FALSE)</f>
        <v>8</v>
      </c>
      <c r="AE163" s="45">
        <f>HLOOKUP(TBL_CalcDarwin[[#This Row],[Fecha]],'Plantilla AEG ES'!$E$1:$HX$13,4,FALSE)</f>
        <v>12</v>
      </c>
      <c r="AF163" s="45">
        <f>HLOOKUP(TBL_CalcDarwin[[#This Row],[Fecha]],'Plantilla AEG ES'!$E$1:$HX$13,5,FALSE)</f>
        <v>1</v>
      </c>
      <c r="AG163" s="45">
        <f>HLOOKUP(TBL_CalcDarwin[[#This Row],[Fecha]],'Plantilla AEG ES'!$E$1:$HX$13,6,FALSE)</f>
        <v>1</v>
      </c>
      <c r="AH163" s="45">
        <f>HLOOKUP(TBL_CalcDarwin[[#This Row],[Fecha]],'Plantilla AEG ES'!$E$1:$HX$13,7,FALSE)</f>
        <v>0</v>
      </c>
      <c r="AI163" s="46">
        <f>HLOOKUP(TBL_CalcDarwin[[#This Row],[Fecha]],'Plantilla AEG ES'!$E$1:$HX$13,8,FALSE)</f>
        <v>0</v>
      </c>
      <c r="AJ163" s="46">
        <f>HLOOKUP(TBL_CalcDarwin[[#This Row],[Fecha]],'Plantilla AEG ES'!$E$1:$HX$13,9,FALSE)</f>
        <v>3</v>
      </c>
      <c r="AK163" s="46">
        <f>HLOOKUP(TBL_CalcDarwin[[#This Row],[Fecha]],'Plantilla AEG ES'!$E$1:$HX$13,10,FALSE)</f>
        <v>12</v>
      </c>
      <c r="AL163" s="46">
        <f>HLOOKUP(TBL_CalcDarwin[[#This Row],[Fecha]],'Plantilla AEG ES'!$E$1:$HX$13,11,FALSE)</f>
        <v>1</v>
      </c>
      <c r="AM163" s="46">
        <f>HLOOKUP(TBL_CalcDarwin[[#This Row],[Fecha]],'Plantilla AEG ES'!$E$1:$HX$13,12,FALSE)</f>
        <v>7</v>
      </c>
      <c r="AN163" s="46">
        <f>HLOOKUP(TBL_CalcDarwin[[#This Row],[Fecha]],'Plantilla AEG ES'!$E$1:$HX$13,13,FALSE)</f>
        <v>1</v>
      </c>
      <c r="AO163" s="37">
        <f>TBL_CalcDarwin[[#This Row],[Lomitas - Barra A - 5.2 - Cerro]]+TBL_CalcDarwin[[#This Row],[Lomitas - Barra A - 5.2 - Medio]]+TBL_CalcDarwin[[#This Row],[Lomitas - Barra A - 5.2 - Mar]]</f>
        <v>25</v>
      </c>
      <c r="AP16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109.142</v>
      </c>
      <c r="AR16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110.63800000000001</v>
      </c>
      <c r="AS163" s="37">
        <f>TBL_CalcDarwin[[#This Row],[Expansión - Barra A - 5.2 - Cerro]]+TBL_CalcDarwin[[#This Row],[Expansión - Barra A - 5.2 - Medio]]+TBL_CalcDarwin[[#This Row],[Expansión - Barra A - 5.2 - Mar]]</f>
        <v>2</v>
      </c>
      <c r="AT163" s="37">
        <f>TBL_CalcDarwin[[#This Row],[Expansión - Barra B - 5.2 - Cerro]]</f>
        <v>1</v>
      </c>
      <c r="AU16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63" s="29">
        <f>TBL_CalcDarwin[[#This Row],[Expansión - Barra B - 5.2 - Cerro]]*TBL_CalcDarwin[[#This Row],[AEG 5.2 MW Cerro]]</f>
        <v>2.8780000000000001</v>
      </c>
      <c r="AZ163" s="18"/>
      <c r="BA163" s="18"/>
      <c r="BB163" s="18"/>
      <c r="BC163" s="18"/>
      <c r="BD163" s="18"/>
      <c r="BE163" s="18"/>
      <c r="BF163" s="18"/>
    </row>
    <row r="164" spans="2:58" ht="12" x14ac:dyDescent="0.2">
      <c r="B164" s="55">
        <f t="shared" si="13"/>
        <v>45619.749999999614</v>
      </c>
      <c r="C164" s="17">
        <f t="shared" si="15"/>
        <v>6.7500000000000133</v>
      </c>
      <c r="D164" s="34">
        <f>TBL_CalcDarwin[[#This Row],[Darwin PLOM
MW]]+TBL_CalcDarwin[[#This Row],[Darwin PLOME
MW]]</f>
        <v>230.56100000000001</v>
      </c>
      <c r="E164" s="34">
        <f>TBL_CalcDarwin[[#This Row],[PLOM MW TOTAL BARRA A]]+TBL_CalcDarwin[[#This Row],[PLOM MW TOTAL BARRA B]]</f>
        <v>220.52100000000002</v>
      </c>
      <c r="F164" s="34">
        <f>TBL_CalcDarwin[[#This Row],[PLOME MW TOTAL BARRA A]]+TBL_CalcDarwin[[#This Row],[PLOME MW TOTAL BARRA B]]</f>
        <v>10.039999999999999</v>
      </c>
      <c r="G164" s="48">
        <f>'Plantilla Datos'!D169</f>
        <v>9.3000000000000007</v>
      </c>
      <c r="H164" s="48">
        <f>'Plantilla Datos'!E169</f>
        <v>11.6</v>
      </c>
      <c r="I164" s="49">
        <f>'Plantilla Datos'!F169</f>
        <v>18.600000000000001</v>
      </c>
      <c r="J164" s="47">
        <f>CEILING('Plantilla Datos'!$L$3*TBL_CalcDarwin[[#This Row],[Darwin Gusts
m/s]],0.5)</f>
        <v>8.5</v>
      </c>
      <c r="K164" s="47">
        <f>CEILING('Plantilla Datos'!$L$4*TBL_CalcDarwin[[#This Row],[Darwin Gusts
m/s]],0.5)</f>
        <v>10</v>
      </c>
      <c r="L164" s="47">
        <f>CEILING(TBL_CalcDarwin[[#This Row],[Darwin Gusts
m/s]],0.5)</f>
        <v>12</v>
      </c>
      <c r="M16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5.056</v>
      </c>
      <c r="N16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6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6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5.056</v>
      </c>
      <c r="Q164" s="41">
        <f>INDEX(Curva_Temp[Temp],MATCH(TBL_CalcDarwin[[#This Row],[Darwin Temp.
°C]],Curva_Temp[Temp]))</f>
        <v>15</v>
      </c>
      <c r="R164" s="41">
        <f>INDEX(Curva_Temp[Warranted Power Curve for 
1.194Kg/m3 air density '[kW']
SG 5.0-145 (AM+1, 5.2MW) AT 
90M],MATCH(TBL_CalcDarwin[[#This Row],[Darwin Temp.
°C]],Curva_Temp[Temp]))</f>
        <v>5200</v>
      </c>
      <c r="S164" s="41" cm="1">
        <f t="array" ref="S164">INDEX(Curva_Temp[Temp],MATCH(TBL_CalcDarwin[[#This Row],[Darwin Temp.
°C]],Curva_Temp[Temp])+1)</f>
        <v>20</v>
      </c>
      <c r="T164" s="41" cm="1">
        <f t="array" ref="T164">INDEX(Curva_Temp[Warranted Power Curve for 
1.194Kg/m3 air density '[kW']
SG 5.0-145 (AM+1, 5.2MW) AT 
90M],MATCH(TBL_CalcDarwin[[#This Row],[Darwin Temp.
°C]],Curva_Temp[Temp])+1)</f>
        <v>5000</v>
      </c>
      <c r="U16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6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6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64" s="41">
        <f>INDEX(Curva_Temp[Temp],MATCH(TBL_CalcDarwin[[#This Row],[Darwin Temp.
°C]],Curva_Temp[Temp]))</f>
        <v>15</v>
      </c>
      <c r="Z164" s="41">
        <f>INDEX(Curva_Temp[Warranted Power Curve for 
1.194Kg/m3 air density '[kW']
SG 5.0-145 (AM 0, 5.0MW) AT 
90M],MATCH(TBL_CalcDarwin[[#This Row],[Darwin Temp.
°C]],Curva_Temp[Temp]))</f>
        <v>5000</v>
      </c>
      <c r="AA164" s="41" cm="1">
        <f t="array" ref="AA164">INDEX(Curva_Temp[Temp],MATCH(TBL_CalcDarwin[[#This Row],[Darwin Temp.
°C]],Curva_Temp[Temp])+1)</f>
        <v>20</v>
      </c>
      <c r="AB164" s="41" cm="1">
        <f t="array" ref="AB164">INDEX(Curva_Temp[Warranted Power Curve for 
1.194Kg/m3 air density '[kW']
SG 5.0-145 (AM 0, 5.0MW) AT 
90M],MATCH(TBL_CalcDarwin[[#This Row],[Darwin Temp.
°C]],Curva_Temp[Temp])+1)</f>
        <v>5000</v>
      </c>
      <c r="AC164" s="45">
        <f>HLOOKUP(TBL_CalcDarwin[[#This Row],[Fecha]],'Plantilla AEG ES'!$E$1:$HX$13,2,FALSE)</f>
        <v>5</v>
      </c>
      <c r="AD164" s="45">
        <f>HLOOKUP(TBL_CalcDarwin[[#This Row],[Fecha]],'Plantilla AEG ES'!$E$1:$HX$13,3,FALSE)</f>
        <v>8</v>
      </c>
      <c r="AE164" s="45">
        <f>HLOOKUP(TBL_CalcDarwin[[#This Row],[Fecha]],'Plantilla AEG ES'!$E$1:$HX$13,4,FALSE)</f>
        <v>12</v>
      </c>
      <c r="AF164" s="45">
        <f>HLOOKUP(TBL_CalcDarwin[[#This Row],[Fecha]],'Plantilla AEG ES'!$E$1:$HX$13,5,FALSE)</f>
        <v>1</v>
      </c>
      <c r="AG164" s="45">
        <f>HLOOKUP(TBL_CalcDarwin[[#This Row],[Fecha]],'Plantilla AEG ES'!$E$1:$HX$13,6,FALSE)</f>
        <v>1</v>
      </c>
      <c r="AH164" s="45">
        <f>HLOOKUP(TBL_CalcDarwin[[#This Row],[Fecha]],'Plantilla AEG ES'!$E$1:$HX$13,7,FALSE)</f>
        <v>0</v>
      </c>
      <c r="AI164" s="46">
        <f>HLOOKUP(TBL_CalcDarwin[[#This Row],[Fecha]],'Plantilla AEG ES'!$E$1:$HX$13,8,FALSE)</f>
        <v>0</v>
      </c>
      <c r="AJ164" s="46">
        <f>HLOOKUP(TBL_CalcDarwin[[#This Row],[Fecha]],'Plantilla AEG ES'!$E$1:$HX$13,9,FALSE)</f>
        <v>3</v>
      </c>
      <c r="AK164" s="46">
        <f>HLOOKUP(TBL_CalcDarwin[[#This Row],[Fecha]],'Plantilla AEG ES'!$E$1:$HX$13,10,FALSE)</f>
        <v>12</v>
      </c>
      <c r="AL164" s="46">
        <f>HLOOKUP(TBL_CalcDarwin[[#This Row],[Fecha]],'Plantilla AEG ES'!$E$1:$HX$13,11,FALSE)</f>
        <v>1</v>
      </c>
      <c r="AM164" s="46">
        <f>HLOOKUP(TBL_CalcDarwin[[#This Row],[Fecha]],'Plantilla AEG ES'!$E$1:$HX$13,12,FALSE)</f>
        <v>7</v>
      </c>
      <c r="AN164" s="46">
        <f>HLOOKUP(TBL_CalcDarwin[[#This Row],[Fecha]],'Plantilla AEG ES'!$E$1:$HX$13,13,FALSE)</f>
        <v>1</v>
      </c>
      <c r="AO164" s="37">
        <f>TBL_CalcDarwin[[#This Row],[Lomitas - Barra A - 5.2 - Cerro]]+TBL_CalcDarwin[[#This Row],[Lomitas - Barra A - 5.2 - Medio]]+TBL_CalcDarwin[[#This Row],[Lomitas - Barra A - 5.2 - Mar]]</f>
        <v>25</v>
      </c>
      <c r="AP16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109.334</v>
      </c>
      <c r="AR16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111.187</v>
      </c>
      <c r="AS164" s="37">
        <f>TBL_CalcDarwin[[#This Row],[Expansión - Barra A - 5.2 - Cerro]]+TBL_CalcDarwin[[#This Row],[Expansión - Barra A - 5.2 - Medio]]+TBL_CalcDarwin[[#This Row],[Expansión - Barra A - 5.2 - Mar]]</f>
        <v>2</v>
      </c>
      <c r="AT164" s="37">
        <f>TBL_CalcDarwin[[#This Row],[Expansión - Barra B - 5.2 - Cerro]]</f>
        <v>1</v>
      </c>
      <c r="AU16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64" s="29">
        <f>TBL_CalcDarwin[[#This Row],[Expansión - Barra B - 5.2 - Cerro]]*TBL_CalcDarwin[[#This Row],[AEG 5.2 MW Cerro]]</f>
        <v>2.8780000000000001</v>
      </c>
      <c r="AZ164" s="18"/>
      <c r="BA164" s="18"/>
      <c r="BB164" s="18"/>
      <c r="BC164" s="18"/>
      <c r="BD164" s="18"/>
      <c r="BE164" s="18"/>
      <c r="BF164" s="18"/>
    </row>
    <row r="165" spans="2:58" ht="12" x14ac:dyDescent="0.2">
      <c r="B165" s="55">
        <f t="shared" si="13"/>
        <v>45619.791666666279</v>
      </c>
      <c r="C165" s="17">
        <f t="shared" si="15"/>
        <v>6.7916666666666803</v>
      </c>
      <c r="D165" s="34">
        <f>TBL_CalcDarwin[[#This Row],[Darwin PLOM
MW]]+TBL_CalcDarwin[[#This Row],[Darwin PLOME
MW]]</f>
        <v>231.23299999999998</v>
      </c>
      <c r="E165" s="34">
        <f>TBL_CalcDarwin[[#This Row],[PLOM MW TOTAL BARRA A]]+TBL_CalcDarwin[[#This Row],[PLOM MW TOTAL BARRA B]]</f>
        <v>221.19299999999998</v>
      </c>
      <c r="F165" s="34">
        <f>TBL_CalcDarwin[[#This Row],[PLOME MW TOTAL BARRA A]]+TBL_CalcDarwin[[#This Row],[PLOME MW TOTAL BARRA B]]</f>
        <v>10.039999999999999</v>
      </c>
      <c r="G165" s="48">
        <f>'Plantilla Datos'!D170</f>
        <v>9.4</v>
      </c>
      <c r="H165" s="48">
        <f>'Plantilla Datos'!E170</f>
        <v>11.7</v>
      </c>
      <c r="I165" s="49">
        <f>'Plantilla Datos'!F170</f>
        <v>17.899999999999999</v>
      </c>
      <c r="J165" s="47">
        <f>CEILING('Plantilla Datos'!$L$3*TBL_CalcDarwin[[#This Row],[Darwin Gusts
m/s]],0.5)</f>
        <v>8.5</v>
      </c>
      <c r="K165" s="47">
        <f>CEILING('Plantilla Datos'!$L$4*TBL_CalcDarwin[[#This Row],[Darwin Gusts
m/s]],0.5)</f>
        <v>10</v>
      </c>
      <c r="L165" s="47">
        <f>CEILING(TBL_CalcDarwin[[#This Row],[Darwin Gusts
m/s]],0.5)</f>
        <v>12</v>
      </c>
      <c r="M16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5.0839999999999996</v>
      </c>
      <c r="N16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6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6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5.0839999999999996</v>
      </c>
      <c r="Q165" s="41">
        <f>INDEX(Curva_Temp[Temp],MATCH(TBL_CalcDarwin[[#This Row],[Darwin Temp.
°C]],Curva_Temp[Temp]))</f>
        <v>15</v>
      </c>
      <c r="R165" s="41">
        <f>INDEX(Curva_Temp[Warranted Power Curve for 
1.194Kg/m3 air density '[kW']
SG 5.0-145 (AM+1, 5.2MW) AT 
90M],MATCH(TBL_CalcDarwin[[#This Row],[Darwin Temp.
°C]],Curva_Temp[Temp]))</f>
        <v>5200</v>
      </c>
      <c r="S165" s="41" cm="1">
        <f t="array" ref="S165">INDEX(Curva_Temp[Temp],MATCH(TBL_CalcDarwin[[#This Row],[Darwin Temp.
°C]],Curva_Temp[Temp])+1)</f>
        <v>20</v>
      </c>
      <c r="T165" s="41" cm="1">
        <f t="array" ref="T165">INDEX(Curva_Temp[Warranted Power Curve for 
1.194Kg/m3 air density '[kW']
SG 5.0-145 (AM+1, 5.2MW) AT 
90M],MATCH(TBL_CalcDarwin[[#This Row],[Darwin Temp.
°C]],Curva_Temp[Temp])+1)</f>
        <v>5000</v>
      </c>
      <c r="U16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6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6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65" s="41">
        <f>INDEX(Curva_Temp[Temp],MATCH(TBL_CalcDarwin[[#This Row],[Darwin Temp.
°C]],Curva_Temp[Temp]))</f>
        <v>15</v>
      </c>
      <c r="Z165" s="41">
        <f>INDEX(Curva_Temp[Warranted Power Curve for 
1.194Kg/m3 air density '[kW']
SG 5.0-145 (AM 0, 5.0MW) AT 
90M],MATCH(TBL_CalcDarwin[[#This Row],[Darwin Temp.
°C]],Curva_Temp[Temp]))</f>
        <v>5000</v>
      </c>
      <c r="AA165" s="41" cm="1">
        <f t="array" ref="AA165">INDEX(Curva_Temp[Temp],MATCH(TBL_CalcDarwin[[#This Row],[Darwin Temp.
°C]],Curva_Temp[Temp])+1)</f>
        <v>20</v>
      </c>
      <c r="AB165" s="41" cm="1">
        <f t="array" ref="AB165">INDEX(Curva_Temp[Warranted Power Curve for 
1.194Kg/m3 air density '[kW']
SG 5.0-145 (AM 0, 5.0MW) AT 
90M],MATCH(TBL_CalcDarwin[[#This Row],[Darwin Temp.
°C]],Curva_Temp[Temp])+1)</f>
        <v>5000</v>
      </c>
      <c r="AC165" s="45">
        <f>HLOOKUP(TBL_CalcDarwin[[#This Row],[Fecha]],'Plantilla AEG ES'!$E$1:$HX$13,2,FALSE)</f>
        <v>5</v>
      </c>
      <c r="AD165" s="45">
        <f>HLOOKUP(TBL_CalcDarwin[[#This Row],[Fecha]],'Plantilla AEG ES'!$E$1:$HX$13,3,FALSE)</f>
        <v>8</v>
      </c>
      <c r="AE165" s="45">
        <f>HLOOKUP(TBL_CalcDarwin[[#This Row],[Fecha]],'Plantilla AEG ES'!$E$1:$HX$13,4,FALSE)</f>
        <v>12</v>
      </c>
      <c r="AF165" s="45">
        <f>HLOOKUP(TBL_CalcDarwin[[#This Row],[Fecha]],'Plantilla AEG ES'!$E$1:$HX$13,5,FALSE)</f>
        <v>1</v>
      </c>
      <c r="AG165" s="45">
        <f>HLOOKUP(TBL_CalcDarwin[[#This Row],[Fecha]],'Plantilla AEG ES'!$E$1:$HX$13,6,FALSE)</f>
        <v>1</v>
      </c>
      <c r="AH165" s="45">
        <f>HLOOKUP(TBL_CalcDarwin[[#This Row],[Fecha]],'Plantilla AEG ES'!$E$1:$HX$13,7,FALSE)</f>
        <v>0</v>
      </c>
      <c r="AI165" s="46">
        <f>HLOOKUP(TBL_CalcDarwin[[#This Row],[Fecha]],'Plantilla AEG ES'!$E$1:$HX$13,8,FALSE)</f>
        <v>0</v>
      </c>
      <c r="AJ165" s="46">
        <f>HLOOKUP(TBL_CalcDarwin[[#This Row],[Fecha]],'Plantilla AEG ES'!$E$1:$HX$13,9,FALSE)</f>
        <v>3</v>
      </c>
      <c r="AK165" s="46">
        <f>HLOOKUP(TBL_CalcDarwin[[#This Row],[Fecha]],'Plantilla AEG ES'!$E$1:$HX$13,10,FALSE)</f>
        <v>12</v>
      </c>
      <c r="AL165" s="46">
        <f>HLOOKUP(TBL_CalcDarwin[[#This Row],[Fecha]],'Plantilla AEG ES'!$E$1:$HX$13,11,FALSE)</f>
        <v>1</v>
      </c>
      <c r="AM165" s="46">
        <f>HLOOKUP(TBL_CalcDarwin[[#This Row],[Fecha]],'Plantilla AEG ES'!$E$1:$HX$13,12,FALSE)</f>
        <v>7</v>
      </c>
      <c r="AN165" s="46">
        <f>HLOOKUP(TBL_CalcDarwin[[#This Row],[Fecha]],'Plantilla AEG ES'!$E$1:$HX$13,13,FALSE)</f>
        <v>1</v>
      </c>
      <c r="AO165" s="37">
        <f>TBL_CalcDarwin[[#This Row],[Lomitas - Barra A - 5.2 - Cerro]]+TBL_CalcDarwin[[#This Row],[Lomitas - Barra A - 5.2 - Medio]]+TBL_CalcDarwin[[#This Row],[Lomitas - Barra A - 5.2 - Mar]]</f>
        <v>25</v>
      </c>
      <c r="AP16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109.66999999999999</v>
      </c>
      <c r="AR16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111.523</v>
      </c>
      <c r="AS165" s="37">
        <f>TBL_CalcDarwin[[#This Row],[Expansión - Barra A - 5.2 - Cerro]]+TBL_CalcDarwin[[#This Row],[Expansión - Barra A - 5.2 - Medio]]+TBL_CalcDarwin[[#This Row],[Expansión - Barra A - 5.2 - Mar]]</f>
        <v>2</v>
      </c>
      <c r="AT165" s="37">
        <f>TBL_CalcDarwin[[#This Row],[Expansión - Barra B - 5.2 - Cerro]]</f>
        <v>1</v>
      </c>
      <c r="AU16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65" s="29">
        <f>TBL_CalcDarwin[[#This Row],[Expansión - Barra B - 5.2 - Cerro]]*TBL_CalcDarwin[[#This Row],[AEG 5.2 MW Cerro]]</f>
        <v>2.8780000000000001</v>
      </c>
      <c r="AZ165" s="18"/>
      <c r="BA165" s="18"/>
      <c r="BB165" s="18"/>
      <c r="BC165" s="18"/>
      <c r="BD165" s="18"/>
      <c r="BE165" s="18"/>
      <c r="BF165" s="18"/>
    </row>
    <row r="166" spans="2:58" ht="12" x14ac:dyDescent="0.2">
      <c r="B166" s="55">
        <f t="shared" si="13"/>
        <v>45619.833333332943</v>
      </c>
      <c r="C166" s="17">
        <f t="shared" si="15"/>
        <v>6.8333333333333472</v>
      </c>
      <c r="D166" s="34">
        <f>TBL_CalcDarwin[[#This Row],[Darwin PLOM
MW]]+TBL_CalcDarwin[[#This Row],[Darwin PLOME
MW]]</f>
        <v>217.79000000000002</v>
      </c>
      <c r="E166" s="34">
        <f>TBL_CalcDarwin[[#This Row],[PLOM MW TOTAL BARRA A]]+TBL_CalcDarwin[[#This Row],[PLOM MW TOTAL BARRA B]]</f>
        <v>209.13000000000002</v>
      </c>
      <c r="F166" s="34">
        <f>TBL_CalcDarwin[[#This Row],[PLOME MW TOTAL BARRA A]]+TBL_CalcDarwin[[#This Row],[PLOME MW TOTAL BARRA B]]</f>
        <v>8.66</v>
      </c>
      <c r="G166" s="48">
        <f>'Plantilla Datos'!D171</f>
        <v>8.6</v>
      </c>
      <c r="H166" s="48">
        <f>'Plantilla Datos'!E171</f>
        <v>10.7</v>
      </c>
      <c r="I166" s="49">
        <f>'Plantilla Datos'!F171</f>
        <v>17.899999999999999</v>
      </c>
      <c r="J166" s="47">
        <f>CEILING('Plantilla Datos'!$L$3*TBL_CalcDarwin[[#This Row],[Darwin Gusts
m/s]],0.5)</f>
        <v>8</v>
      </c>
      <c r="K166" s="47">
        <f>CEILING('Plantilla Datos'!$L$4*TBL_CalcDarwin[[#This Row],[Darwin Gusts
m/s]],0.5)</f>
        <v>9.5</v>
      </c>
      <c r="L166" s="47">
        <f>CEILING(TBL_CalcDarwin[[#This Row],[Darwin Gusts
m/s]],0.5)</f>
        <v>11</v>
      </c>
      <c r="M16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5.0839999999999996</v>
      </c>
      <c r="N16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6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6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66" s="41">
        <f>INDEX(Curva_Temp[Temp],MATCH(TBL_CalcDarwin[[#This Row],[Darwin Temp.
°C]],Curva_Temp[Temp]))</f>
        <v>15</v>
      </c>
      <c r="R166" s="41">
        <f>INDEX(Curva_Temp[Warranted Power Curve for 
1.194Kg/m3 air density '[kW']
SG 5.0-145 (AM+1, 5.2MW) AT 
90M],MATCH(TBL_CalcDarwin[[#This Row],[Darwin Temp.
°C]],Curva_Temp[Temp]))</f>
        <v>5200</v>
      </c>
      <c r="S166" s="41" cm="1">
        <f t="array" ref="S166">INDEX(Curva_Temp[Temp],MATCH(TBL_CalcDarwin[[#This Row],[Darwin Temp.
°C]],Curva_Temp[Temp])+1)</f>
        <v>20</v>
      </c>
      <c r="T166" s="41" cm="1">
        <f t="array" ref="T166">INDEX(Curva_Temp[Warranted Power Curve for 
1.194Kg/m3 air density '[kW']
SG 5.0-145 (AM+1, 5.2MW) AT 
90M],MATCH(TBL_CalcDarwin[[#This Row],[Darwin Temp.
°C]],Curva_Temp[Temp])+1)</f>
        <v>5000</v>
      </c>
      <c r="U16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6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6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66" s="41">
        <f>INDEX(Curva_Temp[Temp],MATCH(TBL_CalcDarwin[[#This Row],[Darwin Temp.
°C]],Curva_Temp[Temp]))</f>
        <v>15</v>
      </c>
      <c r="Z166" s="41">
        <f>INDEX(Curva_Temp[Warranted Power Curve for 
1.194Kg/m3 air density '[kW']
SG 5.0-145 (AM 0, 5.0MW) AT 
90M],MATCH(TBL_CalcDarwin[[#This Row],[Darwin Temp.
°C]],Curva_Temp[Temp]))</f>
        <v>5000</v>
      </c>
      <c r="AA166" s="41" cm="1">
        <f t="array" ref="AA166">INDEX(Curva_Temp[Temp],MATCH(TBL_CalcDarwin[[#This Row],[Darwin Temp.
°C]],Curva_Temp[Temp])+1)</f>
        <v>20</v>
      </c>
      <c r="AB166" s="41" cm="1">
        <f t="array" ref="AB166">INDEX(Curva_Temp[Warranted Power Curve for 
1.194Kg/m3 air density '[kW']
SG 5.0-145 (AM 0, 5.0MW) AT 
90M],MATCH(TBL_CalcDarwin[[#This Row],[Darwin Temp.
°C]],Curva_Temp[Temp])+1)</f>
        <v>5000</v>
      </c>
      <c r="AC166" s="45">
        <f>HLOOKUP(TBL_CalcDarwin[[#This Row],[Fecha]],'Plantilla AEG ES'!$E$1:$HX$13,2,FALSE)</f>
        <v>5</v>
      </c>
      <c r="AD166" s="45">
        <f>HLOOKUP(TBL_CalcDarwin[[#This Row],[Fecha]],'Plantilla AEG ES'!$E$1:$HX$13,3,FALSE)</f>
        <v>8</v>
      </c>
      <c r="AE166" s="45">
        <f>HLOOKUP(TBL_CalcDarwin[[#This Row],[Fecha]],'Plantilla AEG ES'!$E$1:$HX$13,4,FALSE)</f>
        <v>12</v>
      </c>
      <c r="AF166" s="45">
        <f>HLOOKUP(TBL_CalcDarwin[[#This Row],[Fecha]],'Plantilla AEG ES'!$E$1:$HX$13,5,FALSE)</f>
        <v>1</v>
      </c>
      <c r="AG166" s="45">
        <f>HLOOKUP(TBL_CalcDarwin[[#This Row],[Fecha]],'Plantilla AEG ES'!$E$1:$HX$13,6,FALSE)</f>
        <v>1</v>
      </c>
      <c r="AH166" s="45">
        <f>HLOOKUP(TBL_CalcDarwin[[#This Row],[Fecha]],'Plantilla AEG ES'!$E$1:$HX$13,7,FALSE)</f>
        <v>0</v>
      </c>
      <c r="AI166" s="46">
        <f>HLOOKUP(TBL_CalcDarwin[[#This Row],[Fecha]],'Plantilla AEG ES'!$E$1:$HX$13,8,FALSE)</f>
        <v>0</v>
      </c>
      <c r="AJ166" s="46">
        <f>HLOOKUP(TBL_CalcDarwin[[#This Row],[Fecha]],'Plantilla AEG ES'!$E$1:$HX$13,9,FALSE)</f>
        <v>3</v>
      </c>
      <c r="AK166" s="46">
        <f>HLOOKUP(TBL_CalcDarwin[[#This Row],[Fecha]],'Plantilla AEG ES'!$E$1:$HX$13,10,FALSE)</f>
        <v>12</v>
      </c>
      <c r="AL166" s="46">
        <f>HLOOKUP(TBL_CalcDarwin[[#This Row],[Fecha]],'Plantilla AEG ES'!$E$1:$HX$13,11,FALSE)</f>
        <v>1</v>
      </c>
      <c r="AM166" s="46">
        <f>HLOOKUP(TBL_CalcDarwin[[#This Row],[Fecha]],'Plantilla AEG ES'!$E$1:$HX$13,12,FALSE)</f>
        <v>7</v>
      </c>
      <c r="AN166" s="46">
        <f>HLOOKUP(TBL_CalcDarwin[[#This Row],[Fecha]],'Plantilla AEG ES'!$E$1:$HX$13,13,FALSE)</f>
        <v>1</v>
      </c>
      <c r="AO166" s="37">
        <f>TBL_CalcDarwin[[#This Row],[Lomitas - Barra A - 5.2 - Cerro]]+TBL_CalcDarwin[[#This Row],[Lomitas - Barra A - 5.2 - Medio]]+TBL_CalcDarwin[[#This Row],[Lomitas - Barra A - 5.2 - Mar]]</f>
        <v>25</v>
      </c>
      <c r="AP16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6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66" s="37">
        <f>TBL_CalcDarwin[[#This Row],[Expansión - Barra A - 5.2 - Cerro]]+TBL_CalcDarwin[[#This Row],[Expansión - Barra A - 5.2 - Medio]]+TBL_CalcDarwin[[#This Row],[Expansión - Barra A - 5.2 - Mar]]</f>
        <v>2</v>
      </c>
      <c r="AT166" s="37">
        <f>TBL_CalcDarwin[[#This Row],[Expansión - Barra B - 5.2 - Cerro]]</f>
        <v>1</v>
      </c>
      <c r="AU16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66" s="29">
        <f>TBL_CalcDarwin[[#This Row],[Expansión - Barra B - 5.2 - Cerro]]*TBL_CalcDarwin[[#This Row],[AEG 5.2 MW Cerro]]</f>
        <v>2.4089999999999998</v>
      </c>
      <c r="AZ166" s="18"/>
      <c r="BA166" s="18"/>
      <c r="BB166" s="18"/>
      <c r="BC166" s="18"/>
      <c r="BD166" s="18"/>
      <c r="BE166" s="18"/>
      <c r="BF166" s="18"/>
    </row>
    <row r="167" spans="2:58" ht="12" x14ac:dyDescent="0.2">
      <c r="B167" s="55">
        <f t="shared" si="13"/>
        <v>45619.874999999607</v>
      </c>
      <c r="C167" s="17">
        <f>C166+TIME(1,0,0)</f>
        <v>6.8750000000000142</v>
      </c>
      <c r="D167" s="34">
        <f>TBL_CalcDarwin[[#This Row],[Darwin PLOM
MW]]+TBL_CalcDarwin[[#This Row],[Darwin PLOME
MW]]</f>
        <v>179.61</v>
      </c>
      <c r="E167" s="34">
        <f>TBL_CalcDarwin[[#This Row],[PLOM MW TOTAL BARRA A]]+TBL_CalcDarwin[[#This Row],[PLOM MW TOTAL BARRA B]]</f>
        <v>173.53800000000001</v>
      </c>
      <c r="F167" s="34">
        <f>TBL_CalcDarwin[[#This Row],[PLOME MW TOTAL BARRA A]]+TBL_CalcDarwin[[#This Row],[PLOME MW TOTAL BARRA B]]</f>
        <v>6.0719999999999992</v>
      </c>
      <c r="G167" s="48">
        <f>'Plantilla Datos'!D172</f>
        <v>7.7</v>
      </c>
      <c r="H167" s="48">
        <f>'Plantilla Datos'!E172</f>
        <v>9.6999999999999993</v>
      </c>
      <c r="I167" s="49">
        <f>'Plantilla Datos'!F172</f>
        <v>17.899999999999999</v>
      </c>
      <c r="J167" s="47">
        <f>CEILING('Plantilla Datos'!$L$3*TBL_CalcDarwin[[#This Row],[Darwin Gusts
m/s]],0.5)</f>
        <v>7</v>
      </c>
      <c r="K167" s="47">
        <f>CEILING('Plantilla Datos'!$L$4*TBL_CalcDarwin[[#This Row],[Darwin Gusts
m/s]],0.5)</f>
        <v>8.5</v>
      </c>
      <c r="L167" s="47">
        <f>CEILING(TBL_CalcDarwin[[#This Row],[Darwin Gusts
m/s]],0.5)</f>
        <v>10</v>
      </c>
      <c r="M16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5.0839999999999996</v>
      </c>
      <c r="N16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6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6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67" s="41">
        <f>INDEX(Curva_Temp[Temp],MATCH(TBL_CalcDarwin[[#This Row],[Darwin Temp.
°C]],Curva_Temp[Temp]))</f>
        <v>15</v>
      </c>
      <c r="R167" s="41">
        <f>INDEX(Curva_Temp[Warranted Power Curve for 
1.194Kg/m3 air density '[kW']
SG 5.0-145 (AM+1, 5.2MW) AT 
90M],MATCH(TBL_CalcDarwin[[#This Row],[Darwin Temp.
°C]],Curva_Temp[Temp]))</f>
        <v>5200</v>
      </c>
      <c r="S167" s="41" cm="1">
        <f t="array" ref="S167">INDEX(Curva_Temp[Temp],MATCH(TBL_CalcDarwin[[#This Row],[Darwin Temp.
°C]],Curva_Temp[Temp])+1)</f>
        <v>20</v>
      </c>
      <c r="T167" s="41" cm="1">
        <f t="array" ref="T167">INDEX(Curva_Temp[Warranted Power Curve for 
1.194Kg/m3 air density '[kW']
SG 5.0-145 (AM+1, 5.2MW) AT 
90M],MATCH(TBL_CalcDarwin[[#This Row],[Darwin Temp.
°C]],Curva_Temp[Temp])+1)</f>
        <v>5000</v>
      </c>
      <c r="U16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6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6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67" s="41">
        <f>INDEX(Curva_Temp[Temp],MATCH(TBL_CalcDarwin[[#This Row],[Darwin Temp.
°C]],Curva_Temp[Temp]))</f>
        <v>15</v>
      </c>
      <c r="Z167" s="41">
        <f>INDEX(Curva_Temp[Warranted Power Curve for 
1.194Kg/m3 air density '[kW']
SG 5.0-145 (AM 0, 5.0MW) AT 
90M],MATCH(TBL_CalcDarwin[[#This Row],[Darwin Temp.
°C]],Curva_Temp[Temp]))</f>
        <v>5000</v>
      </c>
      <c r="AA167" s="41" cm="1">
        <f t="array" ref="AA167">INDEX(Curva_Temp[Temp],MATCH(TBL_CalcDarwin[[#This Row],[Darwin Temp.
°C]],Curva_Temp[Temp])+1)</f>
        <v>20</v>
      </c>
      <c r="AB167" s="41" cm="1">
        <f t="array" ref="AB167">INDEX(Curva_Temp[Warranted Power Curve for 
1.194Kg/m3 air density '[kW']
SG 5.0-145 (AM 0, 5.0MW) AT 
90M],MATCH(TBL_CalcDarwin[[#This Row],[Darwin Temp.
°C]],Curva_Temp[Temp])+1)</f>
        <v>5000</v>
      </c>
      <c r="AC167" s="45">
        <f>HLOOKUP(TBL_CalcDarwin[[#This Row],[Fecha]],'Plantilla AEG ES'!$E$1:$HX$13,2,FALSE)</f>
        <v>5</v>
      </c>
      <c r="AD167" s="45">
        <f>HLOOKUP(TBL_CalcDarwin[[#This Row],[Fecha]],'Plantilla AEG ES'!$E$1:$HX$13,3,FALSE)</f>
        <v>8</v>
      </c>
      <c r="AE167" s="45">
        <f>HLOOKUP(TBL_CalcDarwin[[#This Row],[Fecha]],'Plantilla AEG ES'!$E$1:$HX$13,4,FALSE)</f>
        <v>12</v>
      </c>
      <c r="AF167" s="45">
        <f>HLOOKUP(TBL_CalcDarwin[[#This Row],[Fecha]],'Plantilla AEG ES'!$E$1:$HX$13,5,FALSE)</f>
        <v>1</v>
      </c>
      <c r="AG167" s="45">
        <f>HLOOKUP(TBL_CalcDarwin[[#This Row],[Fecha]],'Plantilla AEG ES'!$E$1:$HX$13,6,FALSE)</f>
        <v>1</v>
      </c>
      <c r="AH167" s="45">
        <f>HLOOKUP(TBL_CalcDarwin[[#This Row],[Fecha]],'Plantilla AEG ES'!$E$1:$HX$13,7,FALSE)</f>
        <v>0</v>
      </c>
      <c r="AI167" s="46">
        <f>HLOOKUP(TBL_CalcDarwin[[#This Row],[Fecha]],'Plantilla AEG ES'!$E$1:$HX$13,8,FALSE)</f>
        <v>0</v>
      </c>
      <c r="AJ167" s="46">
        <f>HLOOKUP(TBL_CalcDarwin[[#This Row],[Fecha]],'Plantilla AEG ES'!$E$1:$HX$13,9,FALSE)</f>
        <v>3</v>
      </c>
      <c r="AK167" s="46">
        <f>HLOOKUP(TBL_CalcDarwin[[#This Row],[Fecha]],'Plantilla AEG ES'!$E$1:$HX$13,10,FALSE)</f>
        <v>12</v>
      </c>
      <c r="AL167" s="46">
        <f>HLOOKUP(TBL_CalcDarwin[[#This Row],[Fecha]],'Plantilla AEG ES'!$E$1:$HX$13,11,FALSE)</f>
        <v>1</v>
      </c>
      <c r="AM167" s="46">
        <f>HLOOKUP(TBL_CalcDarwin[[#This Row],[Fecha]],'Plantilla AEG ES'!$E$1:$HX$13,12,FALSE)</f>
        <v>7</v>
      </c>
      <c r="AN167" s="46">
        <f>HLOOKUP(TBL_CalcDarwin[[#This Row],[Fecha]],'Plantilla AEG ES'!$E$1:$HX$13,13,FALSE)</f>
        <v>1</v>
      </c>
      <c r="AO167" s="37">
        <f>TBL_CalcDarwin[[#This Row],[Lomitas - Barra A - 5.2 - Cerro]]+TBL_CalcDarwin[[#This Row],[Lomitas - Barra A - 5.2 - Medio]]+TBL_CalcDarwin[[#This Row],[Lomitas - Barra A - 5.2 - Mar]]</f>
        <v>25</v>
      </c>
      <c r="AP16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16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67" s="37">
        <f>TBL_CalcDarwin[[#This Row],[Expansión - Barra A - 5.2 - Cerro]]+TBL_CalcDarwin[[#This Row],[Expansión - Barra A - 5.2 - Medio]]+TBL_CalcDarwin[[#This Row],[Expansión - Barra A - 5.2 - Mar]]</f>
        <v>2</v>
      </c>
      <c r="AT167" s="37">
        <f>TBL_CalcDarwin[[#This Row],[Expansión - Barra B - 5.2 - Cerro]]</f>
        <v>1</v>
      </c>
      <c r="AU16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67" s="29">
        <f>TBL_CalcDarwin[[#This Row],[Expansión - Barra B - 5.2 - Cerro]]*TBL_CalcDarwin[[#This Row],[AEG 5.2 MW Cerro]]</f>
        <v>1.597</v>
      </c>
      <c r="AZ167" s="18"/>
      <c r="BA167" s="18"/>
      <c r="BB167" s="18"/>
      <c r="BC167" s="18"/>
      <c r="BD167" s="18"/>
      <c r="BE167" s="18"/>
      <c r="BF167" s="18"/>
    </row>
    <row r="168" spans="2:58" ht="12" x14ac:dyDescent="0.2">
      <c r="B168" s="55">
        <f t="shared" si="13"/>
        <v>45619.916666666271</v>
      </c>
      <c r="C168" s="17">
        <f t="shared" ref="C168:C172" si="16">C167+TIME(1,0,0)</f>
        <v>6.9166666666666812</v>
      </c>
      <c r="D168" s="34">
        <f>TBL_CalcDarwin[[#This Row],[Darwin PLOM
MW]]+TBL_CalcDarwin[[#This Row],[Darwin PLOME
MW]]</f>
        <v>137.999</v>
      </c>
      <c r="E168" s="34">
        <f>TBL_CalcDarwin[[#This Row],[PLOM MW TOTAL BARRA A]]+TBL_CalcDarwin[[#This Row],[PLOM MW TOTAL BARRA B]]</f>
        <v>133.489</v>
      </c>
      <c r="F168" s="34">
        <f>TBL_CalcDarwin[[#This Row],[PLOME MW TOTAL BARRA A]]+TBL_CalcDarwin[[#This Row],[PLOME MW TOTAL BARRA B]]</f>
        <v>4.51</v>
      </c>
      <c r="G168" s="48">
        <f>'Plantilla Datos'!D173</f>
        <v>6.9</v>
      </c>
      <c r="H168" s="48">
        <f>'Plantilla Datos'!E173</f>
        <v>8.6999999999999993</v>
      </c>
      <c r="I168" s="49">
        <f>'Plantilla Datos'!F173</f>
        <v>17.899999999999999</v>
      </c>
      <c r="J168" s="47">
        <f>CEILING('Plantilla Datos'!$L$3*TBL_CalcDarwin[[#This Row],[Darwin Gusts
m/s]],0.5)</f>
        <v>6.5</v>
      </c>
      <c r="K168" s="47">
        <f>CEILING('Plantilla Datos'!$L$4*TBL_CalcDarwin[[#This Row],[Darwin Gusts
m/s]],0.5)</f>
        <v>7.5</v>
      </c>
      <c r="L168" s="47">
        <f>CEILING(TBL_CalcDarwin[[#This Row],[Darwin Gusts
m/s]],0.5)</f>
        <v>9</v>
      </c>
      <c r="M16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5.0839999999999996</v>
      </c>
      <c r="N16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6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6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68" s="41">
        <f>INDEX(Curva_Temp[Temp],MATCH(TBL_CalcDarwin[[#This Row],[Darwin Temp.
°C]],Curva_Temp[Temp]))</f>
        <v>15</v>
      </c>
      <c r="R168" s="41">
        <f>INDEX(Curva_Temp[Warranted Power Curve for 
1.194Kg/m3 air density '[kW']
SG 5.0-145 (AM+1, 5.2MW) AT 
90M],MATCH(TBL_CalcDarwin[[#This Row],[Darwin Temp.
°C]],Curva_Temp[Temp]))</f>
        <v>5200</v>
      </c>
      <c r="S168" s="41" cm="1">
        <f t="array" ref="S168">INDEX(Curva_Temp[Temp],MATCH(TBL_CalcDarwin[[#This Row],[Darwin Temp.
°C]],Curva_Temp[Temp])+1)</f>
        <v>20</v>
      </c>
      <c r="T168" s="41" cm="1">
        <f t="array" ref="T168">INDEX(Curva_Temp[Warranted Power Curve for 
1.194Kg/m3 air density '[kW']
SG 5.0-145 (AM+1, 5.2MW) AT 
90M],MATCH(TBL_CalcDarwin[[#This Row],[Darwin Temp.
°C]],Curva_Temp[Temp])+1)</f>
        <v>5000</v>
      </c>
      <c r="U16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6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6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68" s="41">
        <f>INDEX(Curva_Temp[Temp],MATCH(TBL_CalcDarwin[[#This Row],[Darwin Temp.
°C]],Curva_Temp[Temp]))</f>
        <v>15</v>
      </c>
      <c r="Z168" s="41">
        <f>INDEX(Curva_Temp[Warranted Power Curve for 
1.194Kg/m3 air density '[kW']
SG 5.0-145 (AM 0, 5.0MW) AT 
90M],MATCH(TBL_CalcDarwin[[#This Row],[Darwin Temp.
°C]],Curva_Temp[Temp]))</f>
        <v>5000</v>
      </c>
      <c r="AA168" s="41" cm="1">
        <f t="array" ref="AA168">INDEX(Curva_Temp[Temp],MATCH(TBL_CalcDarwin[[#This Row],[Darwin Temp.
°C]],Curva_Temp[Temp])+1)</f>
        <v>20</v>
      </c>
      <c r="AB168" s="41" cm="1">
        <f t="array" ref="AB168">INDEX(Curva_Temp[Warranted Power Curve for 
1.194Kg/m3 air density '[kW']
SG 5.0-145 (AM 0, 5.0MW) AT 
90M],MATCH(TBL_CalcDarwin[[#This Row],[Darwin Temp.
°C]],Curva_Temp[Temp])+1)</f>
        <v>5000</v>
      </c>
      <c r="AC168" s="45">
        <f>HLOOKUP(TBL_CalcDarwin[[#This Row],[Fecha]],'Plantilla AEG ES'!$E$1:$HX$13,2,FALSE)</f>
        <v>5</v>
      </c>
      <c r="AD168" s="45">
        <f>HLOOKUP(TBL_CalcDarwin[[#This Row],[Fecha]],'Plantilla AEG ES'!$E$1:$HX$13,3,FALSE)</f>
        <v>8</v>
      </c>
      <c r="AE168" s="45">
        <f>HLOOKUP(TBL_CalcDarwin[[#This Row],[Fecha]],'Plantilla AEG ES'!$E$1:$HX$13,4,FALSE)</f>
        <v>12</v>
      </c>
      <c r="AF168" s="45">
        <f>HLOOKUP(TBL_CalcDarwin[[#This Row],[Fecha]],'Plantilla AEG ES'!$E$1:$HX$13,5,FALSE)</f>
        <v>1</v>
      </c>
      <c r="AG168" s="45">
        <f>HLOOKUP(TBL_CalcDarwin[[#This Row],[Fecha]],'Plantilla AEG ES'!$E$1:$HX$13,6,FALSE)</f>
        <v>1</v>
      </c>
      <c r="AH168" s="45">
        <f>HLOOKUP(TBL_CalcDarwin[[#This Row],[Fecha]],'Plantilla AEG ES'!$E$1:$HX$13,7,FALSE)</f>
        <v>0</v>
      </c>
      <c r="AI168" s="46">
        <f>HLOOKUP(TBL_CalcDarwin[[#This Row],[Fecha]],'Plantilla AEG ES'!$E$1:$HX$13,8,FALSE)</f>
        <v>0</v>
      </c>
      <c r="AJ168" s="46">
        <f>HLOOKUP(TBL_CalcDarwin[[#This Row],[Fecha]],'Plantilla AEG ES'!$E$1:$HX$13,9,FALSE)</f>
        <v>3</v>
      </c>
      <c r="AK168" s="46">
        <f>HLOOKUP(TBL_CalcDarwin[[#This Row],[Fecha]],'Plantilla AEG ES'!$E$1:$HX$13,10,FALSE)</f>
        <v>12</v>
      </c>
      <c r="AL168" s="46">
        <f>HLOOKUP(TBL_CalcDarwin[[#This Row],[Fecha]],'Plantilla AEG ES'!$E$1:$HX$13,11,FALSE)</f>
        <v>1</v>
      </c>
      <c r="AM168" s="46">
        <f>HLOOKUP(TBL_CalcDarwin[[#This Row],[Fecha]],'Plantilla AEG ES'!$E$1:$HX$13,12,FALSE)</f>
        <v>7</v>
      </c>
      <c r="AN168" s="46">
        <f>HLOOKUP(TBL_CalcDarwin[[#This Row],[Fecha]],'Plantilla AEG ES'!$E$1:$HX$13,13,FALSE)</f>
        <v>1</v>
      </c>
      <c r="AO168" s="37">
        <f>TBL_CalcDarwin[[#This Row],[Lomitas - Barra A - 5.2 - Cerro]]+TBL_CalcDarwin[[#This Row],[Lomitas - Barra A - 5.2 - Medio]]+TBL_CalcDarwin[[#This Row],[Lomitas - Barra A - 5.2 - Mar]]</f>
        <v>25</v>
      </c>
      <c r="AP16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16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68" s="37">
        <f>TBL_CalcDarwin[[#This Row],[Expansión - Barra A - 5.2 - Cerro]]+TBL_CalcDarwin[[#This Row],[Expansión - Barra A - 5.2 - Medio]]+TBL_CalcDarwin[[#This Row],[Expansión - Barra A - 5.2 - Mar]]</f>
        <v>2</v>
      </c>
      <c r="AT168" s="37">
        <f>TBL_CalcDarwin[[#This Row],[Expansión - Barra B - 5.2 - Cerro]]</f>
        <v>1</v>
      </c>
      <c r="AU16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68" s="29">
        <f>TBL_CalcDarwin[[#This Row],[Expansión - Barra B - 5.2 - Cerro]]*TBL_CalcDarwin[[#This Row],[AEG 5.2 MW Cerro]]</f>
        <v>1.266</v>
      </c>
      <c r="AZ168" s="18"/>
      <c r="BA168" s="18"/>
      <c r="BB168" s="18"/>
      <c r="BC168" s="18"/>
      <c r="BD168" s="18"/>
      <c r="BE168" s="18"/>
      <c r="BF168" s="18"/>
    </row>
    <row r="169" spans="2:58" ht="12" x14ac:dyDescent="0.2">
      <c r="B169" s="55">
        <f t="shared" si="13"/>
        <v>45619.958333332936</v>
      </c>
      <c r="C169" s="17">
        <f t="shared" si="16"/>
        <v>6.9583333333333481</v>
      </c>
      <c r="D169" s="34">
        <f>TBL_CalcDarwin[[#This Row],[Darwin PLOM
MW]]+TBL_CalcDarwin[[#This Row],[Darwin PLOME
MW]]</f>
        <v>101.629</v>
      </c>
      <c r="E169" s="34">
        <f>TBL_CalcDarwin[[#This Row],[PLOM MW TOTAL BARRA A]]+TBL_CalcDarwin[[#This Row],[PLOM MW TOTAL BARRA B]]</f>
        <v>98.066000000000003</v>
      </c>
      <c r="F169" s="34">
        <f>TBL_CalcDarwin[[#This Row],[PLOME MW TOTAL BARRA A]]+TBL_CalcDarwin[[#This Row],[PLOME MW TOTAL BARRA B]]</f>
        <v>3.5630000000000002</v>
      </c>
      <c r="G169" s="48">
        <f>'Plantilla Datos'!D174</f>
        <v>6.1</v>
      </c>
      <c r="H169" s="48">
        <f>'Plantilla Datos'!E174</f>
        <v>7.7</v>
      </c>
      <c r="I169" s="49">
        <f>'Plantilla Datos'!F174</f>
        <v>17.899999999999999</v>
      </c>
      <c r="J169" s="47">
        <f>CEILING('Plantilla Datos'!$L$3*TBL_CalcDarwin[[#This Row],[Darwin Gusts
m/s]],0.5)</f>
        <v>6</v>
      </c>
      <c r="K169" s="47">
        <f>CEILING('Plantilla Datos'!$L$4*TBL_CalcDarwin[[#This Row],[Darwin Gusts
m/s]],0.5)</f>
        <v>7</v>
      </c>
      <c r="L169" s="47">
        <f>CEILING(TBL_CalcDarwin[[#This Row],[Darwin Gusts
m/s]],0.5)</f>
        <v>8</v>
      </c>
      <c r="M16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5.0839999999999996</v>
      </c>
      <c r="N16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6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6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69" s="41">
        <f>INDEX(Curva_Temp[Temp],MATCH(TBL_CalcDarwin[[#This Row],[Darwin Temp.
°C]],Curva_Temp[Temp]))</f>
        <v>15</v>
      </c>
      <c r="R169" s="41">
        <f>INDEX(Curva_Temp[Warranted Power Curve for 
1.194Kg/m3 air density '[kW']
SG 5.0-145 (AM+1, 5.2MW) AT 
90M],MATCH(TBL_CalcDarwin[[#This Row],[Darwin Temp.
°C]],Curva_Temp[Temp]))</f>
        <v>5200</v>
      </c>
      <c r="S169" s="41" cm="1">
        <f t="array" ref="S169">INDEX(Curva_Temp[Temp],MATCH(TBL_CalcDarwin[[#This Row],[Darwin Temp.
°C]],Curva_Temp[Temp])+1)</f>
        <v>20</v>
      </c>
      <c r="T169" s="41" cm="1">
        <f t="array" ref="T169">INDEX(Curva_Temp[Warranted Power Curve for 
1.194Kg/m3 air density '[kW']
SG 5.0-145 (AM+1, 5.2MW) AT 
90M],MATCH(TBL_CalcDarwin[[#This Row],[Darwin Temp.
°C]],Curva_Temp[Temp])+1)</f>
        <v>5000</v>
      </c>
      <c r="U16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6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6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69" s="41">
        <f>INDEX(Curva_Temp[Temp],MATCH(TBL_CalcDarwin[[#This Row],[Darwin Temp.
°C]],Curva_Temp[Temp]))</f>
        <v>15</v>
      </c>
      <c r="Z169" s="41">
        <f>INDEX(Curva_Temp[Warranted Power Curve for 
1.194Kg/m3 air density '[kW']
SG 5.0-145 (AM 0, 5.0MW) AT 
90M],MATCH(TBL_CalcDarwin[[#This Row],[Darwin Temp.
°C]],Curva_Temp[Temp]))</f>
        <v>5000</v>
      </c>
      <c r="AA169" s="41" cm="1">
        <f t="array" ref="AA169">INDEX(Curva_Temp[Temp],MATCH(TBL_CalcDarwin[[#This Row],[Darwin Temp.
°C]],Curva_Temp[Temp])+1)</f>
        <v>20</v>
      </c>
      <c r="AB169" s="41" cm="1">
        <f t="array" ref="AB169">INDEX(Curva_Temp[Warranted Power Curve for 
1.194Kg/m3 air density '[kW']
SG 5.0-145 (AM 0, 5.0MW) AT 
90M],MATCH(TBL_CalcDarwin[[#This Row],[Darwin Temp.
°C]],Curva_Temp[Temp])+1)</f>
        <v>5000</v>
      </c>
      <c r="AC169" s="45">
        <f>HLOOKUP(TBL_CalcDarwin[[#This Row],[Fecha]],'Plantilla AEG ES'!$E$1:$HX$13,2,FALSE)</f>
        <v>5</v>
      </c>
      <c r="AD169" s="45">
        <f>HLOOKUP(TBL_CalcDarwin[[#This Row],[Fecha]],'Plantilla AEG ES'!$E$1:$HX$13,3,FALSE)</f>
        <v>8</v>
      </c>
      <c r="AE169" s="45">
        <f>HLOOKUP(TBL_CalcDarwin[[#This Row],[Fecha]],'Plantilla AEG ES'!$E$1:$HX$13,4,FALSE)</f>
        <v>12</v>
      </c>
      <c r="AF169" s="45">
        <f>HLOOKUP(TBL_CalcDarwin[[#This Row],[Fecha]],'Plantilla AEG ES'!$E$1:$HX$13,5,FALSE)</f>
        <v>1</v>
      </c>
      <c r="AG169" s="45">
        <f>HLOOKUP(TBL_CalcDarwin[[#This Row],[Fecha]],'Plantilla AEG ES'!$E$1:$HX$13,6,FALSE)</f>
        <v>1</v>
      </c>
      <c r="AH169" s="45">
        <f>HLOOKUP(TBL_CalcDarwin[[#This Row],[Fecha]],'Plantilla AEG ES'!$E$1:$HX$13,7,FALSE)</f>
        <v>0</v>
      </c>
      <c r="AI169" s="46">
        <f>HLOOKUP(TBL_CalcDarwin[[#This Row],[Fecha]],'Plantilla AEG ES'!$E$1:$HX$13,8,FALSE)</f>
        <v>0</v>
      </c>
      <c r="AJ169" s="46">
        <f>HLOOKUP(TBL_CalcDarwin[[#This Row],[Fecha]],'Plantilla AEG ES'!$E$1:$HX$13,9,FALSE)</f>
        <v>3</v>
      </c>
      <c r="AK169" s="46">
        <f>HLOOKUP(TBL_CalcDarwin[[#This Row],[Fecha]],'Plantilla AEG ES'!$E$1:$HX$13,10,FALSE)</f>
        <v>12</v>
      </c>
      <c r="AL169" s="46">
        <f>HLOOKUP(TBL_CalcDarwin[[#This Row],[Fecha]],'Plantilla AEG ES'!$E$1:$HX$13,11,FALSE)</f>
        <v>1</v>
      </c>
      <c r="AM169" s="46">
        <f>HLOOKUP(TBL_CalcDarwin[[#This Row],[Fecha]],'Plantilla AEG ES'!$E$1:$HX$13,12,FALSE)</f>
        <v>7</v>
      </c>
      <c r="AN169" s="46">
        <f>HLOOKUP(TBL_CalcDarwin[[#This Row],[Fecha]],'Plantilla AEG ES'!$E$1:$HX$13,13,FALSE)</f>
        <v>1</v>
      </c>
      <c r="AO169" s="37">
        <f>TBL_CalcDarwin[[#This Row],[Lomitas - Barra A - 5.2 - Cerro]]+TBL_CalcDarwin[[#This Row],[Lomitas - Barra A - 5.2 - Medio]]+TBL_CalcDarwin[[#This Row],[Lomitas - Barra A - 5.2 - Mar]]</f>
        <v>25</v>
      </c>
      <c r="AP16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16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69" s="37">
        <f>TBL_CalcDarwin[[#This Row],[Expansión - Barra A - 5.2 - Cerro]]+TBL_CalcDarwin[[#This Row],[Expansión - Barra A - 5.2 - Medio]]+TBL_CalcDarwin[[#This Row],[Expansión - Barra A - 5.2 - Mar]]</f>
        <v>2</v>
      </c>
      <c r="AT169" s="37">
        <f>TBL_CalcDarwin[[#This Row],[Expansión - Barra B - 5.2 - Cerro]]</f>
        <v>1</v>
      </c>
      <c r="AU16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69" s="29">
        <f>TBL_CalcDarwin[[#This Row],[Expansión - Barra B - 5.2 - Cerro]]*TBL_CalcDarwin[[#This Row],[AEG 5.2 MW Cerro]]</f>
        <v>0.98299999999999998</v>
      </c>
      <c r="AZ169" s="18"/>
      <c r="BA169" s="18"/>
      <c r="BB169" s="18"/>
      <c r="BC169" s="18"/>
      <c r="BD169" s="18"/>
      <c r="BE169" s="18"/>
      <c r="BF169" s="18"/>
    </row>
    <row r="170" spans="2:58" ht="12" x14ac:dyDescent="0.2">
      <c r="B170" s="55">
        <f t="shared" si="13"/>
        <v>45619.9999999996</v>
      </c>
      <c r="C170" s="17">
        <f t="shared" si="16"/>
        <v>7.0000000000000151</v>
      </c>
      <c r="D170" s="34">
        <f>TBL_CalcDarwin[[#This Row],[Darwin PLOM
MW]]+TBL_CalcDarwin[[#This Row],[Darwin PLOME
MW]]</f>
        <v>63.076999999999998</v>
      </c>
      <c r="E170" s="34">
        <f>TBL_CalcDarwin[[#This Row],[PLOM MW TOTAL BARRA A]]+TBL_CalcDarwin[[#This Row],[PLOM MW TOTAL BARRA B]]</f>
        <v>61</v>
      </c>
      <c r="F170" s="34">
        <f>TBL_CalcDarwin[[#This Row],[PLOME MW TOTAL BARRA A]]+TBL_CalcDarwin[[#This Row],[PLOME MW TOTAL BARRA B]]</f>
        <v>2.077</v>
      </c>
      <c r="G170" s="48">
        <f>'Plantilla Datos'!D175</f>
        <v>5.2</v>
      </c>
      <c r="H170" s="48">
        <f>'Plantilla Datos'!E175</f>
        <v>6.7</v>
      </c>
      <c r="I170" s="49">
        <f>'Plantilla Datos'!F175</f>
        <v>17.899999999999999</v>
      </c>
      <c r="J170" s="47">
        <f>CEILING('Plantilla Datos'!$L$3*TBL_CalcDarwin[[#This Row],[Darwin Gusts
m/s]],0.5)</f>
        <v>5</v>
      </c>
      <c r="K170" s="47">
        <f>CEILING('Plantilla Datos'!$L$4*TBL_CalcDarwin[[#This Row],[Darwin Gusts
m/s]],0.5)</f>
        <v>6</v>
      </c>
      <c r="L170" s="47">
        <f>CEILING(TBL_CalcDarwin[[#This Row],[Darwin Gusts
m/s]],0.5)</f>
        <v>7</v>
      </c>
      <c r="M17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5.0839999999999996</v>
      </c>
      <c r="N17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7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7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70" s="41">
        <f>INDEX(Curva_Temp[Temp],MATCH(TBL_CalcDarwin[[#This Row],[Darwin Temp.
°C]],Curva_Temp[Temp]))</f>
        <v>15</v>
      </c>
      <c r="R170" s="41">
        <f>INDEX(Curva_Temp[Warranted Power Curve for 
1.194Kg/m3 air density '[kW']
SG 5.0-145 (AM+1, 5.2MW) AT 
90M],MATCH(TBL_CalcDarwin[[#This Row],[Darwin Temp.
°C]],Curva_Temp[Temp]))</f>
        <v>5200</v>
      </c>
      <c r="S170" s="41" cm="1">
        <f t="array" ref="S170">INDEX(Curva_Temp[Temp],MATCH(TBL_CalcDarwin[[#This Row],[Darwin Temp.
°C]],Curva_Temp[Temp])+1)</f>
        <v>20</v>
      </c>
      <c r="T170" s="41" cm="1">
        <f t="array" ref="T170">INDEX(Curva_Temp[Warranted Power Curve for 
1.194Kg/m3 air density '[kW']
SG 5.0-145 (AM+1, 5.2MW) AT 
90M],MATCH(TBL_CalcDarwin[[#This Row],[Darwin Temp.
°C]],Curva_Temp[Temp])+1)</f>
        <v>5000</v>
      </c>
      <c r="U17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7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7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70" s="41">
        <f>INDEX(Curva_Temp[Temp],MATCH(TBL_CalcDarwin[[#This Row],[Darwin Temp.
°C]],Curva_Temp[Temp]))</f>
        <v>15</v>
      </c>
      <c r="Z170" s="41">
        <f>INDEX(Curva_Temp[Warranted Power Curve for 
1.194Kg/m3 air density '[kW']
SG 5.0-145 (AM 0, 5.0MW) AT 
90M],MATCH(TBL_CalcDarwin[[#This Row],[Darwin Temp.
°C]],Curva_Temp[Temp]))</f>
        <v>5000</v>
      </c>
      <c r="AA170" s="41" cm="1">
        <f t="array" ref="AA170">INDEX(Curva_Temp[Temp],MATCH(TBL_CalcDarwin[[#This Row],[Darwin Temp.
°C]],Curva_Temp[Temp])+1)</f>
        <v>20</v>
      </c>
      <c r="AB170" s="41" cm="1">
        <f t="array" ref="AB170">INDEX(Curva_Temp[Warranted Power Curve for 
1.194Kg/m3 air density '[kW']
SG 5.0-145 (AM 0, 5.0MW) AT 
90M],MATCH(TBL_CalcDarwin[[#This Row],[Darwin Temp.
°C]],Curva_Temp[Temp])+1)</f>
        <v>5000</v>
      </c>
      <c r="AC170" s="45">
        <f>HLOOKUP(TBL_CalcDarwin[[#This Row],[Fecha]],'Plantilla AEG ES'!$E$1:$HX$13,2,FALSE)</f>
        <v>5</v>
      </c>
      <c r="AD170" s="45">
        <f>HLOOKUP(TBL_CalcDarwin[[#This Row],[Fecha]],'Plantilla AEG ES'!$E$1:$HX$13,3,FALSE)</f>
        <v>7</v>
      </c>
      <c r="AE170" s="45">
        <f>HLOOKUP(TBL_CalcDarwin[[#This Row],[Fecha]],'Plantilla AEG ES'!$E$1:$HX$13,4,FALSE)</f>
        <v>11</v>
      </c>
      <c r="AF170" s="45">
        <f>HLOOKUP(TBL_CalcDarwin[[#This Row],[Fecha]],'Plantilla AEG ES'!$E$1:$HX$13,5,FALSE)</f>
        <v>1</v>
      </c>
      <c r="AG170" s="45">
        <f>HLOOKUP(TBL_CalcDarwin[[#This Row],[Fecha]],'Plantilla AEG ES'!$E$1:$HX$13,6,FALSE)</f>
        <v>1</v>
      </c>
      <c r="AH170" s="45">
        <f>HLOOKUP(TBL_CalcDarwin[[#This Row],[Fecha]],'Plantilla AEG ES'!$E$1:$HX$13,7,FALSE)</f>
        <v>0</v>
      </c>
      <c r="AI170" s="46">
        <f>HLOOKUP(TBL_CalcDarwin[[#This Row],[Fecha]],'Plantilla AEG ES'!$E$1:$HX$13,8,FALSE)</f>
        <v>0</v>
      </c>
      <c r="AJ170" s="46">
        <f>HLOOKUP(TBL_CalcDarwin[[#This Row],[Fecha]],'Plantilla AEG ES'!$E$1:$HX$13,9,FALSE)</f>
        <v>3</v>
      </c>
      <c r="AK170" s="46">
        <f>HLOOKUP(TBL_CalcDarwin[[#This Row],[Fecha]],'Plantilla AEG ES'!$E$1:$HX$13,10,FALSE)</f>
        <v>12</v>
      </c>
      <c r="AL170" s="46">
        <f>HLOOKUP(TBL_CalcDarwin[[#This Row],[Fecha]],'Plantilla AEG ES'!$E$1:$HX$13,11,FALSE)</f>
        <v>1</v>
      </c>
      <c r="AM170" s="46">
        <f>HLOOKUP(TBL_CalcDarwin[[#This Row],[Fecha]],'Plantilla AEG ES'!$E$1:$HX$13,12,FALSE)</f>
        <v>7</v>
      </c>
      <c r="AN170" s="46">
        <f>HLOOKUP(TBL_CalcDarwin[[#This Row],[Fecha]],'Plantilla AEG ES'!$E$1:$HX$13,13,FALSE)</f>
        <v>1</v>
      </c>
      <c r="AO170" s="37">
        <f>TBL_CalcDarwin[[#This Row],[Lomitas - Barra A - 5.2 - Cerro]]+TBL_CalcDarwin[[#This Row],[Lomitas - Barra A - 5.2 - Medio]]+TBL_CalcDarwin[[#This Row],[Lomitas - Barra A - 5.2 - Mar]]</f>
        <v>23</v>
      </c>
      <c r="AP17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7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70" s="37">
        <f>TBL_CalcDarwin[[#This Row],[Expansión - Barra A - 5.2 - Cerro]]+TBL_CalcDarwin[[#This Row],[Expansión - Barra A - 5.2 - Medio]]+TBL_CalcDarwin[[#This Row],[Expansión - Barra A - 5.2 - Mar]]</f>
        <v>2</v>
      </c>
      <c r="AT170" s="37">
        <f>TBL_CalcDarwin[[#This Row],[Expansión - Barra B - 5.2 - Cerro]]</f>
        <v>1</v>
      </c>
      <c r="AU17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70" s="29">
        <f>TBL_CalcDarwin[[#This Row],[Expansión - Barra B - 5.2 - Cerro]]*TBL_CalcDarwin[[#This Row],[AEG 5.2 MW Cerro]]</f>
        <v>0.54700000000000004</v>
      </c>
      <c r="AZ170" s="18"/>
      <c r="BA170" s="18"/>
      <c r="BB170" s="18"/>
      <c r="BC170" s="18"/>
      <c r="BD170" s="18"/>
      <c r="BE170" s="18"/>
      <c r="BF170" s="18"/>
    </row>
    <row r="171" spans="2:58" ht="12" x14ac:dyDescent="0.2">
      <c r="B171" s="55">
        <f t="shared" si="13"/>
        <v>45620.041666666264</v>
      </c>
      <c r="C171" s="17">
        <f t="shared" si="16"/>
        <v>7.0416666666666821</v>
      </c>
      <c r="D171" s="34">
        <f>TBL_CalcDarwin[[#This Row],[Darwin PLOM
MW]]+TBL_CalcDarwin[[#This Row],[Darwin PLOME
MW]]</f>
        <v>38.544999999999995</v>
      </c>
      <c r="E171" s="34">
        <f>TBL_CalcDarwin[[#This Row],[PLOM MW TOTAL BARRA A]]+TBL_CalcDarwin[[#This Row],[PLOM MW TOTAL BARRA B]]</f>
        <v>37.233999999999995</v>
      </c>
      <c r="F171" s="34">
        <f>TBL_CalcDarwin[[#This Row],[PLOME MW TOTAL BARRA A]]+TBL_CalcDarwin[[#This Row],[PLOME MW TOTAL BARRA B]]</f>
        <v>1.3109999999999999</v>
      </c>
      <c r="G171" s="48">
        <f>'Plantilla Datos'!D176</f>
        <v>4.4000000000000004</v>
      </c>
      <c r="H171" s="48">
        <f>'Plantilla Datos'!E176</f>
        <v>5.7</v>
      </c>
      <c r="I171" s="49">
        <f>'Plantilla Datos'!F176</f>
        <v>17.899999999999999</v>
      </c>
      <c r="J171" s="47">
        <f>CEILING('Plantilla Datos'!$L$3*TBL_CalcDarwin[[#This Row],[Darwin Gusts
m/s]],0.5)</f>
        <v>4.5</v>
      </c>
      <c r="K171" s="47">
        <f>CEILING('Plantilla Datos'!$L$4*TBL_CalcDarwin[[#This Row],[Darwin Gusts
m/s]],0.5)</f>
        <v>5</v>
      </c>
      <c r="L171" s="47">
        <f>CEILING(TBL_CalcDarwin[[#This Row],[Darwin Gusts
m/s]],0.5)</f>
        <v>6</v>
      </c>
      <c r="M17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5.0839999999999996</v>
      </c>
      <c r="N17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7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7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71" s="41">
        <f>INDEX(Curva_Temp[Temp],MATCH(TBL_CalcDarwin[[#This Row],[Darwin Temp.
°C]],Curva_Temp[Temp]))</f>
        <v>15</v>
      </c>
      <c r="R171" s="41">
        <f>INDEX(Curva_Temp[Warranted Power Curve for 
1.194Kg/m3 air density '[kW']
SG 5.0-145 (AM+1, 5.2MW) AT 
90M],MATCH(TBL_CalcDarwin[[#This Row],[Darwin Temp.
°C]],Curva_Temp[Temp]))</f>
        <v>5200</v>
      </c>
      <c r="S171" s="41" cm="1">
        <f t="array" ref="S171">INDEX(Curva_Temp[Temp],MATCH(TBL_CalcDarwin[[#This Row],[Darwin Temp.
°C]],Curva_Temp[Temp])+1)</f>
        <v>20</v>
      </c>
      <c r="T171" s="41" cm="1">
        <f t="array" ref="T171">INDEX(Curva_Temp[Warranted Power Curve for 
1.194Kg/m3 air density '[kW']
SG 5.0-145 (AM+1, 5.2MW) AT 
90M],MATCH(TBL_CalcDarwin[[#This Row],[Darwin Temp.
°C]],Curva_Temp[Temp])+1)</f>
        <v>5000</v>
      </c>
      <c r="U17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7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7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71" s="41">
        <f>INDEX(Curva_Temp[Temp],MATCH(TBL_CalcDarwin[[#This Row],[Darwin Temp.
°C]],Curva_Temp[Temp]))</f>
        <v>15</v>
      </c>
      <c r="Z171" s="41">
        <f>INDEX(Curva_Temp[Warranted Power Curve for 
1.194Kg/m3 air density '[kW']
SG 5.0-145 (AM 0, 5.0MW) AT 
90M],MATCH(TBL_CalcDarwin[[#This Row],[Darwin Temp.
°C]],Curva_Temp[Temp]))</f>
        <v>5000</v>
      </c>
      <c r="AA171" s="41" cm="1">
        <f t="array" ref="AA171">INDEX(Curva_Temp[Temp],MATCH(TBL_CalcDarwin[[#This Row],[Darwin Temp.
°C]],Curva_Temp[Temp])+1)</f>
        <v>20</v>
      </c>
      <c r="AB171" s="41" cm="1">
        <f t="array" ref="AB171">INDEX(Curva_Temp[Warranted Power Curve for 
1.194Kg/m3 air density '[kW']
SG 5.0-145 (AM 0, 5.0MW) AT 
90M],MATCH(TBL_CalcDarwin[[#This Row],[Darwin Temp.
°C]],Curva_Temp[Temp])+1)</f>
        <v>5000</v>
      </c>
      <c r="AC171" s="45">
        <f>HLOOKUP(TBL_CalcDarwin[[#This Row],[Fecha]],'Plantilla AEG ES'!$E$1:$HX$13,2,FALSE)</f>
        <v>5</v>
      </c>
      <c r="AD171" s="45">
        <f>HLOOKUP(TBL_CalcDarwin[[#This Row],[Fecha]],'Plantilla AEG ES'!$E$1:$HX$13,3,FALSE)</f>
        <v>7</v>
      </c>
      <c r="AE171" s="45">
        <f>HLOOKUP(TBL_CalcDarwin[[#This Row],[Fecha]],'Plantilla AEG ES'!$E$1:$HX$13,4,FALSE)</f>
        <v>11</v>
      </c>
      <c r="AF171" s="45">
        <f>HLOOKUP(TBL_CalcDarwin[[#This Row],[Fecha]],'Plantilla AEG ES'!$E$1:$HX$13,5,FALSE)</f>
        <v>1</v>
      </c>
      <c r="AG171" s="45">
        <f>HLOOKUP(TBL_CalcDarwin[[#This Row],[Fecha]],'Plantilla AEG ES'!$E$1:$HX$13,6,FALSE)</f>
        <v>1</v>
      </c>
      <c r="AH171" s="45">
        <f>HLOOKUP(TBL_CalcDarwin[[#This Row],[Fecha]],'Plantilla AEG ES'!$E$1:$HX$13,7,FALSE)</f>
        <v>0</v>
      </c>
      <c r="AI171" s="46">
        <f>HLOOKUP(TBL_CalcDarwin[[#This Row],[Fecha]],'Plantilla AEG ES'!$E$1:$HX$13,8,FALSE)</f>
        <v>0</v>
      </c>
      <c r="AJ171" s="46">
        <f>HLOOKUP(TBL_CalcDarwin[[#This Row],[Fecha]],'Plantilla AEG ES'!$E$1:$HX$13,9,FALSE)</f>
        <v>3</v>
      </c>
      <c r="AK171" s="46">
        <f>HLOOKUP(TBL_CalcDarwin[[#This Row],[Fecha]],'Plantilla AEG ES'!$E$1:$HX$13,10,FALSE)</f>
        <v>12</v>
      </c>
      <c r="AL171" s="46">
        <f>HLOOKUP(TBL_CalcDarwin[[#This Row],[Fecha]],'Plantilla AEG ES'!$E$1:$HX$13,11,FALSE)</f>
        <v>1</v>
      </c>
      <c r="AM171" s="46">
        <f>HLOOKUP(TBL_CalcDarwin[[#This Row],[Fecha]],'Plantilla AEG ES'!$E$1:$HX$13,12,FALSE)</f>
        <v>7</v>
      </c>
      <c r="AN171" s="46">
        <f>HLOOKUP(TBL_CalcDarwin[[#This Row],[Fecha]],'Plantilla AEG ES'!$E$1:$HX$13,13,FALSE)</f>
        <v>1</v>
      </c>
      <c r="AO171" s="37">
        <f>TBL_CalcDarwin[[#This Row],[Lomitas - Barra A - 5.2 - Cerro]]+TBL_CalcDarwin[[#This Row],[Lomitas - Barra A - 5.2 - Medio]]+TBL_CalcDarwin[[#This Row],[Lomitas - Barra A - 5.2 - Mar]]</f>
        <v>23</v>
      </c>
      <c r="AP17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17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71" s="37">
        <f>TBL_CalcDarwin[[#This Row],[Expansión - Barra A - 5.2 - Cerro]]+TBL_CalcDarwin[[#This Row],[Expansión - Barra A - 5.2 - Medio]]+TBL_CalcDarwin[[#This Row],[Expansión - Barra A - 5.2 - Mar]]</f>
        <v>2</v>
      </c>
      <c r="AT171" s="37">
        <f>TBL_CalcDarwin[[#This Row],[Expansión - Barra B - 5.2 - Cerro]]</f>
        <v>1</v>
      </c>
      <c r="AU17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71" s="29">
        <f>TBL_CalcDarwin[[#This Row],[Expansión - Barra B - 5.2 - Cerro]]*TBL_CalcDarwin[[#This Row],[AEG 5.2 MW Cerro]]</f>
        <v>0.38200000000000001</v>
      </c>
      <c r="AZ171" s="18"/>
      <c r="BA171" s="18"/>
      <c r="BB171" s="18"/>
      <c r="BC171" s="18"/>
      <c r="BD171" s="18"/>
      <c r="BE171" s="18"/>
      <c r="BF171" s="18"/>
    </row>
    <row r="172" spans="2:58" ht="12" x14ac:dyDescent="0.2">
      <c r="B172" s="55">
        <f t="shared" si="13"/>
        <v>45620.083333332928</v>
      </c>
      <c r="C172" s="17">
        <f t="shared" si="16"/>
        <v>7.083333333333349</v>
      </c>
      <c r="D172" s="34">
        <f>TBL_CalcDarwin[[#This Row],[Darwin PLOM
MW]]+TBL_CalcDarwin[[#This Row],[Darwin PLOME
MW]]</f>
        <v>38.544999999999995</v>
      </c>
      <c r="E172" s="34">
        <f>TBL_CalcDarwin[[#This Row],[PLOM MW TOTAL BARRA A]]+TBL_CalcDarwin[[#This Row],[PLOM MW TOTAL BARRA B]]</f>
        <v>37.233999999999995</v>
      </c>
      <c r="F172" s="34">
        <f>TBL_CalcDarwin[[#This Row],[PLOME MW TOTAL BARRA A]]+TBL_CalcDarwin[[#This Row],[PLOME MW TOTAL BARRA B]]</f>
        <v>1.3109999999999999</v>
      </c>
      <c r="G172" s="48">
        <f>'Plantilla Datos'!D177</f>
        <v>4.4000000000000004</v>
      </c>
      <c r="H172" s="48">
        <f>'Plantilla Datos'!E177</f>
        <v>5.7</v>
      </c>
      <c r="I172" s="49">
        <f>'Plantilla Datos'!F177</f>
        <v>17.899999999999999</v>
      </c>
      <c r="J172" s="47">
        <f>CEILING('Plantilla Datos'!$L$3*TBL_CalcDarwin[[#This Row],[Darwin Gusts
m/s]],0.5)</f>
        <v>4.5</v>
      </c>
      <c r="K172" s="47">
        <f>CEILING('Plantilla Datos'!$L$4*TBL_CalcDarwin[[#This Row],[Darwin Gusts
m/s]],0.5)</f>
        <v>5</v>
      </c>
      <c r="L172" s="47">
        <f>CEILING(TBL_CalcDarwin[[#This Row],[Darwin Gusts
m/s]],0.5)</f>
        <v>6</v>
      </c>
      <c r="M17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5.0839999999999996</v>
      </c>
      <c r="N17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7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7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72" s="41">
        <f>INDEX(Curva_Temp[Temp],MATCH(TBL_CalcDarwin[[#This Row],[Darwin Temp.
°C]],Curva_Temp[Temp]))</f>
        <v>15</v>
      </c>
      <c r="R172" s="41">
        <f>INDEX(Curva_Temp[Warranted Power Curve for 
1.194Kg/m3 air density '[kW']
SG 5.0-145 (AM+1, 5.2MW) AT 
90M],MATCH(TBL_CalcDarwin[[#This Row],[Darwin Temp.
°C]],Curva_Temp[Temp]))</f>
        <v>5200</v>
      </c>
      <c r="S172" s="41" cm="1">
        <f t="array" ref="S172">INDEX(Curva_Temp[Temp],MATCH(TBL_CalcDarwin[[#This Row],[Darwin Temp.
°C]],Curva_Temp[Temp])+1)</f>
        <v>20</v>
      </c>
      <c r="T172" s="41" cm="1">
        <f t="array" ref="T172">INDEX(Curva_Temp[Warranted Power Curve for 
1.194Kg/m3 air density '[kW']
SG 5.0-145 (AM+1, 5.2MW) AT 
90M],MATCH(TBL_CalcDarwin[[#This Row],[Darwin Temp.
°C]],Curva_Temp[Temp])+1)</f>
        <v>5000</v>
      </c>
      <c r="U17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7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7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72" s="41">
        <f>INDEX(Curva_Temp[Temp],MATCH(TBL_CalcDarwin[[#This Row],[Darwin Temp.
°C]],Curva_Temp[Temp]))</f>
        <v>15</v>
      </c>
      <c r="Z172" s="41">
        <f>INDEX(Curva_Temp[Warranted Power Curve for 
1.194Kg/m3 air density '[kW']
SG 5.0-145 (AM 0, 5.0MW) AT 
90M],MATCH(TBL_CalcDarwin[[#This Row],[Darwin Temp.
°C]],Curva_Temp[Temp]))</f>
        <v>5000</v>
      </c>
      <c r="AA172" s="41" cm="1">
        <f t="array" ref="AA172">INDEX(Curva_Temp[Temp],MATCH(TBL_CalcDarwin[[#This Row],[Darwin Temp.
°C]],Curva_Temp[Temp])+1)</f>
        <v>20</v>
      </c>
      <c r="AB172" s="41" cm="1">
        <f t="array" ref="AB172">INDEX(Curva_Temp[Warranted Power Curve for 
1.194Kg/m3 air density '[kW']
SG 5.0-145 (AM 0, 5.0MW) AT 
90M],MATCH(TBL_CalcDarwin[[#This Row],[Darwin Temp.
°C]],Curva_Temp[Temp])+1)</f>
        <v>5000</v>
      </c>
      <c r="AC172" s="45">
        <f>HLOOKUP(TBL_CalcDarwin[[#This Row],[Fecha]],'Plantilla AEG ES'!$E$1:$HX$13,2,FALSE)</f>
        <v>5</v>
      </c>
      <c r="AD172" s="45">
        <f>HLOOKUP(TBL_CalcDarwin[[#This Row],[Fecha]],'Plantilla AEG ES'!$E$1:$HX$13,3,FALSE)</f>
        <v>7</v>
      </c>
      <c r="AE172" s="45">
        <f>HLOOKUP(TBL_CalcDarwin[[#This Row],[Fecha]],'Plantilla AEG ES'!$E$1:$HX$13,4,FALSE)</f>
        <v>11</v>
      </c>
      <c r="AF172" s="45">
        <f>HLOOKUP(TBL_CalcDarwin[[#This Row],[Fecha]],'Plantilla AEG ES'!$E$1:$HX$13,5,FALSE)</f>
        <v>1</v>
      </c>
      <c r="AG172" s="45">
        <f>HLOOKUP(TBL_CalcDarwin[[#This Row],[Fecha]],'Plantilla AEG ES'!$E$1:$HX$13,6,FALSE)</f>
        <v>1</v>
      </c>
      <c r="AH172" s="45">
        <f>HLOOKUP(TBL_CalcDarwin[[#This Row],[Fecha]],'Plantilla AEG ES'!$E$1:$HX$13,7,FALSE)</f>
        <v>0</v>
      </c>
      <c r="AI172" s="46">
        <f>HLOOKUP(TBL_CalcDarwin[[#This Row],[Fecha]],'Plantilla AEG ES'!$E$1:$HX$13,8,FALSE)</f>
        <v>0</v>
      </c>
      <c r="AJ172" s="46">
        <f>HLOOKUP(TBL_CalcDarwin[[#This Row],[Fecha]],'Plantilla AEG ES'!$E$1:$HX$13,9,FALSE)</f>
        <v>3</v>
      </c>
      <c r="AK172" s="46">
        <f>HLOOKUP(TBL_CalcDarwin[[#This Row],[Fecha]],'Plantilla AEG ES'!$E$1:$HX$13,10,FALSE)</f>
        <v>12</v>
      </c>
      <c r="AL172" s="46">
        <f>HLOOKUP(TBL_CalcDarwin[[#This Row],[Fecha]],'Plantilla AEG ES'!$E$1:$HX$13,11,FALSE)</f>
        <v>1</v>
      </c>
      <c r="AM172" s="46">
        <f>HLOOKUP(TBL_CalcDarwin[[#This Row],[Fecha]],'Plantilla AEG ES'!$E$1:$HX$13,12,FALSE)</f>
        <v>7</v>
      </c>
      <c r="AN172" s="46">
        <f>HLOOKUP(TBL_CalcDarwin[[#This Row],[Fecha]],'Plantilla AEG ES'!$E$1:$HX$13,13,FALSE)</f>
        <v>1</v>
      </c>
      <c r="AO172" s="37">
        <f>TBL_CalcDarwin[[#This Row],[Lomitas - Barra A - 5.2 - Cerro]]+TBL_CalcDarwin[[#This Row],[Lomitas - Barra A - 5.2 - Medio]]+TBL_CalcDarwin[[#This Row],[Lomitas - Barra A - 5.2 - Mar]]</f>
        <v>23</v>
      </c>
      <c r="AP17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17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72" s="37">
        <f>TBL_CalcDarwin[[#This Row],[Expansión - Barra A - 5.2 - Cerro]]+TBL_CalcDarwin[[#This Row],[Expansión - Barra A - 5.2 - Medio]]+TBL_CalcDarwin[[#This Row],[Expansión - Barra A - 5.2 - Mar]]</f>
        <v>2</v>
      </c>
      <c r="AT172" s="37">
        <f>TBL_CalcDarwin[[#This Row],[Expansión - Barra B - 5.2 - Cerro]]</f>
        <v>1</v>
      </c>
      <c r="AU17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72" s="29">
        <f>TBL_CalcDarwin[[#This Row],[Expansión - Barra B - 5.2 - Cerro]]*TBL_CalcDarwin[[#This Row],[AEG 5.2 MW Cerro]]</f>
        <v>0.38200000000000001</v>
      </c>
      <c r="AZ172" s="18"/>
      <c r="BA172" s="18"/>
      <c r="BB172" s="18"/>
      <c r="BC172" s="18"/>
      <c r="BD172" s="18"/>
      <c r="BE172" s="18"/>
      <c r="BF172" s="18"/>
    </row>
    <row r="173" spans="2:58" ht="12" x14ac:dyDescent="0.2">
      <c r="B173" s="55">
        <f t="shared" si="13"/>
        <v>45620.124999999593</v>
      </c>
      <c r="C173" s="17">
        <f>C172+TIME(1,0,0)</f>
        <v>7.125000000000016</v>
      </c>
      <c r="D173" s="34">
        <f>TBL_CalcDarwin[[#This Row],[Darwin PLOM
MW]]+TBL_CalcDarwin[[#This Row],[Darwin PLOME
MW]]</f>
        <v>38.544999999999995</v>
      </c>
      <c r="E173" s="34">
        <f>TBL_CalcDarwin[[#This Row],[PLOM MW TOTAL BARRA A]]+TBL_CalcDarwin[[#This Row],[PLOM MW TOTAL BARRA B]]</f>
        <v>37.233999999999995</v>
      </c>
      <c r="F173" s="34">
        <f>TBL_CalcDarwin[[#This Row],[PLOME MW TOTAL BARRA A]]+TBL_CalcDarwin[[#This Row],[PLOME MW TOTAL BARRA B]]</f>
        <v>1.3109999999999999</v>
      </c>
      <c r="G173" s="48">
        <f>'Plantilla Datos'!D178</f>
        <v>4.4000000000000004</v>
      </c>
      <c r="H173" s="48">
        <f>'Plantilla Datos'!E178</f>
        <v>5.7</v>
      </c>
      <c r="I173" s="49">
        <f>'Plantilla Datos'!F178</f>
        <v>17.8</v>
      </c>
      <c r="J173" s="47">
        <f>CEILING('Plantilla Datos'!$L$3*TBL_CalcDarwin[[#This Row],[Darwin Gusts
m/s]],0.5)</f>
        <v>4.5</v>
      </c>
      <c r="K173" s="47">
        <f>CEILING('Plantilla Datos'!$L$4*TBL_CalcDarwin[[#This Row],[Darwin Gusts
m/s]],0.5)</f>
        <v>5</v>
      </c>
      <c r="L173" s="47">
        <f>CEILING(TBL_CalcDarwin[[#This Row],[Darwin Gusts
m/s]],0.5)</f>
        <v>6</v>
      </c>
      <c r="M17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17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7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7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73" s="41">
        <f>INDEX(Curva_Temp[Temp],MATCH(TBL_CalcDarwin[[#This Row],[Darwin Temp.
°C]],Curva_Temp[Temp]))</f>
        <v>15</v>
      </c>
      <c r="R173" s="41">
        <f>INDEX(Curva_Temp[Warranted Power Curve for 
1.194Kg/m3 air density '[kW']
SG 5.0-145 (AM+1, 5.2MW) AT 
90M],MATCH(TBL_CalcDarwin[[#This Row],[Darwin Temp.
°C]],Curva_Temp[Temp]))</f>
        <v>5200</v>
      </c>
      <c r="S173" s="41" cm="1">
        <f t="array" ref="S173">INDEX(Curva_Temp[Temp],MATCH(TBL_CalcDarwin[[#This Row],[Darwin Temp.
°C]],Curva_Temp[Temp])+1)</f>
        <v>20</v>
      </c>
      <c r="T173" s="41" cm="1">
        <f t="array" ref="T173">INDEX(Curva_Temp[Warranted Power Curve for 
1.194Kg/m3 air density '[kW']
SG 5.0-145 (AM+1, 5.2MW) AT 
90M],MATCH(TBL_CalcDarwin[[#This Row],[Darwin Temp.
°C]],Curva_Temp[Temp])+1)</f>
        <v>5000</v>
      </c>
      <c r="U17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7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7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73" s="41">
        <f>INDEX(Curva_Temp[Temp],MATCH(TBL_CalcDarwin[[#This Row],[Darwin Temp.
°C]],Curva_Temp[Temp]))</f>
        <v>15</v>
      </c>
      <c r="Z173" s="41">
        <f>INDEX(Curva_Temp[Warranted Power Curve for 
1.194Kg/m3 air density '[kW']
SG 5.0-145 (AM 0, 5.0MW) AT 
90M],MATCH(TBL_CalcDarwin[[#This Row],[Darwin Temp.
°C]],Curva_Temp[Temp]))</f>
        <v>5000</v>
      </c>
      <c r="AA173" s="41" cm="1">
        <f t="array" ref="AA173">INDEX(Curva_Temp[Temp],MATCH(TBL_CalcDarwin[[#This Row],[Darwin Temp.
°C]],Curva_Temp[Temp])+1)</f>
        <v>20</v>
      </c>
      <c r="AB173" s="41" cm="1">
        <f t="array" ref="AB173">INDEX(Curva_Temp[Warranted Power Curve for 
1.194Kg/m3 air density '[kW']
SG 5.0-145 (AM 0, 5.0MW) AT 
90M],MATCH(TBL_CalcDarwin[[#This Row],[Darwin Temp.
°C]],Curva_Temp[Temp])+1)</f>
        <v>5000</v>
      </c>
      <c r="AC173" s="45">
        <f>HLOOKUP(TBL_CalcDarwin[[#This Row],[Fecha]],'Plantilla AEG ES'!$E$1:$HX$13,2,FALSE)</f>
        <v>5</v>
      </c>
      <c r="AD173" s="45">
        <f>HLOOKUP(TBL_CalcDarwin[[#This Row],[Fecha]],'Plantilla AEG ES'!$E$1:$HX$13,3,FALSE)</f>
        <v>7</v>
      </c>
      <c r="AE173" s="45">
        <f>HLOOKUP(TBL_CalcDarwin[[#This Row],[Fecha]],'Plantilla AEG ES'!$E$1:$HX$13,4,FALSE)</f>
        <v>11</v>
      </c>
      <c r="AF173" s="45">
        <f>HLOOKUP(TBL_CalcDarwin[[#This Row],[Fecha]],'Plantilla AEG ES'!$E$1:$HX$13,5,FALSE)</f>
        <v>1</v>
      </c>
      <c r="AG173" s="45">
        <f>HLOOKUP(TBL_CalcDarwin[[#This Row],[Fecha]],'Plantilla AEG ES'!$E$1:$HX$13,6,FALSE)</f>
        <v>1</v>
      </c>
      <c r="AH173" s="45">
        <f>HLOOKUP(TBL_CalcDarwin[[#This Row],[Fecha]],'Plantilla AEG ES'!$E$1:$HX$13,7,FALSE)</f>
        <v>0</v>
      </c>
      <c r="AI173" s="46">
        <f>HLOOKUP(TBL_CalcDarwin[[#This Row],[Fecha]],'Plantilla AEG ES'!$E$1:$HX$13,8,FALSE)</f>
        <v>0</v>
      </c>
      <c r="AJ173" s="46">
        <f>HLOOKUP(TBL_CalcDarwin[[#This Row],[Fecha]],'Plantilla AEG ES'!$E$1:$HX$13,9,FALSE)</f>
        <v>3</v>
      </c>
      <c r="AK173" s="46">
        <f>HLOOKUP(TBL_CalcDarwin[[#This Row],[Fecha]],'Plantilla AEG ES'!$E$1:$HX$13,10,FALSE)</f>
        <v>12</v>
      </c>
      <c r="AL173" s="46">
        <f>HLOOKUP(TBL_CalcDarwin[[#This Row],[Fecha]],'Plantilla AEG ES'!$E$1:$HX$13,11,FALSE)</f>
        <v>1</v>
      </c>
      <c r="AM173" s="46">
        <f>HLOOKUP(TBL_CalcDarwin[[#This Row],[Fecha]],'Plantilla AEG ES'!$E$1:$HX$13,12,FALSE)</f>
        <v>7</v>
      </c>
      <c r="AN173" s="46">
        <f>HLOOKUP(TBL_CalcDarwin[[#This Row],[Fecha]],'Plantilla AEG ES'!$E$1:$HX$13,13,FALSE)</f>
        <v>1</v>
      </c>
      <c r="AO173" s="37">
        <f>TBL_CalcDarwin[[#This Row],[Lomitas - Barra A - 5.2 - Cerro]]+TBL_CalcDarwin[[#This Row],[Lomitas - Barra A - 5.2 - Medio]]+TBL_CalcDarwin[[#This Row],[Lomitas - Barra A - 5.2 - Mar]]</f>
        <v>23</v>
      </c>
      <c r="AP17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17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73" s="37">
        <f>TBL_CalcDarwin[[#This Row],[Expansión - Barra A - 5.2 - Cerro]]+TBL_CalcDarwin[[#This Row],[Expansión - Barra A - 5.2 - Medio]]+TBL_CalcDarwin[[#This Row],[Expansión - Barra A - 5.2 - Mar]]</f>
        <v>2</v>
      </c>
      <c r="AT173" s="37">
        <f>TBL_CalcDarwin[[#This Row],[Expansión - Barra B - 5.2 - Cerro]]</f>
        <v>1</v>
      </c>
      <c r="AU17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73" s="29">
        <f>TBL_CalcDarwin[[#This Row],[Expansión - Barra B - 5.2 - Cerro]]*TBL_CalcDarwin[[#This Row],[AEG 5.2 MW Cerro]]</f>
        <v>0.38200000000000001</v>
      </c>
      <c r="AZ173" s="18"/>
      <c r="BA173" s="18"/>
      <c r="BB173" s="18"/>
      <c r="BC173" s="18"/>
      <c r="BD173" s="18"/>
      <c r="BE173" s="18"/>
      <c r="BF173" s="18"/>
    </row>
    <row r="174" spans="2:58" ht="12" x14ac:dyDescent="0.2">
      <c r="B174" s="55">
        <f t="shared" si="13"/>
        <v>45620.166666666257</v>
      </c>
      <c r="C174" s="17">
        <f t="shared" ref="C174:C190" si="17">C173+TIME(1,0,0)</f>
        <v>7.1666666666666829</v>
      </c>
      <c r="D174" s="34">
        <f>TBL_CalcDarwin[[#This Row],[Darwin PLOM
MW]]+TBL_CalcDarwin[[#This Row],[Darwin PLOME
MW]]</f>
        <v>38.544999999999995</v>
      </c>
      <c r="E174" s="34">
        <f>TBL_CalcDarwin[[#This Row],[PLOM MW TOTAL BARRA A]]+TBL_CalcDarwin[[#This Row],[PLOM MW TOTAL BARRA B]]</f>
        <v>37.233999999999995</v>
      </c>
      <c r="F174" s="34">
        <f>TBL_CalcDarwin[[#This Row],[PLOME MW TOTAL BARRA A]]+TBL_CalcDarwin[[#This Row],[PLOME MW TOTAL BARRA B]]</f>
        <v>1.3109999999999999</v>
      </c>
      <c r="G174" s="48">
        <f>'Plantilla Datos'!D179</f>
        <v>4.4000000000000004</v>
      </c>
      <c r="H174" s="48">
        <f>'Plantilla Datos'!E179</f>
        <v>5.7</v>
      </c>
      <c r="I174" s="49">
        <f>'Plantilla Datos'!F179</f>
        <v>17.8</v>
      </c>
      <c r="J174" s="47">
        <f>CEILING('Plantilla Datos'!$L$3*TBL_CalcDarwin[[#This Row],[Darwin Gusts
m/s]],0.5)</f>
        <v>4.5</v>
      </c>
      <c r="K174" s="47">
        <f>CEILING('Plantilla Datos'!$L$4*TBL_CalcDarwin[[#This Row],[Darwin Gusts
m/s]],0.5)</f>
        <v>5</v>
      </c>
      <c r="L174" s="47">
        <f>CEILING(TBL_CalcDarwin[[#This Row],[Darwin Gusts
m/s]],0.5)</f>
        <v>6</v>
      </c>
      <c r="M17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17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7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7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74" s="41">
        <f>INDEX(Curva_Temp[Temp],MATCH(TBL_CalcDarwin[[#This Row],[Darwin Temp.
°C]],Curva_Temp[Temp]))</f>
        <v>15</v>
      </c>
      <c r="R174" s="41">
        <f>INDEX(Curva_Temp[Warranted Power Curve for 
1.194Kg/m3 air density '[kW']
SG 5.0-145 (AM+1, 5.2MW) AT 
90M],MATCH(TBL_CalcDarwin[[#This Row],[Darwin Temp.
°C]],Curva_Temp[Temp]))</f>
        <v>5200</v>
      </c>
      <c r="S174" s="41" cm="1">
        <f t="array" ref="S174">INDEX(Curva_Temp[Temp],MATCH(TBL_CalcDarwin[[#This Row],[Darwin Temp.
°C]],Curva_Temp[Temp])+1)</f>
        <v>20</v>
      </c>
      <c r="T174" s="41" cm="1">
        <f t="array" ref="T174">INDEX(Curva_Temp[Warranted Power Curve for 
1.194Kg/m3 air density '[kW']
SG 5.0-145 (AM+1, 5.2MW) AT 
90M],MATCH(TBL_CalcDarwin[[#This Row],[Darwin Temp.
°C]],Curva_Temp[Temp])+1)</f>
        <v>5000</v>
      </c>
      <c r="U17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7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7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74" s="41">
        <f>INDEX(Curva_Temp[Temp],MATCH(TBL_CalcDarwin[[#This Row],[Darwin Temp.
°C]],Curva_Temp[Temp]))</f>
        <v>15</v>
      </c>
      <c r="Z174" s="41">
        <f>INDEX(Curva_Temp[Warranted Power Curve for 
1.194Kg/m3 air density '[kW']
SG 5.0-145 (AM 0, 5.0MW) AT 
90M],MATCH(TBL_CalcDarwin[[#This Row],[Darwin Temp.
°C]],Curva_Temp[Temp]))</f>
        <v>5000</v>
      </c>
      <c r="AA174" s="41" cm="1">
        <f t="array" ref="AA174">INDEX(Curva_Temp[Temp],MATCH(TBL_CalcDarwin[[#This Row],[Darwin Temp.
°C]],Curva_Temp[Temp])+1)</f>
        <v>20</v>
      </c>
      <c r="AB174" s="41" cm="1">
        <f t="array" ref="AB174">INDEX(Curva_Temp[Warranted Power Curve for 
1.194Kg/m3 air density '[kW']
SG 5.0-145 (AM 0, 5.0MW) AT 
90M],MATCH(TBL_CalcDarwin[[#This Row],[Darwin Temp.
°C]],Curva_Temp[Temp])+1)</f>
        <v>5000</v>
      </c>
      <c r="AC174" s="45">
        <f>HLOOKUP(TBL_CalcDarwin[[#This Row],[Fecha]],'Plantilla AEG ES'!$E$1:$HX$13,2,FALSE)</f>
        <v>5</v>
      </c>
      <c r="AD174" s="45">
        <f>HLOOKUP(TBL_CalcDarwin[[#This Row],[Fecha]],'Plantilla AEG ES'!$E$1:$HX$13,3,FALSE)</f>
        <v>7</v>
      </c>
      <c r="AE174" s="45">
        <f>HLOOKUP(TBL_CalcDarwin[[#This Row],[Fecha]],'Plantilla AEG ES'!$E$1:$HX$13,4,FALSE)</f>
        <v>11</v>
      </c>
      <c r="AF174" s="45">
        <f>HLOOKUP(TBL_CalcDarwin[[#This Row],[Fecha]],'Plantilla AEG ES'!$E$1:$HX$13,5,FALSE)</f>
        <v>1</v>
      </c>
      <c r="AG174" s="45">
        <f>HLOOKUP(TBL_CalcDarwin[[#This Row],[Fecha]],'Plantilla AEG ES'!$E$1:$HX$13,6,FALSE)</f>
        <v>1</v>
      </c>
      <c r="AH174" s="45">
        <f>HLOOKUP(TBL_CalcDarwin[[#This Row],[Fecha]],'Plantilla AEG ES'!$E$1:$HX$13,7,FALSE)</f>
        <v>0</v>
      </c>
      <c r="AI174" s="46">
        <f>HLOOKUP(TBL_CalcDarwin[[#This Row],[Fecha]],'Plantilla AEG ES'!$E$1:$HX$13,8,FALSE)</f>
        <v>0</v>
      </c>
      <c r="AJ174" s="46">
        <f>HLOOKUP(TBL_CalcDarwin[[#This Row],[Fecha]],'Plantilla AEG ES'!$E$1:$HX$13,9,FALSE)</f>
        <v>3</v>
      </c>
      <c r="AK174" s="46">
        <f>HLOOKUP(TBL_CalcDarwin[[#This Row],[Fecha]],'Plantilla AEG ES'!$E$1:$HX$13,10,FALSE)</f>
        <v>12</v>
      </c>
      <c r="AL174" s="46">
        <f>HLOOKUP(TBL_CalcDarwin[[#This Row],[Fecha]],'Plantilla AEG ES'!$E$1:$HX$13,11,FALSE)</f>
        <v>1</v>
      </c>
      <c r="AM174" s="46">
        <f>HLOOKUP(TBL_CalcDarwin[[#This Row],[Fecha]],'Plantilla AEG ES'!$E$1:$HX$13,12,FALSE)</f>
        <v>7</v>
      </c>
      <c r="AN174" s="46">
        <f>HLOOKUP(TBL_CalcDarwin[[#This Row],[Fecha]],'Plantilla AEG ES'!$E$1:$HX$13,13,FALSE)</f>
        <v>1</v>
      </c>
      <c r="AO174" s="37">
        <f>TBL_CalcDarwin[[#This Row],[Lomitas - Barra A - 5.2 - Cerro]]+TBL_CalcDarwin[[#This Row],[Lomitas - Barra A - 5.2 - Medio]]+TBL_CalcDarwin[[#This Row],[Lomitas - Barra A - 5.2 - Mar]]</f>
        <v>23</v>
      </c>
      <c r="AP17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17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74" s="37">
        <f>TBL_CalcDarwin[[#This Row],[Expansión - Barra A - 5.2 - Cerro]]+TBL_CalcDarwin[[#This Row],[Expansión - Barra A - 5.2 - Medio]]+TBL_CalcDarwin[[#This Row],[Expansión - Barra A - 5.2 - Mar]]</f>
        <v>2</v>
      </c>
      <c r="AT174" s="37">
        <f>TBL_CalcDarwin[[#This Row],[Expansión - Barra B - 5.2 - Cerro]]</f>
        <v>1</v>
      </c>
      <c r="AU17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74" s="29">
        <f>TBL_CalcDarwin[[#This Row],[Expansión - Barra B - 5.2 - Cerro]]*TBL_CalcDarwin[[#This Row],[AEG 5.2 MW Cerro]]</f>
        <v>0.38200000000000001</v>
      </c>
      <c r="AZ174" s="18"/>
      <c r="BA174" s="18"/>
      <c r="BB174" s="18"/>
      <c r="BC174" s="18"/>
      <c r="BD174" s="18"/>
      <c r="BE174" s="18"/>
      <c r="BF174" s="18"/>
    </row>
    <row r="175" spans="2:58" ht="12" x14ac:dyDescent="0.2">
      <c r="B175" s="55">
        <f t="shared" si="13"/>
        <v>45620.208333332921</v>
      </c>
      <c r="C175" s="17">
        <f t="shared" si="17"/>
        <v>7.2083333333333499</v>
      </c>
      <c r="D175" s="34">
        <f>TBL_CalcDarwin[[#This Row],[Darwin PLOM
MW]]+TBL_CalcDarwin[[#This Row],[Darwin PLOME
MW]]</f>
        <v>38.544999999999995</v>
      </c>
      <c r="E175" s="34">
        <f>TBL_CalcDarwin[[#This Row],[PLOM MW TOTAL BARRA A]]+TBL_CalcDarwin[[#This Row],[PLOM MW TOTAL BARRA B]]</f>
        <v>37.233999999999995</v>
      </c>
      <c r="F175" s="34">
        <f>TBL_CalcDarwin[[#This Row],[PLOME MW TOTAL BARRA A]]+TBL_CalcDarwin[[#This Row],[PLOME MW TOTAL BARRA B]]</f>
        <v>1.3109999999999999</v>
      </c>
      <c r="G175" s="48">
        <f>'Plantilla Datos'!D180</f>
        <v>4.4000000000000004</v>
      </c>
      <c r="H175" s="48">
        <f>'Plantilla Datos'!E180</f>
        <v>5.7</v>
      </c>
      <c r="I175" s="49">
        <f>'Plantilla Datos'!F180</f>
        <v>17.899999999999999</v>
      </c>
      <c r="J175" s="47">
        <f>CEILING('Plantilla Datos'!$L$3*TBL_CalcDarwin[[#This Row],[Darwin Gusts
m/s]],0.5)</f>
        <v>4.5</v>
      </c>
      <c r="K175" s="47">
        <f>CEILING('Plantilla Datos'!$L$4*TBL_CalcDarwin[[#This Row],[Darwin Gusts
m/s]],0.5)</f>
        <v>5</v>
      </c>
      <c r="L175" s="47">
        <f>CEILING(TBL_CalcDarwin[[#This Row],[Darwin Gusts
m/s]],0.5)</f>
        <v>6</v>
      </c>
      <c r="M17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5.0839999999999996</v>
      </c>
      <c r="N17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7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7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75" s="41">
        <f>INDEX(Curva_Temp[Temp],MATCH(TBL_CalcDarwin[[#This Row],[Darwin Temp.
°C]],Curva_Temp[Temp]))</f>
        <v>15</v>
      </c>
      <c r="R175" s="41">
        <f>INDEX(Curva_Temp[Warranted Power Curve for 
1.194Kg/m3 air density '[kW']
SG 5.0-145 (AM+1, 5.2MW) AT 
90M],MATCH(TBL_CalcDarwin[[#This Row],[Darwin Temp.
°C]],Curva_Temp[Temp]))</f>
        <v>5200</v>
      </c>
      <c r="S175" s="41" cm="1">
        <f t="array" ref="S175">INDEX(Curva_Temp[Temp],MATCH(TBL_CalcDarwin[[#This Row],[Darwin Temp.
°C]],Curva_Temp[Temp])+1)</f>
        <v>20</v>
      </c>
      <c r="T175" s="41" cm="1">
        <f t="array" ref="T175">INDEX(Curva_Temp[Warranted Power Curve for 
1.194Kg/m3 air density '[kW']
SG 5.0-145 (AM+1, 5.2MW) AT 
90M],MATCH(TBL_CalcDarwin[[#This Row],[Darwin Temp.
°C]],Curva_Temp[Temp])+1)</f>
        <v>5000</v>
      </c>
      <c r="U17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7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7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75" s="41">
        <f>INDEX(Curva_Temp[Temp],MATCH(TBL_CalcDarwin[[#This Row],[Darwin Temp.
°C]],Curva_Temp[Temp]))</f>
        <v>15</v>
      </c>
      <c r="Z175" s="41">
        <f>INDEX(Curva_Temp[Warranted Power Curve for 
1.194Kg/m3 air density '[kW']
SG 5.0-145 (AM 0, 5.0MW) AT 
90M],MATCH(TBL_CalcDarwin[[#This Row],[Darwin Temp.
°C]],Curva_Temp[Temp]))</f>
        <v>5000</v>
      </c>
      <c r="AA175" s="41" cm="1">
        <f t="array" ref="AA175">INDEX(Curva_Temp[Temp],MATCH(TBL_CalcDarwin[[#This Row],[Darwin Temp.
°C]],Curva_Temp[Temp])+1)</f>
        <v>20</v>
      </c>
      <c r="AB175" s="41" cm="1">
        <f t="array" ref="AB175">INDEX(Curva_Temp[Warranted Power Curve for 
1.194Kg/m3 air density '[kW']
SG 5.0-145 (AM 0, 5.0MW) AT 
90M],MATCH(TBL_CalcDarwin[[#This Row],[Darwin Temp.
°C]],Curva_Temp[Temp])+1)</f>
        <v>5000</v>
      </c>
      <c r="AC175" s="45">
        <f>HLOOKUP(TBL_CalcDarwin[[#This Row],[Fecha]],'Plantilla AEG ES'!$E$1:$HX$13,2,FALSE)</f>
        <v>5</v>
      </c>
      <c r="AD175" s="45">
        <f>HLOOKUP(TBL_CalcDarwin[[#This Row],[Fecha]],'Plantilla AEG ES'!$E$1:$HX$13,3,FALSE)</f>
        <v>7</v>
      </c>
      <c r="AE175" s="45">
        <f>HLOOKUP(TBL_CalcDarwin[[#This Row],[Fecha]],'Plantilla AEG ES'!$E$1:$HX$13,4,FALSE)</f>
        <v>11</v>
      </c>
      <c r="AF175" s="45">
        <f>HLOOKUP(TBL_CalcDarwin[[#This Row],[Fecha]],'Plantilla AEG ES'!$E$1:$HX$13,5,FALSE)</f>
        <v>1</v>
      </c>
      <c r="AG175" s="45">
        <f>HLOOKUP(TBL_CalcDarwin[[#This Row],[Fecha]],'Plantilla AEG ES'!$E$1:$HX$13,6,FALSE)</f>
        <v>1</v>
      </c>
      <c r="AH175" s="45">
        <f>HLOOKUP(TBL_CalcDarwin[[#This Row],[Fecha]],'Plantilla AEG ES'!$E$1:$HX$13,7,FALSE)</f>
        <v>0</v>
      </c>
      <c r="AI175" s="46">
        <f>HLOOKUP(TBL_CalcDarwin[[#This Row],[Fecha]],'Plantilla AEG ES'!$E$1:$HX$13,8,FALSE)</f>
        <v>0</v>
      </c>
      <c r="AJ175" s="46">
        <f>HLOOKUP(TBL_CalcDarwin[[#This Row],[Fecha]],'Plantilla AEG ES'!$E$1:$HX$13,9,FALSE)</f>
        <v>3</v>
      </c>
      <c r="AK175" s="46">
        <f>HLOOKUP(TBL_CalcDarwin[[#This Row],[Fecha]],'Plantilla AEG ES'!$E$1:$HX$13,10,FALSE)</f>
        <v>12</v>
      </c>
      <c r="AL175" s="46">
        <f>HLOOKUP(TBL_CalcDarwin[[#This Row],[Fecha]],'Plantilla AEG ES'!$E$1:$HX$13,11,FALSE)</f>
        <v>1</v>
      </c>
      <c r="AM175" s="46">
        <f>HLOOKUP(TBL_CalcDarwin[[#This Row],[Fecha]],'Plantilla AEG ES'!$E$1:$HX$13,12,FALSE)</f>
        <v>7</v>
      </c>
      <c r="AN175" s="46">
        <f>HLOOKUP(TBL_CalcDarwin[[#This Row],[Fecha]],'Plantilla AEG ES'!$E$1:$HX$13,13,FALSE)</f>
        <v>1</v>
      </c>
      <c r="AO175" s="37">
        <f>TBL_CalcDarwin[[#This Row],[Lomitas - Barra A - 5.2 - Cerro]]+TBL_CalcDarwin[[#This Row],[Lomitas - Barra A - 5.2 - Medio]]+TBL_CalcDarwin[[#This Row],[Lomitas - Barra A - 5.2 - Mar]]</f>
        <v>23</v>
      </c>
      <c r="AP17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17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75" s="37">
        <f>TBL_CalcDarwin[[#This Row],[Expansión - Barra A - 5.2 - Cerro]]+TBL_CalcDarwin[[#This Row],[Expansión - Barra A - 5.2 - Medio]]+TBL_CalcDarwin[[#This Row],[Expansión - Barra A - 5.2 - Mar]]</f>
        <v>2</v>
      </c>
      <c r="AT175" s="37">
        <f>TBL_CalcDarwin[[#This Row],[Expansión - Barra B - 5.2 - Cerro]]</f>
        <v>1</v>
      </c>
      <c r="AU17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75" s="29">
        <f>TBL_CalcDarwin[[#This Row],[Expansión - Barra B - 5.2 - Cerro]]*TBL_CalcDarwin[[#This Row],[AEG 5.2 MW Cerro]]</f>
        <v>0.38200000000000001</v>
      </c>
      <c r="AZ175" s="18"/>
      <c r="BA175" s="18"/>
      <c r="BB175" s="18"/>
      <c r="BC175" s="18"/>
      <c r="BD175" s="18"/>
      <c r="BE175" s="18"/>
      <c r="BF175" s="18"/>
    </row>
    <row r="176" spans="2:58" ht="12" x14ac:dyDescent="0.2">
      <c r="B176" s="55">
        <f t="shared" si="13"/>
        <v>45620.249999999585</v>
      </c>
      <c r="C176" s="17">
        <f t="shared" si="17"/>
        <v>7.2500000000000169</v>
      </c>
      <c r="D176" s="34">
        <f>TBL_CalcDarwin[[#This Row],[Darwin PLOM
MW]]+TBL_CalcDarwin[[#This Row],[Darwin PLOME
MW]]</f>
        <v>38.544999999999995</v>
      </c>
      <c r="E176" s="34">
        <f>TBL_CalcDarwin[[#This Row],[PLOM MW TOTAL BARRA A]]+TBL_CalcDarwin[[#This Row],[PLOM MW TOTAL BARRA B]]</f>
        <v>37.233999999999995</v>
      </c>
      <c r="F176" s="34">
        <f>TBL_CalcDarwin[[#This Row],[PLOME MW TOTAL BARRA A]]+TBL_CalcDarwin[[#This Row],[PLOME MW TOTAL BARRA B]]</f>
        <v>1.3109999999999999</v>
      </c>
      <c r="G176" s="48">
        <f>'Plantilla Datos'!D181</f>
        <v>4.4000000000000004</v>
      </c>
      <c r="H176" s="48">
        <f>'Plantilla Datos'!E181</f>
        <v>5.7</v>
      </c>
      <c r="I176" s="49">
        <f>'Plantilla Datos'!F181</f>
        <v>18</v>
      </c>
      <c r="J176" s="47">
        <f>CEILING('Plantilla Datos'!$L$3*TBL_CalcDarwin[[#This Row],[Darwin Gusts
m/s]],0.5)</f>
        <v>4.5</v>
      </c>
      <c r="K176" s="47">
        <f>CEILING('Plantilla Datos'!$L$4*TBL_CalcDarwin[[#This Row],[Darwin Gusts
m/s]],0.5)</f>
        <v>5</v>
      </c>
      <c r="L176" s="47">
        <f>CEILING(TBL_CalcDarwin[[#This Row],[Darwin Gusts
m/s]],0.5)</f>
        <v>6</v>
      </c>
      <c r="M17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</v>
      </c>
      <c r="N17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7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7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76" s="41">
        <f>INDEX(Curva_Temp[Temp],MATCH(TBL_CalcDarwin[[#This Row],[Darwin Temp.
°C]],Curva_Temp[Temp]))</f>
        <v>15</v>
      </c>
      <c r="R176" s="41">
        <f>INDEX(Curva_Temp[Warranted Power Curve for 
1.194Kg/m3 air density '[kW']
SG 5.0-145 (AM+1, 5.2MW) AT 
90M],MATCH(TBL_CalcDarwin[[#This Row],[Darwin Temp.
°C]],Curva_Temp[Temp]))</f>
        <v>5200</v>
      </c>
      <c r="S176" s="41" cm="1">
        <f t="array" ref="S176">INDEX(Curva_Temp[Temp],MATCH(TBL_CalcDarwin[[#This Row],[Darwin Temp.
°C]],Curva_Temp[Temp])+1)</f>
        <v>20</v>
      </c>
      <c r="T176" s="41" cm="1">
        <f t="array" ref="T176">INDEX(Curva_Temp[Warranted Power Curve for 
1.194Kg/m3 air density '[kW']
SG 5.0-145 (AM+1, 5.2MW) AT 
90M],MATCH(TBL_CalcDarwin[[#This Row],[Darwin Temp.
°C]],Curva_Temp[Temp])+1)</f>
        <v>5000</v>
      </c>
      <c r="U17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7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7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76" s="41">
        <f>INDEX(Curva_Temp[Temp],MATCH(TBL_CalcDarwin[[#This Row],[Darwin Temp.
°C]],Curva_Temp[Temp]))</f>
        <v>15</v>
      </c>
      <c r="Z176" s="41">
        <f>INDEX(Curva_Temp[Warranted Power Curve for 
1.194Kg/m3 air density '[kW']
SG 5.0-145 (AM 0, 5.0MW) AT 
90M],MATCH(TBL_CalcDarwin[[#This Row],[Darwin Temp.
°C]],Curva_Temp[Temp]))</f>
        <v>5000</v>
      </c>
      <c r="AA176" s="41" cm="1">
        <f t="array" ref="AA176">INDEX(Curva_Temp[Temp],MATCH(TBL_CalcDarwin[[#This Row],[Darwin Temp.
°C]],Curva_Temp[Temp])+1)</f>
        <v>20</v>
      </c>
      <c r="AB176" s="41" cm="1">
        <f t="array" ref="AB176">INDEX(Curva_Temp[Warranted Power Curve for 
1.194Kg/m3 air density '[kW']
SG 5.0-145 (AM 0, 5.0MW) AT 
90M],MATCH(TBL_CalcDarwin[[#This Row],[Darwin Temp.
°C]],Curva_Temp[Temp])+1)</f>
        <v>5000</v>
      </c>
      <c r="AC176" s="45">
        <f>HLOOKUP(TBL_CalcDarwin[[#This Row],[Fecha]],'Plantilla AEG ES'!$E$1:$HX$13,2,FALSE)</f>
        <v>5</v>
      </c>
      <c r="AD176" s="45">
        <f>HLOOKUP(TBL_CalcDarwin[[#This Row],[Fecha]],'Plantilla AEG ES'!$E$1:$HX$13,3,FALSE)</f>
        <v>7</v>
      </c>
      <c r="AE176" s="45">
        <f>HLOOKUP(TBL_CalcDarwin[[#This Row],[Fecha]],'Plantilla AEG ES'!$E$1:$HX$13,4,FALSE)</f>
        <v>11</v>
      </c>
      <c r="AF176" s="45">
        <f>HLOOKUP(TBL_CalcDarwin[[#This Row],[Fecha]],'Plantilla AEG ES'!$E$1:$HX$13,5,FALSE)</f>
        <v>1</v>
      </c>
      <c r="AG176" s="45">
        <f>HLOOKUP(TBL_CalcDarwin[[#This Row],[Fecha]],'Plantilla AEG ES'!$E$1:$HX$13,6,FALSE)</f>
        <v>1</v>
      </c>
      <c r="AH176" s="45">
        <f>HLOOKUP(TBL_CalcDarwin[[#This Row],[Fecha]],'Plantilla AEG ES'!$E$1:$HX$13,7,FALSE)</f>
        <v>0</v>
      </c>
      <c r="AI176" s="46">
        <f>HLOOKUP(TBL_CalcDarwin[[#This Row],[Fecha]],'Plantilla AEG ES'!$E$1:$HX$13,8,FALSE)</f>
        <v>0</v>
      </c>
      <c r="AJ176" s="46">
        <f>HLOOKUP(TBL_CalcDarwin[[#This Row],[Fecha]],'Plantilla AEG ES'!$E$1:$HX$13,9,FALSE)</f>
        <v>3</v>
      </c>
      <c r="AK176" s="46">
        <f>HLOOKUP(TBL_CalcDarwin[[#This Row],[Fecha]],'Plantilla AEG ES'!$E$1:$HX$13,10,FALSE)</f>
        <v>12</v>
      </c>
      <c r="AL176" s="46">
        <f>HLOOKUP(TBL_CalcDarwin[[#This Row],[Fecha]],'Plantilla AEG ES'!$E$1:$HX$13,11,FALSE)</f>
        <v>1</v>
      </c>
      <c r="AM176" s="46">
        <f>HLOOKUP(TBL_CalcDarwin[[#This Row],[Fecha]],'Plantilla AEG ES'!$E$1:$HX$13,12,FALSE)</f>
        <v>7</v>
      </c>
      <c r="AN176" s="46">
        <f>HLOOKUP(TBL_CalcDarwin[[#This Row],[Fecha]],'Plantilla AEG ES'!$E$1:$HX$13,13,FALSE)</f>
        <v>1</v>
      </c>
      <c r="AO176" s="37">
        <f>TBL_CalcDarwin[[#This Row],[Lomitas - Barra A - 5.2 - Cerro]]+TBL_CalcDarwin[[#This Row],[Lomitas - Barra A - 5.2 - Medio]]+TBL_CalcDarwin[[#This Row],[Lomitas - Barra A - 5.2 - Mar]]</f>
        <v>23</v>
      </c>
      <c r="AP17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17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76" s="37">
        <f>TBL_CalcDarwin[[#This Row],[Expansión - Barra A - 5.2 - Cerro]]+TBL_CalcDarwin[[#This Row],[Expansión - Barra A - 5.2 - Medio]]+TBL_CalcDarwin[[#This Row],[Expansión - Barra A - 5.2 - Mar]]</f>
        <v>2</v>
      </c>
      <c r="AT176" s="37">
        <f>TBL_CalcDarwin[[#This Row],[Expansión - Barra B - 5.2 - Cerro]]</f>
        <v>1</v>
      </c>
      <c r="AU17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76" s="29">
        <f>TBL_CalcDarwin[[#This Row],[Expansión - Barra B - 5.2 - Cerro]]*TBL_CalcDarwin[[#This Row],[AEG 5.2 MW Cerro]]</f>
        <v>0.38200000000000001</v>
      </c>
      <c r="AZ176" s="18"/>
      <c r="BA176" s="18"/>
      <c r="BB176" s="18"/>
      <c r="BC176" s="18"/>
      <c r="BD176" s="18"/>
      <c r="BE176" s="18"/>
      <c r="BF176" s="18"/>
    </row>
    <row r="177" spans="2:58" ht="12" x14ac:dyDescent="0.2">
      <c r="B177" s="55">
        <f t="shared" si="13"/>
        <v>45620.29166666625</v>
      </c>
      <c r="C177" s="17">
        <f t="shared" si="17"/>
        <v>7.2916666666666838</v>
      </c>
      <c r="D177" s="34">
        <f>TBL_CalcDarwin[[#This Row],[Darwin PLOM
MW]]+TBL_CalcDarwin[[#This Row],[Darwin PLOME
MW]]</f>
        <v>38.544999999999995</v>
      </c>
      <c r="E177" s="34">
        <f>TBL_CalcDarwin[[#This Row],[PLOM MW TOTAL BARRA A]]+TBL_CalcDarwin[[#This Row],[PLOM MW TOTAL BARRA B]]</f>
        <v>37.233999999999995</v>
      </c>
      <c r="F177" s="34">
        <f>TBL_CalcDarwin[[#This Row],[PLOME MW TOTAL BARRA A]]+TBL_CalcDarwin[[#This Row],[PLOME MW TOTAL BARRA B]]</f>
        <v>1.3109999999999999</v>
      </c>
      <c r="G177" s="48">
        <f>'Plantilla Datos'!D182</f>
        <v>4.4000000000000004</v>
      </c>
      <c r="H177" s="48">
        <f>'Plantilla Datos'!E182</f>
        <v>5.7</v>
      </c>
      <c r="I177" s="49">
        <f>'Plantilla Datos'!F182</f>
        <v>18</v>
      </c>
      <c r="J177" s="47">
        <f>CEILING('Plantilla Datos'!$L$3*TBL_CalcDarwin[[#This Row],[Darwin Gusts
m/s]],0.5)</f>
        <v>4.5</v>
      </c>
      <c r="K177" s="47">
        <f>CEILING('Plantilla Datos'!$L$4*TBL_CalcDarwin[[#This Row],[Darwin Gusts
m/s]],0.5)</f>
        <v>5</v>
      </c>
      <c r="L177" s="47">
        <f>CEILING(TBL_CalcDarwin[[#This Row],[Darwin Gusts
m/s]],0.5)</f>
        <v>6</v>
      </c>
      <c r="M17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</v>
      </c>
      <c r="N17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7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7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77" s="41">
        <f>INDEX(Curva_Temp[Temp],MATCH(TBL_CalcDarwin[[#This Row],[Darwin Temp.
°C]],Curva_Temp[Temp]))</f>
        <v>15</v>
      </c>
      <c r="R177" s="41">
        <f>INDEX(Curva_Temp[Warranted Power Curve for 
1.194Kg/m3 air density '[kW']
SG 5.0-145 (AM+1, 5.2MW) AT 
90M],MATCH(TBL_CalcDarwin[[#This Row],[Darwin Temp.
°C]],Curva_Temp[Temp]))</f>
        <v>5200</v>
      </c>
      <c r="S177" s="41" cm="1">
        <f t="array" ref="S177">INDEX(Curva_Temp[Temp],MATCH(TBL_CalcDarwin[[#This Row],[Darwin Temp.
°C]],Curva_Temp[Temp])+1)</f>
        <v>20</v>
      </c>
      <c r="T177" s="41" cm="1">
        <f t="array" ref="T177">INDEX(Curva_Temp[Warranted Power Curve for 
1.194Kg/m3 air density '[kW']
SG 5.0-145 (AM+1, 5.2MW) AT 
90M],MATCH(TBL_CalcDarwin[[#This Row],[Darwin Temp.
°C]],Curva_Temp[Temp])+1)</f>
        <v>5000</v>
      </c>
      <c r="U17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7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7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77" s="41">
        <f>INDEX(Curva_Temp[Temp],MATCH(TBL_CalcDarwin[[#This Row],[Darwin Temp.
°C]],Curva_Temp[Temp]))</f>
        <v>15</v>
      </c>
      <c r="Z177" s="41">
        <f>INDEX(Curva_Temp[Warranted Power Curve for 
1.194Kg/m3 air density '[kW']
SG 5.0-145 (AM 0, 5.0MW) AT 
90M],MATCH(TBL_CalcDarwin[[#This Row],[Darwin Temp.
°C]],Curva_Temp[Temp]))</f>
        <v>5000</v>
      </c>
      <c r="AA177" s="41" cm="1">
        <f t="array" ref="AA177">INDEX(Curva_Temp[Temp],MATCH(TBL_CalcDarwin[[#This Row],[Darwin Temp.
°C]],Curva_Temp[Temp])+1)</f>
        <v>20</v>
      </c>
      <c r="AB177" s="41" cm="1">
        <f t="array" ref="AB177">INDEX(Curva_Temp[Warranted Power Curve for 
1.194Kg/m3 air density '[kW']
SG 5.0-145 (AM 0, 5.0MW) AT 
90M],MATCH(TBL_CalcDarwin[[#This Row],[Darwin Temp.
°C]],Curva_Temp[Temp])+1)</f>
        <v>5000</v>
      </c>
      <c r="AC177" s="45">
        <f>HLOOKUP(TBL_CalcDarwin[[#This Row],[Fecha]],'Plantilla AEG ES'!$E$1:$HX$13,2,FALSE)</f>
        <v>5</v>
      </c>
      <c r="AD177" s="45">
        <f>HLOOKUP(TBL_CalcDarwin[[#This Row],[Fecha]],'Plantilla AEG ES'!$E$1:$HX$13,3,FALSE)</f>
        <v>7</v>
      </c>
      <c r="AE177" s="45">
        <f>HLOOKUP(TBL_CalcDarwin[[#This Row],[Fecha]],'Plantilla AEG ES'!$E$1:$HX$13,4,FALSE)</f>
        <v>11</v>
      </c>
      <c r="AF177" s="45">
        <f>HLOOKUP(TBL_CalcDarwin[[#This Row],[Fecha]],'Plantilla AEG ES'!$E$1:$HX$13,5,FALSE)</f>
        <v>1</v>
      </c>
      <c r="AG177" s="45">
        <f>HLOOKUP(TBL_CalcDarwin[[#This Row],[Fecha]],'Plantilla AEG ES'!$E$1:$HX$13,6,FALSE)</f>
        <v>1</v>
      </c>
      <c r="AH177" s="45">
        <f>HLOOKUP(TBL_CalcDarwin[[#This Row],[Fecha]],'Plantilla AEG ES'!$E$1:$HX$13,7,FALSE)</f>
        <v>0</v>
      </c>
      <c r="AI177" s="46">
        <f>HLOOKUP(TBL_CalcDarwin[[#This Row],[Fecha]],'Plantilla AEG ES'!$E$1:$HX$13,8,FALSE)</f>
        <v>0</v>
      </c>
      <c r="AJ177" s="46">
        <f>HLOOKUP(TBL_CalcDarwin[[#This Row],[Fecha]],'Plantilla AEG ES'!$E$1:$HX$13,9,FALSE)</f>
        <v>3</v>
      </c>
      <c r="AK177" s="46">
        <f>HLOOKUP(TBL_CalcDarwin[[#This Row],[Fecha]],'Plantilla AEG ES'!$E$1:$HX$13,10,FALSE)</f>
        <v>12</v>
      </c>
      <c r="AL177" s="46">
        <f>HLOOKUP(TBL_CalcDarwin[[#This Row],[Fecha]],'Plantilla AEG ES'!$E$1:$HX$13,11,FALSE)</f>
        <v>1</v>
      </c>
      <c r="AM177" s="46">
        <f>HLOOKUP(TBL_CalcDarwin[[#This Row],[Fecha]],'Plantilla AEG ES'!$E$1:$HX$13,12,FALSE)</f>
        <v>7</v>
      </c>
      <c r="AN177" s="46">
        <f>HLOOKUP(TBL_CalcDarwin[[#This Row],[Fecha]],'Plantilla AEG ES'!$E$1:$HX$13,13,FALSE)</f>
        <v>1</v>
      </c>
      <c r="AO177" s="37">
        <f>TBL_CalcDarwin[[#This Row],[Lomitas - Barra A - 5.2 - Cerro]]+TBL_CalcDarwin[[#This Row],[Lomitas - Barra A - 5.2 - Medio]]+TBL_CalcDarwin[[#This Row],[Lomitas - Barra A - 5.2 - Mar]]</f>
        <v>23</v>
      </c>
      <c r="AP17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17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77" s="37">
        <f>TBL_CalcDarwin[[#This Row],[Expansión - Barra A - 5.2 - Cerro]]+TBL_CalcDarwin[[#This Row],[Expansión - Barra A - 5.2 - Medio]]+TBL_CalcDarwin[[#This Row],[Expansión - Barra A - 5.2 - Mar]]</f>
        <v>2</v>
      </c>
      <c r="AT177" s="37">
        <f>TBL_CalcDarwin[[#This Row],[Expansión - Barra B - 5.2 - Cerro]]</f>
        <v>1</v>
      </c>
      <c r="AU17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77" s="29">
        <f>TBL_CalcDarwin[[#This Row],[Expansión - Barra B - 5.2 - Cerro]]*TBL_CalcDarwin[[#This Row],[AEG 5.2 MW Cerro]]</f>
        <v>0.38200000000000001</v>
      </c>
      <c r="AZ177" s="18"/>
      <c r="BA177" s="18"/>
      <c r="BB177" s="18"/>
      <c r="BC177" s="18"/>
      <c r="BD177" s="18"/>
      <c r="BE177" s="18"/>
      <c r="BF177" s="18"/>
    </row>
    <row r="178" spans="2:58" ht="12" x14ac:dyDescent="0.2">
      <c r="B178" s="55">
        <f t="shared" si="13"/>
        <v>45620.333333332914</v>
      </c>
      <c r="C178" s="17">
        <f t="shared" si="17"/>
        <v>7.3333333333333508</v>
      </c>
      <c r="D178" s="34">
        <f>TBL_CalcDarwin[[#This Row],[Darwin PLOM
MW]]+TBL_CalcDarwin[[#This Row],[Darwin PLOME
MW]]</f>
        <v>50.536000000000001</v>
      </c>
      <c r="E178" s="34">
        <f>TBL_CalcDarwin[[#This Row],[PLOM MW TOTAL BARRA A]]+TBL_CalcDarwin[[#This Row],[PLOM MW TOTAL BARRA B]]</f>
        <v>48.697000000000003</v>
      </c>
      <c r="F178" s="34">
        <f>TBL_CalcDarwin[[#This Row],[PLOME MW TOTAL BARRA A]]+TBL_CalcDarwin[[#This Row],[PLOME MW TOTAL BARRA B]]</f>
        <v>1.839</v>
      </c>
      <c r="G178" s="48">
        <f>'Plantilla Datos'!D183</f>
        <v>4.9000000000000004</v>
      </c>
      <c r="H178" s="48">
        <f>'Plantilla Datos'!E183</f>
        <v>6.3</v>
      </c>
      <c r="I178" s="49">
        <f>'Plantilla Datos'!F183</f>
        <v>18.399999999999999</v>
      </c>
      <c r="J178" s="47">
        <f>CEILING('Plantilla Datos'!$L$3*TBL_CalcDarwin[[#This Row],[Darwin Gusts
m/s]],0.5)</f>
        <v>5</v>
      </c>
      <c r="K178" s="47">
        <f>CEILING('Plantilla Datos'!$L$4*TBL_CalcDarwin[[#This Row],[Darwin Gusts
m/s]],0.5)</f>
        <v>5.5</v>
      </c>
      <c r="L178" s="47">
        <f>CEILING(TBL_CalcDarwin[[#This Row],[Darwin Gusts
m/s]],0.5)</f>
        <v>6.5</v>
      </c>
      <c r="M17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5.0640000000000001</v>
      </c>
      <c r="N17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7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7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78" s="41">
        <f>INDEX(Curva_Temp[Temp],MATCH(TBL_CalcDarwin[[#This Row],[Darwin Temp.
°C]],Curva_Temp[Temp]))</f>
        <v>15</v>
      </c>
      <c r="R178" s="41">
        <f>INDEX(Curva_Temp[Warranted Power Curve for 
1.194Kg/m3 air density '[kW']
SG 5.0-145 (AM+1, 5.2MW) AT 
90M],MATCH(TBL_CalcDarwin[[#This Row],[Darwin Temp.
°C]],Curva_Temp[Temp]))</f>
        <v>5200</v>
      </c>
      <c r="S178" s="41" cm="1">
        <f t="array" ref="S178">INDEX(Curva_Temp[Temp],MATCH(TBL_CalcDarwin[[#This Row],[Darwin Temp.
°C]],Curva_Temp[Temp])+1)</f>
        <v>20</v>
      </c>
      <c r="T178" s="41" cm="1">
        <f t="array" ref="T178">INDEX(Curva_Temp[Warranted Power Curve for 
1.194Kg/m3 air density '[kW']
SG 5.0-145 (AM+1, 5.2MW) AT 
90M],MATCH(TBL_CalcDarwin[[#This Row],[Darwin Temp.
°C]],Curva_Temp[Temp])+1)</f>
        <v>5000</v>
      </c>
      <c r="U17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7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7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78" s="41">
        <f>INDEX(Curva_Temp[Temp],MATCH(TBL_CalcDarwin[[#This Row],[Darwin Temp.
°C]],Curva_Temp[Temp]))</f>
        <v>15</v>
      </c>
      <c r="Z178" s="41">
        <f>INDEX(Curva_Temp[Warranted Power Curve for 
1.194Kg/m3 air density '[kW']
SG 5.0-145 (AM 0, 5.0MW) AT 
90M],MATCH(TBL_CalcDarwin[[#This Row],[Darwin Temp.
°C]],Curva_Temp[Temp]))</f>
        <v>5000</v>
      </c>
      <c r="AA178" s="41" cm="1">
        <f t="array" ref="AA178">INDEX(Curva_Temp[Temp],MATCH(TBL_CalcDarwin[[#This Row],[Darwin Temp.
°C]],Curva_Temp[Temp])+1)</f>
        <v>20</v>
      </c>
      <c r="AB178" s="41" cm="1">
        <f t="array" ref="AB178">INDEX(Curva_Temp[Warranted Power Curve for 
1.194Kg/m3 air density '[kW']
SG 5.0-145 (AM 0, 5.0MW) AT 
90M],MATCH(TBL_CalcDarwin[[#This Row],[Darwin Temp.
°C]],Curva_Temp[Temp])+1)</f>
        <v>5000</v>
      </c>
      <c r="AC178" s="45">
        <f>HLOOKUP(TBL_CalcDarwin[[#This Row],[Fecha]],'Plantilla AEG ES'!$E$1:$HX$13,2,FALSE)</f>
        <v>5</v>
      </c>
      <c r="AD178" s="45">
        <f>HLOOKUP(TBL_CalcDarwin[[#This Row],[Fecha]],'Plantilla AEG ES'!$E$1:$HX$13,3,FALSE)</f>
        <v>7</v>
      </c>
      <c r="AE178" s="45">
        <f>HLOOKUP(TBL_CalcDarwin[[#This Row],[Fecha]],'Plantilla AEG ES'!$E$1:$HX$13,4,FALSE)</f>
        <v>11</v>
      </c>
      <c r="AF178" s="45">
        <f>HLOOKUP(TBL_CalcDarwin[[#This Row],[Fecha]],'Plantilla AEG ES'!$E$1:$HX$13,5,FALSE)</f>
        <v>1</v>
      </c>
      <c r="AG178" s="45">
        <f>HLOOKUP(TBL_CalcDarwin[[#This Row],[Fecha]],'Plantilla AEG ES'!$E$1:$HX$13,6,FALSE)</f>
        <v>1</v>
      </c>
      <c r="AH178" s="45">
        <f>HLOOKUP(TBL_CalcDarwin[[#This Row],[Fecha]],'Plantilla AEG ES'!$E$1:$HX$13,7,FALSE)</f>
        <v>0</v>
      </c>
      <c r="AI178" s="46">
        <f>HLOOKUP(TBL_CalcDarwin[[#This Row],[Fecha]],'Plantilla AEG ES'!$E$1:$HX$13,8,FALSE)</f>
        <v>0</v>
      </c>
      <c r="AJ178" s="46">
        <f>HLOOKUP(TBL_CalcDarwin[[#This Row],[Fecha]],'Plantilla AEG ES'!$E$1:$HX$13,9,FALSE)</f>
        <v>3</v>
      </c>
      <c r="AK178" s="46">
        <f>HLOOKUP(TBL_CalcDarwin[[#This Row],[Fecha]],'Plantilla AEG ES'!$E$1:$HX$13,10,FALSE)</f>
        <v>12</v>
      </c>
      <c r="AL178" s="46">
        <f>HLOOKUP(TBL_CalcDarwin[[#This Row],[Fecha]],'Plantilla AEG ES'!$E$1:$HX$13,11,FALSE)</f>
        <v>1</v>
      </c>
      <c r="AM178" s="46">
        <f>HLOOKUP(TBL_CalcDarwin[[#This Row],[Fecha]],'Plantilla AEG ES'!$E$1:$HX$13,12,FALSE)</f>
        <v>7</v>
      </c>
      <c r="AN178" s="46">
        <f>HLOOKUP(TBL_CalcDarwin[[#This Row],[Fecha]],'Plantilla AEG ES'!$E$1:$HX$13,13,FALSE)</f>
        <v>1</v>
      </c>
      <c r="AO178" s="37">
        <f>TBL_CalcDarwin[[#This Row],[Lomitas - Barra A - 5.2 - Cerro]]+TBL_CalcDarwin[[#This Row],[Lomitas - Barra A - 5.2 - Medio]]+TBL_CalcDarwin[[#This Row],[Lomitas - Barra A - 5.2 - Mar]]</f>
        <v>23</v>
      </c>
      <c r="AP17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21.876000000000001</v>
      </c>
      <c r="AR17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178" s="37">
        <f>TBL_CalcDarwin[[#This Row],[Expansión - Barra A - 5.2 - Cerro]]+TBL_CalcDarwin[[#This Row],[Expansión - Barra A - 5.2 - Medio]]+TBL_CalcDarwin[[#This Row],[Expansión - Barra A - 5.2 - Mar]]</f>
        <v>2</v>
      </c>
      <c r="AT178" s="37">
        <f>TBL_CalcDarwin[[#This Row],[Expansión - Barra B - 5.2 - Cerro]]</f>
        <v>1</v>
      </c>
      <c r="AU17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178" s="29">
        <f>TBL_CalcDarwin[[#This Row],[Expansión - Barra B - 5.2 - Cerro]]*TBL_CalcDarwin[[#This Row],[AEG 5.2 MW Cerro]]</f>
        <v>0.54700000000000004</v>
      </c>
      <c r="AZ178" s="18"/>
      <c r="BA178" s="18"/>
      <c r="BB178" s="18"/>
      <c r="BC178" s="18"/>
      <c r="BD178" s="18"/>
      <c r="BE178" s="18"/>
      <c r="BF178" s="18"/>
    </row>
    <row r="179" spans="2:58" ht="12" x14ac:dyDescent="0.2">
      <c r="B179" s="55">
        <f t="shared" si="13"/>
        <v>45620.374999999578</v>
      </c>
      <c r="C179" s="17">
        <f t="shared" si="17"/>
        <v>7.3750000000000178</v>
      </c>
      <c r="D179" s="34">
        <f>TBL_CalcDarwin[[#This Row],[Darwin PLOM
MW]]+TBL_CalcDarwin[[#This Row],[Darwin PLOME
MW]]</f>
        <v>64.665000000000006</v>
      </c>
      <c r="E179" s="34">
        <f>TBL_CalcDarwin[[#This Row],[PLOM MW TOTAL BARRA A]]+TBL_CalcDarwin[[#This Row],[PLOM MW TOTAL BARRA B]]</f>
        <v>62.192</v>
      </c>
      <c r="F179" s="34">
        <f>TBL_CalcDarwin[[#This Row],[PLOME MW TOTAL BARRA A]]+TBL_CalcDarwin[[#This Row],[PLOME MW TOTAL BARRA B]]</f>
        <v>2.4729999999999999</v>
      </c>
      <c r="G179" s="48">
        <f>'Plantilla Datos'!D184</f>
        <v>5.5</v>
      </c>
      <c r="H179" s="48">
        <f>'Plantilla Datos'!E184</f>
        <v>7</v>
      </c>
      <c r="I179" s="49">
        <f>'Plantilla Datos'!F184</f>
        <v>18.8</v>
      </c>
      <c r="J179" s="47">
        <f>CEILING('Plantilla Datos'!$L$3*TBL_CalcDarwin[[#This Row],[Darwin Gusts
m/s]],0.5)</f>
        <v>5.5</v>
      </c>
      <c r="K179" s="47">
        <f>CEILING('Plantilla Datos'!$L$4*TBL_CalcDarwin[[#This Row],[Darwin Gusts
m/s]],0.5)</f>
        <v>6</v>
      </c>
      <c r="L179" s="47">
        <f>CEILING(TBL_CalcDarwin[[#This Row],[Darwin Gusts
m/s]],0.5)</f>
        <v>7</v>
      </c>
      <c r="M17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5.048</v>
      </c>
      <c r="N17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7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7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79" s="41">
        <f>INDEX(Curva_Temp[Temp],MATCH(TBL_CalcDarwin[[#This Row],[Darwin Temp.
°C]],Curva_Temp[Temp]))</f>
        <v>15</v>
      </c>
      <c r="R179" s="41">
        <f>INDEX(Curva_Temp[Warranted Power Curve for 
1.194Kg/m3 air density '[kW']
SG 5.0-145 (AM+1, 5.2MW) AT 
90M],MATCH(TBL_CalcDarwin[[#This Row],[Darwin Temp.
°C]],Curva_Temp[Temp]))</f>
        <v>5200</v>
      </c>
      <c r="S179" s="41" cm="1">
        <f t="array" ref="S179">INDEX(Curva_Temp[Temp],MATCH(TBL_CalcDarwin[[#This Row],[Darwin Temp.
°C]],Curva_Temp[Temp])+1)</f>
        <v>20</v>
      </c>
      <c r="T179" s="41" cm="1">
        <f t="array" ref="T179">INDEX(Curva_Temp[Warranted Power Curve for 
1.194Kg/m3 air density '[kW']
SG 5.0-145 (AM+1, 5.2MW) AT 
90M],MATCH(TBL_CalcDarwin[[#This Row],[Darwin Temp.
°C]],Curva_Temp[Temp])+1)</f>
        <v>5000</v>
      </c>
      <c r="U17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7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7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79" s="41">
        <f>INDEX(Curva_Temp[Temp],MATCH(TBL_CalcDarwin[[#This Row],[Darwin Temp.
°C]],Curva_Temp[Temp]))</f>
        <v>15</v>
      </c>
      <c r="Z179" s="41">
        <f>INDEX(Curva_Temp[Warranted Power Curve for 
1.194Kg/m3 air density '[kW']
SG 5.0-145 (AM 0, 5.0MW) AT 
90M],MATCH(TBL_CalcDarwin[[#This Row],[Darwin Temp.
°C]],Curva_Temp[Temp]))</f>
        <v>5000</v>
      </c>
      <c r="AA179" s="41" cm="1">
        <f t="array" ref="AA179">INDEX(Curva_Temp[Temp],MATCH(TBL_CalcDarwin[[#This Row],[Darwin Temp.
°C]],Curva_Temp[Temp])+1)</f>
        <v>20</v>
      </c>
      <c r="AB179" s="41" cm="1">
        <f t="array" ref="AB179">INDEX(Curva_Temp[Warranted Power Curve for 
1.194Kg/m3 air density '[kW']
SG 5.0-145 (AM 0, 5.0MW) AT 
90M],MATCH(TBL_CalcDarwin[[#This Row],[Darwin Temp.
°C]],Curva_Temp[Temp])+1)</f>
        <v>5000</v>
      </c>
      <c r="AC179" s="45">
        <f>HLOOKUP(TBL_CalcDarwin[[#This Row],[Fecha]],'Plantilla AEG ES'!$E$1:$HX$13,2,FALSE)</f>
        <v>5</v>
      </c>
      <c r="AD179" s="45">
        <f>HLOOKUP(TBL_CalcDarwin[[#This Row],[Fecha]],'Plantilla AEG ES'!$E$1:$HX$13,3,FALSE)</f>
        <v>7</v>
      </c>
      <c r="AE179" s="45">
        <f>HLOOKUP(TBL_CalcDarwin[[#This Row],[Fecha]],'Plantilla AEG ES'!$E$1:$HX$13,4,FALSE)</f>
        <v>11</v>
      </c>
      <c r="AF179" s="45">
        <f>HLOOKUP(TBL_CalcDarwin[[#This Row],[Fecha]],'Plantilla AEG ES'!$E$1:$HX$13,5,FALSE)</f>
        <v>1</v>
      </c>
      <c r="AG179" s="45">
        <f>HLOOKUP(TBL_CalcDarwin[[#This Row],[Fecha]],'Plantilla AEG ES'!$E$1:$HX$13,6,FALSE)</f>
        <v>1</v>
      </c>
      <c r="AH179" s="45">
        <f>HLOOKUP(TBL_CalcDarwin[[#This Row],[Fecha]],'Plantilla AEG ES'!$E$1:$HX$13,7,FALSE)</f>
        <v>0</v>
      </c>
      <c r="AI179" s="46">
        <f>HLOOKUP(TBL_CalcDarwin[[#This Row],[Fecha]],'Plantilla AEG ES'!$E$1:$HX$13,8,FALSE)</f>
        <v>0</v>
      </c>
      <c r="AJ179" s="46">
        <f>HLOOKUP(TBL_CalcDarwin[[#This Row],[Fecha]],'Plantilla AEG ES'!$E$1:$HX$13,9,FALSE)</f>
        <v>3</v>
      </c>
      <c r="AK179" s="46">
        <f>HLOOKUP(TBL_CalcDarwin[[#This Row],[Fecha]],'Plantilla AEG ES'!$E$1:$HX$13,10,FALSE)</f>
        <v>12</v>
      </c>
      <c r="AL179" s="46">
        <f>HLOOKUP(TBL_CalcDarwin[[#This Row],[Fecha]],'Plantilla AEG ES'!$E$1:$HX$13,11,FALSE)</f>
        <v>1</v>
      </c>
      <c r="AM179" s="46">
        <f>HLOOKUP(TBL_CalcDarwin[[#This Row],[Fecha]],'Plantilla AEG ES'!$E$1:$HX$13,12,FALSE)</f>
        <v>7</v>
      </c>
      <c r="AN179" s="46">
        <f>HLOOKUP(TBL_CalcDarwin[[#This Row],[Fecha]],'Plantilla AEG ES'!$E$1:$HX$13,13,FALSE)</f>
        <v>1</v>
      </c>
      <c r="AO179" s="37">
        <f>TBL_CalcDarwin[[#This Row],[Lomitas - Barra A - 5.2 - Cerro]]+TBL_CalcDarwin[[#This Row],[Lomitas - Barra A - 5.2 - Medio]]+TBL_CalcDarwin[[#This Row],[Lomitas - Barra A - 5.2 - Mar]]</f>
        <v>23</v>
      </c>
      <c r="AP17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28.173000000000002</v>
      </c>
      <c r="AR17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34.018999999999998</v>
      </c>
      <c r="AS179" s="37">
        <f>TBL_CalcDarwin[[#This Row],[Expansión - Barra A - 5.2 - Cerro]]+TBL_CalcDarwin[[#This Row],[Expansión - Barra A - 5.2 - Medio]]+TBL_CalcDarwin[[#This Row],[Expansión - Barra A - 5.2 - Mar]]</f>
        <v>2</v>
      </c>
      <c r="AT179" s="37">
        <f>TBL_CalcDarwin[[#This Row],[Expansión - Barra B - 5.2 - Cerro]]</f>
        <v>1</v>
      </c>
      <c r="AU17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1.728</v>
      </c>
      <c r="AV179" s="29">
        <f>TBL_CalcDarwin[[#This Row],[Expansión - Barra B - 5.2 - Cerro]]*TBL_CalcDarwin[[#This Row],[AEG 5.2 MW Cerro]]</f>
        <v>0.745</v>
      </c>
      <c r="AZ179" s="18"/>
      <c r="BA179" s="18"/>
      <c r="BB179" s="18"/>
      <c r="BC179" s="18"/>
      <c r="BD179" s="18"/>
      <c r="BE179" s="18"/>
      <c r="BF179" s="18"/>
    </row>
    <row r="180" spans="2:58" ht="12" x14ac:dyDescent="0.2">
      <c r="B180" s="55">
        <f t="shared" si="13"/>
        <v>45620.416666666242</v>
      </c>
      <c r="C180" s="17">
        <f t="shared" si="17"/>
        <v>7.4166666666666847</v>
      </c>
      <c r="D180" s="34">
        <f>TBL_CalcDarwin[[#This Row],[Darwin PLOM
MW]]+TBL_CalcDarwin[[#This Row],[Darwin PLOME
MW]]</f>
        <v>97.623000000000005</v>
      </c>
      <c r="E180" s="34">
        <f>TBL_CalcDarwin[[#This Row],[PLOM MW TOTAL BARRA A]]+TBL_CalcDarwin[[#This Row],[PLOM MW TOTAL BARRA B]]</f>
        <v>94.06</v>
      </c>
      <c r="F180" s="34">
        <f>TBL_CalcDarwin[[#This Row],[PLOME MW TOTAL BARRA A]]+TBL_CalcDarwin[[#This Row],[PLOME MW TOTAL BARRA B]]</f>
        <v>3.5630000000000002</v>
      </c>
      <c r="G180" s="48">
        <f>'Plantilla Datos'!D185</f>
        <v>6</v>
      </c>
      <c r="H180" s="48">
        <f>'Plantilla Datos'!E185</f>
        <v>7.7</v>
      </c>
      <c r="I180" s="49">
        <f>'Plantilla Datos'!F185</f>
        <v>19.100000000000001</v>
      </c>
      <c r="J180" s="47">
        <f>CEILING('Plantilla Datos'!$L$3*TBL_CalcDarwin[[#This Row],[Darwin Gusts
m/s]],0.5)</f>
        <v>6</v>
      </c>
      <c r="K180" s="47">
        <f>CEILING('Plantilla Datos'!$L$4*TBL_CalcDarwin[[#This Row],[Darwin Gusts
m/s]],0.5)</f>
        <v>7</v>
      </c>
      <c r="L180" s="47">
        <f>CEILING(TBL_CalcDarwin[[#This Row],[Darwin Gusts
m/s]],0.5)</f>
        <v>8</v>
      </c>
      <c r="M18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5.0359999999999996</v>
      </c>
      <c r="N18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8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8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80" s="41">
        <f>INDEX(Curva_Temp[Temp],MATCH(TBL_CalcDarwin[[#This Row],[Darwin Temp.
°C]],Curva_Temp[Temp]))</f>
        <v>15</v>
      </c>
      <c r="R180" s="41">
        <f>INDEX(Curva_Temp[Warranted Power Curve for 
1.194Kg/m3 air density '[kW']
SG 5.0-145 (AM+1, 5.2MW) AT 
90M],MATCH(TBL_CalcDarwin[[#This Row],[Darwin Temp.
°C]],Curva_Temp[Temp]))</f>
        <v>5200</v>
      </c>
      <c r="S180" s="41" cm="1">
        <f t="array" ref="S180">INDEX(Curva_Temp[Temp],MATCH(TBL_CalcDarwin[[#This Row],[Darwin Temp.
°C]],Curva_Temp[Temp])+1)</f>
        <v>20</v>
      </c>
      <c r="T180" s="41" cm="1">
        <f t="array" ref="T180">INDEX(Curva_Temp[Warranted Power Curve for 
1.194Kg/m3 air density '[kW']
SG 5.0-145 (AM+1, 5.2MW) AT 
90M],MATCH(TBL_CalcDarwin[[#This Row],[Darwin Temp.
°C]],Curva_Temp[Temp])+1)</f>
        <v>5000</v>
      </c>
      <c r="U18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8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8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80" s="41">
        <f>INDEX(Curva_Temp[Temp],MATCH(TBL_CalcDarwin[[#This Row],[Darwin Temp.
°C]],Curva_Temp[Temp]))</f>
        <v>15</v>
      </c>
      <c r="Z180" s="41">
        <f>INDEX(Curva_Temp[Warranted Power Curve for 
1.194Kg/m3 air density '[kW']
SG 5.0-145 (AM 0, 5.0MW) AT 
90M],MATCH(TBL_CalcDarwin[[#This Row],[Darwin Temp.
°C]],Curva_Temp[Temp]))</f>
        <v>5000</v>
      </c>
      <c r="AA180" s="41" cm="1">
        <f t="array" ref="AA180">INDEX(Curva_Temp[Temp],MATCH(TBL_CalcDarwin[[#This Row],[Darwin Temp.
°C]],Curva_Temp[Temp])+1)</f>
        <v>20</v>
      </c>
      <c r="AB180" s="41" cm="1">
        <f t="array" ref="AB180">INDEX(Curva_Temp[Warranted Power Curve for 
1.194Kg/m3 air density '[kW']
SG 5.0-145 (AM 0, 5.0MW) AT 
90M],MATCH(TBL_CalcDarwin[[#This Row],[Darwin Temp.
°C]],Curva_Temp[Temp])+1)</f>
        <v>5000</v>
      </c>
      <c r="AC180" s="45">
        <f>HLOOKUP(TBL_CalcDarwin[[#This Row],[Fecha]],'Plantilla AEG ES'!$E$1:$HX$13,2,FALSE)</f>
        <v>5</v>
      </c>
      <c r="AD180" s="45">
        <f>HLOOKUP(TBL_CalcDarwin[[#This Row],[Fecha]],'Plantilla AEG ES'!$E$1:$HX$13,3,FALSE)</f>
        <v>7</v>
      </c>
      <c r="AE180" s="45">
        <f>HLOOKUP(TBL_CalcDarwin[[#This Row],[Fecha]],'Plantilla AEG ES'!$E$1:$HX$13,4,FALSE)</f>
        <v>11</v>
      </c>
      <c r="AF180" s="45">
        <f>HLOOKUP(TBL_CalcDarwin[[#This Row],[Fecha]],'Plantilla AEG ES'!$E$1:$HX$13,5,FALSE)</f>
        <v>1</v>
      </c>
      <c r="AG180" s="45">
        <f>HLOOKUP(TBL_CalcDarwin[[#This Row],[Fecha]],'Plantilla AEG ES'!$E$1:$HX$13,6,FALSE)</f>
        <v>1</v>
      </c>
      <c r="AH180" s="45">
        <f>HLOOKUP(TBL_CalcDarwin[[#This Row],[Fecha]],'Plantilla AEG ES'!$E$1:$HX$13,7,FALSE)</f>
        <v>0</v>
      </c>
      <c r="AI180" s="46">
        <f>HLOOKUP(TBL_CalcDarwin[[#This Row],[Fecha]],'Plantilla AEG ES'!$E$1:$HX$13,8,FALSE)</f>
        <v>0</v>
      </c>
      <c r="AJ180" s="46">
        <f>HLOOKUP(TBL_CalcDarwin[[#This Row],[Fecha]],'Plantilla AEG ES'!$E$1:$HX$13,9,FALSE)</f>
        <v>3</v>
      </c>
      <c r="AK180" s="46">
        <f>HLOOKUP(TBL_CalcDarwin[[#This Row],[Fecha]],'Plantilla AEG ES'!$E$1:$HX$13,10,FALSE)</f>
        <v>12</v>
      </c>
      <c r="AL180" s="46">
        <f>HLOOKUP(TBL_CalcDarwin[[#This Row],[Fecha]],'Plantilla AEG ES'!$E$1:$HX$13,11,FALSE)</f>
        <v>1</v>
      </c>
      <c r="AM180" s="46">
        <f>HLOOKUP(TBL_CalcDarwin[[#This Row],[Fecha]],'Plantilla AEG ES'!$E$1:$HX$13,12,FALSE)</f>
        <v>7</v>
      </c>
      <c r="AN180" s="46">
        <f>HLOOKUP(TBL_CalcDarwin[[#This Row],[Fecha]],'Plantilla AEG ES'!$E$1:$HX$13,13,FALSE)</f>
        <v>1</v>
      </c>
      <c r="AO180" s="37">
        <f>TBL_CalcDarwin[[#This Row],[Lomitas - Barra A - 5.2 - Cerro]]+TBL_CalcDarwin[[#This Row],[Lomitas - Barra A - 5.2 - Medio]]+TBL_CalcDarwin[[#This Row],[Lomitas - Barra A - 5.2 - Mar]]</f>
        <v>23</v>
      </c>
      <c r="AP18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8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80" s="37">
        <f>TBL_CalcDarwin[[#This Row],[Expansión - Barra A - 5.2 - Cerro]]+TBL_CalcDarwin[[#This Row],[Expansión - Barra A - 5.2 - Medio]]+TBL_CalcDarwin[[#This Row],[Expansión - Barra A - 5.2 - Mar]]</f>
        <v>2</v>
      </c>
      <c r="AT180" s="37">
        <f>TBL_CalcDarwin[[#This Row],[Expansión - Barra B - 5.2 - Cerro]]</f>
        <v>1</v>
      </c>
      <c r="AU18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80" s="29">
        <f>TBL_CalcDarwin[[#This Row],[Expansión - Barra B - 5.2 - Cerro]]*TBL_CalcDarwin[[#This Row],[AEG 5.2 MW Cerro]]</f>
        <v>0.98299999999999998</v>
      </c>
      <c r="AZ180" s="18"/>
      <c r="BA180" s="18"/>
      <c r="BB180" s="18"/>
      <c r="BC180" s="18"/>
      <c r="BD180" s="18"/>
      <c r="BE180" s="18"/>
      <c r="BF180" s="18"/>
    </row>
    <row r="181" spans="2:58" ht="12" x14ac:dyDescent="0.2">
      <c r="B181" s="55">
        <f t="shared" si="13"/>
        <v>45620.458333332906</v>
      </c>
      <c r="C181" s="17">
        <f t="shared" si="17"/>
        <v>7.4583333333333517</v>
      </c>
      <c r="D181" s="34">
        <f>TBL_CalcDarwin[[#This Row],[Darwin PLOM
MW]]+TBL_CalcDarwin[[#This Row],[Darwin PLOME
MW]]</f>
        <v>120.68400000000001</v>
      </c>
      <c r="E181" s="34">
        <f>TBL_CalcDarwin[[#This Row],[PLOM MW TOTAL BARRA A]]+TBL_CalcDarwin[[#This Row],[PLOM MW TOTAL BARRA B]]</f>
        <v>116.74000000000001</v>
      </c>
      <c r="F181" s="34">
        <f>TBL_CalcDarwin[[#This Row],[PLOME MW TOTAL BARRA A]]+TBL_CalcDarwin[[#This Row],[PLOME MW TOTAL BARRA B]]</f>
        <v>3.944</v>
      </c>
      <c r="G181" s="48">
        <f>'Plantilla Datos'!D186</f>
        <v>6.6</v>
      </c>
      <c r="H181" s="48">
        <f>'Plantilla Datos'!E186</f>
        <v>8.3000000000000007</v>
      </c>
      <c r="I181" s="49">
        <f>'Plantilla Datos'!F186</f>
        <v>19.5</v>
      </c>
      <c r="J181" s="47">
        <f>CEILING('Plantilla Datos'!$L$3*TBL_CalcDarwin[[#This Row],[Darwin Gusts
m/s]],0.5)</f>
        <v>6</v>
      </c>
      <c r="K181" s="47">
        <f>CEILING('Plantilla Datos'!$L$4*TBL_CalcDarwin[[#This Row],[Darwin Gusts
m/s]],0.5)</f>
        <v>7.5</v>
      </c>
      <c r="L181" s="47">
        <f>CEILING(TBL_CalcDarwin[[#This Row],[Darwin Gusts
m/s]],0.5)</f>
        <v>8.5</v>
      </c>
      <c r="M18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5.0199999999999996</v>
      </c>
      <c r="N18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8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8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81" s="41">
        <f>INDEX(Curva_Temp[Temp],MATCH(TBL_CalcDarwin[[#This Row],[Darwin Temp.
°C]],Curva_Temp[Temp]))</f>
        <v>15</v>
      </c>
      <c r="R181" s="41">
        <f>INDEX(Curva_Temp[Warranted Power Curve for 
1.194Kg/m3 air density '[kW']
SG 5.0-145 (AM+1, 5.2MW) AT 
90M],MATCH(TBL_CalcDarwin[[#This Row],[Darwin Temp.
°C]],Curva_Temp[Temp]))</f>
        <v>5200</v>
      </c>
      <c r="S181" s="41" cm="1">
        <f t="array" ref="S181">INDEX(Curva_Temp[Temp],MATCH(TBL_CalcDarwin[[#This Row],[Darwin Temp.
°C]],Curva_Temp[Temp])+1)</f>
        <v>20</v>
      </c>
      <c r="T181" s="41" cm="1">
        <f t="array" ref="T181">INDEX(Curva_Temp[Warranted Power Curve for 
1.194Kg/m3 air density '[kW']
SG 5.0-145 (AM+1, 5.2MW) AT 
90M],MATCH(TBL_CalcDarwin[[#This Row],[Darwin Temp.
°C]],Curva_Temp[Temp])+1)</f>
        <v>5000</v>
      </c>
      <c r="U18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8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8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81" s="41">
        <f>INDEX(Curva_Temp[Temp],MATCH(TBL_CalcDarwin[[#This Row],[Darwin Temp.
°C]],Curva_Temp[Temp]))</f>
        <v>15</v>
      </c>
      <c r="Z181" s="41">
        <f>INDEX(Curva_Temp[Warranted Power Curve for 
1.194Kg/m3 air density '[kW']
SG 5.0-145 (AM 0, 5.0MW) AT 
90M],MATCH(TBL_CalcDarwin[[#This Row],[Darwin Temp.
°C]],Curva_Temp[Temp]))</f>
        <v>5000</v>
      </c>
      <c r="AA181" s="41" cm="1">
        <f t="array" ref="AA181">INDEX(Curva_Temp[Temp],MATCH(TBL_CalcDarwin[[#This Row],[Darwin Temp.
°C]],Curva_Temp[Temp])+1)</f>
        <v>20</v>
      </c>
      <c r="AB181" s="41" cm="1">
        <f t="array" ref="AB181">INDEX(Curva_Temp[Warranted Power Curve for 
1.194Kg/m3 air density '[kW']
SG 5.0-145 (AM 0, 5.0MW) AT 
90M],MATCH(TBL_CalcDarwin[[#This Row],[Darwin Temp.
°C]],Curva_Temp[Temp])+1)</f>
        <v>5000</v>
      </c>
      <c r="AC181" s="45">
        <f>HLOOKUP(TBL_CalcDarwin[[#This Row],[Fecha]],'Plantilla AEG ES'!$E$1:$HX$13,2,FALSE)</f>
        <v>5</v>
      </c>
      <c r="AD181" s="45">
        <f>HLOOKUP(TBL_CalcDarwin[[#This Row],[Fecha]],'Plantilla AEG ES'!$E$1:$HX$13,3,FALSE)</f>
        <v>8</v>
      </c>
      <c r="AE181" s="45">
        <f>HLOOKUP(TBL_CalcDarwin[[#This Row],[Fecha]],'Plantilla AEG ES'!$E$1:$HX$13,4,FALSE)</f>
        <v>12</v>
      </c>
      <c r="AF181" s="45">
        <f>HLOOKUP(TBL_CalcDarwin[[#This Row],[Fecha]],'Plantilla AEG ES'!$E$1:$HX$13,5,FALSE)</f>
        <v>1</v>
      </c>
      <c r="AG181" s="45">
        <f>HLOOKUP(TBL_CalcDarwin[[#This Row],[Fecha]],'Plantilla AEG ES'!$E$1:$HX$13,6,FALSE)</f>
        <v>1</v>
      </c>
      <c r="AH181" s="45">
        <f>HLOOKUP(TBL_CalcDarwin[[#This Row],[Fecha]],'Plantilla AEG ES'!$E$1:$HX$13,7,FALSE)</f>
        <v>0</v>
      </c>
      <c r="AI181" s="46">
        <f>HLOOKUP(TBL_CalcDarwin[[#This Row],[Fecha]],'Plantilla AEG ES'!$E$1:$HX$13,8,FALSE)</f>
        <v>0</v>
      </c>
      <c r="AJ181" s="46">
        <f>HLOOKUP(TBL_CalcDarwin[[#This Row],[Fecha]],'Plantilla AEG ES'!$E$1:$HX$13,9,FALSE)</f>
        <v>3</v>
      </c>
      <c r="AK181" s="46">
        <f>HLOOKUP(TBL_CalcDarwin[[#This Row],[Fecha]],'Plantilla AEG ES'!$E$1:$HX$13,10,FALSE)</f>
        <v>12</v>
      </c>
      <c r="AL181" s="46">
        <f>HLOOKUP(TBL_CalcDarwin[[#This Row],[Fecha]],'Plantilla AEG ES'!$E$1:$HX$13,11,FALSE)</f>
        <v>1</v>
      </c>
      <c r="AM181" s="46">
        <f>HLOOKUP(TBL_CalcDarwin[[#This Row],[Fecha]],'Plantilla AEG ES'!$E$1:$HX$13,12,FALSE)</f>
        <v>7</v>
      </c>
      <c r="AN181" s="46">
        <f>HLOOKUP(TBL_CalcDarwin[[#This Row],[Fecha]],'Plantilla AEG ES'!$E$1:$HX$13,13,FALSE)</f>
        <v>1</v>
      </c>
      <c r="AO181" s="37">
        <f>TBL_CalcDarwin[[#This Row],[Lomitas - Barra A - 5.2 - Cerro]]+TBL_CalcDarwin[[#This Row],[Lomitas - Barra A - 5.2 - Medio]]+TBL_CalcDarwin[[#This Row],[Lomitas - Barra A - 5.2 - Mar]]</f>
        <v>25</v>
      </c>
      <c r="AP18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55.275000000000006</v>
      </c>
      <c r="AR18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61.464999999999996</v>
      </c>
      <c r="AS181" s="37">
        <f>TBL_CalcDarwin[[#This Row],[Expansión - Barra A - 5.2 - Cerro]]+TBL_CalcDarwin[[#This Row],[Expansión - Barra A - 5.2 - Medio]]+TBL_CalcDarwin[[#This Row],[Expansión - Barra A - 5.2 - Mar]]</f>
        <v>2</v>
      </c>
      <c r="AT181" s="37">
        <f>TBL_CalcDarwin[[#This Row],[Expansión - Barra B - 5.2 - Cerro]]</f>
        <v>1</v>
      </c>
      <c r="AU18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2.9609999999999999</v>
      </c>
      <c r="AV181" s="29">
        <f>TBL_CalcDarwin[[#This Row],[Expansión - Barra B - 5.2 - Cerro]]*TBL_CalcDarwin[[#This Row],[AEG 5.2 MW Cerro]]</f>
        <v>0.98299999999999998</v>
      </c>
      <c r="AZ181" s="18"/>
      <c r="BA181" s="18"/>
      <c r="BB181" s="18"/>
      <c r="BC181" s="18"/>
      <c r="BD181" s="18"/>
      <c r="BE181" s="18"/>
      <c r="BF181" s="18"/>
    </row>
    <row r="182" spans="2:58" ht="12" x14ac:dyDescent="0.2">
      <c r="B182" s="55">
        <f t="shared" si="13"/>
        <v>45620.499999999571</v>
      </c>
      <c r="C182" s="17">
        <f t="shared" si="17"/>
        <v>7.5000000000000187</v>
      </c>
      <c r="D182" s="34">
        <f>TBL_CalcDarwin[[#This Row],[Darwin PLOM
MW]]+TBL_CalcDarwin[[#This Row],[Darwin PLOME
MW]]</f>
        <v>143.17100000000002</v>
      </c>
      <c r="E182" s="34">
        <f>TBL_CalcDarwin[[#This Row],[PLOM MW TOTAL BARRA A]]+TBL_CalcDarwin[[#This Row],[PLOM MW TOTAL BARRA B]]</f>
        <v>138.23000000000002</v>
      </c>
      <c r="F182" s="34">
        <f>TBL_CalcDarwin[[#This Row],[PLOME MW TOTAL BARRA A]]+TBL_CalcDarwin[[#This Row],[PLOME MW TOTAL BARRA B]]</f>
        <v>4.9409999999999998</v>
      </c>
      <c r="G182" s="48">
        <f>'Plantilla Datos'!D187</f>
        <v>7.2</v>
      </c>
      <c r="H182" s="48">
        <f>'Plantilla Datos'!E187</f>
        <v>9</v>
      </c>
      <c r="I182" s="49">
        <f>'Plantilla Datos'!F187</f>
        <v>19.8</v>
      </c>
      <c r="J182" s="47">
        <f>CEILING('Plantilla Datos'!$L$3*TBL_CalcDarwin[[#This Row],[Darwin Gusts
m/s]],0.5)</f>
        <v>6.5</v>
      </c>
      <c r="K182" s="47">
        <f>CEILING('Plantilla Datos'!$L$4*TBL_CalcDarwin[[#This Row],[Darwin Gusts
m/s]],0.5)</f>
        <v>8</v>
      </c>
      <c r="L182" s="47">
        <f>CEILING(TBL_CalcDarwin[[#This Row],[Darwin Gusts
m/s]],0.5)</f>
        <v>9</v>
      </c>
      <c r="M18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5.008</v>
      </c>
      <c r="N18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8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8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82" s="41">
        <f>INDEX(Curva_Temp[Temp],MATCH(TBL_CalcDarwin[[#This Row],[Darwin Temp.
°C]],Curva_Temp[Temp]))</f>
        <v>15</v>
      </c>
      <c r="R182" s="41">
        <f>INDEX(Curva_Temp[Warranted Power Curve for 
1.194Kg/m3 air density '[kW']
SG 5.0-145 (AM+1, 5.2MW) AT 
90M],MATCH(TBL_CalcDarwin[[#This Row],[Darwin Temp.
°C]],Curva_Temp[Temp]))</f>
        <v>5200</v>
      </c>
      <c r="S182" s="41" cm="1">
        <f t="array" ref="S182">INDEX(Curva_Temp[Temp],MATCH(TBL_CalcDarwin[[#This Row],[Darwin Temp.
°C]],Curva_Temp[Temp])+1)</f>
        <v>20</v>
      </c>
      <c r="T182" s="41" cm="1">
        <f t="array" ref="T182">INDEX(Curva_Temp[Warranted Power Curve for 
1.194Kg/m3 air density '[kW']
SG 5.0-145 (AM+1, 5.2MW) AT 
90M],MATCH(TBL_CalcDarwin[[#This Row],[Darwin Temp.
°C]],Curva_Temp[Temp])+1)</f>
        <v>5000</v>
      </c>
      <c r="U18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8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8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82" s="41">
        <f>INDEX(Curva_Temp[Temp],MATCH(TBL_CalcDarwin[[#This Row],[Darwin Temp.
°C]],Curva_Temp[Temp]))</f>
        <v>15</v>
      </c>
      <c r="Z182" s="41">
        <f>INDEX(Curva_Temp[Warranted Power Curve for 
1.194Kg/m3 air density '[kW']
SG 5.0-145 (AM 0, 5.0MW) AT 
90M],MATCH(TBL_CalcDarwin[[#This Row],[Darwin Temp.
°C]],Curva_Temp[Temp]))</f>
        <v>5000</v>
      </c>
      <c r="AA182" s="41" cm="1">
        <f t="array" ref="AA182">INDEX(Curva_Temp[Temp],MATCH(TBL_CalcDarwin[[#This Row],[Darwin Temp.
°C]],Curva_Temp[Temp])+1)</f>
        <v>20</v>
      </c>
      <c r="AB182" s="41" cm="1">
        <f t="array" ref="AB182">INDEX(Curva_Temp[Warranted Power Curve for 
1.194Kg/m3 air density '[kW']
SG 5.0-145 (AM 0, 5.0MW) AT 
90M],MATCH(TBL_CalcDarwin[[#This Row],[Darwin Temp.
°C]],Curva_Temp[Temp])+1)</f>
        <v>5000</v>
      </c>
      <c r="AC182" s="45">
        <f>HLOOKUP(TBL_CalcDarwin[[#This Row],[Fecha]],'Plantilla AEG ES'!$E$1:$HX$13,2,FALSE)</f>
        <v>5</v>
      </c>
      <c r="AD182" s="45">
        <f>HLOOKUP(TBL_CalcDarwin[[#This Row],[Fecha]],'Plantilla AEG ES'!$E$1:$HX$13,3,FALSE)</f>
        <v>8</v>
      </c>
      <c r="AE182" s="45">
        <f>HLOOKUP(TBL_CalcDarwin[[#This Row],[Fecha]],'Plantilla AEG ES'!$E$1:$HX$13,4,FALSE)</f>
        <v>12</v>
      </c>
      <c r="AF182" s="45">
        <f>HLOOKUP(TBL_CalcDarwin[[#This Row],[Fecha]],'Plantilla AEG ES'!$E$1:$HX$13,5,FALSE)</f>
        <v>1</v>
      </c>
      <c r="AG182" s="45">
        <f>HLOOKUP(TBL_CalcDarwin[[#This Row],[Fecha]],'Plantilla AEG ES'!$E$1:$HX$13,6,FALSE)</f>
        <v>1</v>
      </c>
      <c r="AH182" s="45">
        <f>HLOOKUP(TBL_CalcDarwin[[#This Row],[Fecha]],'Plantilla AEG ES'!$E$1:$HX$13,7,FALSE)</f>
        <v>0</v>
      </c>
      <c r="AI182" s="46">
        <f>HLOOKUP(TBL_CalcDarwin[[#This Row],[Fecha]],'Plantilla AEG ES'!$E$1:$HX$13,8,FALSE)</f>
        <v>0</v>
      </c>
      <c r="AJ182" s="46">
        <f>HLOOKUP(TBL_CalcDarwin[[#This Row],[Fecha]],'Plantilla AEG ES'!$E$1:$HX$13,9,FALSE)</f>
        <v>3</v>
      </c>
      <c r="AK182" s="46">
        <f>HLOOKUP(TBL_CalcDarwin[[#This Row],[Fecha]],'Plantilla AEG ES'!$E$1:$HX$13,10,FALSE)</f>
        <v>12</v>
      </c>
      <c r="AL182" s="46">
        <f>HLOOKUP(TBL_CalcDarwin[[#This Row],[Fecha]],'Plantilla AEG ES'!$E$1:$HX$13,11,FALSE)</f>
        <v>1</v>
      </c>
      <c r="AM182" s="46">
        <f>HLOOKUP(TBL_CalcDarwin[[#This Row],[Fecha]],'Plantilla AEG ES'!$E$1:$HX$13,12,FALSE)</f>
        <v>7</v>
      </c>
      <c r="AN182" s="46">
        <f>HLOOKUP(TBL_CalcDarwin[[#This Row],[Fecha]],'Plantilla AEG ES'!$E$1:$HX$13,13,FALSE)</f>
        <v>1</v>
      </c>
      <c r="AO182" s="37">
        <f>TBL_CalcDarwin[[#This Row],[Lomitas - Barra A - 5.2 - Cerro]]+TBL_CalcDarwin[[#This Row],[Lomitas - Barra A - 5.2 - Medio]]+TBL_CalcDarwin[[#This Row],[Lomitas - Barra A - 5.2 - Mar]]</f>
        <v>25</v>
      </c>
      <c r="AP18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18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82" s="37">
        <f>TBL_CalcDarwin[[#This Row],[Expansión - Barra A - 5.2 - Cerro]]+TBL_CalcDarwin[[#This Row],[Expansión - Barra A - 5.2 - Medio]]+TBL_CalcDarwin[[#This Row],[Expansión - Barra A - 5.2 - Mar]]</f>
        <v>2</v>
      </c>
      <c r="AT182" s="37">
        <f>TBL_CalcDarwin[[#This Row],[Expansión - Barra B - 5.2 - Cerro]]</f>
        <v>1</v>
      </c>
      <c r="AU18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82" s="29">
        <f>TBL_CalcDarwin[[#This Row],[Expansión - Barra B - 5.2 - Cerro]]*TBL_CalcDarwin[[#This Row],[AEG 5.2 MW Cerro]]</f>
        <v>1.266</v>
      </c>
      <c r="AZ182" s="18"/>
      <c r="BA182" s="18"/>
      <c r="BB182" s="18"/>
      <c r="BC182" s="18"/>
      <c r="BD182" s="18"/>
      <c r="BE182" s="18"/>
      <c r="BF182" s="18"/>
    </row>
    <row r="183" spans="2:58" ht="12" x14ac:dyDescent="0.2">
      <c r="B183" s="55">
        <f t="shared" si="13"/>
        <v>45620.541666666235</v>
      </c>
      <c r="C183" s="17">
        <f t="shared" si="17"/>
        <v>7.5416666666666856</v>
      </c>
      <c r="D183" s="34">
        <f>TBL_CalcDarwin[[#This Row],[Darwin PLOM
MW]]+TBL_CalcDarwin[[#This Row],[Darwin PLOME
MW]]</f>
        <v>179.61</v>
      </c>
      <c r="E183" s="34">
        <f>TBL_CalcDarwin[[#This Row],[PLOM MW TOTAL BARRA A]]+TBL_CalcDarwin[[#This Row],[PLOM MW TOTAL BARRA B]]</f>
        <v>173.53800000000001</v>
      </c>
      <c r="F183" s="34">
        <f>TBL_CalcDarwin[[#This Row],[PLOME MW TOTAL BARRA A]]+TBL_CalcDarwin[[#This Row],[PLOME MW TOTAL BARRA B]]</f>
        <v>6.0719999999999992</v>
      </c>
      <c r="G183" s="48">
        <f>'Plantilla Datos'!D188</f>
        <v>7.7</v>
      </c>
      <c r="H183" s="48">
        <f>'Plantilla Datos'!E188</f>
        <v>9.6999999999999993</v>
      </c>
      <c r="I183" s="49">
        <f>'Plantilla Datos'!F188</f>
        <v>20.100000000000001</v>
      </c>
      <c r="J183" s="47">
        <f>CEILING('Plantilla Datos'!$L$3*TBL_CalcDarwin[[#This Row],[Darwin Gusts
m/s]],0.5)</f>
        <v>7</v>
      </c>
      <c r="K183" s="47">
        <f>CEILING('Plantilla Datos'!$L$4*TBL_CalcDarwin[[#This Row],[Darwin Gusts
m/s]],0.5)</f>
        <v>8.5</v>
      </c>
      <c r="L183" s="47">
        <f>CEILING(TBL_CalcDarwin[[#This Row],[Darwin Gusts
m/s]],0.5)</f>
        <v>10</v>
      </c>
      <c r="M18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4.9980000000000002</v>
      </c>
      <c r="N18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8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8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83" s="41">
        <f>INDEX(Curva_Temp[Temp],MATCH(TBL_CalcDarwin[[#This Row],[Darwin Temp.
°C]],Curva_Temp[Temp]))</f>
        <v>20</v>
      </c>
      <c r="R183" s="41">
        <f>INDEX(Curva_Temp[Warranted Power Curve for 
1.194Kg/m3 air density '[kW']
SG 5.0-145 (AM+1, 5.2MW) AT 
90M],MATCH(TBL_CalcDarwin[[#This Row],[Darwin Temp.
°C]],Curva_Temp[Temp]))</f>
        <v>5000</v>
      </c>
      <c r="S183" s="41" cm="1">
        <f t="array" ref="S183">INDEX(Curva_Temp[Temp],MATCH(TBL_CalcDarwin[[#This Row],[Darwin Temp.
°C]],Curva_Temp[Temp])+1)</f>
        <v>25</v>
      </c>
      <c r="T183" s="41" cm="1">
        <f t="array" ref="T183">INDEX(Curva_Temp[Warranted Power Curve for 
1.194Kg/m3 air density '[kW']
SG 5.0-145 (AM+1, 5.2MW) AT 
90M],MATCH(TBL_CalcDarwin[[#This Row],[Darwin Temp.
°C]],Curva_Temp[Temp])+1)</f>
        <v>4900</v>
      </c>
      <c r="U18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4.9980000000000002</v>
      </c>
      <c r="V18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8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8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83" s="41">
        <f>INDEX(Curva_Temp[Temp],MATCH(TBL_CalcDarwin[[#This Row],[Darwin Temp.
°C]],Curva_Temp[Temp]))</f>
        <v>20</v>
      </c>
      <c r="Z183" s="41">
        <f>INDEX(Curva_Temp[Warranted Power Curve for 
1.194Kg/m3 air density '[kW']
SG 5.0-145 (AM 0, 5.0MW) AT 
90M],MATCH(TBL_CalcDarwin[[#This Row],[Darwin Temp.
°C]],Curva_Temp[Temp]))</f>
        <v>5000</v>
      </c>
      <c r="AA183" s="41" cm="1">
        <f t="array" ref="AA183">INDEX(Curva_Temp[Temp],MATCH(TBL_CalcDarwin[[#This Row],[Darwin Temp.
°C]],Curva_Temp[Temp])+1)</f>
        <v>25</v>
      </c>
      <c r="AB183" s="41" cm="1">
        <f t="array" ref="AB183">INDEX(Curva_Temp[Warranted Power Curve for 
1.194Kg/m3 air density '[kW']
SG 5.0-145 (AM 0, 5.0MW) AT 
90M],MATCH(TBL_CalcDarwin[[#This Row],[Darwin Temp.
°C]],Curva_Temp[Temp])+1)</f>
        <v>4900</v>
      </c>
      <c r="AC183" s="45">
        <f>HLOOKUP(TBL_CalcDarwin[[#This Row],[Fecha]],'Plantilla AEG ES'!$E$1:$HX$13,2,FALSE)</f>
        <v>5</v>
      </c>
      <c r="AD183" s="45">
        <f>HLOOKUP(TBL_CalcDarwin[[#This Row],[Fecha]],'Plantilla AEG ES'!$E$1:$HX$13,3,FALSE)</f>
        <v>8</v>
      </c>
      <c r="AE183" s="45">
        <f>HLOOKUP(TBL_CalcDarwin[[#This Row],[Fecha]],'Plantilla AEG ES'!$E$1:$HX$13,4,FALSE)</f>
        <v>12</v>
      </c>
      <c r="AF183" s="45">
        <f>HLOOKUP(TBL_CalcDarwin[[#This Row],[Fecha]],'Plantilla AEG ES'!$E$1:$HX$13,5,FALSE)</f>
        <v>1</v>
      </c>
      <c r="AG183" s="45">
        <f>HLOOKUP(TBL_CalcDarwin[[#This Row],[Fecha]],'Plantilla AEG ES'!$E$1:$HX$13,6,FALSE)</f>
        <v>1</v>
      </c>
      <c r="AH183" s="45">
        <f>HLOOKUP(TBL_CalcDarwin[[#This Row],[Fecha]],'Plantilla AEG ES'!$E$1:$HX$13,7,FALSE)</f>
        <v>0</v>
      </c>
      <c r="AI183" s="46">
        <f>HLOOKUP(TBL_CalcDarwin[[#This Row],[Fecha]],'Plantilla AEG ES'!$E$1:$HX$13,8,FALSE)</f>
        <v>0</v>
      </c>
      <c r="AJ183" s="46">
        <f>HLOOKUP(TBL_CalcDarwin[[#This Row],[Fecha]],'Plantilla AEG ES'!$E$1:$HX$13,9,FALSE)</f>
        <v>3</v>
      </c>
      <c r="AK183" s="46">
        <f>HLOOKUP(TBL_CalcDarwin[[#This Row],[Fecha]],'Plantilla AEG ES'!$E$1:$HX$13,10,FALSE)</f>
        <v>12</v>
      </c>
      <c r="AL183" s="46">
        <f>HLOOKUP(TBL_CalcDarwin[[#This Row],[Fecha]],'Plantilla AEG ES'!$E$1:$HX$13,11,FALSE)</f>
        <v>1</v>
      </c>
      <c r="AM183" s="46">
        <f>HLOOKUP(TBL_CalcDarwin[[#This Row],[Fecha]],'Plantilla AEG ES'!$E$1:$HX$13,12,FALSE)</f>
        <v>7</v>
      </c>
      <c r="AN183" s="46">
        <f>HLOOKUP(TBL_CalcDarwin[[#This Row],[Fecha]],'Plantilla AEG ES'!$E$1:$HX$13,13,FALSE)</f>
        <v>1</v>
      </c>
      <c r="AO183" s="37">
        <f>TBL_CalcDarwin[[#This Row],[Lomitas - Barra A - 5.2 - Cerro]]+TBL_CalcDarwin[[#This Row],[Lomitas - Barra A - 5.2 - Medio]]+TBL_CalcDarwin[[#This Row],[Lomitas - Barra A - 5.2 - Mar]]</f>
        <v>25</v>
      </c>
      <c r="AP18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18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83" s="37">
        <f>TBL_CalcDarwin[[#This Row],[Expansión - Barra A - 5.2 - Cerro]]+TBL_CalcDarwin[[#This Row],[Expansión - Barra A - 5.2 - Medio]]+TBL_CalcDarwin[[#This Row],[Expansión - Barra A - 5.2 - Mar]]</f>
        <v>2</v>
      </c>
      <c r="AT183" s="37">
        <f>TBL_CalcDarwin[[#This Row],[Expansión - Barra B - 5.2 - Cerro]]</f>
        <v>1</v>
      </c>
      <c r="AU18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83" s="29">
        <f>TBL_CalcDarwin[[#This Row],[Expansión - Barra B - 5.2 - Cerro]]*TBL_CalcDarwin[[#This Row],[AEG 5.2 MW Cerro]]</f>
        <v>1.597</v>
      </c>
      <c r="AZ183" s="18"/>
      <c r="BA183" s="18"/>
      <c r="BB183" s="18"/>
      <c r="BC183" s="18"/>
      <c r="BD183" s="18"/>
      <c r="BE183" s="18"/>
      <c r="BF183" s="18"/>
    </row>
    <row r="184" spans="2:58" ht="12" x14ac:dyDescent="0.2">
      <c r="B184" s="55">
        <f t="shared" si="13"/>
        <v>45620.583333332899</v>
      </c>
      <c r="C184" s="17">
        <f t="shared" si="17"/>
        <v>7.5833333333333526</v>
      </c>
      <c r="D184" s="34">
        <f>TBL_CalcDarwin[[#This Row],[Darwin PLOM
MW]]+TBL_CalcDarwin[[#This Row],[Darwin PLOME
MW]]</f>
        <v>182.655</v>
      </c>
      <c r="E184" s="34">
        <f>TBL_CalcDarwin[[#This Row],[PLOM MW TOTAL BARRA A]]+TBL_CalcDarwin[[#This Row],[PLOM MW TOTAL BARRA B]]</f>
        <v>175.821</v>
      </c>
      <c r="F184" s="34">
        <f>TBL_CalcDarwin[[#This Row],[PLOME MW TOTAL BARRA A]]+TBL_CalcDarwin[[#This Row],[PLOME MW TOTAL BARRA B]]</f>
        <v>6.8339999999999996</v>
      </c>
      <c r="G184" s="48">
        <f>'Plantilla Datos'!D189</f>
        <v>7.8</v>
      </c>
      <c r="H184" s="48">
        <f>'Plantilla Datos'!E189</f>
        <v>9.8000000000000007</v>
      </c>
      <c r="I184" s="49">
        <f>'Plantilla Datos'!F189</f>
        <v>19.8</v>
      </c>
      <c r="J184" s="47">
        <f>CEILING('Plantilla Datos'!$L$3*TBL_CalcDarwin[[#This Row],[Darwin Gusts
m/s]],0.5)</f>
        <v>7.5</v>
      </c>
      <c r="K184" s="47">
        <f>CEILING('Plantilla Datos'!$L$4*TBL_CalcDarwin[[#This Row],[Darwin Gusts
m/s]],0.5)</f>
        <v>8.5</v>
      </c>
      <c r="L184" s="47">
        <f>CEILING(TBL_CalcDarwin[[#This Row],[Darwin Gusts
m/s]],0.5)</f>
        <v>10</v>
      </c>
      <c r="M18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5.008</v>
      </c>
      <c r="N18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8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8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84" s="41">
        <f>INDEX(Curva_Temp[Temp],MATCH(TBL_CalcDarwin[[#This Row],[Darwin Temp.
°C]],Curva_Temp[Temp]))</f>
        <v>15</v>
      </c>
      <c r="R184" s="41">
        <f>INDEX(Curva_Temp[Warranted Power Curve for 
1.194Kg/m3 air density '[kW']
SG 5.0-145 (AM+1, 5.2MW) AT 
90M],MATCH(TBL_CalcDarwin[[#This Row],[Darwin Temp.
°C]],Curva_Temp[Temp]))</f>
        <v>5200</v>
      </c>
      <c r="S184" s="41" cm="1">
        <f t="array" ref="S184">INDEX(Curva_Temp[Temp],MATCH(TBL_CalcDarwin[[#This Row],[Darwin Temp.
°C]],Curva_Temp[Temp])+1)</f>
        <v>20</v>
      </c>
      <c r="T184" s="41" cm="1">
        <f t="array" ref="T184">INDEX(Curva_Temp[Warranted Power Curve for 
1.194Kg/m3 air density '[kW']
SG 5.0-145 (AM+1, 5.2MW) AT 
90M],MATCH(TBL_CalcDarwin[[#This Row],[Darwin Temp.
°C]],Curva_Temp[Temp])+1)</f>
        <v>5000</v>
      </c>
      <c r="U18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8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8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84" s="41">
        <f>INDEX(Curva_Temp[Temp],MATCH(TBL_CalcDarwin[[#This Row],[Darwin Temp.
°C]],Curva_Temp[Temp]))</f>
        <v>15</v>
      </c>
      <c r="Z184" s="41">
        <f>INDEX(Curva_Temp[Warranted Power Curve for 
1.194Kg/m3 air density '[kW']
SG 5.0-145 (AM 0, 5.0MW) AT 
90M],MATCH(TBL_CalcDarwin[[#This Row],[Darwin Temp.
°C]],Curva_Temp[Temp]))</f>
        <v>5000</v>
      </c>
      <c r="AA184" s="41" cm="1">
        <f t="array" ref="AA184">INDEX(Curva_Temp[Temp],MATCH(TBL_CalcDarwin[[#This Row],[Darwin Temp.
°C]],Curva_Temp[Temp])+1)</f>
        <v>20</v>
      </c>
      <c r="AB184" s="41" cm="1">
        <f t="array" ref="AB184">INDEX(Curva_Temp[Warranted Power Curve for 
1.194Kg/m3 air density '[kW']
SG 5.0-145 (AM 0, 5.0MW) AT 
90M],MATCH(TBL_CalcDarwin[[#This Row],[Darwin Temp.
°C]],Curva_Temp[Temp])+1)</f>
        <v>5000</v>
      </c>
      <c r="AC184" s="45">
        <f>HLOOKUP(TBL_CalcDarwin[[#This Row],[Fecha]],'Plantilla AEG ES'!$E$1:$HX$13,2,FALSE)</f>
        <v>5</v>
      </c>
      <c r="AD184" s="45">
        <f>HLOOKUP(TBL_CalcDarwin[[#This Row],[Fecha]],'Plantilla AEG ES'!$E$1:$HX$13,3,FALSE)</f>
        <v>8</v>
      </c>
      <c r="AE184" s="45">
        <f>HLOOKUP(TBL_CalcDarwin[[#This Row],[Fecha]],'Plantilla AEG ES'!$E$1:$HX$13,4,FALSE)</f>
        <v>12</v>
      </c>
      <c r="AF184" s="45">
        <f>HLOOKUP(TBL_CalcDarwin[[#This Row],[Fecha]],'Plantilla AEG ES'!$E$1:$HX$13,5,FALSE)</f>
        <v>1</v>
      </c>
      <c r="AG184" s="45">
        <f>HLOOKUP(TBL_CalcDarwin[[#This Row],[Fecha]],'Plantilla AEG ES'!$E$1:$HX$13,6,FALSE)</f>
        <v>1</v>
      </c>
      <c r="AH184" s="45">
        <f>HLOOKUP(TBL_CalcDarwin[[#This Row],[Fecha]],'Plantilla AEG ES'!$E$1:$HX$13,7,FALSE)</f>
        <v>0</v>
      </c>
      <c r="AI184" s="46">
        <f>HLOOKUP(TBL_CalcDarwin[[#This Row],[Fecha]],'Plantilla AEG ES'!$E$1:$HX$13,8,FALSE)</f>
        <v>0</v>
      </c>
      <c r="AJ184" s="46">
        <f>HLOOKUP(TBL_CalcDarwin[[#This Row],[Fecha]],'Plantilla AEG ES'!$E$1:$HX$13,9,FALSE)</f>
        <v>3</v>
      </c>
      <c r="AK184" s="46">
        <f>HLOOKUP(TBL_CalcDarwin[[#This Row],[Fecha]],'Plantilla AEG ES'!$E$1:$HX$13,10,FALSE)</f>
        <v>12</v>
      </c>
      <c r="AL184" s="46">
        <f>HLOOKUP(TBL_CalcDarwin[[#This Row],[Fecha]],'Plantilla AEG ES'!$E$1:$HX$13,11,FALSE)</f>
        <v>1</v>
      </c>
      <c r="AM184" s="46">
        <f>HLOOKUP(TBL_CalcDarwin[[#This Row],[Fecha]],'Plantilla AEG ES'!$E$1:$HX$13,12,FALSE)</f>
        <v>7</v>
      </c>
      <c r="AN184" s="46">
        <f>HLOOKUP(TBL_CalcDarwin[[#This Row],[Fecha]],'Plantilla AEG ES'!$E$1:$HX$13,13,FALSE)</f>
        <v>1</v>
      </c>
      <c r="AO184" s="37">
        <f>TBL_CalcDarwin[[#This Row],[Lomitas - Barra A - 5.2 - Cerro]]+TBL_CalcDarwin[[#This Row],[Lomitas - Barra A - 5.2 - Medio]]+TBL_CalcDarwin[[#This Row],[Lomitas - Barra A - 5.2 - Mar]]</f>
        <v>25</v>
      </c>
      <c r="AP18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18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84" s="37">
        <f>TBL_CalcDarwin[[#This Row],[Expansión - Barra A - 5.2 - Cerro]]+TBL_CalcDarwin[[#This Row],[Expansión - Barra A - 5.2 - Medio]]+TBL_CalcDarwin[[#This Row],[Expansión - Barra A - 5.2 - Mar]]</f>
        <v>2</v>
      </c>
      <c r="AT184" s="37">
        <f>TBL_CalcDarwin[[#This Row],[Expansión - Barra B - 5.2 - Cerro]]</f>
        <v>1</v>
      </c>
      <c r="AU18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84" s="29">
        <f>TBL_CalcDarwin[[#This Row],[Expansión - Barra B - 5.2 - Cerro]]*TBL_CalcDarwin[[#This Row],[AEG 5.2 MW Cerro]]</f>
        <v>1.978</v>
      </c>
      <c r="AZ184" s="18"/>
      <c r="BA184" s="18"/>
      <c r="BB184" s="18"/>
      <c r="BC184" s="18"/>
      <c r="BD184" s="18"/>
      <c r="BE184" s="18"/>
      <c r="BF184" s="18"/>
    </row>
    <row r="185" spans="2:58" ht="12" x14ac:dyDescent="0.2">
      <c r="B185" s="55">
        <f t="shared" si="13"/>
        <v>45620.624999999563</v>
      </c>
      <c r="C185" s="17">
        <f t="shared" si="17"/>
        <v>7.6250000000000195</v>
      </c>
      <c r="D185" s="34">
        <f>TBL_CalcDarwin[[#This Row],[Darwin PLOM
MW]]+TBL_CalcDarwin[[#This Row],[Darwin PLOME
MW]]</f>
        <v>182.655</v>
      </c>
      <c r="E185" s="34">
        <f>TBL_CalcDarwin[[#This Row],[PLOM MW TOTAL BARRA A]]+TBL_CalcDarwin[[#This Row],[PLOM MW TOTAL BARRA B]]</f>
        <v>175.821</v>
      </c>
      <c r="F185" s="34">
        <f>TBL_CalcDarwin[[#This Row],[PLOME MW TOTAL BARRA A]]+TBL_CalcDarwin[[#This Row],[PLOME MW TOTAL BARRA B]]</f>
        <v>6.8339999999999996</v>
      </c>
      <c r="G185" s="48">
        <f>'Plantilla Datos'!D190</f>
        <v>7.9</v>
      </c>
      <c r="H185" s="48">
        <f>'Plantilla Datos'!E190</f>
        <v>9.8000000000000007</v>
      </c>
      <c r="I185" s="49">
        <f>'Plantilla Datos'!F190</f>
        <v>19.399999999999999</v>
      </c>
      <c r="J185" s="47">
        <f>CEILING('Plantilla Datos'!$L$3*TBL_CalcDarwin[[#This Row],[Darwin Gusts
m/s]],0.5)</f>
        <v>7.5</v>
      </c>
      <c r="K185" s="47">
        <f>CEILING('Plantilla Datos'!$L$4*TBL_CalcDarwin[[#This Row],[Darwin Gusts
m/s]],0.5)</f>
        <v>8.5</v>
      </c>
      <c r="L185" s="47">
        <f>CEILING(TBL_CalcDarwin[[#This Row],[Darwin Gusts
m/s]],0.5)</f>
        <v>10</v>
      </c>
      <c r="M18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5.024</v>
      </c>
      <c r="N18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8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8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85" s="41">
        <f>INDEX(Curva_Temp[Temp],MATCH(TBL_CalcDarwin[[#This Row],[Darwin Temp.
°C]],Curva_Temp[Temp]))</f>
        <v>15</v>
      </c>
      <c r="R185" s="41">
        <f>INDEX(Curva_Temp[Warranted Power Curve for 
1.194Kg/m3 air density '[kW']
SG 5.0-145 (AM+1, 5.2MW) AT 
90M],MATCH(TBL_CalcDarwin[[#This Row],[Darwin Temp.
°C]],Curva_Temp[Temp]))</f>
        <v>5200</v>
      </c>
      <c r="S185" s="41" cm="1">
        <f t="array" ref="S185">INDEX(Curva_Temp[Temp],MATCH(TBL_CalcDarwin[[#This Row],[Darwin Temp.
°C]],Curva_Temp[Temp])+1)</f>
        <v>20</v>
      </c>
      <c r="T185" s="41" cm="1">
        <f t="array" ref="T185">INDEX(Curva_Temp[Warranted Power Curve for 
1.194Kg/m3 air density '[kW']
SG 5.0-145 (AM+1, 5.2MW) AT 
90M],MATCH(TBL_CalcDarwin[[#This Row],[Darwin Temp.
°C]],Curva_Temp[Temp])+1)</f>
        <v>5000</v>
      </c>
      <c r="U18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8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8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85" s="41">
        <f>INDEX(Curva_Temp[Temp],MATCH(TBL_CalcDarwin[[#This Row],[Darwin Temp.
°C]],Curva_Temp[Temp]))</f>
        <v>15</v>
      </c>
      <c r="Z185" s="41">
        <f>INDEX(Curva_Temp[Warranted Power Curve for 
1.194Kg/m3 air density '[kW']
SG 5.0-145 (AM 0, 5.0MW) AT 
90M],MATCH(TBL_CalcDarwin[[#This Row],[Darwin Temp.
°C]],Curva_Temp[Temp]))</f>
        <v>5000</v>
      </c>
      <c r="AA185" s="41" cm="1">
        <f t="array" ref="AA185">INDEX(Curva_Temp[Temp],MATCH(TBL_CalcDarwin[[#This Row],[Darwin Temp.
°C]],Curva_Temp[Temp])+1)</f>
        <v>20</v>
      </c>
      <c r="AB185" s="41" cm="1">
        <f t="array" ref="AB185">INDEX(Curva_Temp[Warranted Power Curve for 
1.194Kg/m3 air density '[kW']
SG 5.0-145 (AM 0, 5.0MW) AT 
90M],MATCH(TBL_CalcDarwin[[#This Row],[Darwin Temp.
°C]],Curva_Temp[Temp])+1)</f>
        <v>5000</v>
      </c>
      <c r="AC185" s="45">
        <f>HLOOKUP(TBL_CalcDarwin[[#This Row],[Fecha]],'Plantilla AEG ES'!$E$1:$HX$13,2,FALSE)</f>
        <v>5</v>
      </c>
      <c r="AD185" s="45">
        <f>HLOOKUP(TBL_CalcDarwin[[#This Row],[Fecha]],'Plantilla AEG ES'!$E$1:$HX$13,3,FALSE)</f>
        <v>8</v>
      </c>
      <c r="AE185" s="45">
        <f>HLOOKUP(TBL_CalcDarwin[[#This Row],[Fecha]],'Plantilla AEG ES'!$E$1:$HX$13,4,FALSE)</f>
        <v>12</v>
      </c>
      <c r="AF185" s="45">
        <f>HLOOKUP(TBL_CalcDarwin[[#This Row],[Fecha]],'Plantilla AEG ES'!$E$1:$HX$13,5,FALSE)</f>
        <v>1</v>
      </c>
      <c r="AG185" s="45">
        <f>HLOOKUP(TBL_CalcDarwin[[#This Row],[Fecha]],'Plantilla AEG ES'!$E$1:$HX$13,6,FALSE)</f>
        <v>1</v>
      </c>
      <c r="AH185" s="45">
        <f>HLOOKUP(TBL_CalcDarwin[[#This Row],[Fecha]],'Plantilla AEG ES'!$E$1:$HX$13,7,FALSE)</f>
        <v>0</v>
      </c>
      <c r="AI185" s="46">
        <f>HLOOKUP(TBL_CalcDarwin[[#This Row],[Fecha]],'Plantilla AEG ES'!$E$1:$HX$13,8,FALSE)</f>
        <v>0</v>
      </c>
      <c r="AJ185" s="46">
        <f>HLOOKUP(TBL_CalcDarwin[[#This Row],[Fecha]],'Plantilla AEG ES'!$E$1:$HX$13,9,FALSE)</f>
        <v>3</v>
      </c>
      <c r="AK185" s="46">
        <f>HLOOKUP(TBL_CalcDarwin[[#This Row],[Fecha]],'Plantilla AEG ES'!$E$1:$HX$13,10,FALSE)</f>
        <v>12</v>
      </c>
      <c r="AL185" s="46">
        <f>HLOOKUP(TBL_CalcDarwin[[#This Row],[Fecha]],'Plantilla AEG ES'!$E$1:$HX$13,11,FALSE)</f>
        <v>1</v>
      </c>
      <c r="AM185" s="46">
        <f>HLOOKUP(TBL_CalcDarwin[[#This Row],[Fecha]],'Plantilla AEG ES'!$E$1:$HX$13,12,FALSE)</f>
        <v>7</v>
      </c>
      <c r="AN185" s="46">
        <f>HLOOKUP(TBL_CalcDarwin[[#This Row],[Fecha]],'Plantilla AEG ES'!$E$1:$HX$13,13,FALSE)</f>
        <v>1</v>
      </c>
      <c r="AO185" s="37">
        <f>TBL_CalcDarwin[[#This Row],[Lomitas - Barra A - 5.2 - Cerro]]+TBL_CalcDarwin[[#This Row],[Lomitas - Barra A - 5.2 - Medio]]+TBL_CalcDarwin[[#This Row],[Lomitas - Barra A - 5.2 - Mar]]</f>
        <v>25</v>
      </c>
      <c r="AP18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18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85" s="37">
        <f>TBL_CalcDarwin[[#This Row],[Expansión - Barra A - 5.2 - Cerro]]+TBL_CalcDarwin[[#This Row],[Expansión - Barra A - 5.2 - Medio]]+TBL_CalcDarwin[[#This Row],[Expansión - Barra A - 5.2 - Mar]]</f>
        <v>2</v>
      </c>
      <c r="AT185" s="37">
        <f>TBL_CalcDarwin[[#This Row],[Expansión - Barra B - 5.2 - Cerro]]</f>
        <v>1</v>
      </c>
      <c r="AU18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85" s="29">
        <f>TBL_CalcDarwin[[#This Row],[Expansión - Barra B - 5.2 - Cerro]]*TBL_CalcDarwin[[#This Row],[AEG 5.2 MW Cerro]]</f>
        <v>1.978</v>
      </c>
      <c r="AZ185" s="18"/>
      <c r="BA185" s="18"/>
      <c r="BB185" s="18"/>
      <c r="BC185" s="18"/>
      <c r="BD185" s="18"/>
      <c r="BE185" s="18"/>
      <c r="BF185" s="18"/>
    </row>
    <row r="186" spans="2:58" ht="12" x14ac:dyDescent="0.2">
      <c r="B186" s="55">
        <f t="shared" si="13"/>
        <v>45620.666666666228</v>
      </c>
      <c r="C186" s="17">
        <f t="shared" si="17"/>
        <v>7.6666666666666865</v>
      </c>
      <c r="D186" s="34">
        <f>TBL_CalcDarwin[[#This Row],[Darwin PLOM
MW]]+TBL_CalcDarwin[[#This Row],[Darwin PLOME
MW]]</f>
        <v>182.655</v>
      </c>
      <c r="E186" s="34">
        <f>TBL_CalcDarwin[[#This Row],[PLOM MW TOTAL BARRA A]]+TBL_CalcDarwin[[#This Row],[PLOM MW TOTAL BARRA B]]</f>
        <v>175.821</v>
      </c>
      <c r="F186" s="34">
        <f>TBL_CalcDarwin[[#This Row],[PLOME MW TOTAL BARRA A]]+TBL_CalcDarwin[[#This Row],[PLOME MW TOTAL BARRA B]]</f>
        <v>6.8339999999999996</v>
      </c>
      <c r="G186" s="48">
        <f>'Plantilla Datos'!D191</f>
        <v>7.9</v>
      </c>
      <c r="H186" s="48">
        <f>'Plantilla Datos'!E191</f>
        <v>9.9</v>
      </c>
      <c r="I186" s="49">
        <f>'Plantilla Datos'!F191</f>
        <v>19</v>
      </c>
      <c r="J186" s="47">
        <f>CEILING('Plantilla Datos'!$L$3*TBL_CalcDarwin[[#This Row],[Darwin Gusts
m/s]],0.5)</f>
        <v>7.5</v>
      </c>
      <c r="K186" s="47">
        <f>CEILING('Plantilla Datos'!$L$4*TBL_CalcDarwin[[#This Row],[Darwin Gusts
m/s]],0.5)</f>
        <v>8.5</v>
      </c>
      <c r="L186" s="47">
        <f>CEILING(TBL_CalcDarwin[[#This Row],[Darwin Gusts
m/s]],0.5)</f>
        <v>10</v>
      </c>
      <c r="M18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</v>
      </c>
      <c r="N18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8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8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86" s="41">
        <f>INDEX(Curva_Temp[Temp],MATCH(TBL_CalcDarwin[[#This Row],[Darwin Temp.
°C]],Curva_Temp[Temp]))</f>
        <v>15</v>
      </c>
      <c r="R186" s="41">
        <f>INDEX(Curva_Temp[Warranted Power Curve for 
1.194Kg/m3 air density '[kW']
SG 5.0-145 (AM+1, 5.2MW) AT 
90M],MATCH(TBL_CalcDarwin[[#This Row],[Darwin Temp.
°C]],Curva_Temp[Temp]))</f>
        <v>5200</v>
      </c>
      <c r="S186" s="41" cm="1">
        <f t="array" ref="S186">INDEX(Curva_Temp[Temp],MATCH(TBL_CalcDarwin[[#This Row],[Darwin Temp.
°C]],Curva_Temp[Temp])+1)</f>
        <v>20</v>
      </c>
      <c r="T186" s="41" cm="1">
        <f t="array" ref="T186">INDEX(Curva_Temp[Warranted Power Curve for 
1.194Kg/m3 air density '[kW']
SG 5.0-145 (AM+1, 5.2MW) AT 
90M],MATCH(TBL_CalcDarwin[[#This Row],[Darwin Temp.
°C]],Curva_Temp[Temp])+1)</f>
        <v>5000</v>
      </c>
      <c r="U18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8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8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86" s="41">
        <f>INDEX(Curva_Temp[Temp],MATCH(TBL_CalcDarwin[[#This Row],[Darwin Temp.
°C]],Curva_Temp[Temp]))</f>
        <v>15</v>
      </c>
      <c r="Z186" s="41">
        <f>INDEX(Curva_Temp[Warranted Power Curve for 
1.194Kg/m3 air density '[kW']
SG 5.0-145 (AM 0, 5.0MW) AT 
90M],MATCH(TBL_CalcDarwin[[#This Row],[Darwin Temp.
°C]],Curva_Temp[Temp]))</f>
        <v>5000</v>
      </c>
      <c r="AA186" s="41" cm="1">
        <f t="array" ref="AA186">INDEX(Curva_Temp[Temp],MATCH(TBL_CalcDarwin[[#This Row],[Darwin Temp.
°C]],Curva_Temp[Temp])+1)</f>
        <v>20</v>
      </c>
      <c r="AB186" s="41" cm="1">
        <f t="array" ref="AB186">INDEX(Curva_Temp[Warranted Power Curve for 
1.194Kg/m3 air density '[kW']
SG 5.0-145 (AM 0, 5.0MW) AT 
90M],MATCH(TBL_CalcDarwin[[#This Row],[Darwin Temp.
°C]],Curva_Temp[Temp])+1)</f>
        <v>5000</v>
      </c>
      <c r="AC186" s="45">
        <f>HLOOKUP(TBL_CalcDarwin[[#This Row],[Fecha]],'Plantilla AEG ES'!$E$1:$HX$13,2,FALSE)</f>
        <v>5</v>
      </c>
      <c r="AD186" s="45">
        <f>HLOOKUP(TBL_CalcDarwin[[#This Row],[Fecha]],'Plantilla AEG ES'!$E$1:$HX$13,3,FALSE)</f>
        <v>8</v>
      </c>
      <c r="AE186" s="45">
        <f>HLOOKUP(TBL_CalcDarwin[[#This Row],[Fecha]],'Plantilla AEG ES'!$E$1:$HX$13,4,FALSE)</f>
        <v>12</v>
      </c>
      <c r="AF186" s="45">
        <f>HLOOKUP(TBL_CalcDarwin[[#This Row],[Fecha]],'Plantilla AEG ES'!$E$1:$HX$13,5,FALSE)</f>
        <v>1</v>
      </c>
      <c r="AG186" s="45">
        <f>HLOOKUP(TBL_CalcDarwin[[#This Row],[Fecha]],'Plantilla AEG ES'!$E$1:$HX$13,6,FALSE)</f>
        <v>1</v>
      </c>
      <c r="AH186" s="45">
        <f>HLOOKUP(TBL_CalcDarwin[[#This Row],[Fecha]],'Plantilla AEG ES'!$E$1:$HX$13,7,FALSE)</f>
        <v>0</v>
      </c>
      <c r="AI186" s="46">
        <f>HLOOKUP(TBL_CalcDarwin[[#This Row],[Fecha]],'Plantilla AEG ES'!$E$1:$HX$13,8,FALSE)</f>
        <v>0</v>
      </c>
      <c r="AJ186" s="46">
        <f>HLOOKUP(TBL_CalcDarwin[[#This Row],[Fecha]],'Plantilla AEG ES'!$E$1:$HX$13,9,FALSE)</f>
        <v>3</v>
      </c>
      <c r="AK186" s="46">
        <f>HLOOKUP(TBL_CalcDarwin[[#This Row],[Fecha]],'Plantilla AEG ES'!$E$1:$HX$13,10,FALSE)</f>
        <v>12</v>
      </c>
      <c r="AL186" s="46">
        <f>HLOOKUP(TBL_CalcDarwin[[#This Row],[Fecha]],'Plantilla AEG ES'!$E$1:$HX$13,11,FALSE)</f>
        <v>1</v>
      </c>
      <c r="AM186" s="46">
        <f>HLOOKUP(TBL_CalcDarwin[[#This Row],[Fecha]],'Plantilla AEG ES'!$E$1:$HX$13,12,FALSE)</f>
        <v>7</v>
      </c>
      <c r="AN186" s="46">
        <f>HLOOKUP(TBL_CalcDarwin[[#This Row],[Fecha]],'Plantilla AEG ES'!$E$1:$HX$13,13,FALSE)</f>
        <v>1</v>
      </c>
      <c r="AO186" s="37">
        <f>TBL_CalcDarwin[[#This Row],[Lomitas - Barra A - 5.2 - Cerro]]+TBL_CalcDarwin[[#This Row],[Lomitas - Barra A - 5.2 - Medio]]+TBL_CalcDarwin[[#This Row],[Lomitas - Barra A - 5.2 - Mar]]</f>
        <v>25</v>
      </c>
      <c r="AP18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18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86" s="37">
        <f>TBL_CalcDarwin[[#This Row],[Expansión - Barra A - 5.2 - Cerro]]+TBL_CalcDarwin[[#This Row],[Expansión - Barra A - 5.2 - Medio]]+TBL_CalcDarwin[[#This Row],[Expansión - Barra A - 5.2 - Mar]]</f>
        <v>2</v>
      </c>
      <c r="AT186" s="37">
        <f>TBL_CalcDarwin[[#This Row],[Expansión - Barra B - 5.2 - Cerro]]</f>
        <v>1</v>
      </c>
      <c r="AU18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86" s="29">
        <f>TBL_CalcDarwin[[#This Row],[Expansión - Barra B - 5.2 - Cerro]]*TBL_CalcDarwin[[#This Row],[AEG 5.2 MW Cerro]]</f>
        <v>1.978</v>
      </c>
      <c r="AZ186" s="18"/>
      <c r="BA186" s="18"/>
      <c r="BB186" s="18"/>
      <c r="BC186" s="18"/>
      <c r="BD186" s="18"/>
      <c r="BE186" s="18"/>
      <c r="BF186" s="18"/>
    </row>
    <row r="187" spans="2:58" ht="12" x14ac:dyDescent="0.2">
      <c r="B187" s="55">
        <f t="shared" si="13"/>
        <v>45620.708333332892</v>
      </c>
      <c r="C187" s="17">
        <f t="shared" si="17"/>
        <v>7.7083333333333535</v>
      </c>
      <c r="D187" s="34">
        <f>TBL_CalcDarwin[[#This Row],[Darwin PLOM
MW]]+TBL_CalcDarwin[[#This Row],[Darwin PLOME
MW]]</f>
        <v>188.511</v>
      </c>
      <c r="E187" s="34">
        <f>TBL_CalcDarwin[[#This Row],[PLOM MW TOTAL BARRA A]]+TBL_CalcDarwin[[#This Row],[PLOM MW TOTAL BARRA B]]</f>
        <v>181.18899999999999</v>
      </c>
      <c r="F187" s="34">
        <f>TBL_CalcDarwin[[#This Row],[PLOME MW TOTAL BARRA A]]+TBL_CalcDarwin[[#This Row],[PLOME MW TOTAL BARRA B]]</f>
        <v>7.3220000000000001</v>
      </c>
      <c r="G187" s="48">
        <f>'Plantilla Datos'!D192</f>
        <v>8</v>
      </c>
      <c r="H187" s="48">
        <f>'Plantilla Datos'!E192</f>
        <v>10</v>
      </c>
      <c r="I187" s="49">
        <f>'Plantilla Datos'!F192</f>
        <v>18.7</v>
      </c>
      <c r="J187" s="47">
        <f>CEILING('Plantilla Datos'!$L$3*TBL_CalcDarwin[[#This Row],[Darwin Gusts
m/s]],0.5)</f>
        <v>7.5</v>
      </c>
      <c r="K187" s="47">
        <f>CEILING('Plantilla Datos'!$L$4*TBL_CalcDarwin[[#This Row],[Darwin Gusts
m/s]],0.5)</f>
        <v>9</v>
      </c>
      <c r="L187" s="47">
        <f>CEILING(TBL_CalcDarwin[[#This Row],[Darwin Gusts
m/s]],0.5)</f>
        <v>10</v>
      </c>
      <c r="M18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5.0519999999999996</v>
      </c>
      <c r="N18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8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8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87" s="41">
        <f>INDEX(Curva_Temp[Temp],MATCH(TBL_CalcDarwin[[#This Row],[Darwin Temp.
°C]],Curva_Temp[Temp]))</f>
        <v>15</v>
      </c>
      <c r="R187" s="41">
        <f>INDEX(Curva_Temp[Warranted Power Curve for 
1.194Kg/m3 air density '[kW']
SG 5.0-145 (AM+1, 5.2MW) AT 
90M],MATCH(TBL_CalcDarwin[[#This Row],[Darwin Temp.
°C]],Curva_Temp[Temp]))</f>
        <v>5200</v>
      </c>
      <c r="S187" s="41" cm="1">
        <f t="array" ref="S187">INDEX(Curva_Temp[Temp],MATCH(TBL_CalcDarwin[[#This Row],[Darwin Temp.
°C]],Curva_Temp[Temp])+1)</f>
        <v>20</v>
      </c>
      <c r="T187" s="41" cm="1">
        <f t="array" ref="T187">INDEX(Curva_Temp[Warranted Power Curve for 
1.194Kg/m3 air density '[kW']
SG 5.0-145 (AM+1, 5.2MW) AT 
90M],MATCH(TBL_CalcDarwin[[#This Row],[Darwin Temp.
°C]],Curva_Temp[Temp])+1)</f>
        <v>5000</v>
      </c>
      <c r="U18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8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8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87" s="41">
        <f>INDEX(Curva_Temp[Temp],MATCH(TBL_CalcDarwin[[#This Row],[Darwin Temp.
°C]],Curva_Temp[Temp]))</f>
        <v>15</v>
      </c>
      <c r="Z187" s="41">
        <f>INDEX(Curva_Temp[Warranted Power Curve for 
1.194Kg/m3 air density '[kW']
SG 5.0-145 (AM 0, 5.0MW) AT 
90M],MATCH(TBL_CalcDarwin[[#This Row],[Darwin Temp.
°C]],Curva_Temp[Temp]))</f>
        <v>5000</v>
      </c>
      <c r="AA187" s="41" cm="1">
        <f t="array" ref="AA187">INDEX(Curva_Temp[Temp],MATCH(TBL_CalcDarwin[[#This Row],[Darwin Temp.
°C]],Curva_Temp[Temp])+1)</f>
        <v>20</v>
      </c>
      <c r="AB187" s="41" cm="1">
        <f t="array" ref="AB187">INDEX(Curva_Temp[Warranted Power Curve for 
1.194Kg/m3 air density '[kW']
SG 5.0-145 (AM 0, 5.0MW) AT 
90M],MATCH(TBL_CalcDarwin[[#This Row],[Darwin Temp.
°C]],Curva_Temp[Temp])+1)</f>
        <v>5000</v>
      </c>
      <c r="AC187" s="45">
        <f>HLOOKUP(TBL_CalcDarwin[[#This Row],[Fecha]],'Plantilla AEG ES'!$E$1:$HX$13,2,FALSE)</f>
        <v>5</v>
      </c>
      <c r="AD187" s="45">
        <f>HLOOKUP(TBL_CalcDarwin[[#This Row],[Fecha]],'Plantilla AEG ES'!$E$1:$HX$13,3,FALSE)</f>
        <v>8</v>
      </c>
      <c r="AE187" s="45">
        <f>HLOOKUP(TBL_CalcDarwin[[#This Row],[Fecha]],'Plantilla AEG ES'!$E$1:$HX$13,4,FALSE)</f>
        <v>12</v>
      </c>
      <c r="AF187" s="45">
        <f>HLOOKUP(TBL_CalcDarwin[[#This Row],[Fecha]],'Plantilla AEG ES'!$E$1:$HX$13,5,FALSE)</f>
        <v>1</v>
      </c>
      <c r="AG187" s="45">
        <f>HLOOKUP(TBL_CalcDarwin[[#This Row],[Fecha]],'Plantilla AEG ES'!$E$1:$HX$13,6,FALSE)</f>
        <v>1</v>
      </c>
      <c r="AH187" s="45">
        <f>HLOOKUP(TBL_CalcDarwin[[#This Row],[Fecha]],'Plantilla AEG ES'!$E$1:$HX$13,7,FALSE)</f>
        <v>0</v>
      </c>
      <c r="AI187" s="46">
        <f>HLOOKUP(TBL_CalcDarwin[[#This Row],[Fecha]],'Plantilla AEG ES'!$E$1:$HX$13,8,FALSE)</f>
        <v>0</v>
      </c>
      <c r="AJ187" s="46">
        <f>HLOOKUP(TBL_CalcDarwin[[#This Row],[Fecha]],'Plantilla AEG ES'!$E$1:$HX$13,9,FALSE)</f>
        <v>3</v>
      </c>
      <c r="AK187" s="46">
        <f>HLOOKUP(TBL_CalcDarwin[[#This Row],[Fecha]],'Plantilla AEG ES'!$E$1:$HX$13,10,FALSE)</f>
        <v>12</v>
      </c>
      <c r="AL187" s="46">
        <f>HLOOKUP(TBL_CalcDarwin[[#This Row],[Fecha]],'Plantilla AEG ES'!$E$1:$HX$13,11,FALSE)</f>
        <v>1</v>
      </c>
      <c r="AM187" s="46">
        <f>HLOOKUP(TBL_CalcDarwin[[#This Row],[Fecha]],'Plantilla AEG ES'!$E$1:$HX$13,12,FALSE)</f>
        <v>7</v>
      </c>
      <c r="AN187" s="46">
        <f>HLOOKUP(TBL_CalcDarwin[[#This Row],[Fecha]],'Plantilla AEG ES'!$E$1:$HX$13,13,FALSE)</f>
        <v>1</v>
      </c>
      <c r="AO187" s="37">
        <f>TBL_CalcDarwin[[#This Row],[Lomitas - Barra A - 5.2 - Cerro]]+TBL_CalcDarwin[[#This Row],[Lomitas - Barra A - 5.2 - Medio]]+TBL_CalcDarwin[[#This Row],[Lomitas - Barra A - 5.2 - Mar]]</f>
        <v>25</v>
      </c>
      <c r="AP18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88.225999999999999</v>
      </c>
      <c r="AR18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92.962999999999994</v>
      </c>
      <c r="AS187" s="37">
        <f>TBL_CalcDarwin[[#This Row],[Expansión - Barra A - 5.2 - Cerro]]+TBL_CalcDarwin[[#This Row],[Expansión - Barra A - 5.2 - Medio]]+TBL_CalcDarwin[[#This Row],[Expansión - Barra A - 5.2 - Mar]]</f>
        <v>2</v>
      </c>
      <c r="AT187" s="37">
        <f>TBL_CalcDarwin[[#This Row],[Expansión - Barra B - 5.2 - Cerro]]</f>
        <v>1</v>
      </c>
      <c r="AU18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87" s="29">
        <f>TBL_CalcDarwin[[#This Row],[Expansión - Barra B - 5.2 - Cerro]]*TBL_CalcDarwin[[#This Row],[AEG 5.2 MW Cerro]]</f>
        <v>1.978</v>
      </c>
      <c r="AZ187" s="18"/>
      <c r="BA187" s="18"/>
      <c r="BB187" s="18"/>
      <c r="BC187" s="18"/>
      <c r="BD187" s="18"/>
      <c r="BE187" s="18"/>
      <c r="BF187" s="18"/>
    </row>
    <row r="188" spans="2:58" ht="12" x14ac:dyDescent="0.2">
      <c r="B188" s="55">
        <f t="shared" si="13"/>
        <v>45620.749999999556</v>
      </c>
      <c r="C188" s="17">
        <f t="shared" si="17"/>
        <v>7.7500000000000204</v>
      </c>
      <c r="D188" s="34">
        <f>TBL_CalcDarwin[[#This Row],[Darwin PLOM
MW]]+TBL_CalcDarwin[[#This Row],[Darwin PLOME
MW]]</f>
        <v>199.93799999999999</v>
      </c>
      <c r="E188" s="34">
        <f>TBL_CalcDarwin[[#This Row],[PLOM MW TOTAL BARRA A]]+TBL_CalcDarwin[[#This Row],[PLOM MW TOTAL BARRA B]]</f>
        <v>192.61599999999999</v>
      </c>
      <c r="F188" s="34">
        <f>TBL_CalcDarwin[[#This Row],[PLOME MW TOTAL BARRA A]]+TBL_CalcDarwin[[#This Row],[PLOME MW TOTAL BARRA B]]</f>
        <v>7.3220000000000001</v>
      </c>
      <c r="G188" s="48">
        <f>'Plantilla Datos'!D193</f>
        <v>8.1</v>
      </c>
      <c r="H188" s="48">
        <f>'Plantilla Datos'!E193</f>
        <v>10.1</v>
      </c>
      <c r="I188" s="49">
        <f>'Plantilla Datos'!F193</f>
        <v>18.3</v>
      </c>
      <c r="J188" s="47">
        <f>CEILING('Plantilla Datos'!$L$3*TBL_CalcDarwin[[#This Row],[Darwin Gusts
m/s]],0.5)</f>
        <v>7.5</v>
      </c>
      <c r="K188" s="47">
        <f>CEILING('Plantilla Datos'!$L$4*TBL_CalcDarwin[[#This Row],[Darwin Gusts
m/s]],0.5)</f>
        <v>9</v>
      </c>
      <c r="L188" s="47">
        <f>CEILING(TBL_CalcDarwin[[#This Row],[Darwin Gusts
m/s]],0.5)</f>
        <v>10.5</v>
      </c>
      <c r="M18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5.0679999999999996</v>
      </c>
      <c r="N18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8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8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88" s="41">
        <f>INDEX(Curva_Temp[Temp],MATCH(TBL_CalcDarwin[[#This Row],[Darwin Temp.
°C]],Curva_Temp[Temp]))</f>
        <v>15</v>
      </c>
      <c r="R188" s="41">
        <f>INDEX(Curva_Temp[Warranted Power Curve for 
1.194Kg/m3 air density '[kW']
SG 5.0-145 (AM+1, 5.2MW) AT 
90M],MATCH(TBL_CalcDarwin[[#This Row],[Darwin Temp.
°C]],Curva_Temp[Temp]))</f>
        <v>5200</v>
      </c>
      <c r="S188" s="41" cm="1">
        <f t="array" ref="S188">INDEX(Curva_Temp[Temp],MATCH(TBL_CalcDarwin[[#This Row],[Darwin Temp.
°C]],Curva_Temp[Temp])+1)</f>
        <v>20</v>
      </c>
      <c r="T188" s="41" cm="1">
        <f t="array" ref="T188">INDEX(Curva_Temp[Warranted Power Curve for 
1.194Kg/m3 air density '[kW']
SG 5.0-145 (AM+1, 5.2MW) AT 
90M],MATCH(TBL_CalcDarwin[[#This Row],[Darwin Temp.
°C]],Curva_Temp[Temp])+1)</f>
        <v>5000</v>
      </c>
      <c r="U18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8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8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88" s="41">
        <f>INDEX(Curva_Temp[Temp],MATCH(TBL_CalcDarwin[[#This Row],[Darwin Temp.
°C]],Curva_Temp[Temp]))</f>
        <v>15</v>
      </c>
      <c r="Z188" s="41">
        <f>INDEX(Curva_Temp[Warranted Power Curve for 
1.194Kg/m3 air density '[kW']
SG 5.0-145 (AM 0, 5.0MW) AT 
90M],MATCH(TBL_CalcDarwin[[#This Row],[Darwin Temp.
°C]],Curva_Temp[Temp]))</f>
        <v>5000</v>
      </c>
      <c r="AA188" s="41" cm="1">
        <f t="array" ref="AA188">INDEX(Curva_Temp[Temp],MATCH(TBL_CalcDarwin[[#This Row],[Darwin Temp.
°C]],Curva_Temp[Temp])+1)</f>
        <v>20</v>
      </c>
      <c r="AB188" s="41" cm="1">
        <f t="array" ref="AB188">INDEX(Curva_Temp[Warranted Power Curve for 
1.194Kg/m3 air density '[kW']
SG 5.0-145 (AM 0, 5.0MW) AT 
90M],MATCH(TBL_CalcDarwin[[#This Row],[Darwin Temp.
°C]],Curva_Temp[Temp])+1)</f>
        <v>5000</v>
      </c>
      <c r="AC188" s="45">
        <f>HLOOKUP(TBL_CalcDarwin[[#This Row],[Fecha]],'Plantilla AEG ES'!$E$1:$HX$13,2,FALSE)</f>
        <v>5</v>
      </c>
      <c r="AD188" s="45">
        <f>HLOOKUP(TBL_CalcDarwin[[#This Row],[Fecha]],'Plantilla AEG ES'!$E$1:$HX$13,3,FALSE)</f>
        <v>8</v>
      </c>
      <c r="AE188" s="45">
        <f>HLOOKUP(TBL_CalcDarwin[[#This Row],[Fecha]],'Plantilla AEG ES'!$E$1:$HX$13,4,FALSE)</f>
        <v>12</v>
      </c>
      <c r="AF188" s="45">
        <f>HLOOKUP(TBL_CalcDarwin[[#This Row],[Fecha]],'Plantilla AEG ES'!$E$1:$HX$13,5,FALSE)</f>
        <v>1</v>
      </c>
      <c r="AG188" s="45">
        <f>HLOOKUP(TBL_CalcDarwin[[#This Row],[Fecha]],'Plantilla AEG ES'!$E$1:$HX$13,6,FALSE)</f>
        <v>1</v>
      </c>
      <c r="AH188" s="45">
        <f>HLOOKUP(TBL_CalcDarwin[[#This Row],[Fecha]],'Plantilla AEG ES'!$E$1:$HX$13,7,FALSE)</f>
        <v>0</v>
      </c>
      <c r="AI188" s="46">
        <f>HLOOKUP(TBL_CalcDarwin[[#This Row],[Fecha]],'Plantilla AEG ES'!$E$1:$HX$13,8,FALSE)</f>
        <v>0</v>
      </c>
      <c r="AJ188" s="46">
        <f>HLOOKUP(TBL_CalcDarwin[[#This Row],[Fecha]],'Plantilla AEG ES'!$E$1:$HX$13,9,FALSE)</f>
        <v>3</v>
      </c>
      <c r="AK188" s="46">
        <f>HLOOKUP(TBL_CalcDarwin[[#This Row],[Fecha]],'Plantilla AEG ES'!$E$1:$HX$13,10,FALSE)</f>
        <v>12</v>
      </c>
      <c r="AL188" s="46">
        <f>HLOOKUP(TBL_CalcDarwin[[#This Row],[Fecha]],'Plantilla AEG ES'!$E$1:$HX$13,11,FALSE)</f>
        <v>1</v>
      </c>
      <c r="AM188" s="46">
        <f>HLOOKUP(TBL_CalcDarwin[[#This Row],[Fecha]],'Plantilla AEG ES'!$E$1:$HX$13,12,FALSE)</f>
        <v>7</v>
      </c>
      <c r="AN188" s="46">
        <f>HLOOKUP(TBL_CalcDarwin[[#This Row],[Fecha]],'Plantilla AEG ES'!$E$1:$HX$13,13,FALSE)</f>
        <v>1</v>
      </c>
      <c r="AO188" s="37">
        <f>TBL_CalcDarwin[[#This Row],[Lomitas - Barra A - 5.2 - Cerro]]+TBL_CalcDarwin[[#This Row],[Lomitas - Barra A - 5.2 - Medio]]+TBL_CalcDarwin[[#This Row],[Lomitas - Barra A - 5.2 - Mar]]</f>
        <v>25</v>
      </c>
      <c r="AP18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8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88" s="37">
        <f>TBL_CalcDarwin[[#This Row],[Expansión - Barra A - 5.2 - Cerro]]+TBL_CalcDarwin[[#This Row],[Expansión - Barra A - 5.2 - Medio]]+TBL_CalcDarwin[[#This Row],[Expansión - Barra A - 5.2 - Mar]]</f>
        <v>2</v>
      </c>
      <c r="AT188" s="37">
        <f>TBL_CalcDarwin[[#This Row],[Expansión - Barra B - 5.2 - Cerro]]</f>
        <v>1</v>
      </c>
      <c r="AU18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88" s="29">
        <f>TBL_CalcDarwin[[#This Row],[Expansión - Barra B - 5.2 - Cerro]]*TBL_CalcDarwin[[#This Row],[AEG 5.2 MW Cerro]]</f>
        <v>1.978</v>
      </c>
      <c r="AZ188" s="18"/>
      <c r="BA188" s="18"/>
      <c r="BB188" s="18"/>
      <c r="BC188" s="18"/>
      <c r="BD188" s="18"/>
      <c r="BE188" s="18"/>
      <c r="BF188" s="18"/>
    </row>
    <row r="189" spans="2:58" ht="12" x14ac:dyDescent="0.2">
      <c r="B189" s="55">
        <f t="shared" si="13"/>
        <v>45620.79166666622</v>
      </c>
      <c r="C189" s="17">
        <f t="shared" si="17"/>
        <v>7.7916666666666874</v>
      </c>
      <c r="D189" s="34">
        <f>TBL_CalcDarwin[[#This Row],[Darwin PLOM
MW]]+TBL_CalcDarwin[[#This Row],[Darwin PLOME
MW]]</f>
        <v>199.93799999999999</v>
      </c>
      <c r="E189" s="34">
        <f>TBL_CalcDarwin[[#This Row],[PLOM MW TOTAL BARRA A]]+TBL_CalcDarwin[[#This Row],[PLOM MW TOTAL BARRA B]]</f>
        <v>192.61599999999999</v>
      </c>
      <c r="F189" s="34">
        <f>TBL_CalcDarwin[[#This Row],[PLOME MW TOTAL BARRA A]]+TBL_CalcDarwin[[#This Row],[PLOME MW TOTAL BARRA B]]</f>
        <v>7.3220000000000001</v>
      </c>
      <c r="G189" s="48">
        <f>'Plantilla Datos'!D194</f>
        <v>8.1999999999999993</v>
      </c>
      <c r="H189" s="48">
        <f>'Plantilla Datos'!E194</f>
        <v>10.199999999999999</v>
      </c>
      <c r="I189" s="49">
        <f>'Plantilla Datos'!F194</f>
        <v>17.8</v>
      </c>
      <c r="J189" s="47">
        <f>CEILING('Plantilla Datos'!$L$3*TBL_CalcDarwin[[#This Row],[Darwin Gusts
m/s]],0.5)</f>
        <v>7.5</v>
      </c>
      <c r="K189" s="47">
        <f>CEILING('Plantilla Datos'!$L$4*TBL_CalcDarwin[[#This Row],[Darwin Gusts
m/s]],0.5)</f>
        <v>9</v>
      </c>
      <c r="L189" s="47">
        <f>CEILING(TBL_CalcDarwin[[#This Row],[Darwin Gusts
m/s]],0.5)</f>
        <v>10.5</v>
      </c>
      <c r="M18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18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8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8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89" s="41">
        <f>INDEX(Curva_Temp[Temp],MATCH(TBL_CalcDarwin[[#This Row],[Darwin Temp.
°C]],Curva_Temp[Temp]))</f>
        <v>15</v>
      </c>
      <c r="R189" s="41">
        <f>INDEX(Curva_Temp[Warranted Power Curve for 
1.194Kg/m3 air density '[kW']
SG 5.0-145 (AM+1, 5.2MW) AT 
90M],MATCH(TBL_CalcDarwin[[#This Row],[Darwin Temp.
°C]],Curva_Temp[Temp]))</f>
        <v>5200</v>
      </c>
      <c r="S189" s="41" cm="1">
        <f t="array" ref="S189">INDEX(Curva_Temp[Temp],MATCH(TBL_CalcDarwin[[#This Row],[Darwin Temp.
°C]],Curva_Temp[Temp])+1)</f>
        <v>20</v>
      </c>
      <c r="T189" s="41" cm="1">
        <f t="array" ref="T189">INDEX(Curva_Temp[Warranted Power Curve for 
1.194Kg/m3 air density '[kW']
SG 5.0-145 (AM+1, 5.2MW) AT 
90M],MATCH(TBL_CalcDarwin[[#This Row],[Darwin Temp.
°C]],Curva_Temp[Temp])+1)</f>
        <v>5000</v>
      </c>
      <c r="U18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8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8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89" s="41">
        <f>INDEX(Curva_Temp[Temp],MATCH(TBL_CalcDarwin[[#This Row],[Darwin Temp.
°C]],Curva_Temp[Temp]))</f>
        <v>15</v>
      </c>
      <c r="Z189" s="41">
        <f>INDEX(Curva_Temp[Warranted Power Curve for 
1.194Kg/m3 air density '[kW']
SG 5.0-145 (AM 0, 5.0MW) AT 
90M],MATCH(TBL_CalcDarwin[[#This Row],[Darwin Temp.
°C]],Curva_Temp[Temp]))</f>
        <v>5000</v>
      </c>
      <c r="AA189" s="41" cm="1">
        <f t="array" ref="AA189">INDEX(Curva_Temp[Temp],MATCH(TBL_CalcDarwin[[#This Row],[Darwin Temp.
°C]],Curva_Temp[Temp])+1)</f>
        <v>20</v>
      </c>
      <c r="AB189" s="41" cm="1">
        <f t="array" ref="AB189">INDEX(Curva_Temp[Warranted Power Curve for 
1.194Kg/m3 air density '[kW']
SG 5.0-145 (AM 0, 5.0MW) AT 
90M],MATCH(TBL_CalcDarwin[[#This Row],[Darwin Temp.
°C]],Curva_Temp[Temp])+1)</f>
        <v>5000</v>
      </c>
      <c r="AC189" s="45">
        <f>HLOOKUP(TBL_CalcDarwin[[#This Row],[Fecha]],'Plantilla AEG ES'!$E$1:$HX$13,2,FALSE)</f>
        <v>5</v>
      </c>
      <c r="AD189" s="45">
        <f>HLOOKUP(TBL_CalcDarwin[[#This Row],[Fecha]],'Plantilla AEG ES'!$E$1:$HX$13,3,FALSE)</f>
        <v>8</v>
      </c>
      <c r="AE189" s="45">
        <f>HLOOKUP(TBL_CalcDarwin[[#This Row],[Fecha]],'Plantilla AEG ES'!$E$1:$HX$13,4,FALSE)</f>
        <v>12</v>
      </c>
      <c r="AF189" s="45">
        <f>HLOOKUP(TBL_CalcDarwin[[#This Row],[Fecha]],'Plantilla AEG ES'!$E$1:$HX$13,5,FALSE)</f>
        <v>1</v>
      </c>
      <c r="AG189" s="45">
        <f>HLOOKUP(TBL_CalcDarwin[[#This Row],[Fecha]],'Plantilla AEG ES'!$E$1:$HX$13,6,FALSE)</f>
        <v>1</v>
      </c>
      <c r="AH189" s="45">
        <f>HLOOKUP(TBL_CalcDarwin[[#This Row],[Fecha]],'Plantilla AEG ES'!$E$1:$HX$13,7,FALSE)</f>
        <v>0</v>
      </c>
      <c r="AI189" s="46">
        <f>HLOOKUP(TBL_CalcDarwin[[#This Row],[Fecha]],'Plantilla AEG ES'!$E$1:$HX$13,8,FALSE)</f>
        <v>0</v>
      </c>
      <c r="AJ189" s="46">
        <f>HLOOKUP(TBL_CalcDarwin[[#This Row],[Fecha]],'Plantilla AEG ES'!$E$1:$HX$13,9,FALSE)</f>
        <v>3</v>
      </c>
      <c r="AK189" s="46">
        <f>HLOOKUP(TBL_CalcDarwin[[#This Row],[Fecha]],'Plantilla AEG ES'!$E$1:$HX$13,10,FALSE)</f>
        <v>12</v>
      </c>
      <c r="AL189" s="46">
        <f>HLOOKUP(TBL_CalcDarwin[[#This Row],[Fecha]],'Plantilla AEG ES'!$E$1:$HX$13,11,FALSE)</f>
        <v>1</v>
      </c>
      <c r="AM189" s="46">
        <f>HLOOKUP(TBL_CalcDarwin[[#This Row],[Fecha]],'Plantilla AEG ES'!$E$1:$HX$13,12,FALSE)</f>
        <v>7</v>
      </c>
      <c r="AN189" s="46">
        <f>HLOOKUP(TBL_CalcDarwin[[#This Row],[Fecha]],'Plantilla AEG ES'!$E$1:$HX$13,13,FALSE)</f>
        <v>1</v>
      </c>
      <c r="AO189" s="37">
        <f>TBL_CalcDarwin[[#This Row],[Lomitas - Barra A - 5.2 - Cerro]]+TBL_CalcDarwin[[#This Row],[Lomitas - Barra A - 5.2 - Medio]]+TBL_CalcDarwin[[#This Row],[Lomitas - Barra A - 5.2 - Mar]]</f>
        <v>25</v>
      </c>
      <c r="AP18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8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89" s="37">
        <f>TBL_CalcDarwin[[#This Row],[Expansión - Barra A - 5.2 - Cerro]]+TBL_CalcDarwin[[#This Row],[Expansión - Barra A - 5.2 - Medio]]+TBL_CalcDarwin[[#This Row],[Expansión - Barra A - 5.2 - Mar]]</f>
        <v>2</v>
      </c>
      <c r="AT189" s="37">
        <f>TBL_CalcDarwin[[#This Row],[Expansión - Barra B - 5.2 - Cerro]]</f>
        <v>1</v>
      </c>
      <c r="AU18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89" s="29">
        <f>TBL_CalcDarwin[[#This Row],[Expansión - Barra B - 5.2 - Cerro]]*TBL_CalcDarwin[[#This Row],[AEG 5.2 MW Cerro]]</f>
        <v>1.978</v>
      </c>
      <c r="AZ189" s="18"/>
      <c r="BA189" s="18"/>
      <c r="BB189" s="18"/>
      <c r="BC189" s="18"/>
      <c r="BD189" s="18"/>
      <c r="BE189" s="18"/>
      <c r="BF189" s="18"/>
    </row>
    <row r="190" spans="2:58" ht="12" x14ac:dyDescent="0.2">
      <c r="B190" s="55">
        <f t="shared" si="13"/>
        <v>45620.833333332885</v>
      </c>
      <c r="C190" s="17">
        <f t="shared" si="17"/>
        <v>7.8333333333333544</v>
      </c>
      <c r="D190" s="34">
        <f>TBL_CalcDarwin[[#This Row],[Darwin PLOM
MW]]+TBL_CalcDarwin[[#This Row],[Darwin PLOME
MW]]</f>
        <v>179.61</v>
      </c>
      <c r="E190" s="34">
        <f>TBL_CalcDarwin[[#This Row],[PLOM MW TOTAL BARRA A]]+TBL_CalcDarwin[[#This Row],[PLOM MW TOTAL BARRA B]]</f>
        <v>173.53800000000001</v>
      </c>
      <c r="F190" s="34">
        <f>TBL_CalcDarwin[[#This Row],[PLOME MW TOTAL BARRA A]]+TBL_CalcDarwin[[#This Row],[PLOME MW TOTAL BARRA B]]</f>
        <v>6.0719999999999992</v>
      </c>
      <c r="G190" s="48">
        <f>'Plantilla Datos'!D195</f>
        <v>7.7</v>
      </c>
      <c r="H190" s="48">
        <f>'Plantilla Datos'!E195</f>
        <v>9.6999999999999993</v>
      </c>
      <c r="I190" s="49">
        <f>'Plantilla Datos'!F195</f>
        <v>17.7</v>
      </c>
      <c r="J190" s="47">
        <f>CEILING('Plantilla Datos'!$L$3*TBL_CalcDarwin[[#This Row],[Darwin Gusts
m/s]],0.5)</f>
        <v>7</v>
      </c>
      <c r="K190" s="47">
        <f>CEILING('Plantilla Datos'!$L$4*TBL_CalcDarwin[[#This Row],[Darwin Gusts
m/s]],0.5)</f>
        <v>8.5</v>
      </c>
      <c r="L190" s="47">
        <f>CEILING(TBL_CalcDarwin[[#This Row],[Darwin Gusts
m/s]],0.5)</f>
        <v>10</v>
      </c>
      <c r="M19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19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9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9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90" s="41">
        <f>INDEX(Curva_Temp[Temp],MATCH(TBL_CalcDarwin[[#This Row],[Darwin Temp.
°C]],Curva_Temp[Temp]))</f>
        <v>15</v>
      </c>
      <c r="R190" s="41">
        <f>INDEX(Curva_Temp[Warranted Power Curve for 
1.194Kg/m3 air density '[kW']
SG 5.0-145 (AM+1, 5.2MW) AT 
90M],MATCH(TBL_CalcDarwin[[#This Row],[Darwin Temp.
°C]],Curva_Temp[Temp]))</f>
        <v>5200</v>
      </c>
      <c r="S190" s="41" cm="1">
        <f t="array" ref="S190">INDEX(Curva_Temp[Temp],MATCH(TBL_CalcDarwin[[#This Row],[Darwin Temp.
°C]],Curva_Temp[Temp])+1)</f>
        <v>20</v>
      </c>
      <c r="T190" s="41" cm="1">
        <f t="array" ref="T190">INDEX(Curva_Temp[Warranted Power Curve for 
1.194Kg/m3 air density '[kW']
SG 5.0-145 (AM+1, 5.2MW) AT 
90M],MATCH(TBL_CalcDarwin[[#This Row],[Darwin Temp.
°C]],Curva_Temp[Temp])+1)</f>
        <v>5000</v>
      </c>
      <c r="U19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9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9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90" s="41">
        <f>INDEX(Curva_Temp[Temp],MATCH(TBL_CalcDarwin[[#This Row],[Darwin Temp.
°C]],Curva_Temp[Temp]))</f>
        <v>15</v>
      </c>
      <c r="Z190" s="41">
        <f>INDEX(Curva_Temp[Warranted Power Curve for 
1.194Kg/m3 air density '[kW']
SG 5.0-145 (AM 0, 5.0MW) AT 
90M],MATCH(TBL_CalcDarwin[[#This Row],[Darwin Temp.
°C]],Curva_Temp[Temp]))</f>
        <v>5000</v>
      </c>
      <c r="AA190" s="41" cm="1">
        <f t="array" ref="AA190">INDEX(Curva_Temp[Temp],MATCH(TBL_CalcDarwin[[#This Row],[Darwin Temp.
°C]],Curva_Temp[Temp])+1)</f>
        <v>20</v>
      </c>
      <c r="AB190" s="41" cm="1">
        <f t="array" ref="AB190">INDEX(Curva_Temp[Warranted Power Curve for 
1.194Kg/m3 air density '[kW']
SG 5.0-145 (AM 0, 5.0MW) AT 
90M],MATCH(TBL_CalcDarwin[[#This Row],[Darwin Temp.
°C]],Curva_Temp[Temp])+1)</f>
        <v>5000</v>
      </c>
      <c r="AC190" s="45">
        <f>HLOOKUP(TBL_CalcDarwin[[#This Row],[Fecha]],'Plantilla AEG ES'!$E$1:$HX$13,2,FALSE)</f>
        <v>5</v>
      </c>
      <c r="AD190" s="45">
        <f>HLOOKUP(TBL_CalcDarwin[[#This Row],[Fecha]],'Plantilla AEG ES'!$E$1:$HX$13,3,FALSE)</f>
        <v>8</v>
      </c>
      <c r="AE190" s="45">
        <f>HLOOKUP(TBL_CalcDarwin[[#This Row],[Fecha]],'Plantilla AEG ES'!$E$1:$HX$13,4,FALSE)</f>
        <v>12</v>
      </c>
      <c r="AF190" s="45">
        <f>HLOOKUP(TBL_CalcDarwin[[#This Row],[Fecha]],'Plantilla AEG ES'!$E$1:$HX$13,5,FALSE)</f>
        <v>1</v>
      </c>
      <c r="AG190" s="45">
        <f>HLOOKUP(TBL_CalcDarwin[[#This Row],[Fecha]],'Plantilla AEG ES'!$E$1:$HX$13,6,FALSE)</f>
        <v>1</v>
      </c>
      <c r="AH190" s="45">
        <f>HLOOKUP(TBL_CalcDarwin[[#This Row],[Fecha]],'Plantilla AEG ES'!$E$1:$HX$13,7,FALSE)</f>
        <v>0</v>
      </c>
      <c r="AI190" s="46">
        <f>HLOOKUP(TBL_CalcDarwin[[#This Row],[Fecha]],'Plantilla AEG ES'!$E$1:$HX$13,8,FALSE)</f>
        <v>0</v>
      </c>
      <c r="AJ190" s="46">
        <f>HLOOKUP(TBL_CalcDarwin[[#This Row],[Fecha]],'Plantilla AEG ES'!$E$1:$HX$13,9,FALSE)</f>
        <v>3</v>
      </c>
      <c r="AK190" s="46">
        <f>HLOOKUP(TBL_CalcDarwin[[#This Row],[Fecha]],'Plantilla AEG ES'!$E$1:$HX$13,10,FALSE)</f>
        <v>12</v>
      </c>
      <c r="AL190" s="46">
        <f>HLOOKUP(TBL_CalcDarwin[[#This Row],[Fecha]],'Plantilla AEG ES'!$E$1:$HX$13,11,FALSE)</f>
        <v>1</v>
      </c>
      <c r="AM190" s="46">
        <f>HLOOKUP(TBL_CalcDarwin[[#This Row],[Fecha]],'Plantilla AEG ES'!$E$1:$HX$13,12,FALSE)</f>
        <v>7</v>
      </c>
      <c r="AN190" s="46">
        <f>HLOOKUP(TBL_CalcDarwin[[#This Row],[Fecha]],'Plantilla AEG ES'!$E$1:$HX$13,13,FALSE)</f>
        <v>1</v>
      </c>
      <c r="AO190" s="37">
        <f>TBL_CalcDarwin[[#This Row],[Lomitas - Barra A - 5.2 - Cerro]]+TBL_CalcDarwin[[#This Row],[Lomitas - Barra A - 5.2 - Medio]]+TBL_CalcDarwin[[#This Row],[Lomitas - Barra A - 5.2 - Mar]]</f>
        <v>25</v>
      </c>
      <c r="AP19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19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90" s="37">
        <f>TBL_CalcDarwin[[#This Row],[Expansión - Barra A - 5.2 - Cerro]]+TBL_CalcDarwin[[#This Row],[Expansión - Barra A - 5.2 - Medio]]+TBL_CalcDarwin[[#This Row],[Expansión - Barra A - 5.2 - Mar]]</f>
        <v>2</v>
      </c>
      <c r="AT190" s="37">
        <f>TBL_CalcDarwin[[#This Row],[Expansión - Barra B - 5.2 - Cerro]]</f>
        <v>1</v>
      </c>
      <c r="AU19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90" s="29">
        <f>TBL_CalcDarwin[[#This Row],[Expansión - Barra B - 5.2 - Cerro]]*TBL_CalcDarwin[[#This Row],[AEG 5.2 MW Cerro]]</f>
        <v>1.597</v>
      </c>
      <c r="AZ190" s="18"/>
      <c r="BA190" s="18"/>
      <c r="BB190" s="18"/>
      <c r="BC190" s="18"/>
      <c r="BD190" s="18"/>
      <c r="BE190" s="18"/>
      <c r="BF190" s="18"/>
    </row>
    <row r="191" spans="2:58" ht="12" x14ac:dyDescent="0.2">
      <c r="B191" s="55">
        <f t="shared" si="13"/>
        <v>45620.874999999549</v>
      </c>
      <c r="C191" s="17">
        <f>C190+TIME(1,0,0)</f>
        <v>7.8750000000000213</v>
      </c>
      <c r="D191" s="34">
        <f>TBL_CalcDarwin[[#This Row],[Darwin PLOM
MW]]+TBL_CalcDarwin[[#This Row],[Darwin PLOME
MW]]</f>
        <v>160.476</v>
      </c>
      <c r="E191" s="34">
        <f>TBL_CalcDarwin[[#This Row],[PLOM MW TOTAL BARRA A]]+TBL_CalcDarwin[[#This Row],[PLOM MW TOTAL BARRA B]]</f>
        <v>154.87299999999999</v>
      </c>
      <c r="F191" s="34">
        <f>TBL_CalcDarwin[[#This Row],[PLOME MW TOTAL BARRA A]]+TBL_CalcDarwin[[#This Row],[PLOME MW TOTAL BARRA B]]</f>
        <v>5.6029999999999998</v>
      </c>
      <c r="G191" s="48">
        <f>'Plantilla Datos'!D196</f>
        <v>7.3</v>
      </c>
      <c r="H191" s="48">
        <f>'Plantilla Datos'!E196</f>
        <v>9.1999999999999993</v>
      </c>
      <c r="I191" s="49">
        <f>'Plantilla Datos'!F196</f>
        <v>17.600000000000001</v>
      </c>
      <c r="J191" s="47">
        <f>CEILING('Plantilla Datos'!$L$3*TBL_CalcDarwin[[#This Row],[Darwin Gusts
m/s]],0.5)</f>
        <v>7</v>
      </c>
      <c r="K191" s="47">
        <f>CEILING('Plantilla Datos'!$L$4*TBL_CalcDarwin[[#This Row],[Darwin Gusts
m/s]],0.5)</f>
        <v>8</v>
      </c>
      <c r="L191" s="47">
        <f>CEILING(TBL_CalcDarwin[[#This Row],[Darwin Gusts
m/s]],0.5)</f>
        <v>9.5</v>
      </c>
      <c r="M19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19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9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9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91" s="41">
        <f>INDEX(Curva_Temp[Temp],MATCH(TBL_CalcDarwin[[#This Row],[Darwin Temp.
°C]],Curva_Temp[Temp]))</f>
        <v>15</v>
      </c>
      <c r="R191" s="41">
        <f>INDEX(Curva_Temp[Warranted Power Curve for 
1.194Kg/m3 air density '[kW']
SG 5.0-145 (AM+1, 5.2MW) AT 
90M],MATCH(TBL_CalcDarwin[[#This Row],[Darwin Temp.
°C]],Curva_Temp[Temp]))</f>
        <v>5200</v>
      </c>
      <c r="S191" s="41" cm="1">
        <f t="array" ref="S191">INDEX(Curva_Temp[Temp],MATCH(TBL_CalcDarwin[[#This Row],[Darwin Temp.
°C]],Curva_Temp[Temp])+1)</f>
        <v>20</v>
      </c>
      <c r="T191" s="41" cm="1">
        <f t="array" ref="T191">INDEX(Curva_Temp[Warranted Power Curve for 
1.194Kg/m3 air density '[kW']
SG 5.0-145 (AM+1, 5.2MW) AT 
90M],MATCH(TBL_CalcDarwin[[#This Row],[Darwin Temp.
°C]],Curva_Temp[Temp])+1)</f>
        <v>5000</v>
      </c>
      <c r="U19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9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9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91" s="41">
        <f>INDEX(Curva_Temp[Temp],MATCH(TBL_CalcDarwin[[#This Row],[Darwin Temp.
°C]],Curva_Temp[Temp]))</f>
        <v>15</v>
      </c>
      <c r="Z191" s="41">
        <f>INDEX(Curva_Temp[Warranted Power Curve for 
1.194Kg/m3 air density '[kW']
SG 5.0-145 (AM 0, 5.0MW) AT 
90M],MATCH(TBL_CalcDarwin[[#This Row],[Darwin Temp.
°C]],Curva_Temp[Temp]))</f>
        <v>5000</v>
      </c>
      <c r="AA191" s="41" cm="1">
        <f t="array" ref="AA191">INDEX(Curva_Temp[Temp],MATCH(TBL_CalcDarwin[[#This Row],[Darwin Temp.
°C]],Curva_Temp[Temp])+1)</f>
        <v>20</v>
      </c>
      <c r="AB191" s="41" cm="1">
        <f t="array" ref="AB191">INDEX(Curva_Temp[Warranted Power Curve for 
1.194Kg/m3 air density '[kW']
SG 5.0-145 (AM 0, 5.0MW) AT 
90M],MATCH(TBL_CalcDarwin[[#This Row],[Darwin Temp.
°C]],Curva_Temp[Temp])+1)</f>
        <v>5000</v>
      </c>
      <c r="AC191" s="45">
        <f>HLOOKUP(TBL_CalcDarwin[[#This Row],[Fecha]],'Plantilla AEG ES'!$E$1:$HX$13,2,FALSE)</f>
        <v>5</v>
      </c>
      <c r="AD191" s="45">
        <f>HLOOKUP(TBL_CalcDarwin[[#This Row],[Fecha]],'Plantilla AEG ES'!$E$1:$HX$13,3,FALSE)</f>
        <v>8</v>
      </c>
      <c r="AE191" s="45">
        <f>HLOOKUP(TBL_CalcDarwin[[#This Row],[Fecha]],'Plantilla AEG ES'!$E$1:$HX$13,4,FALSE)</f>
        <v>12</v>
      </c>
      <c r="AF191" s="45">
        <f>HLOOKUP(TBL_CalcDarwin[[#This Row],[Fecha]],'Plantilla AEG ES'!$E$1:$HX$13,5,FALSE)</f>
        <v>1</v>
      </c>
      <c r="AG191" s="45">
        <f>HLOOKUP(TBL_CalcDarwin[[#This Row],[Fecha]],'Plantilla AEG ES'!$E$1:$HX$13,6,FALSE)</f>
        <v>1</v>
      </c>
      <c r="AH191" s="45">
        <f>HLOOKUP(TBL_CalcDarwin[[#This Row],[Fecha]],'Plantilla AEG ES'!$E$1:$HX$13,7,FALSE)</f>
        <v>0</v>
      </c>
      <c r="AI191" s="46">
        <f>HLOOKUP(TBL_CalcDarwin[[#This Row],[Fecha]],'Plantilla AEG ES'!$E$1:$HX$13,8,FALSE)</f>
        <v>0</v>
      </c>
      <c r="AJ191" s="46">
        <f>HLOOKUP(TBL_CalcDarwin[[#This Row],[Fecha]],'Plantilla AEG ES'!$E$1:$HX$13,9,FALSE)</f>
        <v>3</v>
      </c>
      <c r="AK191" s="46">
        <f>HLOOKUP(TBL_CalcDarwin[[#This Row],[Fecha]],'Plantilla AEG ES'!$E$1:$HX$13,10,FALSE)</f>
        <v>12</v>
      </c>
      <c r="AL191" s="46">
        <f>HLOOKUP(TBL_CalcDarwin[[#This Row],[Fecha]],'Plantilla AEG ES'!$E$1:$HX$13,11,FALSE)</f>
        <v>1</v>
      </c>
      <c r="AM191" s="46">
        <f>HLOOKUP(TBL_CalcDarwin[[#This Row],[Fecha]],'Plantilla AEG ES'!$E$1:$HX$13,12,FALSE)</f>
        <v>7</v>
      </c>
      <c r="AN191" s="46">
        <f>HLOOKUP(TBL_CalcDarwin[[#This Row],[Fecha]],'Plantilla AEG ES'!$E$1:$HX$13,13,FALSE)</f>
        <v>1</v>
      </c>
      <c r="AO191" s="37">
        <f>TBL_CalcDarwin[[#This Row],[Lomitas - Barra A - 5.2 - Cerro]]+TBL_CalcDarwin[[#This Row],[Lomitas - Barra A - 5.2 - Medio]]+TBL_CalcDarwin[[#This Row],[Lomitas - Barra A - 5.2 - Mar]]</f>
        <v>25</v>
      </c>
      <c r="AP19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19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91" s="37">
        <f>TBL_CalcDarwin[[#This Row],[Expansión - Barra A - 5.2 - Cerro]]+TBL_CalcDarwin[[#This Row],[Expansión - Barra A - 5.2 - Medio]]+TBL_CalcDarwin[[#This Row],[Expansión - Barra A - 5.2 - Mar]]</f>
        <v>2</v>
      </c>
      <c r="AT191" s="37">
        <f>TBL_CalcDarwin[[#This Row],[Expansión - Barra B - 5.2 - Cerro]]</f>
        <v>1</v>
      </c>
      <c r="AU19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91" s="29">
        <f>TBL_CalcDarwin[[#This Row],[Expansión - Barra B - 5.2 - Cerro]]*TBL_CalcDarwin[[#This Row],[AEG 5.2 MW Cerro]]</f>
        <v>1.597</v>
      </c>
      <c r="AZ191" s="18"/>
      <c r="BA191" s="18"/>
      <c r="BB191" s="18"/>
      <c r="BC191" s="18"/>
      <c r="BD191" s="18"/>
      <c r="BE191" s="18"/>
      <c r="BF191" s="18"/>
    </row>
    <row r="192" spans="2:58" ht="12" x14ac:dyDescent="0.2">
      <c r="B192" s="55">
        <f t="shared" si="13"/>
        <v>45620.916666666213</v>
      </c>
      <c r="C192" s="17">
        <f t="shared" ref="C192:C196" si="18">C191+TIME(1,0,0)</f>
        <v>7.9166666666666883</v>
      </c>
      <c r="D192" s="34">
        <f>TBL_CalcDarwin[[#This Row],[Darwin PLOM
MW]]+TBL_CalcDarwin[[#This Row],[Darwin PLOME
MW]]</f>
        <v>137.999</v>
      </c>
      <c r="E192" s="34">
        <f>TBL_CalcDarwin[[#This Row],[PLOM MW TOTAL BARRA A]]+TBL_CalcDarwin[[#This Row],[PLOM MW TOTAL BARRA B]]</f>
        <v>133.489</v>
      </c>
      <c r="F192" s="34">
        <f>TBL_CalcDarwin[[#This Row],[PLOME MW TOTAL BARRA A]]+TBL_CalcDarwin[[#This Row],[PLOME MW TOTAL BARRA B]]</f>
        <v>4.51</v>
      </c>
      <c r="G192" s="48">
        <f>'Plantilla Datos'!D197</f>
        <v>6.9</v>
      </c>
      <c r="H192" s="48">
        <f>'Plantilla Datos'!E197</f>
        <v>8.6999999999999993</v>
      </c>
      <c r="I192" s="49">
        <f>'Plantilla Datos'!F197</f>
        <v>17.5</v>
      </c>
      <c r="J192" s="47">
        <f>CEILING('Plantilla Datos'!$L$3*TBL_CalcDarwin[[#This Row],[Darwin Gusts
m/s]],0.5)</f>
        <v>6.5</v>
      </c>
      <c r="K192" s="47">
        <f>CEILING('Plantilla Datos'!$L$4*TBL_CalcDarwin[[#This Row],[Darwin Gusts
m/s]],0.5)</f>
        <v>7.5</v>
      </c>
      <c r="L192" s="47">
        <f>CEILING(TBL_CalcDarwin[[#This Row],[Darwin Gusts
m/s]],0.5)</f>
        <v>9</v>
      </c>
      <c r="M19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19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9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9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92" s="41">
        <f>INDEX(Curva_Temp[Temp],MATCH(TBL_CalcDarwin[[#This Row],[Darwin Temp.
°C]],Curva_Temp[Temp]))</f>
        <v>15</v>
      </c>
      <c r="R192" s="41">
        <f>INDEX(Curva_Temp[Warranted Power Curve for 
1.194Kg/m3 air density '[kW']
SG 5.0-145 (AM+1, 5.2MW) AT 
90M],MATCH(TBL_CalcDarwin[[#This Row],[Darwin Temp.
°C]],Curva_Temp[Temp]))</f>
        <v>5200</v>
      </c>
      <c r="S192" s="41" cm="1">
        <f t="array" ref="S192">INDEX(Curva_Temp[Temp],MATCH(TBL_CalcDarwin[[#This Row],[Darwin Temp.
°C]],Curva_Temp[Temp])+1)</f>
        <v>20</v>
      </c>
      <c r="T192" s="41" cm="1">
        <f t="array" ref="T192">INDEX(Curva_Temp[Warranted Power Curve for 
1.194Kg/m3 air density '[kW']
SG 5.0-145 (AM+1, 5.2MW) AT 
90M],MATCH(TBL_CalcDarwin[[#This Row],[Darwin Temp.
°C]],Curva_Temp[Temp])+1)</f>
        <v>5000</v>
      </c>
      <c r="U19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9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9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92" s="41">
        <f>INDEX(Curva_Temp[Temp],MATCH(TBL_CalcDarwin[[#This Row],[Darwin Temp.
°C]],Curva_Temp[Temp]))</f>
        <v>15</v>
      </c>
      <c r="Z192" s="41">
        <f>INDEX(Curva_Temp[Warranted Power Curve for 
1.194Kg/m3 air density '[kW']
SG 5.0-145 (AM 0, 5.0MW) AT 
90M],MATCH(TBL_CalcDarwin[[#This Row],[Darwin Temp.
°C]],Curva_Temp[Temp]))</f>
        <v>5000</v>
      </c>
      <c r="AA192" s="41" cm="1">
        <f t="array" ref="AA192">INDEX(Curva_Temp[Temp],MATCH(TBL_CalcDarwin[[#This Row],[Darwin Temp.
°C]],Curva_Temp[Temp])+1)</f>
        <v>20</v>
      </c>
      <c r="AB192" s="41" cm="1">
        <f t="array" ref="AB192">INDEX(Curva_Temp[Warranted Power Curve for 
1.194Kg/m3 air density '[kW']
SG 5.0-145 (AM 0, 5.0MW) AT 
90M],MATCH(TBL_CalcDarwin[[#This Row],[Darwin Temp.
°C]],Curva_Temp[Temp])+1)</f>
        <v>5000</v>
      </c>
      <c r="AC192" s="45">
        <f>HLOOKUP(TBL_CalcDarwin[[#This Row],[Fecha]],'Plantilla AEG ES'!$E$1:$HX$13,2,FALSE)</f>
        <v>5</v>
      </c>
      <c r="AD192" s="45">
        <f>HLOOKUP(TBL_CalcDarwin[[#This Row],[Fecha]],'Plantilla AEG ES'!$E$1:$HX$13,3,FALSE)</f>
        <v>8</v>
      </c>
      <c r="AE192" s="45">
        <f>HLOOKUP(TBL_CalcDarwin[[#This Row],[Fecha]],'Plantilla AEG ES'!$E$1:$HX$13,4,FALSE)</f>
        <v>12</v>
      </c>
      <c r="AF192" s="45">
        <f>HLOOKUP(TBL_CalcDarwin[[#This Row],[Fecha]],'Plantilla AEG ES'!$E$1:$HX$13,5,FALSE)</f>
        <v>1</v>
      </c>
      <c r="AG192" s="45">
        <f>HLOOKUP(TBL_CalcDarwin[[#This Row],[Fecha]],'Plantilla AEG ES'!$E$1:$HX$13,6,FALSE)</f>
        <v>1</v>
      </c>
      <c r="AH192" s="45">
        <f>HLOOKUP(TBL_CalcDarwin[[#This Row],[Fecha]],'Plantilla AEG ES'!$E$1:$HX$13,7,FALSE)</f>
        <v>0</v>
      </c>
      <c r="AI192" s="46">
        <f>HLOOKUP(TBL_CalcDarwin[[#This Row],[Fecha]],'Plantilla AEG ES'!$E$1:$HX$13,8,FALSE)</f>
        <v>0</v>
      </c>
      <c r="AJ192" s="46">
        <f>HLOOKUP(TBL_CalcDarwin[[#This Row],[Fecha]],'Plantilla AEG ES'!$E$1:$HX$13,9,FALSE)</f>
        <v>3</v>
      </c>
      <c r="AK192" s="46">
        <f>HLOOKUP(TBL_CalcDarwin[[#This Row],[Fecha]],'Plantilla AEG ES'!$E$1:$HX$13,10,FALSE)</f>
        <v>12</v>
      </c>
      <c r="AL192" s="46">
        <f>HLOOKUP(TBL_CalcDarwin[[#This Row],[Fecha]],'Plantilla AEG ES'!$E$1:$HX$13,11,FALSE)</f>
        <v>1</v>
      </c>
      <c r="AM192" s="46">
        <f>HLOOKUP(TBL_CalcDarwin[[#This Row],[Fecha]],'Plantilla AEG ES'!$E$1:$HX$13,12,FALSE)</f>
        <v>7</v>
      </c>
      <c r="AN192" s="46">
        <f>HLOOKUP(TBL_CalcDarwin[[#This Row],[Fecha]],'Plantilla AEG ES'!$E$1:$HX$13,13,FALSE)</f>
        <v>1</v>
      </c>
      <c r="AO192" s="37">
        <f>TBL_CalcDarwin[[#This Row],[Lomitas - Barra A - 5.2 - Cerro]]+TBL_CalcDarwin[[#This Row],[Lomitas - Barra A - 5.2 - Medio]]+TBL_CalcDarwin[[#This Row],[Lomitas - Barra A - 5.2 - Mar]]</f>
        <v>25</v>
      </c>
      <c r="AP19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19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92" s="37">
        <f>TBL_CalcDarwin[[#This Row],[Expansión - Barra A - 5.2 - Cerro]]+TBL_CalcDarwin[[#This Row],[Expansión - Barra A - 5.2 - Medio]]+TBL_CalcDarwin[[#This Row],[Expansión - Barra A - 5.2 - Mar]]</f>
        <v>2</v>
      </c>
      <c r="AT192" s="37">
        <f>TBL_CalcDarwin[[#This Row],[Expansión - Barra B - 5.2 - Cerro]]</f>
        <v>1</v>
      </c>
      <c r="AU19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92" s="29">
        <f>TBL_CalcDarwin[[#This Row],[Expansión - Barra B - 5.2 - Cerro]]*TBL_CalcDarwin[[#This Row],[AEG 5.2 MW Cerro]]</f>
        <v>1.266</v>
      </c>
      <c r="AZ192" s="18"/>
      <c r="BA192" s="18"/>
      <c r="BB192" s="18"/>
      <c r="BC192" s="18"/>
      <c r="BD192" s="18"/>
      <c r="BE192" s="18"/>
      <c r="BF192" s="18"/>
    </row>
    <row r="193" spans="2:58" ht="12" x14ac:dyDescent="0.2">
      <c r="B193" s="55">
        <f t="shared" si="13"/>
        <v>45620.958333332877</v>
      </c>
      <c r="C193" s="17">
        <f t="shared" si="18"/>
        <v>7.9583333333333552</v>
      </c>
      <c r="D193" s="34">
        <f>TBL_CalcDarwin[[#This Row],[Darwin PLOM
MW]]+TBL_CalcDarwin[[#This Row],[Darwin PLOME
MW]]</f>
        <v>116.11200000000001</v>
      </c>
      <c r="E193" s="34">
        <f>TBL_CalcDarwin[[#This Row],[PLOM MW TOTAL BARRA A]]+TBL_CalcDarwin[[#This Row],[PLOM MW TOTAL BARRA B]]</f>
        <v>112.54900000000001</v>
      </c>
      <c r="F193" s="34">
        <f>TBL_CalcDarwin[[#This Row],[PLOME MW TOTAL BARRA A]]+TBL_CalcDarwin[[#This Row],[PLOME MW TOTAL BARRA B]]</f>
        <v>3.5630000000000002</v>
      </c>
      <c r="G193" s="48">
        <f>'Plantilla Datos'!D198</f>
        <v>6.5</v>
      </c>
      <c r="H193" s="48">
        <f>'Plantilla Datos'!E198</f>
        <v>8.1999999999999993</v>
      </c>
      <c r="I193" s="49">
        <f>'Plantilla Datos'!F198</f>
        <v>17.5</v>
      </c>
      <c r="J193" s="47">
        <f>CEILING('Plantilla Datos'!$L$3*TBL_CalcDarwin[[#This Row],[Darwin Gusts
m/s]],0.5)</f>
        <v>6</v>
      </c>
      <c r="K193" s="47">
        <f>CEILING('Plantilla Datos'!$L$4*TBL_CalcDarwin[[#This Row],[Darwin Gusts
m/s]],0.5)</f>
        <v>7</v>
      </c>
      <c r="L193" s="47">
        <f>CEILING(TBL_CalcDarwin[[#This Row],[Darwin Gusts
m/s]],0.5)</f>
        <v>8.5</v>
      </c>
      <c r="M19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19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9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9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93" s="41">
        <f>INDEX(Curva_Temp[Temp],MATCH(TBL_CalcDarwin[[#This Row],[Darwin Temp.
°C]],Curva_Temp[Temp]))</f>
        <v>15</v>
      </c>
      <c r="R193" s="41">
        <f>INDEX(Curva_Temp[Warranted Power Curve for 
1.194Kg/m3 air density '[kW']
SG 5.0-145 (AM+1, 5.2MW) AT 
90M],MATCH(TBL_CalcDarwin[[#This Row],[Darwin Temp.
°C]],Curva_Temp[Temp]))</f>
        <v>5200</v>
      </c>
      <c r="S193" s="41" cm="1">
        <f t="array" ref="S193">INDEX(Curva_Temp[Temp],MATCH(TBL_CalcDarwin[[#This Row],[Darwin Temp.
°C]],Curva_Temp[Temp])+1)</f>
        <v>20</v>
      </c>
      <c r="T193" s="41" cm="1">
        <f t="array" ref="T193">INDEX(Curva_Temp[Warranted Power Curve for 
1.194Kg/m3 air density '[kW']
SG 5.0-145 (AM+1, 5.2MW) AT 
90M],MATCH(TBL_CalcDarwin[[#This Row],[Darwin Temp.
°C]],Curva_Temp[Temp])+1)</f>
        <v>5000</v>
      </c>
      <c r="U19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9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9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93" s="41">
        <f>INDEX(Curva_Temp[Temp],MATCH(TBL_CalcDarwin[[#This Row],[Darwin Temp.
°C]],Curva_Temp[Temp]))</f>
        <v>15</v>
      </c>
      <c r="Z193" s="41">
        <f>INDEX(Curva_Temp[Warranted Power Curve for 
1.194Kg/m3 air density '[kW']
SG 5.0-145 (AM 0, 5.0MW) AT 
90M],MATCH(TBL_CalcDarwin[[#This Row],[Darwin Temp.
°C]],Curva_Temp[Temp]))</f>
        <v>5000</v>
      </c>
      <c r="AA193" s="41" cm="1">
        <f t="array" ref="AA193">INDEX(Curva_Temp[Temp],MATCH(TBL_CalcDarwin[[#This Row],[Darwin Temp.
°C]],Curva_Temp[Temp])+1)</f>
        <v>20</v>
      </c>
      <c r="AB193" s="41" cm="1">
        <f t="array" ref="AB193">INDEX(Curva_Temp[Warranted Power Curve for 
1.194Kg/m3 air density '[kW']
SG 5.0-145 (AM 0, 5.0MW) AT 
90M],MATCH(TBL_CalcDarwin[[#This Row],[Darwin Temp.
°C]],Curva_Temp[Temp])+1)</f>
        <v>5000</v>
      </c>
      <c r="AC193" s="45">
        <f>HLOOKUP(TBL_CalcDarwin[[#This Row],[Fecha]],'Plantilla AEG ES'!$E$1:$HX$13,2,FALSE)</f>
        <v>5</v>
      </c>
      <c r="AD193" s="45">
        <f>HLOOKUP(TBL_CalcDarwin[[#This Row],[Fecha]],'Plantilla AEG ES'!$E$1:$HX$13,3,FALSE)</f>
        <v>8</v>
      </c>
      <c r="AE193" s="45">
        <f>HLOOKUP(TBL_CalcDarwin[[#This Row],[Fecha]],'Plantilla AEG ES'!$E$1:$HX$13,4,FALSE)</f>
        <v>12</v>
      </c>
      <c r="AF193" s="45">
        <f>HLOOKUP(TBL_CalcDarwin[[#This Row],[Fecha]],'Plantilla AEG ES'!$E$1:$HX$13,5,FALSE)</f>
        <v>1</v>
      </c>
      <c r="AG193" s="45">
        <f>HLOOKUP(TBL_CalcDarwin[[#This Row],[Fecha]],'Plantilla AEG ES'!$E$1:$HX$13,6,FALSE)</f>
        <v>1</v>
      </c>
      <c r="AH193" s="45">
        <f>HLOOKUP(TBL_CalcDarwin[[#This Row],[Fecha]],'Plantilla AEG ES'!$E$1:$HX$13,7,FALSE)</f>
        <v>0</v>
      </c>
      <c r="AI193" s="46">
        <f>HLOOKUP(TBL_CalcDarwin[[#This Row],[Fecha]],'Plantilla AEG ES'!$E$1:$HX$13,8,FALSE)</f>
        <v>0</v>
      </c>
      <c r="AJ193" s="46">
        <f>HLOOKUP(TBL_CalcDarwin[[#This Row],[Fecha]],'Plantilla AEG ES'!$E$1:$HX$13,9,FALSE)</f>
        <v>3</v>
      </c>
      <c r="AK193" s="46">
        <f>HLOOKUP(TBL_CalcDarwin[[#This Row],[Fecha]],'Plantilla AEG ES'!$E$1:$HX$13,10,FALSE)</f>
        <v>12</v>
      </c>
      <c r="AL193" s="46">
        <f>HLOOKUP(TBL_CalcDarwin[[#This Row],[Fecha]],'Plantilla AEG ES'!$E$1:$HX$13,11,FALSE)</f>
        <v>1</v>
      </c>
      <c r="AM193" s="46">
        <f>HLOOKUP(TBL_CalcDarwin[[#This Row],[Fecha]],'Plantilla AEG ES'!$E$1:$HX$13,12,FALSE)</f>
        <v>7</v>
      </c>
      <c r="AN193" s="46">
        <f>HLOOKUP(TBL_CalcDarwin[[#This Row],[Fecha]],'Plantilla AEG ES'!$E$1:$HX$13,13,FALSE)</f>
        <v>1</v>
      </c>
      <c r="AO193" s="37">
        <f>TBL_CalcDarwin[[#This Row],[Lomitas - Barra A - 5.2 - Cerro]]+TBL_CalcDarwin[[#This Row],[Lomitas - Barra A - 5.2 - Medio]]+TBL_CalcDarwin[[#This Row],[Lomitas - Barra A - 5.2 - Mar]]</f>
        <v>25</v>
      </c>
      <c r="AP19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52.227000000000004</v>
      </c>
      <c r="AR19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93" s="37">
        <f>TBL_CalcDarwin[[#This Row],[Expansión - Barra A - 5.2 - Cerro]]+TBL_CalcDarwin[[#This Row],[Expansión - Barra A - 5.2 - Medio]]+TBL_CalcDarwin[[#This Row],[Expansión - Barra A - 5.2 - Mar]]</f>
        <v>2</v>
      </c>
      <c r="AT193" s="37">
        <f>TBL_CalcDarwin[[#This Row],[Expansión - Barra B - 5.2 - Cerro]]</f>
        <v>1</v>
      </c>
      <c r="AU19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93" s="29">
        <f>TBL_CalcDarwin[[#This Row],[Expansión - Barra B - 5.2 - Cerro]]*TBL_CalcDarwin[[#This Row],[AEG 5.2 MW Cerro]]</f>
        <v>0.98299999999999998</v>
      </c>
      <c r="AZ193" s="18"/>
      <c r="BA193" s="18"/>
      <c r="BB193" s="18"/>
      <c r="BC193" s="18"/>
      <c r="BD193" s="18"/>
      <c r="BE193" s="18"/>
      <c r="BF193" s="18"/>
    </row>
    <row r="194" spans="2:58" ht="12" x14ac:dyDescent="0.2">
      <c r="B194" s="55">
        <f t="shared" si="13"/>
        <v>45620.999999999542</v>
      </c>
      <c r="C194" s="17">
        <f t="shared" si="18"/>
        <v>8.0000000000000213</v>
      </c>
      <c r="D194" s="34">
        <f>TBL_CalcDarwin[[#This Row],[Darwin PLOM
MW]]+TBL_CalcDarwin[[#This Row],[Darwin PLOME
MW]]</f>
        <v>97.623000000000005</v>
      </c>
      <c r="E194" s="34">
        <f>TBL_CalcDarwin[[#This Row],[PLOM MW TOTAL BARRA A]]+TBL_CalcDarwin[[#This Row],[PLOM MW TOTAL BARRA B]]</f>
        <v>94.06</v>
      </c>
      <c r="F194" s="34">
        <f>TBL_CalcDarwin[[#This Row],[PLOME MW TOTAL BARRA A]]+TBL_CalcDarwin[[#This Row],[PLOME MW TOTAL BARRA B]]</f>
        <v>3.5630000000000002</v>
      </c>
      <c r="G194" s="48">
        <f>'Plantilla Datos'!D199</f>
        <v>6</v>
      </c>
      <c r="H194" s="48">
        <f>'Plantilla Datos'!E199</f>
        <v>7.7</v>
      </c>
      <c r="I194" s="49">
        <f>'Plantilla Datos'!F199</f>
        <v>17.399999999999999</v>
      </c>
      <c r="J194" s="47">
        <f>CEILING('Plantilla Datos'!$L$3*TBL_CalcDarwin[[#This Row],[Darwin Gusts
m/s]],0.5)</f>
        <v>6</v>
      </c>
      <c r="K194" s="47">
        <f>CEILING('Plantilla Datos'!$L$4*TBL_CalcDarwin[[#This Row],[Darwin Gusts
m/s]],0.5)</f>
        <v>7</v>
      </c>
      <c r="L194" s="47">
        <f>CEILING(TBL_CalcDarwin[[#This Row],[Darwin Gusts
m/s]],0.5)</f>
        <v>8</v>
      </c>
      <c r="M19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19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9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9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94" s="41">
        <f>INDEX(Curva_Temp[Temp],MATCH(TBL_CalcDarwin[[#This Row],[Darwin Temp.
°C]],Curva_Temp[Temp]))</f>
        <v>15</v>
      </c>
      <c r="R194" s="41">
        <f>INDEX(Curva_Temp[Warranted Power Curve for 
1.194Kg/m3 air density '[kW']
SG 5.0-145 (AM+1, 5.2MW) AT 
90M],MATCH(TBL_CalcDarwin[[#This Row],[Darwin Temp.
°C]],Curva_Temp[Temp]))</f>
        <v>5200</v>
      </c>
      <c r="S194" s="41" cm="1">
        <f t="array" ref="S194">INDEX(Curva_Temp[Temp],MATCH(TBL_CalcDarwin[[#This Row],[Darwin Temp.
°C]],Curva_Temp[Temp])+1)</f>
        <v>20</v>
      </c>
      <c r="T194" s="41" cm="1">
        <f t="array" ref="T194">INDEX(Curva_Temp[Warranted Power Curve for 
1.194Kg/m3 air density '[kW']
SG 5.0-145 (AM+1, 5.2MW) AT 
90M],MATCH(TBL_CalcDarwin[[#This Row],[Darwin Temp.
°C]],Curva_Temp[Temp])+1)</f>
        <v>5000</v>
      </c>
      <c r="U19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9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9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94" s="41">
        <f>INDEX(Curva_Temp[Temp],MATCH(TBL_CalcDarwin[[#This Row],[Darwin Temp.
°C]],Curva_Temp[Temp]))</f>
        <v>15</v>
      </c>
      <c r="Z194" s="41">
        <f>INDEX(Curva_Temp[Warranted Power Curve for 
1.194Kg/m3 air density '[kW']
SG 5.0-145 (AM 0, 5.0MW) AT 
90M],MATCH(TBL_CalcDarwin[[#This Row],[Darwin Temp.
°C]],Curva_Temp[Temp]))</f>
        <v>5000</v>
      </c>
      <c r="AA194" s="41" cm="1">
        <f t="array" ref="AA194">INDEX(Curva_Temp[Temp],MATCH(TBL_CalcDarwin[[#This Row],[Darwin Temp.
°C]],Curva_Temp[Temp])+1)</f>
        <v>20</v>
      </c>
      <c r="AB194" s="41" cm="1">
        <f t="array" ref="AB194">INDEX(Curva_Temp[Warranted Power Curve for 
1.194Kg/m3 air density '[kW']
SG 5.0-145 (AM 0, 5.0MW) AT 
90M],MATCH(TBL_CalcDarwin[[#This Row],[Darwin Temp.
°C]],Curva_Temp[Temp])+1)</f>
        <v>5000</v>
      </c>
      <c r="AC194" s="45">
        <f>HLOOKUP(TBL_CalcDarwin[[#This Row],[Fecha]],'Plantilla AEG ES'!$E$1:$HX$13,2,FALSE)</f>
        <v>5</v>
      </c>
      <c r="AD194" s="45">
        <f>HLOOKUP(TBL_CalcDarwin[[#This Row],[Fecha]],'Plantilla AEG ES'!$E$1:$HX$13,3,FALSE)</f>
        <v>7</v>
      </c>
      <c r="AE194" s="45">
        <f>HLOOKUP(TBL_CalcDarwin[[#This Row],[Fecha]],'Plantilla AEG ES'!$E$1:$HX$13,4,FALSE)</f>
        <v>11</v>
      </c>
      <c r="AF194" s="45">
        <f>HLOOKUP(TBL_CalcDarwin[[#This Row],[Fecha]],'Plantilla AEG ES'!$E$1:$HX$13,5,FALSE)</f>
        <v>1</v>
      </c>
      <c r="AG194" s="45">
        <f>HLOOKUP(TBL_CalcDarwin[[#This Row],[Fecha]],'Plantilla AEG ES'!$E$1:$HX$13,6,FALSE)</f>
        <v>1</v>
      </c>
      <c r="AH194" s="45">
        <f>HLOOKUP(TBL_CalcDarwin[[#This Row],[Fecha]],'Plantilla AEG ES'!$E$1:$HX$13,7,FALSE)</f>
        <v>0</v>
      </c>
      <c r="AI194" s="46">
        <f>HLOOKUP(TBL_CalcDarwin[[#This Row],[Fecha]],'Plantilla AEG ES'!$E$1:$HX$13,8,FALSE)</f>
        <v>0</v>
      </c>
      <c r="AJ194" s="46">
        <f>HLOOKUP(TBL_CalcDarwin[[#This Row],[Fecha]],'Plantilla AEG ES'!$E$1:$HX$13,9,FALSE)</f>
        <v>3</v>
      </c>
      <c r="AK194" s="46">
        <f>HLOOKUP(TBL_CalcDarwin[[#This Row],[Fecha]],'Plantilla AEG ES'!$E$1:$HX$13,10,FALSE)</f>
        <v>12</v>
      </c>
      <c r="AL194" s="46">
        <f>HLOOKUP(TBL_CalcDarwin[[#This Row],[Fecha]],'Plantilla AEG ES'!$E$1:$HX$13,11,FALSE)</f>
        <v>1</v>
      </c>
      <c r="AM194" s="46">
        <f>HLOOKUP(TBL_CalcDarwin[[#This Row],[Fecha]],'Plantilla AEG ES'!$E$1:$HX$13,12,FALSE)</f>
        <v>7</v>
      </c>
      <c r="AN194" s="46">
        <f>HLOOKUP(TBL_CalcDarwin[[#This Row],[Fecha]],'Plantilla AEG ES'!$E$1:$HX$13,13,FALSE)</f>
        <v>1</v>
      </c>
      <c r="AO194" s="37">
        <f>TBL_CalcDarwin[[#This Row],[Lomitas - Barra A - 5.2 - Cerro]]+TBL_CalcDarwin[[#This Row],[Lomitas - Barra A - 5.2 - Medio]]+TBL_CalcDarwin[[#This Row],[Lomitas - Barra A - 5.2 - Mar]]</f>
        <v>23</v>
      </c>
      <c r="AP19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9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94" s="37">
        <f>TBL_CalcDarwin[[#This Row],[Expansión - Barra A - 5.2 - Cerro]]+TBL_CalcDarwin[[#This Row],[Expansión - Barra A - 5.2 - Medio]]+TBL_CalcDarwin[[#This Row],[Expansión - Barra A - 5.2 - Mar]]</f>
        <v>2</v>
      </c>
      <c r="AT194" s="37">
        <f>TBL_CalcDarwin[[#This Row],[Expansión - Barra B - 5.2 - Cerro]]</f>
        <v>1</v>
      </c>
      <c r="AU19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94" s="29">
        <f>TBL_CalcDarwin[[#This Row],[Expansión - Barra B - 5.2 - Cerro]]*TBL_CalcDarwin[[#This Row],[AEG 5.2 MW Cerro]]</f>
        <v>0.98299999999999998</v>
      </c>
      <c r="AZ194" s="18"/>
      <c r="BA194" s="18"/>
      <c r="BB194" s="18"/>
      <c r="BC194" s="18"/>
      <c r="BD194" s="18"/>
      <c r="BE194" s="18"/>
      <c r="BF194" s="18"/>
    </row>
    <row r="195" spans="2:58" ht="12" x14ac:dyDescent="0.2">
      <c r="B195" s="55">
        <f t="shared" si="13"/>
        <v>45621.041666666206</v>
      </c>
      <c r="C195" s="17">
        <f t="shared" si="18"/>
        <v>8.0416666666666874</v>
      </c>
      <c r="D195" s="34">
        <f>TBL_CalcDarwin[[#This Row],[Darwin PLOM
MW]]+TBL_CalcDarwin[[#This Row],[Darwin PLOME
MW]]</f>
        <v>79.186999999999998</v>
      </c>
      <c r="E195" s="34">
        <f>TBL_CalcDarwin[[#This Row],[PLOM MW TOTAL BARRA A]]+TBL_CalcDarwin[[#This Row],[PLOM MW TOTAL BARRA B]]</f>
        <v>76.430999999999997</v>
      </c>
      <c r="F195" s="34">
        <f>TBL_CalcDarwin[[#This Row],[PLOME MW TOTAL BARRA A]]+TBL_CalcDarwin[[#This Row],[PLOME MW TOTAL BARRA B]]</f>
        <v>2.7560000000000002</v>
      </c>
      <c r="G195" s="48">
        <f>'Plantilla Datos'!D200</f>
        <v>5.6</v>
      </c>
      <c r="H195" s="48">
        <f>'Plantilla Datos'!E200</f>
        <v>7.2</v>
      </c>
      <c r="I195" s="49">
        <f>'Plantilla Datos'!F200</f>
        <v>17.3</v>
      </c>
      <c r="J195" s="47">
        <f>CEILING('Plantilla Datos'!$L$3*TBL_CalcDarwin[[#This Row],[Darwin Gusts
m/s]],0.5)</f>
        <v>5.5</v>
      </c>
      <c r="K195" s="47">
        <f>CEILING('Plantilla Datos'!$L$4*TBL_CalcDarwin[[#This Row],[Darwin Gusts
m/s]],0.5)</f>
        <v>6.5</v>
      </c>
      <c r="L195" s="47">
        <f>CEILING(TBL_CalcDarwin[[#This Row],[Darwin Gusts
m/s]],0.5)</f>
        <v>7.5</v>
      </c>
      <c r="M19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19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9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9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95" s="41">
        <f>INDEX(Curva_Temp[Temp],MATCH(TBL_CalcDarwin[[#This Row],[Darwin Temp.
°C]],Curva_Temp[Temp]))</f>
        <v>15</v>
      </c>
      <c r="R195" s="41">
        <f>INDEX(Curva_Temp[Warranted Power Curve for 
1.194Kg/m3 air density '[kW']
SG 5.0-145 (AM+1, 5.2MW) AT 
90M],MATCH(TBL_CalcDarwin[[#This Row],[Darwin Temp.
°C]],Curva_Temp[Temp]))</f>
        <v>5200</v>
      </c>
      <c r="S195" s="41" cm="1">
        <f t="array" ref="S195">INDEX(Curva_Temp[Temp],MATCH(TBL_CalcDarwin[[#This Row],[Darwin Temp.
°C]],Curva_Temp[Temp])+1)</f>
        <v>20</v>
      </c>
      <c r="T195" s="41" cm="1">
        <f t="array" ref="T195">INDEX(Curva_Temp[Warranted Power Curve for 
1.194Kg/m3 air density '[kW']
SG 5.0-145 (AM+1, 5.2MW) AT 
90M],MATCH(TBL_CalcDarwin[[#This Row],[Darwin Temp.
°C]],Curva_Temp[Temp])+1)</f>
        <v>5000</v>
      </c>
      <c r="U19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9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9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95" s="41">
        <f>INDEX(Curva_Temp[Temp],MATCH(TBL_CalcDarwin[[#This Row],[Darwin Temp.
°C]],Curva_Temp[Temp]))</f>
        <v>15</v>
      </c>
      <c r="Z195" s="41">
        <f>INDEX(Curva_Temp[Warranted Power Curve for 
1.194Kg/m3 air density '[kW']
SG 5.0-145 (AM 0, 5.0MW) AT 
90M],MATCH(TBL_CalcDarwin[[#This Row],[Darwin Temp.
°C]],Curva_Temp[Temp]))</f>
        <v>5000</v>
      </c>
      <c r="AA195" s="41" cm="1">
        <f t="array" ref="AA195">INDEX(Curva_Temp[Temp],MATCH(TBL_CalcDarwin[[#This Row],[Darwin Temp.
°C]],Curva_Temp[Temp])+1)</f>
        <v>20</v>
      </c>
      <c r="AB195" s="41" cm="1">
        <f t="array" ref="AB195">INDEX(Curva_Temp[Warranted Power Curve for 
1.194Kg/m3 air density '[kW']
SG 5.0-145 (AM 0, 5.0MW) AT 
90M],MATCH(TBL_CalcDarwin[[#This Row],[Darwin Temp.
°C]],Curva_Temp[Temp])+1)</f>
        <v>5000</v>
      </c>
      <c r="AC195" s="45">
        <f>HLOOKUP(TBL_CalcDarwin[[#This Row],[Fecha]],'Plantilla AEG ES'!$E$1:$HX$13,2,FALSE)</f>
        <v>5</v>
      </c>
      <c r="AD195" s="45">
        <f>HLOOKUP(TBL_CalcDarwin[[#This Row],[Fecha]],'Plantilla AEG ES'!$E$1:$HX$13,3,FALSE)</f>
        <v>7</v>
      </c>
      <c r="AE195" s="45">
        <f>HLOOKUP(TBL_CalcDarwin[[#This Row],[Fecha]],'Plantilla AEG ES'!$E$1:$HX$13,4,FALSE)</f>
        <v>11</v>
      </c>
      <c r="AF195" s="45">
        <f>HLOOKUP(TBL_CalcDarwin[[#This Row],[Fecha]],'Plantilla AEG ES'!$E$1:$HX$13,5,FALSE)</f>
        <v>1</v>
      </c>
      <c r="AG195" s="45">
        <f>HLOOKUP(TBL_CalcDarwin[[#This Row],[Fecha]],'Plantilla AEG ES'!$E$1:$HX$13,6,FALSE)</f>
        <v>1</v>
      </c>
      <c r="AH195" s="45">
        <f>HLOOKUP(TBL_CalcDarwin[[#This Row],[Fecha]],'Plantilla AEG ES'!$E$1:$HX$13,7,FALSE)</f>
        <v>0</v>
      </c>
      <c r="AI195" s="46">
        <f>HLOOKUP(TBL_CalcDarwin[[#This Row],[Fecha]],'Plantilla AEG ES'!$E$1:$HX$13,8,FALSE)</f>
        <v>0</v>
      </c>
      <c r="AJ195" s="46">
        <f>HLOOKUP(TBL_CalcDarwin[[#This Row],[Fecha]],'Plantilla AEG ES'!$E$1:$HX$13,9,FALSE)</f>
        <v>3</v>
      </c>
      <c r="AK195" s="46">
        <f>HLOOKUP(TBL_CalcDarwin[[#This Row],[Fecha]],'Plantilla AEG ES'!$E$1:$HX$13,10,FALSE)</f>
        <v>12</v>
      </c>
      <c r="AL195" s="46">
        <f>HLOOKUP(TBL_CalcDarwin[[#This Row],[Fecha]],'Plantilla AEG ES'!$E$1:$HX$13,11,FALSE)</f>
        <v>1</v>
      </c>
      <c r="AM195" s="46">
        <f>HLOOKUP(TBL_CalcDarwin[[#This Row],[Fecha]],'Plantilla AEG ES'!$E$1:$HX$13,12,FALSE)</f>
        <v>7</v>
      </c>
      <c r="AN195" s="46">
        <f>HLOOKUP(TBL_CalcDarwin[[#This Row],[Fecha]],'Plantilla AEG ES'!$E$1:$HX$13,13,FALSE)</f>
        <v>1</v>
      </c>
      <c r="AO195" s="37">
        <f>TBL_CalcDarwin[[#This Row],[Lomitas - Barra A - 5.2 - Cerro]]+TBL_CalcDarwin[[#This Row],[Lomitas - Barra A - 5.2 - Medio]]+TBL_CalcDarwin[[#This Row],[Lomitas - Barra A - 5.2 - Mar]]</f>
        <v>23</v>
      </c>
      <c r="AP19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9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95" s="37">
        <f>TBL_CalcDarwin[[#This Row],[Expansión - Barra A - 5.2 - Cerro]]+TBL_CalcDarwin[[#This Row],[Expansión - Barra A - 5.2 - Medio]]+TBL_CalcDarwin[[#This Row],[Expansión - Barra A - 5.2 - Mar]]</f>
        <v>2</v>
      </c>
      <c r="AT195" s="37">
        <f>TBL_CalcDarwin[[#This Row],[Expansión - Barra B - 5.2 - Cerro]]</f>
        <v>1</v>
      </c>
      <c r="AU19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95" s="29">
        <f>TBL_CalcDarwin[[#This Row],[Expansión - Barra B - 5.2 - Cerro]]*TBL_CalcDarwin[[#This Row],[AEG 5.2 MW Cerro]]</f>
        <v>0.745</v>
      </c>
      <c r="AZ195" s="18"/>
      <c r="BA195" s="18"/>
      <c r="BB195" s="18"/>
      <c r="BC195" s="18"/>
      <c r="BD195" s="18"/>
      <c r="BE195" s="18"/>
      <c r="BF195" s="18"/>
    </row>
    <row r="196" spans="2:58" ht="12" x14ac:dyDescent="0.2">
      <c r="B196" s="55">
        <f t="shared" si="13"/>
        <v>45621.08333333287</v>
      </c>
      <c r="C196" s="17">
        <f t="shared" si="18"/>
        <v>8.0833333333333535</v>
      </c>
      <c r="D196" s="34">
        <f>TBL_CalcDarwin[[#This Row],[Darwin PLOM
MW]]+TBL_CalcDarwin[[#This Row],[Darwin PLOME
MW]]</f>
        <v>64.665000000000006</v>
      </c>
      <c r="E196" s="34">
        <f>TBL_CalcDarwin[[#This Row],[PLOM MW TOTAL BARRA A]]+TBL_CalcDarwin[[#This Row],[PLOM MW TOTAL BARRA B]]</f>
        <v>62.192</v>
      </c>
      <c r="F196" s="34">
        <f>TBL_CalcDarwin[[#This Row],[PLOME MW TOTAL BARRA A]]+TBL_CalcDarwin[[#This Row],[PLOME MW TOTAL BARRA B]]</f>
        <v>2.4729999999999999</v>
      </c>
      <c r="G196" s="48">
        <f>'Plantilla Datos'!D201</f>
        <v>5.5</v>
      </c>
      <c r="H196" s="48">
        <f>'Plantilla Datos'!E201</f>
        <v>7</v>
      </c>
      <c r="I196" s="49">
        <f>'Plantilla Datos'!F201</f>
        <v>17.399999999999999</v>
      </c>
      <c r="J196" s="47">
        <f>CEILING('Plantilla Datos'!$L$3*TBL_CalcDarwin[[#This Row],[Darwin Gusts
m/s]],0.5)</f>
        <v>5.5</v>
      </c>
      <c r="K196" s="47">
        <f>CEILING('Plantilla Datos'!$L$4*TBL_CalcDarwin[[#This Row],[Darwin Gusts
m/s]],0.5)</f>
        <v>6</v>
      </c>
      <c r="L196" s="47">
        <f>CEILING(TBL_CalcDarwin[[#This Row],[Darwin Gusts
m/s]],0.5)</f>
        <v>7</v>
      </c>
      <c r="M19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19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9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9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96" s="41">
        <f>INDEX(Curva_Temp[Temp],MATCH(TBL_CalcDarwin[[#This Row],[Darwin Temp.
°C]],Curva_Temp[Temp]))</f>
        <v>15</v>
      </c>
      <c r="R196" s="41">
        <f>INDEX(Curva_Temp[Warranted Power Curve for 
1.194Kg/m3 air density '[kW']
SG 5.0-145 (AM+1, 5.2MW) AT 
90M],MATCH(TBL_CalcDarwin[[#This Row],[Darwin Temp.
°C]],Curva_Temp[Temp]))</f>
        <v>5200</v>
      </c>
      <c r="S196" s="41" cm="1">
        <f t="array" ref="S196">INDEX(Curva_Temp[Temp],MATCH(TBL_CalcDarwin[[#This Row],[Darwin Temp.
°C]],Curva_Temp[Temp])+1)</f>
        <v>20</v>
      </c>
      <c r="T196" s="41" cm="1">
        <f t="array" ref="T196">INDEX(Curva_Temp[Warranted Power Curve for 
1.194Kg/m3 air density '[kW']
SG 5.0-145 (AM+1, 5.2MW) AT 
90M],MATCH(TBL_CalcDarwin[[#This Row],[Darwin Temp.
°C]],Curva_Temp[Temp])+1)</f>
        <v>5000</v>
      </c>
      <c r="U19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9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9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96" s="41">
        <f>INDEX(Curva_Temp[Temp],MATCH(TBL_CalcDarwin[[#This Row],[Darwin Temp.
°C]],Curva_Temp[Temp]))</f>
        <v>15</v>
      </c>
      <c r="Z196" s="41">
        <f>INDEX(Curva_Temp[Warranted Power Curve for 
1.194Kg/m3 air density '[kW']
SG 5.0-145 (AM 0, 5.0MW) AT 
90M],MATCH(TBL_CalcDarwin[[#This Row],[Darwin Temp.
°C]],Curva_Temp[Temp]))</f>
        <v>5000</v>
      </c>
      <c r="AA196" s="41" cm="1">
        <f t="array" ref="AA196">INDEX(Curva_Temp[Temp],MATCH(TBL_CalcDarwin[[#This Row],[Darwin Temp.
°C]],Curva_Temp[Temp])+1)</f>
        <v>20</v>
      </c>
      <c r="AB196" s="41" cm="1">
        <f t="array" ref="AB196">INDEX(Curva_Temp[Warranted Power Curve for 
1.194Kg/m3 air density '[kW']
SG 5.0-145 (AM 0, 5.0MW) AT 
90M],MATCH(TBL_CalcDarwin[[#This Row],[Darwin Temp.
°C]],Curva_Temp[Temp])+1)</f>
        <v>5000</v>
      </c>
      <c r="AC196" s="45">
        <f>HLOOKUP(TBL_CalcDarwin[[#This Row],[Fecha]],'Plantilla AEG ES'!$E$1:$HX$13,2,FALSE)</f>
        <v>5</v>
      </c>
      <c r="AD196" s="45">
        <f>HLOOKUP(TBL_CalcDarwin[[#This Row],[Fecha]],'Plantilla AEG ES'!$E$1:$HX$13,3,FALSE)</f>
        <v>7</v>
      </c>
      <c r="AE196" s="45">
        <f>HLOOKUP(TBL_CalcDarwin[[#This Row],[Fecha]],'Plantilla AEG ES'!$E$1:$HX$13,4,FALSE)</f>
        <v>11</v>
      </c>
      <c r="AF196" s="45">
        <f>HLOOKUP(TBL_CalcDarwin[[#This Row],[Fecha]],'Plantilla AEG ES'!$E$1:$HX$13,5,FALSE)</f>
        <v>1</v>
      </c>
      <c r="AG196" s="45">
        <f>HLOOKUP(TBL_CalcDarwin[[#This Row],[Fecha]],'Plantilla AEG ES'!$E$1:$HX$13,6,FALSE)</f>
        <v>1</v>
      </c>
      <c r="AH196" s="45">
        <f>HLOOKUP(TBL_CalcDarwin[[#This Row],[Fecha]],'Plantilla AEG ES'!$E$1:$HX$13,7,FALSE)</f>
        <v>0</v>
      </c>
      <c r="AI196" s="46">
        <f>HLOOKUP(TBL_CalcDarwin[[#This Row],[Fecha]],'Plantilla AEG ES'!$E$1:$HX$13,8,FALSE)</f>
        <v>0</v>
      </c>
      <c r="AJ196" s="46">
        <f>HLOOKUP(TBL_CalcDarwin[[#This Row],[Fecha]],'Plantilla AEG ES'!$E$1:$HX$13,9,FALSE)</f>
        <v>3</v>
      </c>
      <c r="AK196" s="46">
        <f>HLOOKUP(TBL_CalcDarwin[[#This Row],[Fecha]],'Plantilla AEG ES'!$E$1:$HX$13,10,FALSE)</f>
        <v>12</v>
      </c>
      <c r="AL196" s="46">
        <f>HLOOKUP(TBL_CalcDarwin[[#This Row],[Fecha]],'Plantilla AEG ES'!$E$1:$HX$13,11,FALSE)</f>
        <v>1</v>
      </c>
      <c r="AM196" s="46">
        <f>HLOOKUP(TBL_CalcDarwin[[#This Row],[Fecha]],'Plantilla AEG ES'!$E$1:$HX$13,12,FALSE)</f>
        <v>7</v>
      </c>
      <c r="AN196" s="46">
        <f>HLOOKUP(TBL_CalcDarwin[[#This Row],[Fecha]],'Plantilla AEG ES'!$E$1:$HX$13,13,FALSE)</f>
        <v>1</v>
      </c>
      <c r="AO196" s="37">
        <f>TBL_CalcDarwin[[#This Row],[Lomitas - Barra A - 5.2 - Cerro]]+TBL_CalcDarwin[[#This Row],[Lomitas - Barra A - 5.2 - Medio]]+TBL_CalcDarwin[[#This Row],[Lomitas - Barra A - 5.2 - Mar]]</f>
        <v>23</v>
      </c>
      <c r="AP19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28.173000000000002</v>
      </c>
      <c r="AR19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34.018999999999998</v>
      </c>
      <c r="AS196" s="37">
        <f>TBL_CalcDarwin[[#This Row],[Expansión - Barra A - 5.2 - Cerro]]+TBL_CalcDarwin[[#This Row],[Expansión - Barra A - 5.2 - Medio]]+TBL_CalcDarwin[[#This Row],[Expansión - Barra A - 5.2 - Mar]]</f>
        <v>2</v>
      </c>
      <c r="AT196" s="37">
        <f>TBL_CalcDarwin[[#This Row],[Expansión - Barra B - 5.2 - Cerro]]</f>
        <v>1</v>
      </c>
      <c r="AU19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1.728</v>
      </c>
      <c r="AV196" s="29">
        <f>TBL_CalcDarwin[[#This Row],[Expansión - Barra B - 5.2 - Cerro]]*TBL_CalcDarwin[[#This Row],[AEG 5.2 MW Cerro]]</f>
        <v>0.745</v>
      </c>
      <c r="AZ196" s="18"/>
      <c r="BA196" s="18"/>
      <c r="BB196" s="18"/>
      <c r="BC196" s="18"/>
      <c r="BD196" s="18"/>
      <c r="BE196" s="18"/>
      <c r="BF196" s="18"/>
    </row>
    <row r="197" spans="2:58" ht="12" x14ac:dyDescent="0.2">
      <c r="B197" s="55">
        <f t="shared" si="13"/>
        <v>45621.124999999534</v>
      </c>
      <c r="C197" s="17">
        <f>C196+TIME(1,0,0)</f>
        <v>8.1250000000000195</v>
      </c>
      <c r="D197" s="34">
        <f>TBL_CalcDarwin[[#This Row],[Darwin PLOM
MW]]+TBL_CalcDarwin[[#This Row],[Darwin PLOME
MW]]</f>
        <v>63.076999999999998</v>
      </c>
      <c r="E197" s="34">
        <f>TBL_CalcDarwin[[#This Row],[PLOM MW TOTAL BARRA A]]+TBL_CalcDarwin[[#This Row],[PLOM MW TOTAL BARRA B]]</f>
        <v>61</v>
      </c>
      <c r="F197" s="34">
        <f>TBL_CalcDarwin[[#This Row],[PLOME MW TOTAL BARRA A]]+TBL_CalcDarwin[[#This Row],[PLOME MW TOTAL BARRA B]]</f>
        <v>2.077</v>
      </c>
      <c r="G197" s="48">
        <f>'Plantilla Datos'!D202</f>
        <v>5.3</v>
      </c>
      <c r="H197" s="48">
        <f>'Plantilla Datos'!E202</f>
        <v>6.8</v>
      </c>
      <c r="I197" s="49">
        <f>'Plantilla Datos'!F202</f>
        <v>17.5</v>
      </c>
      <c r="J197" s="47">
        <f>CEILING('Plantilla Datos'!$L$3*TBL_CalcDarwin[[#This Row],[Darwin Gusts
m/s]],0.5)</f>
        <v>5</v>
      </c>
      <c r="K197" s="47">
        <f>CEILING('Plantilla Datos'!$L$4*TBL_CalcDarwin[[#This Row],[Darwin Gusts
m/s]],0.5)</f>
        <v>6</v>
      </c>
      <c r="L197" s="47">
        <f>CEILING(TBL_CalcDarwin[[#This Row],[Darwin Gusts
m/s]],0.5)</f>
        <v>7</v>
      </c>
      <c r="M19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19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9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9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97" s="41">
        <f>INDEX(Curva_Temp[Temp],MATCH(TBL_CalcDarwin[[#This Row],[Darwin Temp.
°C]],Curva_Temp[Temp]))</f>
        <v>15</v>
      </c>
      <c r="R197" s="41">
        <f>INDEX(Curva_Temp[Warranted Power Curve for 
1.194Kg/m3 air density '[kW']
SG 5.0-145 (AM+1, 5.2MW) AT 
90M],MATCH(TBL_CalcDarwin[[#This Row],[Darwin Temp.
°C]],Curva_Temp[Temp]))</f>
        <v>5200</v>
      </c>
      <c r="S197" s="41" cm="1">
        <f t="array" ref="S197">INDEX(Curva_Temp[Temp],MATCH(TBL_CalcDarwin[[#This Row],[Darwin Temp.
°C]],Curva_Temp[Temp])+1)</f>
        <v>20</v>
      </c>
      <c r="T197" s="41" cm="1">
        <f t="array" ref="T197">INDEX(Curva_Temp[Warranted Power Curve for 
1.194Kg/m3 air density '[kW']
SG 5.0-145 (AM+1, 5.2MW) AT 
90M],MATCH(TBL_CalcDarwin[[#This Row],[Darwin Temp.
°C]],Curva_Temp[Temp])+1)</f>
        <v>5000</v>
      </c>
      <c r="U19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9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9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97" s="41">
        <f>INDEX(Curva_Temp[Temp],MATCH(TBL_CalcDarwin[[#This Row],[Darwin Temp.
°C]],Curva_Temp[Temp]))</f>
        <v>15</v>
      </c>
      <c r="Z197" s="41">
        <f>INDEX(Curva_Temp[Warranted Power Curve for 
1.194Kg/m3 air density '[kW']
SG 5.0-145 (AM 0, 5.0MW) AT 
90M],MATCH(TBL_CalcDarwin[[#This Row],[Darwin Temp.
°C]],Curva_Temp[Temp]))</f>
        <v>5000</v>
      </c>
      <c r="AA197" s="41" cm="1">
        <f t="array" ref="AA197">INDEX(Curva_Temp[Temp],MATCH(TBL_CalcDarwin[[#This Row],[Darwin Temp.
°C]],Curva_Temp[Temp])+1)</f>
        <v>20</v>
      </c>
      <c r="AB197" s="41" cm="1">
        <f t="array" ref="AB197">INDEX(Curva_Temp[Warranted Power Curve for 
1.194Kg/m3 air density '[kW']
SG 5.0-145 (AM 0, 5.0MW) AT 
90M],MATCH(TBL_CalcDarwin[[#This Row],[Darwin Temp.
°C]],Curva_Temp[Temp])+1)</f>
        <v>5000</v>
      </c>
      <c r="AC197" s="45">
        <f>HLOOKUP(TBL_CalcDarwin[[#This Row],[Fecha]],'Plantilla AEG ES'!$E$1:$HX$13,2,FALSE)</f>
        <v>5</v>
      </c>
      <c r="AD197" s="45">
        <f>HLOOKUP(TBL_CalcDarwin[[#This Row],[Fecha]],'Plantilla AEG ES'!$E$1:$HX$13,3,FALSE)</f>
        <v>7</v>
      </c>
      <c r="AE197" s="45">
        <f>HLOOKUP(TBL_CalcDarwin[[#This Row],[Fecha]],'Plantilla AEG ES'!$E$1:$HX$13,4,FALSE)</f>
        <v>11</v>
      </c>
      <c r="AF197" s="45">
        <f>HLOOKUP(TBL_CalcDarwin[[#This Row],[Fecha]],'Plantilla AEG ES'!$E$1:$HX$13,5,FALSE)</f>
        <v>1</v>
      </c>
      <c r="AG197" s="45">
        <f>HLOOKUP(TBL_CalcDarwin[[#This Row],[Fecha]],'Plantilla AEG ES'!$E$1:$HX$13,6,FALSE)</f>
        <v>1</v>
      </c>
      <c r="AH197" s="45">
        <f>HLOOKUP(TBL_CalcDarwin[[#This Row],[Fecha]],'Plantilla AEG ES'!$E$1:$HX$13,7,FALSE)</f>
        <v>0</v>
      </c>
      <c r="AI197" s="46">
        <f>HLOOKUP(TBL_CalcDarwin[[#This Row],[Fecha]],'Plantilla AEG ES'!$E$1:$HX$13,8,FALSE)</f>
        <v>0</v>
      </c>
      <c r="AJ197" s="46">
        <f>HLOOKUP(TBL_CalcDarwin[[#This Row],[Fecha]],'Plantilla AEG ES'!$E$1:$HX$13,9,FALSE)</f>
        <v>3</v>
      </c>
      <c r="AK197" s="46">
        <f>HLOOKUP(TBL_CalcDarwin[[#This Row],[Fecha]],'Plantilla AEG ES'!$E$1:$HX$13,10,FALSE)</f>
        <v>12</v>
      </c>
      <c r="AL197" s="46">
        <f>HLOOKUP(TBL_CalcDarwin[[#This Row],[Fecha]],'Plantilla AEG ES'!$E$1:$HX$13,11,FALSE)</f>
        <v>1</v>
      </c>
      <c r="AM197" s="46">
        <f>HLOOKUP(TBL_CalcDarwin[[#This Row],[Fecha]],'Plantilla AEG ES'!$E$1:$HX$13,12,FALSE)</f>
        <v>7</v>
      </c>
      <c r="AN197" s="46">
        <f>HLOOKUP(TBL_CalcDarwin[[#This Row],[Fecha]],'Plantilla AEG ES'!$E$1:$HX$13,13,FALSE)</f>
        <v>1</v>
      </c>
      <c r="AO197" s="37">
        <f>TBL_CalcDarwin[[#This Row],[Lomitas - Barra A - 5.2 - Cerro]]+TBL_CalcDarwin[[#This Row],[Lomitas - Barra A - 5.2 - Medio]]+TBL_CalcDarwin[[#This Row],[Lomitas - Barra A - 5.2 - Mar]]</f>
        <v>23</v>
      </c>
      <c r="AP19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9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97" s="37">
        <f>TBL_CalcDarwin[[#This Row],[Expansión - Barra A - 5.2 - Cerro]]+TBL_CalcDarwin[[#This Row],[Expansión - Barra A - 5.2 - Medio]]+TBL_CalcDarwin[[#This Row],[Expansión - Barra A - 5.2 - Mar]]</f>
        <v>2</v>
      </c>
      <c r="AT197" s="37">
        <f>TBL_CalcDarwin[[#This Row],[Expansión - Barra B - 5.2 - Cerro]]</f>
        <v>1</v>
      </c>
      <c r="AU19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97" s="29">
        <f>TBL_CalcDarwin[[#This Row],[Expansión - Barra B - 5.2 - Cerro]]*TBL_CalcDarwin[[#This Row],[AEG 5.2 MW Cerro]]</f>
        <v>0.54700000000000004</v>
      </c>
      <c r="AZ197" s="18"/>
      <c r="BA197" s="18"/>
      <c r="BB197" s="18"/>
      <c r="BC197" s="18"/>
      <c r="BD197" s="18"/>
      <c r="BE197" s="18"/>
      <c r="BF197" s="18"/>
    </row>
    <row r="198" spans="2:58" ht="12" x14ac:dyDescent="0.2">
      <c r="B198" s="55">
        <f t="shared" ref="B198:B229" si="19">B197+TIME(1,0,0)</f>
        <v>45621.166666666199</v>
      </c>
      <c r="C198" s="17">
        <f t="shared" ref="C198:C214" si="20">C197+TIME(1,0,0)</f>
        <v>8.1666666666666856</v>
      </c>
      <c r="D198" s="34">
        <f>TBL_CalcDarwin[[#This Row],[Darwin PLOM
MW]]+TBL_CalcDarwin[[#This Row],[Darwin PLOME
MW]]</f>
        <v>63.076999999999998</v>
      </c>
      <c r="E198" s="34">
        <f>TBL_CalcDarwin[[#This Row],[PLOM MW TOTAL BARRA A]]+TBL_CalcDarwin[[#This Row],[PLOM MW TOTAL BARRA B]]</f>
        <v>61</v>
      </c>
      <c r="F198" s="34">
        <f>TBL_CalcDarwin[[#This Row],[PLOME MW TOTAL BARRA A]]+TBL_CalcDarwin[[#This Row],[PLOME MW TOTAL BARRA B]]</f>
        <v>2.077</v>
      </c>
      <c r="G198" s="48">
        <f>'Plantilla Datos'!D203</f>
        <v>5.2</v>
      </c>
      <c r="H198" s="48">
        <f>'Plantilla Datos'!E203</f>
        <v>6.7</v>
      </c>
      <c r="I198" s="49">
        <f>'Plantilla Datos'!F203</f>
        <v>17.600000000000001</v>
      </c>
      <c r="J198" s="47">
        <f>CEILING('Plantilla Datos'!$L$3*TBL_CalcDarwin[[#This Row],[Darwin Gusts
m/s]],0.5)</f>
        <v>5</v>
      </c>
      <c r="K198" s="47">
        <f>CEILING('Plantilla Datos'!$L$4*TBL_CalcDarwin[[#This Row],[Darwin Gusts
m/s]],0.5)</f>
        <v>6</v>
      </c>
      <c r="L198" s="47">
        <f>CEILING(TBL_CalcDarwin[[#This Row],[Darwin Gusts
m/s]],0.5)</f>
        <v>7</v>
      </c>
      <c r="M19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19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9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9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98" s="41">
        <f>INDEX(Curva_Temp[Temp],MATCH(TBL_CalcDarwin[[#This Row],[Darwin Temp.
°C]],Curva_Temp[Temp]))</f>
        <v>15</v>
      </c>
      <c r="R198" s="41">
        <f>INDEX(Curva_Temp[Warranted Power Curve for 
1.194Kg/m3 air density '[kW']
SG 5.0-145 (AM+1, 5.2MW) AT 
90M],MATCH(TBL_CalcDarwin[[#This Row],[Darwin Temp.
°C]],Curva_Temp[Temp]))</f>
        <v>5200</v>
      </c>
      <c r="S198" s="41" cm="1">
        <f t="array" ref="S198">INDEX(Curva_Temp[Temp],MATCH(TBL_CalcDarwin[[#This Row],[Darwin Temp.
°C]],Curva_Temp[Temp])+1)</f>
        <v>20</v>
      </c>
      <c r="T198" s="41" cm="1">
        <f t="array" ref="T198">INDEX(Curva_Temp[Warranted Power Curve for 
1.194Kg/m3 air density '[kW']
SG 5.0-145 (AM+1, 5.2MW) AT 
90M],MATCH(TBL_CalcDarwin[[#This Row],[Darwin Temp.
°C]],Curva_Temp[Temp])+1)</f>
        <v>5000</v>
      </c>
      <c r="U19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9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9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98" s="41">
        <f>INDEX(Curva_Temp[Temp],MATCH(TBL_CalcDarwin[[#This Row],[Darwin Temp.
°C]],Curva_Temp[Temp]))</f>
        <v>15</v>
      </c>
      <c r="Z198" s="41">
        <f>INDEX(Curva_Temp[Warranted Power Curve for 
1.194Kg/m3 air density '[kW']
SG 5.0-145 (AM 0, 5.0MW) AT 
90M],MATCH(TBL_CalcDarwin[[#This Row],[Darwin Temp.
°C]],Curva_Temp[Temp]))</f>
        <v>5000</v>
      </c>
      <c r="AA198" s="41" cm="1">
        <f t="array" ref="AA198">INDEX(Curva_Temp[Temp],MATCH(TBL_CalcDarwin[[#This Row],[Darwin Temp.
°C]],Curva_Temp[Temp])+1)</f>
        <v>20</v>
      </c>
      <c r="AB198" s="41" cm="1">
        <f t="array" ref="AB198">INDEX(Curva_Temp[Warranted Power Curve for 
1.194Kg/m3 air density '[kW']
SG 5.0-145 (AM 0, 5.0MW) AT 
90M],MATCH(TBL_CalcDarwin[[#This Row],[Darwin Temp.
°C]],Curva_Temp[Temp])+1)</f>
        <v>5000</v>
      </c>
      <c r="AC198" s="45">
        <f>HLOOKUP(TBL_CalcDarwin[[#This Row],[Fecha]],'Plantilla AEG ES'!$E$1:$HX$13,2,FALSE)</f>
        <v>5</v>
      </c>
      <c r="AD198" s="45">
        <f>HLOOKUP(TBL_CalcDarwin[[#This Row],[Fecha]],'Plantilla AEG ES'!$E$1:$HX$13,3,FALSE)</f>
        <v>7</v>
      </c>
      <c r="AE198" s="45">
        <f>HLOOKUP(TBL_CalcDarwin[[#This Row],[Fecha]],'Plantilla AEG ES'!$E$1:$HX$13,4,FALSE)</f>
        <v>11</v>
      </c>
      <c r="AF198" s="45">
        <f>HLOOKUP(TBL_CalcDarwin[[#This Row],[Fecha]],'Plantilla AEG ES'!$E$1:$HX$13,5,FALSE)</f>
        <v>1</v>
      </c>
      <c r="AG198" s="45">
        <f>HLOOKUP(TBL_CalcDarwin[[#This Row],[Fecha]],'Plantilla AEG ES'!$E$1:$HX$13,6,FALSE)</f>
        <v>1</v>
      </c>
      <c r="AH198" s="45">
        <f>HLOOKUP(TBL_CalcDarwin[[#This Row],[Fecha]],'Plantilla AEG ES'!$E$1:$HX$13,7,FALSE)</f>
        <v>0</v>
      </c>
      <c r="AI198" s="46">
        <f>HLOOKUP(TBL_CalcDarwin[[#This Row],[Fecha]],'Plantilla AEG ES'!$E$1:$HX$13,8,FALSE)</f>
        <v>0</v>
      </c>
      <c r="AJ198" s="46">
        <f>HLOOKUP(TBL_CalcDarwin[[#This Row],[Fecha]],'Plantilla AEG ES'!$E$1:$HX$13,9,FALSE)</f>
        <v>3</v>
      </c>
      <c r="AK198" s="46">
        <f>HLOOKUP(TBL_CalcDarwin[[#This Row],[Fecha]],'Plantilla AEG ES'!$E$1:$HX$13,10,FALSE)</f>
        <v>12</v>
      </c>
      <c r="AL198" s="46">
        <f>HLOOKUP(TBL_CalcDarwin[[#This Row],[Fecha]],'Plantilla AEG ES'!$E$1:$HX$13,11,FALSE)</f>
        <v>1</v>
      </c>
      <c r="AM198" s="46">
        <f>HLOOKUP(TBL_CalcDarwin[[#This Row],[Fecha]],'Plantilla AEG ES'!$E$1:$HX$13,12,FALSE)</f>
        <v>7</v>
      </c>
      <c r="AN198" s="46">
        <f>HLOOKUP(TBL_CalcDarwin[[#This Row],[Fecha]],'Plantilla AEG ES'!$E$1:$HX$13,13,FALSE)</f>
        <v>1</v>
      </c>
      <c r="AO198" s="37">
        <f>TBL_CalcDarwin[[#This Row],[Lomitas - Barra A - 5.2 - Cerro]]+TBL_CalcDarwin[[#This Row],[Lomitas - Barra A - 5.2 - Medio]]+TBL_CalcDarwin[[#This Row],[Lomitas - Barra A - 5.2 - Mar]]</f>
        <v>23</v>
      </c>
      <c r="AP19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9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98" s="37">
        <f>TBL_CalcDarwin[[#This Row],[Expansión - Barra A - 5.2 - Cerro]]+TBL_CalcDarwin[[#This Row],[Expansión - Barra A - 5.2 - Medio]]+TBL_CalcDarwin[[#This Row],[Expansión - Barra A - 5.2 - Mar]]</f>
        <v>2</v>
      </c>
      <c r="AT198" s="37">
        <f>TBL_CalcDarwin[[#This Row],[Expansión - Barra B - 5.2 - Cerro]]</f>
        <v>1</v>
      </c>
      <c r="AU19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98" s="29">
        <f>TBL_CalcDarwin[[#This Row],[Expansión - Barra B - 5.2 - Cerro]]*TBL_CalcDarwin[[#This Row],[AEG 5.2 MW Cerro]]</f>
        <v>0.54700000000000004</v>
      </c>
      <c r="AZ198" s="18"/>
      <c r="BA198" s="18"/>
      <c r="BB198" s="18"/>
      <c r="BC198" s="18"/>
      <c r="BD198" s="18"/>
      <c r="BE198" s="18"/>
      <c r="BF198" s="18"/>
    </row>
    <row r="199" spans="2:58" ht="12" x14ac:dyDescent="0.2">
      <c r="B199" s="55">
        <f t="shared" si="19"/>
        <v>45621.208333332863</v>
      </c>
      <c r="C199" s="17">
        <f t="shared" si="20"/>
        <v>8.2083333333333517</v>
      </c>
      <c r="D199" s="34">
        <f>TBL_CalcDarwin[[#This Row],[Darwin PLOM
MW]]+TBL_CalcDarwin[[#This Row],[Darwin PLOME
MW]]</f>
        <v>53.153999999999996</v>
      </c>
      <c r="E199" s="34">
        <f>TBL_CalcDarwin[[#This Row],[PLOM MW TOTAL BARRA A]]+TBL_CalcDarwin[[#This Row],[PLOM MW TOTAL BARRA B]]</f>
        <v>51.076999999999998</v>
      </c>
      <c r="F199" s="34">
        <f>TBL_CalcDarwin[[#This Row],[PLOME MW TOTAL BARRA A]]+TBL_CalcDarwin[[#This Row],[PLOME MW TOTAL BARRA B]]</f>
        <v>2.077</v>
      </c>
      <c r="G199" s="48">
        <f>'Plantilla Datos'!D204</f>
        <v>5.0999999999999996</v>
      </c>
      <c r="H199" s="48">
        <f>'Plantilla Datos'!E204</f>
        <v>6.5</v>
      </c>
      <c r="I199" s="49">
        <f>'Plantilla Datos'!F204</f>
        <v>17.899999999999999</v>
      </c>
      <c r="J199" s="47">
        <f>CEILING('Plantilla Datos'!$L$3*TBL_CalcDarwin[[#This Row],[Darwin Gusts
m/s]],0.5)</f>
        <v>5</v>
      </c>
      <c r="K199" s="47">
        <f>CEILING('Plantilla Datos'!$L$4*TBL_CalcDarwin[[#This Row],[Darwin Gusts
m/s]],0.5)</f>
        <v>6</v>
      </c>
      <c r="L199" s="47">
        <f>CEILING(TBL_CalcDarwin[[#This Row],[Darwin Gusts
m/s]],0.5)</f>
        <v>6.5</v>
      </c>
      <c r="M19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5.0839999999999996</v>
      </c>
      <c r="N19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9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9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99" s="41">
        <f>INDEX(Curva_Temp[Temp],MATCH(TBL_CalcDarwin[[#This Row],[Darwin Temp.
°C]],Curva_Temp[Temp]))</f>
        <v>15</v>
      </c>
      <c r="R199" s="41">
        <f>INDEX(Curva_Temp[Warranted Power Curve for 
1.194Kg/m3 air density '[kW']
SG 5.0-145 (AM+1, 5.2MW) AT 
90M],MATCH(TBL_CalcDarwin[[#This Row],[Darwin Temp.
°C]],Curva_Temp[Temp]))</f>
        <v>5200</v>
      </c>
      <c r="S199" s="41" cm="1">
        <f t="array" ref="S199">INDEX(Curva_Temp[Temp],MATCH(TBL_CalcDarwin[[#This Row],[Darwin Temp.
°C]],Curva_Temp[Temp])+1)</f>
        <v>20</v>
      </c>
      <c r="T199" s="41" cm="1">
        <f t="array" ref="T199">INDEX(Curva_Temp[Warranted Power Curve for 
1.194Kg/m3 air density '[kW']
SG 5.0-145 (AM+1, 5.2MW) AT 
90M],MATCH(TBL_CalcDarwin[[#This Row],[Darwin Temp.
°C]],Curva_Temp[Temp])+1)</f>
        <v>5000</v>
      </c>
      <c r="U19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9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9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99" s="41">
        <f>INDEX(Curva_Temp[Temp],MATCH(TBL_CalcDarwin[[#This Row],[Darwin Temp.
°C]],Curva_Temp[Temp]))</f>
        <v>15</v>
      </c>
      <c r="Z199" s="41">
        <f>INDEX(Curva_Temp[Warranted Power Curve for 
1.194Kg/m3 air density '[kW']
SG 5.0-145 (AM 0, 5.0MW) AT 
90M],MATCH(TBL_CalcDarwin[[#This Row],[Darwin Temp.
°C]],Curva_Temp[Temp]))</f>
        <v>5000</v>
      </c>
      <c r="AA199" s="41" cm="1">
        <f t="array" ref="AA199">INDEX(Curva_Temp[Temp],MATCH(TBL_CalcDarwin[[#This Row],[Darwin Temp.
°C]],Curva_Temp[Temp])+1)</f>
        <v>20</v>
      </c>
      <c r="AB199" s="41" cm="1">
        <f t="array" ref="AB199">INDEX(Curva_Temp[Warranted Power Curve for 
1.194Kg/m3 air density '[kW']
SG 5.0-145 (AM 0, 5.0MW) AT 
90M],MATCH(TBL_CalcDarwin[[#This Row],[Darwin Temp.
°C]],Curva_Temp[Temp])+1)</f>
        <v>5000</v>
      </c>
      <c r="AC199" s="45">
        <f>HLOOKUP(TBL_CalcDarwin[[#This Row],[Fecha]],'Plantilla AEG ES'!$E$1:$HX$13,2,FALSE)</f>
        <v>5</v>
      </c>
      <c r="AD199" s="45">
        <f>HLOOKUP(TBL_CalcDarwin[[#This Row],[Fecha]],'Plantilla AEG ES'!$E$1:$HX$13,3,FALSE)</f>
        <v>7</v>
      </c>
      <c r="AE199" s="45">
        <f>HLOOKUP(TBL_CalcDarwin[[#This Row],[Fecha]],'Plantilla AEG ES'!$E$1:$HX$13,4,FALSE)</f>
        <v>11</v>
      </c>
      <c r="AF199" s="45">
        <f>HLOOKUP(TBL_CalcDarwin[[#This Row],[Fecha]],'Plantilla AEG ES'!$E$1:$HX$13,5,FALSE)</f>
        <v>1</v>
      </c>
      <c r="AG199" s="45">
        <f>HLOOKUP(TBL_CalcDarwin[[#This Row],[Fecha]],'Plantilla AEG ES'!$E$1:$HX$13,6,FALSE)</f>
        <v>1</v>
      </c>
      <c r="AH199" s="45">
        <f>HLOOKUP(TBL_CalcDarwin[[#This Row],[Fecha]],'Plantilla AEG ES'!$E$1:$HX$13,7,FALSE)</f>
        <v>0</v>
      </c>
      <c r="AI199" s="46">
        <f>HLOOKUP(TBL_CalcDarwin[[#This Row],[Fecha]],'Plantilla AEG ES'!$E$1:$HX$13,8,FALSE)</f>
        <v>0</v>
      </c>
      <c r="AJ199" s="46">
        <f>HLOOKUP(TBL_CalcDarwin[[#This Row],[Fecha]],'Plantilla AEG ES'!$E$1:$HX$13,9,FALSE)</f>
        <v>3</v>
      </c>
      <c r="AK199" s="46">
        <f>HLOOKUP(TBL_CalcDarwin[[#This Row],[Fecha]],'Plantilla AEG ES'!$E$1:$HX$13,10,FALSE)</f>
        <v>12</v>
      </c>
      <c r="AL199" s="46">
        <f>HLOOKUP(TBL_CalcDarwin[[#This Row],[Fecha]],'Plantilla AEG ES'!$E$1:$HX$13,11,FALSE)</f>
        <v>1</v>
      </c>
      <c r="AM199" s="46">
        <f>HLOOKUP(TBL_CalcDarwin[[#This Row],[Fecha]],'Plantilla AEG ES'!$E$1:$HX$13,12,FALSE)</f>
        <v>7</v>
      </c>
      <c r="AN199" s="46">
        <f>HLOOKUP(TBL_CalcDarwin[[#This Row],[Fecha]],'Plantilla AEG ES'!$E$1:$HX$13,13,FALSE)</f>
        <v>1</v>
      </c>
      <c r="AO199" s="37">
        <f>TBL_CalcDarwin[[#This Row],[Lomitas - Barra A - 5.2 - Cerro]]+TBL_CalcDarwin[[#This Row],[Lomitas - Barra A - 5.2 - Medio]]+TBL_CalcDarwin[[#This Row],[Lomitas - Barra A - 5.2 - Mar]]</f>
        <v>23</v>
      </c>
      <c r="AP19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23.542000000000002</v>
      </c>
      <c r="AR19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27.534999999999997</v>
      </c>
      <c r="AS199" s="37">
        <f>TBL_CalcDarwin[[#This Row],[Expansión - Barra A - 5.2 - Cerro]]+TBL_CalcDarwin[[#This Row],[Expansión - Barra A - 5.2 - Medio]]+TBL_CalcDarwin[[#This Row],[Expansión - Barra A - 5.2 - Mar]]</f>
        <v>2</v>
      </c>
      <c r="AT199" s="37">
        <f>TBL_CalcDarwin[[#This Row],[Expansión - Barra B - 5.2 - Cerro]]</f>
        <v>1</v>
      </c>
      <c r="AU19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99" s="29">
        <f>TBL_CalcDarwin[[#This Row],[Expansión - Barra B - 5.2 - Cerro]]*TBL_CalcDarwin[[#This Row],[AEG 5.2 MW Cerro]]</f>
        <v>0.54700000000000004</v>
      </c>
      <c r="AZ199" s="18"/>
      <c r="BA199" s="18"/>
      <c r="BB199" s="18"/>
      <c r="BC199" s="18"/>
      <c r="BD199" s="18"/>
      <c r="BE199" s="18"/>
      <c r="BF199" s="18"/>
    </row>
    <row r="200" spans="2:58" ht="12" x14ac:dyDescent="0.2">
      <c r="B200" s="55">
        <f t="shared" si="19"/>
        <v>45621.249999999527</v>
      </c>
      <c r="C200" s="17">
        <f t="shared" si="20"/>
        <v>8.2500000000000178</v>
      </c>
      <c r="D200" s="34">
        <f>TBL_CalcDarwin[[#This Row],[Darwin PLOM
MW]]+TBL_CalcDarwin[[#This Row],[Darwin PLOME
MW]]</f>
        <v>50.536000000000001</v>
      </c>
      <c r="E200" s="34">
        <f>TBL_CalcDarwin[[#This Row],[PLOM MW TOTAL BARRA A]]+TBL_CalcDarwin[[#This Row],[PLOM MW TOTAL BARRA B]]</f>
        <v>48.697000000000003</v>
      </c>
      <c r="F200" s="34">
        <f>TBL_CalcDarwin[[#This Row],[PLOME MW TOTAL BARRA A]]+TBL_CalcDarwin[[#This Row],[PLOME MW TOTAL BARRA B]]</f>
        <v>1.839</v>
      </c>
      <c r="G200" s="48">
        <f>'Plantilla Datos'!D205</f>
        <v>4.9000000000000004</v>
      </c>
      <c r="H200" s="48">
        <f>'Plantilla Datos'!E205</f>
        <v>6.3</v>
      </c>
      <c r="I200" s="49">
        <f>'Plantilla Datos'!F205</f>
        <v>18.2</v>
      </c>
      <c r="J200" s="47">
        <f>CEILING('Plantilla Datos'!$L$3*TBL_CalcDarwin[[#This Row],[Darwin Gusts
m/s]],0.5)</f>
        <v>5</v>
      </c>
      <c r="K200" s="47">
        <f>CEILING('Plantilla Datos'!$L$4*TBL_CalcDarwin[[#This Row],[Darwin Gusts
m/s]],0.5)</f>
        <v>5.5</v>
      </c>
      <c r="L200" s="47">
        <f>CEILING(TBL_CalcDarwin[[#This Row],[Darwin Gusts
m/s]],0.5)</f>
        <v>6.5</v>
      </c>
      <c r="M20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5.0720000000000001</v>
      </c>
      <c r="N20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20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20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200" s="41">
        <f>INDEX(Curva_Temp[Temp],MATCH(TBL_CalcDarwin[[#This Row],[Darwin Temp.
°C]],Curva_Temp[Temp]))</f>
        <v>15</v>
      </c>
      <c r="R200" s="41">
        <f>INDEX(Curva_Temp[Warranted Power Curve for 
1.194Kg/m3 air density '[kW']
SG 5.0-145 (AM+1, 5.2MW) AT 
90M],MATCH(TBL_CalcDarwin[[#This Row],[Darwin Temp.
°C]],Curva_Temp[Temp]))</f>
        <v>5200</v>
      </c>
      <c r="S200" s="41" cm="1">
        <f t="array" ref="S200">INDEX(Curva_Temp[Temp],MATCH(TBL_CalcDarwin[[#This Row],[Darwin Temp.
°C]],Curva_Temp[Temp])+1)</f>
        <v>20</v>
      </c>
      <c r="T200" s="41" cm="1">
        <f t="array" ref="T200">INDEX(Curva_Temp[Warranted Power Curve for 
1.194Kg/m3 air density '[kW']
SG 5.0-145 (AM+1, 5.2MW) AT 
90M],MATCH(TBL_CalcDarwin[[#This Row],[Darwin Temp.
°C]],Curva_Temp[Temp])+1)</f>
        <v>5000</v>
      </c>
      <c r="U20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20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20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200" s="41">
        <f>INDEX(Curva_Temp[Temp],MATCH(TBL_CalcDarwin[[#This Row],[Darwin Temp.
°C]],Curva_Temp[Temp]))</f>
        <v>15</v>
      </c>
      <c r="Z200" s="41">
        <f>INDEX(Curva_Temp[Warranted Power Curve for 
1.194Kg/m3 air density '[kW']
SG 5.0-145 (AM 0, 5.0MW) AT 
90M],MATCH(TBL_CalcDarwin[[#This Row],[Darwin Temp.
°C]],Curva_Temp[Temp]))</f>
        <v>5000</v>
      </c>
      <c r="AA200" s="41" cm="1">
        <f t="array" ref="AA200">INDEX(Curva_Temp[Temp],MATCH(TBL_CalcDarwin[[#This Row],[Darwin Temp.
°C]],Curva_Temp[Temp])+1)</f>
        <v>20</v>
      </c>
      <c r="AB200" s="41" cm="1">
        <f t="array" ref="AB200">INDEX(Curva_Temp[Warranted Power Curve for 
1.194Kg/m3 air density '[kW']
SG 5.0-145 (AM 0, 5.0MW) AT 
90M],MATCH(TBL_CalcDarwin[[#This Row],[Darwin Temp.
°C]],Curva_Temp[Temp])+1)</f>
        <v>5000</v>
      </c>
      <c r="AC200" s="45">
        <f>HLOOKUP(TBL_CalcDarwin[[#This Row],[Fecha]],'Plantilla AEG ES'!$E$1:$HX$13,2,FALSE)</f>
        <v>5</v>
      </c>
      <c r="AD200" s="45">
        <f>HLOOKUP(TBL_CalcDarwin[[#This Row],[Fecha]],'Plantilla AEG ES'!$E$1:$HX$13,3,FALSE)</f>
        <v>7</v>
      </c>
      <c r="AE200" s="45">
        <f>HLOOKUP(TBL_CalcDarwin[[#This Row],[Fecha]],'Plantilla AEG ES'!$E$1:$HX$13,4,FALSE)</f>
        <v>11</v>
      </c>
      <c r="AF200" s="45">
        <f>HLOOKUP(TBL_CalcDarwin[[#This Row],[Fecha]],'Plantilla AEG ES'!$E$1:$HX$13,5,FALSE)</f>
        <v>1</v>
      </c>
      <c r="AG200" s="45">
        <f>HLOOKUP(TBL_CalcDarwin[[#This Row],[Fecha]],'Plantilla AEG ES'!$E$1:$HX$13,6,FALSE)</f>
        <v>1</v>
      </c>
      <c r="AH200" s="45">
        <f>HLOOKUP(TBL_CalcDarwin[[#This Row],[Fecha]],'Plantilla AEG ES'!$E$1:$HX$13,7,FALSE)</f>
        <v>0</v>
      </c>
      <c r="AI200" s="46">
        <f>HLOOKUP(TBL_CalcDarwin[[#This Row],[Fecha]],'Plantilla AEG ES'!$E$1:$HX$13,8,FALSE)</f>
        <v>0</v>
      </c>
      <c r="AJ200" s="46">
        <f>HLOOKUP(TBL_CalcDarwin[[#This Row],[Fecha]],'Plantilla AEG ES'!$E$1:$HX$13,9,FALSE)</f>
        <v>3</v>
      </c>
      <c r="AK200" s="46">
        <f>HLOOKUP(TBL_CalcDarwin[[#This Row],[Fecha]],'Plantilla AEG ES'!$E$1:$HX$13,10,FALSE)</f>
        <v>12</v>
      </c>
      <c r="AL200" s="46">
        <f>HLOOKUP(TBL_CalcDarwin[[#This Row],[Fecha]],'Plantilla AEG ES'!$E$1:$HX$13,11,FALSE)</f>
        <v>1</v>
      </c>
      <c r="AM200" s="46">
        <f>HLOOKUP(TBL_CalcDarwin[[#This Row],[Fecha]],'Plantilla AEG ES'!$E$1:$HX$13,12,FALSE)</f>
        <v>7</v>
      </c>
      <c r="AN200" s="46">
        <f>HLOOKUP(TBL_CalcDarwin[[#This Row],[Fecha]],'Plantilla AEG ES'!$E$1:$HX$13,13,FALSE)</f>
        <v>1</v>
      </c>
      <c r="AO200" s="37">
        <f>TBL_CalcDarwin[[#This Row],[Lomitas - Barra A - 5.2 - Cerro]]+TBL_CalcDarwin[[#This Row],[Lomitas - Barra A - 5.2 - Medio]]+TBL_CalcDarwin[[#This Row],[Lomitas - Barra A - 5.2 - Mar]]</f>
        <v>23</v>
      </c>
      <c r="AP20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21.876000000000001</v>
      </c>
      <c r="AR20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200" s="37">
        <f>TBL_CalcDarwin[[#This Row],[Expansión - Barra A - 5.2 - Cerro]]+TBL_CalcDarwin[[#This Row],[Expansión - Barra A - 5.2 - Medio]]+TBL_CalcDarwin[[#This Row],[Expansión - Barra A - 5.2 - Mar]]</f>
        <v>2</v>
      </c>
      <c r="AT200" s="37">
        <f>TBL_CalcDarwin[[#This Row],[Expansión - Barra B - 5.2 - Cerro]]</f>
        <v>1</v>
      </c>
      <c r="AU20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200" s="29">
        <f>TBL_CalcDarwin[[#This Row],[Expansión - Barra B - 5.2 - Cerro]]*TBL_CalcDarwin[[#This Row],[AEG 5.2 MW Cerro]]</f>
        <v>0.54700000000000004</v>
      </c>
      <c r="AZ200" s="18"/>
      <c r="BA200" s="18"/>
      <c r="BB200" s="18"/>
      <c r="BC200" s="18"/>
      <c r="BD200" s="18"/>
      <c r="BE200" s="18"/>
      <c r="BF200" s="18"/>
    </row>
    <row r="201" spans="2:58" ht="12" x14ac:dyDescent="0.2">
      <c r="B201" s="55">
        <f t="shared" si="19"/>
        <v>45621.291666666191</v>
      </c>
      <c r="C201" s="17">
        <f t="shared" si="20"/>
        <v>8.2916666666666838</v>
      </c>
      <c r="D201" s="34">
        <f>TBL_CalcDarwin[[#This Row],[Darwin PLOM
MW]]+TBL_CalcDarwin[[#This Row],[Darwin PLOME
MW]]</f>
        <v>49.213000000000001</v>
      </c>
      <c r="E201" s="34">
        <f>TBL_CalcDarwin[[#This Row],[PLOM MW TOTAL BARRA A]]+TBL_CalcDarwin[[#This Row],[PLOM MW TOTAL BARRA B]]</f>
        <v>47.704000000000001</v>
      </c>
      <c r="F201" s="34">
        <f>TBL_CalcDarwin[[#This Row],[PLOME MW TOTAL BARRA A]]+TBL_CalcDarwin[[#This Row],[PLOME MW TOTAL BARRA B]]</f>
        <v>1.5089999999999999</v>
      </c>
      <c r="G201" s="48">
        <f>'Plantilla Datos'!D206</f>
        <v>4.8</v>
      </c>
      <c r="H201" s="48">
        <f>'Plantilla Datos'!E206</f>
        <v>6.1</v>
      </c>
      <c r="I201" s="49">
        <f>'Plantilla Datos'!F206</f>
        <v>18.399999999999999</v>
      </c>
      <c r="J201" s="47">
        <f>CEILING('Plantilla Datos'!$L$3*TBL_CalcDarwin[[#This Row],[Darwin Gusts
m/s]],0.5)</f>
        <v>4.5</v>
      </c>
      <c r="K201" s="47">
        <f>CEILING('Plantilla Datos'!$L$4*TBL_CalcDarwin[[#This Row],[Darwin Gusts
m/s]],0.5)</f>
        <v>5.5</v>
      </c>
      <c r="L201" s="47">
        <f>CEILING(TBL_CalcDarwin[[#This Row],[Darwin Gusts
m/s]],0.5)</f>
        <v>6.5</v>
      </c>
      <c r="M20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5.0640000000000001</v>
      </c>
      <c r="N20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20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20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201" s="41">
        <f>INDEX(Curva_Temp[Temp],MATCH(TBL_CalcDarwin[[#This Row],[Darwin Temp.
°C]],Curva_Temp[Temp]))</f>
        <v>15</v>
      </c>
      <c r="R201" s="41">
        <f>INDEX(Curva_Temp[Warranted Power Curve for 
1.194Kg/m3 air density '[kW']
SG 5.0-145 (AM+1, 5.2MW) AT 
90M],MATCH(TBL_CalcDarwin[[#This Row],[Darwin Temp.
°C]],Curva_Temp[Temp]))</f>
        <v>5200</v>
      </c>
      <c r="S201" s="41" cm="1">
        <f t="array" ref="S201">INDEX(Curva_Temp[Temp],MATCH(TBL_CalcDarwin[[#This Row],[Darwin Temp.
°C]],Curva_Temp[Temp])+1)</f>
        <v>20</v>
      </c>
      <c r="T201" s="41" cm="1">
        <f t="array" ref="T201">INDEX(Curva_Temp[Warranted Power Curve for 
1.194Kg/m3 air density '[kW']
SG 5.0-145 (AM+1, 5.2MW) AT 
90M],MATCH(TBL_CalcDarwin[[#This Row],[Darwin Temp.
°C]],Curva_Temp[Temp])+1)</f>
        <v>5000</v>
      </c>
      <c r="U20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20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20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201" s="41">
        <f>INDEX(Curva_Temp[Temp],MATCH(TBL_CalcDarwin[[#This Row],[Darwin Temp.
°C]],Curva_Temp[Temp]))</f>
        <v>15</v>
      </c>
      <c r="Z201" s="41">
        <f>INDEX(Curva_Temp[Warranted Power Curve for 
1.194Kg/m3 air density '[kW']
SG 5.0-145 (AM 0, 5.0MW) AT 
90M],MATCH(TBL_CalcDarwin[[#This Row],[Darwin Temp.
°C]],Curva_Temp[Temp]))</f>
        <v>5000</v>
      </c>
      <c r="AA201" s="41" cm="1">
        <f t="array" ref="AA201">INDEX(Curva_Temp[Temp],MATCH(TBL_CalcDarwin[[#This Row],[Darwin Temp.
°C]],Curva_Temp[Temp])+1)</f>
        <v>20</v>
      </c>
      <c r="AB201" s="41" cm="1">
        <f t="array" ref="AB201">INDEX(Curva_Temp[Warranted Power Curve for 
1.194Kg/m3 air density '[kW']
SG 5.0-145 (AM 0, 5.0MW) AT 
90M],MATCH(TBL_CalcDarwin[[#This Row],[Darwin Temp.
°C]],Curva_Temp[Temp])+1)</f>
        <v>5000</v>
      </c>
      <c r="AC201" s="45">
        <f>HLOOKUP(TBL_CalcDarwin[[#This Row],[Fecha]],'Plantilla AEG ES'!$E$1:$HX$13,2,FALSE)</f>
        <v>5</v>
      </c>
      <c r="AD201" s="45">
        <f>HLOOKUP(TBL_CalcDarwin[[#This Row],[Fecha]],'Plantilla AEG ES'!$E$1:$HX$13,3,FALSE)</f>
        <v>7</v>
      </c>
      <c r="AE201" s="45">
        <f>HLOOKUP(TBL_CalcDarwin[[#This Row],[Fecha]],'Plantilla AEG ES'!$E$1:$HX$13,4,FALSE)</f>
        <v>11</v>
      </c>
      <c r="AF201" s="45">
        <f>HLOOKUP(TBL_CalcDarwin[[#This Row],[Fecha]],'Plantilla AEG ES'!$E$1:$HX$13,5,FALSE)</f>
        <v>1</v>
      </c>
      <c r="AG201" s="45">
        <f>HLOOKUP(TBL_CalcDarwin[[#This Row],[Fecha]],'Plantilla AEG ES'!$E$1:$HX$13,6,FALSE)</f>
        <v>1</v>
      </c>
      <c r="AH201" s="45">
        <f>HLOOKUP(TBL_CalcDarwin[[#This Row],[Fecha]],'Plantilla AEG ES'!$E$1:$HX$13,7,FALSE)</f>
        <v>0</v>
      </c>
      <c r="AI201" s="46">
        <f>HLOOKUP(TBL_CalcDarwin[[#This Row],[Fecha]],'Plantilla AEG ES'!$E$1:$HX$13,8,FALSE)</f>
        <v>0</v>
      </c>
      <c r="AJ201" s="46">
        <f>HLOOKUP(TBL_CalcDarwin[[#This Row],[Fecha]],'Plantilla AEG ES'!$E$1:$HX$13,9,FALSE)</f>
        <v>3</v>
      </c>
      <c r="AK201" s="46">
        <f>HLOOKUP(TBL_CalcDarwin[[#This Row],[Fecha]],'Plantilla AEG ES'!$E$1:$HX$13,10,FALSE)</f>
        <v>12</v>
      </c>
      <c r="AL201" s="46">
        <f>HLOOKUP(TBL_CalcDarwin[[#This Row],[Fecha]],'Plantilla AEG ES'!$E$1:$HX$13,11,FALSE)</f>
        <v>1</v>
      </c>
      <c r="AM201" s="46">
        <f>HLOOKUP(TBL_CalcDarwin[[#This Row],[Fecha]],'Plantilla AEG ES'!$E$1:$HX$13,12,FALSE)</f>
        <v>7</v>
      </c>
      <c r="AN201" s="46">
        <f>HLOOKUP(TBL_CalcDarwin[[#This Row],[Fecha]],'Plantilla AEG ES'!$E$1:$HX$13,13,FALSE)</f>
        <v>1</v>
      </c>
      <c r="AO201" s="37">
        <f>TBL_CalcDarwin[[#This Row],[Lomitas - Barra A - 5.2 - Cerro]]+TBL_CalcDarwin[[#This Row],[Lomitas - Barra A - 5.2 - Medio]]+TBL_CalcDarwin[[#This Row],[Lomitas - Barra A - 5.2 - Mar]]</f>
        <v>23</v>
      </c>
      <c r="AP20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21.051000000000002</v>
      </c>
      <c r="AR20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201" s="37">
        <f>TBL_CalcDarwin[[#This Row],[Expansión - Barra A - 5.2 - Cerro]]+TBL_CalcDarwin[[#This Row],[Expansión - Barra A - 5.2 - Medio]]+TBL_CalcDarwin[[#This Row],[Expansión - Barra A - 5.2 - Mar]]</f>
        <v>2</v>
      </c>
      <c r="AT201" s="37">
        <f>TBL_CalcDarwin[[#This Row],[Expansión - Barra B - 5.2 - Cerro]]</f>
        <v>1</v>
      </c>
      <c r="AU20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201" s="29">
        <f>TBL_CalcDarwin[[#This Row],[Expansión - Barra B - 5.2 - Cerro]]*TBL_CalcDarwin[[#This Row],[AEG 5.2 MW Cerro]]</f>
        <v>0.38200000000000001</v>
      </c>
      <c r="AZ201" s="18"/>
      <c r="BA201" s="18"/>
      <c r="BB201" s="18"/>
      <c r="BC201" s="18"/>
      <c r="BD201" s="18"/>
      <c r="BE201" s="18"/>
      <c r="BF201" s="18"/>
    </row>
    <row r="202" spans="2:58" ht="12" x14ac:dyDescent="0.2">
      <c r="B202" s="55">
        <f t="shared" si="19"/>
        <v>45621.333333332856</v>
      </c>
      <c r="C202" s="17">
        <f t="shared" si="20"/>
        <v>8.3333333333333499</v>
      </c>
      <c r="D202" s="34">
        <f>TBL_CalcDarwin[[#This Row],[Darwin PLOM
MW]]+TBL_CalcDarwin[[#This Row],[Darwin PLOME
MW]]</f>
        <v>63.076999999999998</v>
      </c>
      <c r="E202" s="34">
        <f>TBL_CalcDarwin[[#This Row],[PLOM MW TOTAL BARRA A]]+TBL_CalcDarwin[[#This Row],[PLOM MW TOTAL BARRA B]]</f>
        <v>61</v>
      </c>
      <c r="F202" s="34">
        <f>TBL_CalcDarwin[[#This Row],[PLOME MW TOTAL BARRA A]]+TBL_CalcDarwin[[#This Row],[PLOME MW TOTAL BARRA B]]</f>
        <v>2.077</v>
      </c>
      <c r="G202" s="48">
        <f>'Plantilla Datos'!D207</f>
        <v>5.4</v>
      </c>
      <c r="H202" s="48">
        <f>'Plantilla Datos'!E207</f>
        <v>6.9</v>
      </c>
      <c r="I202" s="49">
        <f>'Plantilla Datos'!F207</f>
        <v>18.8</v>
      </c>
      <c r="J202" s="47">
        <f>CEILING('Plantilla Datos'!$L$3*TBL_CalcDarwin[[#This Row],[Darwin Gusts
m/s]],0.5)</f>
        <v>5</v>
      </c>
      <c r="K202" s="47">
        <f>CEILING('Plantilla Datos'!$L$4*TBL_CalcDarwin[[#This Row],[Darwin Gusts
m/s]],0.5)</f>
        <v>6</v>
      </c>
      <c r="L202" s="47">
        <f>CEILING(TBL_CalcDarwin[[#This Row],[Darwin Gusts
m/s]],0.5)</f>
        <v>7</v>
      </c>
      <c r="M20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5.048</v>
      </c>
      <c r="N20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20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20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202" s="41">
        <f>INDEX(Curva_Temp[Temp],MATCH(TBL_CalcDarwin[[#This Row],[Darwin Temp.
°C]],Curva_Temp[Temp]))</f>
        <v>15</v>
      </c>
      <c r="R202" s="41">
        <f>INDEX(Curva_Temp[Warranted Power Curve for 
1.194Kg/m3 air density '[kW']
SG 5.0-145 (AM+1, 5.2MW) AT 
90M],MATCH(TBL_CalcDarwin[[#This Row],[Darwin Temp.
°C]],Curva_Temp[Temp]))</f>
        <v>5200</v>
      </c>
      <c r="S202" s="41" cm="1">
        <f t="array" ref="S202">INDEX(Curva_Temp[Temp],MATCH(TBL_CalcDarwin[[#This Row],[Darwin Temp.
°C]],Curva_Temp[Temp])+1)</f>
        <v>20</v>
      </c>
      <c r="T202" s="41" cm="1">
        <f t="array" ref="T202">INDEX(Curva_Temp[Warranted Power Curve for 
1.194Kg/m3 air density '[kW']
SG 5.0-145 (AM+1, 5.2MW) AT 
90M],MATCH(TBL_CalcDarwin[[#This Row],[Darwin Temp.
°C]],Curva_Temp[Temp])+1)</f>
        <v>5000</v>
      </c>
      <c r="U20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20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20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202" s="41">
        <f>INDEX(Curva_Temp[Temp],MATCH(TBL_CalcDarwin[[#This Row],[Darwin Temp.
°C]],Curva_Temp[Temp]))</f>
        <v>15</v>
      </c>
      <c r="Z202" s="41">
        <f>INDEX(Curva_Temp[Warranted Power Curve for 
1.194Kg/m3 air density '[kW']
SG 5.0-145 (AM 0, 5.0MW) AT 
90M],MATCH(TBL_CalcDarwin[[#This Row],[Darwin Temp.
°C]],Curva_Temp[Temp]))</f>
        <v>5000</v>
      </c>
      <c r="AA202" s="41" cm="1">
        <f t="array" ref="AA202">INDEX(Curva_Temp[Temp],MATCH(TBL_CalcDarwin[[#This Row],[Darwin Temp.
°C]],Curva_Temp[Temp])+1)</f>
        <v>20</v>
      </c>
      <c r="AB202" s="41" cm="1">
        <f t="array" ref="AB202">INDEX(Curva_Temp[Warranted Power Curve for 
1.194Kg/m3 air density '[kW']
SG 5.0-145 (AM 0, 5.0MW) AT 
90M],MATCH(TBL_CalcDarwin[[#This Row],[Darwin Temp.
°C]],Curva_Temp[Temp])+1)</f>
        <v>5000</v>
      </c>
      <c r="AC202" s="45">
        <f>HLOOKUP(TBL_CalcDarwin[[#This Row],[Fecha]],'Plantilla AEG ES'!$E$1:$HX$13,2,FALSE)</f>
        <v>5</v>
      </c>
      <c r="AD202" s="45">
        <f>HLOOKUP(TBL_CalcDarwin[[#This Row],[Fecha]],'Plantilla AEG ES'!$E$1:$HX$13,3,FALSE)</f>
        <v>7</v>
      </c>
      <c r="AE202" s="45">
        <f>HLOOKUP(TBL_CalcDarwin[[#This Row],[Fecha]],'Plantilla AEG ES'!$E$1:$HX$13,4,FALSE)</f>
        <v>11</v>
      </c>
      <c r="AF202" s="45">
        <f>HLOOKUP(TBL_CalcDarwin[[#This Row],[Fecha]],'Plantilla AEG ES'!$E$1:$HX$13,5,FALSE)</f>
        <v>1</v>
      </c>
      <c r="AG202" s="45">
        <f>HLOOKUP(TBL_CalcDarwin[[#This Row],[Fecha]],'Plantilla AEG ES'!$E$1:$HX$13,6,FALSE)</f>
        <v>1</v>
      </c>
      <c r="AH202" s="45">
        <f>HLOOKUP(TBL_CalcDarwin[[#This Row],[Fecha]],'Plantilla AEG ES'!$E$1:$HX$13,7,FALSE)</f>
        <v>0</v>
      </c>
      <c r="AI202" s="46">
        <f>HLOOKUP(TBL_CalcDarwin[[#This Row],[Fecha]],'Plantilla AEG ES'!$E$1:$HX$13,8,FALSE)</f>
        <v>0</v>
      </c>
      <c r="AJ202" s="46">
        <f>HLOOKUP(TBL_CalcDarwin[[#This Row],[Fecha]],'Plantilla AEG ES'!$E$1:$HX$13,9,FALSE)</f>
        <v>3</v>
      </c>
      <c r="AK202" s="46">
        <f>HLOOKUP(TBL_CalcDarwin[[#This Row],[Fecha]],'Plantilla AEG ES'!$E$1:$HX$13,10,FALSE)</f>
        <v>12</v>
      </c>
      <c r="AL202" s="46">
        <f>HLOOKUP(TBL_CalcDarwin[[#This Row],[Fecha]],'Plantilla AEG ES'!$E$1:$HX$13,11,FALSE)</f>
        <v>1</v>
      </c>
      <c r="AM202" s="46">
        <f>HLOOKUP(TBL_CalcDarwin[[#This Row],[Fecha]],'Plantilla AEG ES'!$E$1:$HX$13,12,FALSE)</f>
        <v>7</v>
      </c>
      <c r="AN202" s="46">
        <f>HLOOKUP(TBL_CalcDarwin[[#This Row],[Fecha]],'Plantilla AEG ES'!$E$1:$HX$13,13,FALSE)</f>
        <v>1</v>
      </c>
      <c r="AO202" s="37">
        <f>TBL_CalcDarwin[[#This Row],[Lomitas - Barra A - 5.2 - Cerro]]+TBL_CalcDarwin[[#This Row],[Lomitas - Barra A - 5.2 - Medio]]+TBL_CalcDarwin[[#This Row],[Lomitas - Barra A - 5.2 - Mar]]</f>
        <v>23</v>
      </c>
      <c r="AP20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20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202" s="37">
        <f>TBL_CalcDarwin[[#This Row],[Expansión - Barra A - 5.2 - Cerro]]+TBL_CalcDarwin[[#This Row],[Expansión - Barra A - 5.2 - Medio]]+TBL_CalcDarwin[[#This Row],[Expansión - Barra A - 5.2 - Mar]]</f>
        <v>2</v>
      </c>
      <c r="AT202" s="37">
        <f>TBL_CalcDarwin[[#This Row],[Expansión - Barra B - 5.2 - Cerro]]</f>
        <v>1</v>
      </c>
      <c r="AU20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202" s="29">
        <f>TBL_CalcDarwin[[#This Row],[Expansión - Barra B - 5.2 - Cerro]]*TBL_CalcDarwin[[#This Row],[AEG 5.2 MW Cerro]]</f>
        <v>0.54700000000000004</v>
      </c>
      <c r="AZ202" s="18"/>
      <c r="BA202" s="18"/>
      <c r="BB202" s="18"/>
      <c r="BC202" s="18"/>
      <c r="BD202" s="18"/>
      <c r="BE202" s="18"/>
      <c r="BF202" s="18"/>
    </row>
    <row r="203" spans="2:58" ht="12" x14ac:dyDescent="0.2">
      <c r="B203" s="55">
        <f t="shared" si="19"/>
        <v>45621.37499999952</v>
      </c>
      <c r="C203" s="17">
        <f t="shared" si="20"/>
        <v>8.375000000000016</v>
      </c>
      <c r="D203" s="34">
        <f>TBL_CalcDarwin[[#This Row],[Darwin PLOM
MW]]+TBL_CalcDarwin[[#This Row],[Darwin PLOME
MW]]</f>
        <v>97.623000000000005</v>
      </c>
      <c r="E203" s="34">
        <f>TBL_CalcDarwin[[#This Row],[PLOM MW TOTAL BARRA A]]+TBL_CalcDarwin[[#This Row],[PLOM MW TOTAL BARRA B]]</f>
        <v>94.06</v>
      </c>
      <c r="F203" s="34">
        <f>TBL_CalcDarwin[[#This Row],[PLOME MW TOTAL BARRA A]]+TBL_CalcDarwin[[#This Row],[PLOME MW TOTAL BARRA B]]</f>
        <v>3.5630000000000002</v>
      </c>
      <c r="G203" s="48">
        <f>'Plantilla Datos'!D208</f>
        <v>6</v>
      </c>
      <c r="H203" s="48">
        <f>'Plantilla Datos'!E208</f>
        <v>7.7</v>
      </c>
      <c r="I203" s="49">
        <f>'Plantilla Datos'!F208</f>
        <v>19.2</v>
      </c>
      <c r="J203" s="47">
        <f>CEILING('Plantilla Datos'!$L$3*TBL_CalcDarwin[[#This Row],[Darwin Gusts
m/s]],0.5)</f>
        <v>6</v>
      </c>
      <c r="K203" s="47">
        <f>CEILING('Plantilla Datos'!$L$4*TBL_CalcDarwin[[#This Row],[Darwin Gusts
m/s]],0.5)</f>
        <v>7</v>
      </c>
      <c r="L203" s="47">
        <f>CEILING(TBL_CalcDarwin[[#This Row],[Darwin Gusts
m/s]],0.5)</f>
        <v>8</v>
      </c>
      <c r="M20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5.032</v>
      </c>
      <c r="N20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20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20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203" s="41">
        <f>INDEX(Curva_Temp[Temp],MATCH(TBL_CalcDarwin[[#This Row],[Darwin Temp.
°C]],Curva_Temp[Temp]))</f>
        <v>15</v>
      </c>
      <c r="R203" s="41">
        <f>INDEX(Curva_Temp[Warranted Power Curve for 
1.194Kg/m3 air density '[kW']
SG 5.0-145 (AM+1, 5.2MW) AT 
90M],MATCH(TBL_CalcDarwin[[#This Row],[Darwin Temp.
°C]],Curva_Temp[Temp]))</f>
        <v>5200</v>
      </c>
      <c r="S203" s="41" cm="1">
        <f t="array" ref="S203">INDEX(Curva_Temp[Temp],MATCH(TBL_CalcDarwin[[#This Row],[Darwin Temp.
°C]],Curva_Temp[Temp])+1)</f>
        <v>20</v>
      </c>
      <c r="T203" s="41" cm="1">
        <f t="array" ref="T203">INDEX(Curva_Temp[Warranted Power Curve for 
1.194Kg/m3 air density '[kW']
SG 5.0-145 (AM+1, 5.2MW) AT 
90M],MATCH(TBL_CalcDarwin[[#This Row],[Darwin Temp.
°C]],Curva_Temp[Temp])+1)</f>
        <v>5000</v>
      </c>
      <c r="U20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20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20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203" s="41">
        <f>INDEX(Curva_Temp[Temp],MATCH(TBL_CalcDarwin[[#This Row],[Darwin Temp.
°C]],Curva_Temp[Temp]))</f>
        <v>15</v>
      </c>
      <c r="Z203" s="41">
        <f>INDEX(Curva_Temp[Warranted Power Curve for 
1.194Kg/m3 air density '[kW']
SG 5.0-145 (AM 0, 5.0MW) AT 
90M],MATCH(TBL_CalcDarwin[[#This Row],[Darwin Temp.
°C]],Curva_Temp[Temp]))</f>
        <v>5000</v>
      </c>
      <c r="AA203" s="41" cm="1">
        <f t="array" ref="AA203">INDEX(Curva_Temp[Temp],MATCH(TBL_CalcDarwin[[#This Row],[Darwin Temp.
°C]],Curva_Temp[Temp])+1)</f>
        <v>20</v>
      </c>
      <c r="AB203" s="41" cm="1">
        <f t="array" ref="AB203">INDEX(Curva_Temp[Warranted Power Curve for 
1.194Kg/m3 air density '[kW']
SG 5.0-145 (AM 0, 5.0MW) AT 
90M],MATCH(TBL_CalcDarwin[[#This Row],[Darwin Temp.
°C]],Curva_Temp[Temp])+1)</f>
        <v>5000</v>
      </c>
      <c r="AC203" s="45">
        <f>HLOOKUP(TBL_CalcDarwin[[#This Row],[Fecha]],'Plantilla AEG ES'!$E$1:$HX$13,2,FALSE)</f>
        <v>5</v>
      </c>
      <c r="AD203" s="45">
        <f>HLOOKUP(TBL_CalcDarwin[[#This Row],[Fecha]],'Plantilla AEG ES'!$E$1:$HX$13,3,FALSE)</f>
        <v>7</v>
      </c>
      <c r="AE203" s="45">
        <f>HLOOKUP(TBL_CalcDarwin[[#This Row],[Fecha]],'Plantilla AEG ES'!$E$1:$HX$13,4,FALSE)</f>
        <v>11</v>
      </c>
      <c r="AF203" s="45">
        <f>HLOOKUP(TBL_CalcDarwin[[#This Row],[Fecha]],'Plantilla AEG ES'!$E$1:$HX$13,5,FALSE)</f>
        <v>1</v>
      </c>
      <c r="AG203" s="45">
        <f>HLOOKUP(TBL_CalcDarwin[[#This Row],[Fecha]],'Plantilla AEG ES'!$E$1:$HX$13,6,FALSE)</f>
        <v>1</v>
      </c>
      <c r="AH203" s="45">
        <f>HLOOKUP(TBL_CalcDarwin[[#This Row],[Fecha]],'Plantilla AEG ES'!$E$1:$HX$13,7,FALSE)</f>
        <v>0</v>
      </c>
      <c r="AI203" s="46">
        <f>HLOOKUP(TBL_CalcDarwin[[#This Row],[Fecha]],'Plantilla AEG ES'!$E$1:$HX$13,8,FALSE)</f>
        <v>0</v>
      </c>
      <c r="AJ203" s="46">
        <f>HLOOKUP(TBL_CalcDarwin[[#This Row],[Fecha]],'Plantilla AEG ES'!$E$1:$HX$13,9,FALSE)</f>
        <v>3</v>
      </c>
      <c r="AK203" s="46">
        <f>HLOOKUP(TBL_CalcDarwin[[#This Row],[Fecha]],'Plantilla AEG ES'!$E$1:$HX$13,10,FALSE)</f>
        <v>12</v>
      </c>
      <c r="AL203" s="46">
        <f>HLOOKUP(TBL_CalcDarwin[[#This Row],[Fecha]],'Plantilla AEG ES'!$E$1:$HX$13,11,FALSE)</f>
        <v>1</v>
      </c>
      <c r="AM203" s="46">
        <f>HLOOKUP(TBL_CalcDarwin[[#This Row],[Fecha]],'Plantilla AEG ES'!$E$1:$HX$13,12,FALSE)</f>
        <v>7</v>
      </c>
      <c r="AN203" s="46">
        <f>HLOOKUP(TBL_CalcDarwin[[#This Row],[Fecha]],'Plantilla AEG ES'!$E$1:$HX$13,13,FALSE)</f>
        <v>1</v>
      </c>
      <c r="AO203" s="37">
        <f>TBL_CalcDarwin[[#This Row],[Lomitas - Barra A - 5.2 - Cerro]]+TBL_CalcDarwin[[#This Row],[Lomitas - Barra A - 5.2 - Medio]]+TBL_CalcDarwin[[#This Row],[Lomitas - Barra A - 5.2 - Mar]]</f>
        <v>23</v>
      </c>
      <c r="AP20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20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203" s="37">
        <f>TBL_CalcDarwin[[#This Row],[Expansión - Barra A - 5.2 - Cerro]]+TBL_CalcDarwin[[#This Row],[Expansión - Barra A - 5.2 - Medio]]+TBL_CalcDarwin[[#This Row],[Expansión - Barra A - 5.2 - Mar]]</f>
        <v>2</v>
      </c>
      <c r="AT203" s="37">
        <f>TBL_CalcDarwin[[#This Row],[Expansión - Barra B - 5.2 - Cerro]]</f>
        <v>1</v>
      </c>
      <c r="AU20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203" s="29">
        <f>TBL_CalcDarwin[[#This Row],[Expansión - Barra B - 5.2 - Cerro]]*TBL_CalcDarwin[[#This Row],[AEG 5.2 MW Cerro]]</f>
        <v>0.98299999999999998</v>
      </c>
      <c r="AZ203" s="18"/>
      <c r="BA203" s="18"/>
      <c r="BB203" s="18"/>
      <c r="BC203" s="18"/>
      <c r="BD203" s="18"/>
      <c r="BE203" s="18"/>
      <c r="BF203" s="18"/>
    </row>
    <row r="204" spans="2:58" ht="12" x14ac:dyDescent="0.2">
      <c r="B204" s="55">
        <f t="shared" si="19"/>
        <v>45621.416666666184</v>
      </c>
      <c r="C204" s="17">
        <f t="shared" si="20"/>
        <v>8.4166666666666821</v>
      </c>
      <c r="D204" s="34">
        <f>TBL_CalcDarwin[[#This Row],[Darwin PLOM
MW]]+TBL_CalcDarwin[[#This Row],[Darwin PLOME
MW]]</f>
        <v>118.092</v>
      </c>
      <c r="E204" s="34">
        <f>TBL_CalcDarwin[[#This Row],[PLOM MW TOTAL BARRA A]]+TBL_CalcDarwin[[#This Row],[PLOM MW TOTAL BARRA B]]</f>
        <v>113.58199999999999</v>
      </c>
      <c r="F204" s="34">
        <f>TBL_CalcDarwin[[#This Row],[PLOME MW TOTAL BARRA A]]+TBL_CalcDarwin[[#This Row],[PLOME MW TOTAL BARRA B]]</f>
        <v>4.51</v>
      </c>
      <c r="G204" s="48">
        <f>'Plantilla Datos'!D209</f>
        <v>6.7</v>
      </c>
      <c r="H204" s="48">
        <f>'Plantilla Datos'!E209</f>
        <v>8.4</v>
      </c>
      <c r="I204" s="49">
        <f>'Plantilla Datos'!F209</f>
        <v>19.600000000000001</v>
      </c>
      <c r="J204" s="47">
        <f>CEILING('Plantilla Datos'!$L$3*TBL_CalcDarwin[[#This Row],[Darwin Gusts
m/s]],0.5)</f>
        <v>6.5</v>
      </c>
      <c r="K204" s="47">
        <f>CEILING('Plantilla Datos'!$L$4*TBL_CalcDarwin[[#This Row],[Darwin Gusts
m/s]],0.5)</f>
        <v>7.5</v>
      </c>
      <c r="L204" s="47">
        <f>CEILING(TBL_CalcDarwin[[#This Row],[Darwin Gusts
m/s]],0.5)</f>
        <v>8.5</v>
      </c>
      <c r="M20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5.016</v>
      </c>
      <c r="N20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20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20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204" s="41">
        <f>INDEX(Curva_Temp[Temp],MATCH(TBL_CalcDarwin[[#This Row],[Darwin Temp.
°C]],Curva_Temp[Temp]))</f>
        <v>15</v>
      </c>
      <c r="R204" s="41">
        <f>INDEX(Curva_Temp[Warranted Power Curve for 
1.194Kg/m3 air density '[kW']
SG 5.0-145 (AM+1, 5.2MW) AT 
90M],MATCH(TBL_CalcDarwin[[#This Row],[Darwin Temp.
°C]],Curva_Temp[Temp]))</f>
        <v>5200</v>
      </c>
      <c r="S204" s="41" cm="1">
        <f t="array" ref="S204">INDEX(Curva_Temp[Temp],MATCH(TBL_CalcDarwin[[#This Row],[Darwin Temp.
°C]],Curva_Temp[Temp])+1)</f>
        <v>20</v>
      </c>
      <c r="T204" s="41" cm="1">
        <f t="array" ref="T204">INDEX(Curva_Temp[Warranted Power Curve for 
1.194Kg/m3 air density '[kW']
SG 5.0-145 (AM+1, 5.2MW) AT 
90M],MATCH(TBL_CalcDarwin[[#This Row],[Darwin Temp.
°C]],Curva_Temp[Temp])+1)</f>
        <v>5000</v>
      </c>
      <c r="U20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20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20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204" s="41">
        <f>INDEX(Curva_Temp[Temp],MATCH(TBL_CalcDarwin[[#This Row],[Darwin Temp.
°C]],Curva_Temp[Temp]))</f>
        <v>15</v>
      </c>
      <c r="Z204" s="41">
        <f>INDEX(Curva_Temp[Warranted Power Curve for 
1.194Kg/m3 air density '[kW']
SG 5.0-145 (AM 0, 5.0MW) AT 
90M],MATCH(TBL_CalcDarwin[[#This Row],[Darwin Temp.
°C]],Curva_Temp[Temp]))</f>
        <v>5000</v>
      </c>
      <c r="AA204" s="41" cm="1">
        <f t="array" ref="AA204">INDEX(Curva_Temp[Temp],MATCH(TBL_CalcDarwin[[#This Row],[Darwin Temp.
°C]],Curva_Temp[Temp])+1)</f>
        <v>20</v>
      </c>
      <c r="AB204" s="41" cm="1">
        <f t="array" ref="AB204">INDEX(Curva_Temp[Warranted Power Curve for 
1.194Kg/m3 air density '[kW']
SG 5.0-145 (AM 0, 5.0MW) AT 
90M],MATCH(TBL_CalcDarwin[[#This Row],[Darwin Temp.
°C]],Curva_Temp[Temp])+1)</f>
        <v>5000</v>
      </c>
      <c r="AC204" s="45">
        <f>HLOOKUP(TBL_CalcDarwin[[#This Row],[Fecha]],'Plantilla AEG ES'!$E$1:$HX$13,2,FALSE)</f>
        <v>5</v>
      </c>
      <c r="AD204" s="45">
        <f>HLOOKUP(TBL_CalcDarwin[[#This Row],[Fecha]],'Plantilla AEG ES'!$E$1:$HX$13,3,FALSE)</f>
        <v>7</v>
      </c>
      <c r="AE204" s="45">
        <f>HLOOKUP(TBL_CalcDarwin[[#This Row],[Fecha]],'Plantilla AEG ES'!$E$1:$HX$13,4,FALSE)</f>
        <v>11</v>
      </c>
      <c r="AF204" s="45">
        <f>HLOOKUP(TBL_CalcDarwin[[#This Row],[Fecha]],'Plantilla AEG ES'!$E$1:$HX$13,5,FALSE)</f>
        <v>1</v>
      </c>
      <c r="AG204" s="45">
        <f>HLOOKUP(TBL_CalcDarwin[[#This Row],[Fecha]],'Plantilla AEG ES'!$E$1:$HX$13,6,FALSE)</f>
        <v>1</v>
      </c>
      <c r="AH204" s="45">
        <f>HLOOKUP(TBL_CalcDarwin[[#This Row],[Fecha]],'Plantilla AEG ES'!$E$1:$HX$13,7,FALSE)</f>
        <v>0</v>
      </c>
      <c r="AI204" s="46">
        <f>HLOOKUP(TBL_CalcDarwin[[#This Row],[Fecha]],'Plantilla AEG ES'!$E$1:$HX$13,8,FALSE)</f>
        <v>0</v>
      </c>
      <c r="AJ204" s="46">
        <f>HLOOKUP(TBL_CalcDarwin[[#This Row],[Fecha]],'Plantilla AEG ES'!$E$1:$HX$13,9,FALSE)</f>
        <v>3</v>
      </c>
      <c r="AK204" s="46">
        <f>HLOOKUP(TBL_CalcDarwin[[#This Row],[Fecha]],'Plantilla AEG ES'!$E$1:$HX$13,10,FALSE)</f>
        <v>12</v>
      </c>
      <c r="AL204" s="46">
        <f>HLOOKUP(TBL_CalcDarwin[[#This Row],[Fecha]],'Plantilla AEG ES'!$E$1:$HX$13,11,FALSE)</f>
        <v>1</v>
      </c>
      <c r="AM204" s="46">
        <f>HLOOKUP(TBL_CalcDarwin[[#This Row],[Fecha]],'Plantilla AEG ES'!$E$1:$HX$13,12,FALSE)</f>
        <v>7</v>
      </c>
      <c r="AN204" s="46">
        <f>HLOOKUP(TBL_CalcDarwin[[#This Row],[Fecha]],'Plantilla AEG ES'!$E$1:$HX$13,13,FALSE)</f>
        <v>1</v>
      </c>
      <c r="AO204" s="37">
        <f>TBL_CalcDarwin[[#This Row],[Lomitas - Barra A - 5.2 - Cerro]]+TBL_CalcDarwin[[#This Row],[Lomitas - Barra A - 5.2 - Medio]]+TBL_CalcDarwin[[#This Row],[Lomitas - Barra A - 5.2 - Mar]]</f>
        <v>23</v>
      </c>
      <c r="AP20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51.834000000000003</v>
      </c>
      <c r="AR20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204" s="37">
        <f>TBL_CalcDarwin[[#This Row],[Expansión - Barra A - 5.2 - Cerro]]+TBL_CalcDarwin[[#This Row],[Expansión - Barra A - 5.2 - Medio]]+TBL_CalcDarwin[[#This Row],[Expansión - Barra A - 5.2 - Mar]]</f>
        <v>2</v>
      </c>
      <c r="AT204" s="37">
        <f>TBL_CalcDarwin[[#This Row],[Expansión - Barra B - 5.2 - Cerro]]</f>
        <v>1</v>
      </c>
      <c r="AU20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204" s="29">
        <f>TBL_CalcDarwin[[#This Row],[Expansión - Barra B - 5.2 - Cerro]]*TBL_CalcDarwin[[#This Row],[AEG 5.2 MW Cerro]]</f>
        <v>1.266</v>
      </c>
      <c r="AZ204" s="18"/>
      <c r="BA204" s="18"/>
      <c r="BB204" s="18"/>
      <c r="BC204" s="18"/>
      <c r="BD204" s="18"/>
      <c r="BE204" s="18"/>
      <c r="BF204" s="18"/>
    </row>
    <row r="205" spans="2:58" ht="12" x14ac:dyDescent="0.2">
      <c r="B205" s="55">
        <f t="shared" si="19"/>
        <v>45621.458333332848</v>
      </c>
      <c r="C205" s="17">
        <f t="shared" si="20"/>
        <v>8.4583333333333481</v>
      </c>
      <c r="D205" s="34">
        <f>TBL_CalcDarwin[[#This Row],[Darwin PLOM
MW]]+TBL_CalcDarwin[[#This Row],[Darwin PLOME
MW]]</f>
        <v>160.476</v>
      </c>
      <c r="E205" s="34">
        <f>TBL_CalcDarwin[[#This Row],[PLOM MW TOTAL BARRA A]]+TBL_CalcDarwin[[#This Row],[PLOM MW TOTAL BARRA B]]</f>
        <v>154.87299999999999</v>
      </c>
      <c r="F205" s="34">
        <f>TBL_CalcDarwin[[#This Row],[PLOME MW TOTAL BARRA A]]+TBL_CalcDarwin[[#This Row],[PLOME MW TOTAL BARRA B]]</f>
        <v>5.6029999999999998</v>
      </c>
      <c r="G205" s="48">
        <f>'Plantilla Datos'!D210</f>
        <v>7.3</v>
      </c>
      <c r="H205" s="48">
        <f>'Plantilla Datos'!E210</f>
        <v>9.1999999999999993</v>
      </c>
      <c r="I205" s="49">
        <f>'Plantilla Datos'!F210</f>
        <v>20</v>
      </c>
      <c r="J205" s="47">
        <f>CEILING('Plantilla Datos'!$L$3*TBL_CalcDarwin[[#This Row],[Darwin Gusts
m/s]],0.5)</f>
        <v>7</v>
      </c>
      <c r="K205" s="47">
        <f>CEILING('Plantilla Datos'!$L$4*TBL_CalcDarwin[[#This Row],[Darwin Gusts
m/s]],0.5)</f>
        <v>8</v>
      </c>
      <c r="L205" s="47">
        <f>CEILING(TBL_CalcDarwin[[#This Row],[Darwin Gusts
m/s]],0.5)</f>
        <v>9.5</v>
      </c>
      <c r="M20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</v>
      </c>
      <c r="N20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0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20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205" s="41">
        <f>INDEX(Curva_Temp[Temp],MATCH(TBL_CalcDarwin[[#This Row],[Darwin Temp.
°C]],Curva_Temp[Temp]))</f>
        <v>20</v>
      </c>
      <c r="R205" s="41">
        <f>INDEX(Curva_Temp[Warranted Power Curve for 
1.194Kg/m3 air density '[kW']
SG 5.0-145 (AM+1, 5.2MW) AT 
90M],MATCH(TBL_CalcDarwin[[#This Row],[Darwin Temp.
°C]],Curva_Temp[Temp]))</f>
        <v>5000</v>
      </c>
      <c r="S205" s="41" cm="1">
        <f t="array" ref="S205">INDEX(Curva_Temp[Temp],MATCH(TBL_CalcDarwin[[#This Row],[Darwin Temp.
°C]],Curva_Temp[Temp])+1)</f>
        <v>25</v>
      </c>
      <c r="T205" s="41" cm="1">
        <f t="array" ref="T205">INDEX(Curva_Temp[Warranted Power Curve for 
1.194Kg/m3 air density '[kW']
SG 5.0-145 (AM+1, 5.2MW) AT 
90M],MATCH(TBL_CalcDarwin[[#This Row],[Darwin Temp.
°C]],Curva_Temp[Temp])+1)</f>
        <v>4900</v>
      </c>
      <c r="U20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0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20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205" s="41">
        <f>INDEX(Curva_Temp[Temp],MATCH(TBL_CalcDarwin[[#This Row],[Darwin Temp.
°C]],Curva_Temp[Temp]))</f>
        <v>20</v>
      </c>
      <c r="Z205" s="41">
        <f>INDEX(Curva_Temp[Warranted Power Curve for 
1.194Kg/m3 air density '[kW']
SG 5.0-145 (AM 0, 5.0MW) AT 
90M],MATCH(TBL_CalcDarwin[[#This Row],[Darwin Temp.
°C]],Curva_Temp[Temp]))</f>
        <v>5000</v>
      </c>
      <c r="AA205" s="41" cm="1">
        <f t="array" ref="AA205">INDEX(Curva_Temp[Temp],MATCH(TBL_CalcDarwin[[#This Row],[Darwin Temp.
°C]],Curva_Temp[Temp])+1)</f>
        <v>25</v>
      </c>
      <c r="AB205" s="41" cm="1">
        <f t="array" ref="AB205">INDEX(Curva_Temp[Warranted Power Curve for 
1.194Kg/m3 air density '[kW']
SG 5.0-145 (AM 0, 5.0MW) AT 
90M],MATCH(TBL_CalcDarwin[[#This Row],[Darwin Temp.
°C]],Curva_Temp[Temp])+1)</f>
        <v>4900</v>
      </c>
      <c r="AC205" s="45">
        <f>HLOOKUP(TBL_CalcDarwin[[#This Row],[Fecha]],'Plantilla AEG ES'!$E$1:$HX$13,2,FALSE)</f>
        <v>5</v>
      </c>
      <c r="AD205" s="45">
        <f>HLOOKUP(TBL_CalcDarwin[[#This Row],[Fecha]],'Plantilla AEG ES'!$E$1:$HX$13,3,FALSE)</f>
        <v>8</v>
      </c>
      <c r="AE205" s="45">
        <f>HLOOKUP(TBL_CalcDarwin[[#This Row],[Fecha]],'Plantilla AEG ES'!$E$1:$HX$13,4,FALSE)</f>
        <v>12</v>
      </c>
      <c r="AF205" s="45">
        <f>HLOOKUP(TBL_CalcDarwin[[#This Row],[Fecha]],'Plantilla AEG ES'!$E$1:$HX$13,5,FALSE)</f>
        <v>1</v>
      </c>
      <c r="AG205" s="45">
        <f>HLOOKUP(TBL_CalcDarwin[[#This Row],[Fecha]],'Plantilla AEG ES'!$E$1:$HX$13,6,FALSE)</f>
        <v>1</v>
      </c>
      <c r="AH205" s="45">
        <f>HLOOKUP(TBL_CalcDarwin[[#This Row],[Fecha]],'Plantilla AEG ES'!$E$1:$HX$13,7,FALSE)</f>
        <v>0</v>
      </c>
      <c r="AI205" s="46">
        <f>HLOOKUP(TBL_CalcDarwin[[#This Row],[Fecha]],'Plantilla AEG ES'!$E$1:$HX$13,8,FALSE)</f>
        <v>0</v>
      </c>
      <c r="AJ205" s="46">
        <f>HLOOKUP(TBL_CalcDarwin[[#This Row],[Fecha]],'Plantilla AEG ES'!$E$1:$HX$13,9,FALSE)</f>
        <v>3</v>
      </c>
      <c r="AK205" s="46">
        <f>HLOOKUP(TBL_CalcDarwin[[#This Row],[Fecha]],'Plantilla AEG ES'!$E$1:$HX$13,10,FALSE)</f>
        <v>12</v>
      </c>
      <c r="AL205" s="46">
        <f>HLOOKUP(TBL_CalcDarwin[[#This Row],[Fecha]],'Plantilla AEG ES'!$E$1:$HX$13,11,FALSE)</f>
        <v>1</v>
      </c>
      <c r="AM205" s="46">
        <f>HLOOKUP(TBL_CalcDarwin[[#This Row],[Fecha]],'Plantilla AEG ES'!$E$1:$HX$13,12,FALSE)</f>
        <v>7</v>
      </c>
      <c r="AN205" s="46">
        <f>HLOOKUP(TBL_CalcDarwin[[#This Row],[Fecha]],'Plantilla AEG ES'!$E$1:$HX$13,13,FALSE)</f>
        <v>1</v>
      </c>
      <c r="AO205" s="37">
        <f>TBL_CalcDarwin[[#This Row],[Lomitas - Barra A - 5.2 - Cerro]]+TBL_CalcDarwin[[#This Row],[Lomitas - Barra A - 5.2 - Medio]]+TBL_CalcDarwin[[#This Row],[Lomitas - Barra A - 5.2 - Mar]]</f>
        <v>25</v>
      </c>
      <c r="AP20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20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205" s="37">
        <f>TBL_CalcDarwin[[#This Row],[Expansión - Barra A - 5.2 - Cerro]]+TBL_CalcDarwin[[#This Row],[Expansión - Barra A - 5.2 - Medio]]+TBL_CalcDarwin[[#This Row],[Expansión - Barra A - 5.2 - Mar]]</f>
        <v>2</v>
      </c>
      <c r="AT205" s="37">
        <f>TBL_CalcDarwin[[#This Row],[Expansión - Barra B - 5.2 - Cerro]]</f>
        <v>1</v>
      </c>
      <c r="AU20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205" s="29">
        <f>TBL_CalcDarwin[[#This Row],[Expansión - Barra B - 5.2 - Cerro]]*TBL_CalcDarwin[[#This Row],[AEG 5.2 MW Cerro]]</f>
        <v>1.597</v>
      </c>
      <c r="AZ205" s="18"/>
      <c r="BA205" s="18"/>
      <c r="BB205" s="18"/>
      <c r="BC205" s="18"/>
      <c r="BD205" s="18"/>
      <c r="BE205" s="18"/>
      <c r="BF205" s="18"/>
    </row>
    <row r="206" spans="2:58" ht="12" x14ac:dyDescent="0.2">
      <c r="B206" s="55">
        <f t="shared" si="19"/>
        <v>45621.499999999513</v>
      </c>
      <c r="C206" s="17">
        <f t="shared" si="20"/>
        <v>8.5000000000000142</v>
      </c>
      <c r="D206" s="34">
        <f>TBL_CalcDarwin[[#This Row],[Darwin PLOM
MW]]+TBL_CalcDarwin[[#This Row],[Darwin PLOME
MW]]</f>
        <v>188.511</v>
      </c>
      <c r="E206" s="34">
        <f>TBL_CalcDarwin[[#This Row],[PLOM MW TOTAL BARRA A]]+TBL_CalcDarwin[[#This Row],[PLOM MW TOTAL BARRA B]]</f>
        <v>181.18899999999999</v>
      </c>
      <c r="F206" s="34">
        <f>TBL_CalcDarwin[[#This Row],[PLOME MW TOTAL BARRA A]]+TBL_CalcDarwin[[#This Row],[PLOME MW TOTAL BARRA B]]</f>
        <v>7.3220000000000001</v>
      </c>
      <c r="G206" s="48">
        <f>'Plantilla Datos'!D211</f>
        <v>8</v>
      </c>
      <c r="H206" s="48">
        <f>'Plantilla Datos'!E211</f>
        <v>10</v>
      </c>
      <c r="I206" s="49">
        <f>'Plantilla Datos'!F211</f>
        <v>20.3</v>
      </c>
      <c r="J206" s="47">
        <f>CEILING('Plantilla Datos'!$L$3*TBL_CalcDarwin[[#This Row],[Darwin Gusts
m/s]],0.5)</f>
        <v>7.5</v>
      </c>
      <c r="K206" s="47">
        <f>CEILING('Plantilla Datos'!$L$4*TBL_CalcDarwin[[#This Row],[Darwin Gusts
m/s]],0.5)</f>
        <v>9</v>
      </c>
      <c r="L206" s="47">
        <f>CEILING(TBL_CalcDarwin[[#This Row],[Darwin Gusts
m/s]],0.5)</f>
        <v>10</v>
      </c>
      <c r="M20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4.9939999999999998</v>
      </c>
      <c r="N20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20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20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206" s="41">
        <f>INDEX(Curva_Temp[Temp],MATCH(TBL_CalcDarwin[[#This Row],[Darwin Temp.
°C]],Curva_Temp[Temp]))</f>
        <v>20</v>
      </c>
      <c r="R206" s="41">
        <f>INDEX(Curva_Temp[Warranted Power Curve for 
1.194Kg/m3 air density '[kW']
SG 5.0-145 (AM+1, 5.2MW) AT 
90M],MATCH(TBL_CalcDarwin[[#This Row],[Darwin Temp.
°C]],Curva_Temp[Temp]))</f>
        <v>5000</v>
      </c>
      <c r="S206" s="41" cm="1">
        <f t="array" ref="S206">INDEX(Curva_Temp[Temp],MATCH(TBL_CalcDarwin[[#This Row],[Darwin Temp.
°C]],Curva_Temp[Temp])+1)</f>
        <v>25</v>
      </c>
      <c r="T206" s="41" cm="1">
        <f t="array" ref="T206">INDEX(Curva_Temp[Warranted Power Curve for 
1.194Kg/m3 air density '[kW']
SG 5.0-145 (AM+1, 5.2MW) AT 
90M],MATCH(TBL_CalcDarwin[[#This Row],[Darwin Temp.
°C]],Curva_Temp[Temp])+1)</f>
        <v>4900</v>
      </c>
      <c r="U20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4.9939999999999998</v>
      </c>
      <c r="V20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20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20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206" s="41">
        <f>INDEX(Curva_Temp[Temp],MATCH(TBL_CalcDarwin[[#This Row],[Darwin Temp.
°C]],Curva_Temp[Temp]))</f>
        <v>20</v>
      </c>
      <c r="Z206" s="41">
        <f>INDEX(Curva_Temp[Warranted Power Curve for 
1.194Kg/m3 air density '[kW']
SG 5.0-145 (AM 0, 5.0MW) AT 
90M],MATCH(TBL_CalcDarwin[[#This Row],[Darwin Temp.
°C]],Curva_Temp[Temp]))</f>
        <v>5000</v>
      </c>
      <c r="AA206" s="41" cm="1">
        <f t="array" ref="AA206">INDEX(Curva_Temp[Temp],MATCH(TBL_CalcDarwin[[#This Row],[Darwin Temp.
°C]],Curva_Temp[Temp])+1)</f>
        <v>25</v>
      </c>
      <c r="AB206" s="41" cm="1">
        <f t="array" ref="AB206">INDEX(Curva_Temp[Warranted Power Curve for 
1.194Kg/m3 air density '[kW']
SG 5.0-145 (AM 0, 5.0MW) AT 
90M],MATCH(TBL_CalcDarwin[[#This Row],[Darwin Temp.
°C]],Curva_Temp[Temp])+1)</f>
        <v>4900</v>
      </c>
      <c r="AC206" s="45">
        <f>HLOOKUP(TBL_CalcDarwin[[#This Row],[Fecha]],'Plantilla AEG ES'!$E$1:$HX$13,2,FALSE)</f>
        <v>5</v>
      </c>
      <c r="AD206" s="45">
        <f>HLOOKUP(TBL_CalcDarwin[[#This Row],[Fecha]],'Plantilla AEG ES'!$E$1:$HX$13,3,FALSE)</f>
        <v>8</v>
      </c>
      <c r="AE206" s="45">
        <f>HLOOKUP(TBL_CalcDarwin[[#This Row],[Fecha]],'Plantilla AEG ES'!$E$1:$HX$13,4,FALSE)</f>
        <v>12</v>
      </c>
      <c r="AF206" s="45">
        <f>HLOOKUP(TBL_CalcDarwin[[#This Row],[Fecha]],'Plantilla AEG ES'!$E$1:$HX$13,5,FALSE)</f>
        <v>1</v>
      </c>
      <c r="AG206" s="45">
        <f>HLOOKUP(TBL_CalcDarwin[[#This Row],[Fecha]],'Plantilla AEG ES'!$E$1:$HX$13,6,FALSE)</f>
        <v>1</v>
      </c>
      <c r="AH206" s="45">
        <f>HLOOKUP(TBL_CalcDarwin[[#This Row],[Fecha]],'Plantilla AEG ES'!$E$1:$HX$13,7,FALSE)</f>
        <v>0</v>
      </c>
      <c r="AI206" s="46">
        <f>HLOOKUP(TBL_CalcDarwin[[#This Row],[Fecha]],'Plantilla AEG ES'!$E$1:$HX$13,8,FALSE)</f>
        <v>0</v>
      </c>
      <c r="AJ206" s="46">
        <f>HLOOKUP(TBL_CalcDarwin[[#This Row],[Fecha]],'Plantilla AEG ES'!$E$1:$HX$13,9,FALSE)</f>
        <v>3</v>
      </c>
      <c r="AK206" s="46">
        <f>HLOOKUP(TBL_CalcDarwin[[#This Row],[Fecha]],'Plantilla AEG ES'!$E$1:$HX$13,10,FALSE)</f>
        <v>12</v>
      </c>
      <c r="AL206" s="46">
        <f>HLOOKUP(TBL_CalcDarwin[[#This Row],[Fecha]],'Plantilla AEG ES'!$E$1:$HX$13,11,FALSE)</f>
        <v>1</v>
      </c>
      <c r="AM206" s="46">
        <f>HLOOKUP(TBL_CalcDarwin[[#This Row],[Fecha]],'Plantilla AEG ES'!$E$1:$HX$13,12,FALSE)</f>
        <v>7</v>
      </c>
      <c r="AN206" s="46">
        <f>HLOOKUP(TBL_CalcDarwin[[#This Row],[Fecha]],'Plantilla AEG ES'!$E$1:$HX$13,13,FALSE)</f>
        <v>1</v>
      </c>
      <c r="AO206" s="37">
        <f>TBL_CalcDarwin[[#This Row],[Lomitas - Barra A - 5.2 - Cerro]]+TBL_CalcDarwin[[#This Row],[Lomitas - Barra A - 5.2 - Medio]]+TBL_CalcDarwin[[#This Row],[Lomitas - Barra A - 5.2 - Mar]]</f>
        <v>25</v>
      </c>
      <c r="AP20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88.225999999999999</v>
      </c>
      <c r="AR20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92.962999999999994</v>
      </c>
      <c r="AS206" s="37">
        <f>TBL_CalcDarwin[[#This Row],[Expansión - Barra A - 5.2 - Cerro]]+TBL_CalcDarwin[[#This Row],[Expansión - Barra A - 5.2 - Medio]]+TBL_CalcDarwin[[#This Row],[Expansión - Barra A - 5.2 - Mar]]</f>
        <v>2</v>
      </c>
      <c r="AT206" s="37">
        <f>TBL_CalcDarwin[[#This Row],[Expansión - Barra B - 5.2 - Cerro]]</f>
        <v>1</v>
      </c>
      <c r="AU20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206" s="29">
        <f>TBL_CalcDarwin[[#This Row],[Expansión - Barra B - 5.2 - Cerro]]*TBL_CalcDarwin[[#This Row],[AEG 5.2 MW Cerro]]</f>
        <v>1.978</v>
      </c>
      <c r="AZ206" s="18"/>
      <c r="BA206" s="18"/>
      <c r="BB206" s="18"/>
      <c r="BC206" s="18"/>
      <c r="BD206" s="18"/>
      <c r="BE206" s="18"/>
      <c r="BF206" s="18"/>
    </row>
    <row r="207" spans="2:58" ht="12" x14ac:dyDescent="0.2">
      <c r="B207" s="55">
        <f t="shared" si="19"/>
        <v>45621.541666666177</v>
      </c>
      <c r="C207" s="17">
        <f t="shared" si="20"/>
        <v>8.5416666666666803</v>
      </c>
      <c r="D207" s="34">
        <f>TBL_CalcDarwin[[#This Row],[Darwin PLOM
MW]]+TBL_CalcDarwin[[#This Row],[Darwin PLOME
MW]]</f>
        <v>217.79000000000002</v>
      </c>
      <c r="E207" s="34">
        <f>TBL_CalcDarwin[[#This Row],[PLOM MW TOTAL BARRA A]]+TBL_CalcDarwin[[#This Row],[PLOM MW TOTAL BARRA B]]</f>
        <v>209.13000000000002</v>
      </c>
      <c r="F207" s="34">
        <f>TBL_CalcDarwin[[#This Row],[PLOME MW TOTAL BARRA A]]+TBL_CalcDarwin[[#This Row],[PLOME MW TOTAL BARRA B]]</f>
        <v>8.66</v>
      </c>
      <c r="G207" s="48">
        <f>'Plantilla Datos'!D212</f>
        <v>8.6</v>
      </c>
      <c r="H207" s="48">
        <f>'Plantilla Datos'!E212</f>
        <v>10.7</v>
      </c>
      <c r="I207" s="49">
        <f>'Plantilla Datos'!F212</f>
        <v>20.6</v>
      </c>
      <c r="J207" s="47">
        <f>CEILING('Plantilla Datos'!$L$3*TBL_CalcDarwin[[#This Row],[Darwin Gusts
m/s]],0.5)</f>
        <v>8</v>
      </c>
      <c r="K207" s="47">
        <f>CEILING('Plantilla Datos'!$L$4*TBL_CalcDarwin[[#This Row],[Darwin Gusts
m/s]],0.5)</f>
        <v>9.5</v>
      </c>
      <c r="L207" s="47">
        <f>CEILING(TBL_CalcDarwin[[#This Row],[Darwin Gusts
m/s]],0.5)</f>
        <v>11</v>
      </c>
      <c r="M20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4.9880000000000004</v>
      </c>
      <c r="N20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20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20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207" s="41">
        <f>INDEX(Curva_Temp[Temp],MATCH(TBL_CalcDarwin[[#This Row],[Darwin Temp.
°C]],Curva_Temp[Temp]))</f>
        <v>20</v>
      </c>
      <c r="R207" s="41">
        <f>INDEX(Curva_Temp[Warranted Power Curve for 
1.194Kg/m3 air density '[kW']
SG 5.0-145 (AM+1, 5.2MW) AT 
90M],MATCH(TBL_CalcDarwin[[#This Row],[Darwin Temp.
°C]],Curva_Temp[Temp]))</f>
        <v>5000</v>
      </c>
      <c r="S207" s="41" cm="1">
        <f t="array" ref="S207">INDEX(Curva_Temp[Temp],MATCH(TBL_CalcDarwin[[#This Row],[Darwin Temp.
°C]],Curva_Temp[Temp])+1)</f>
        <v>25</v>
      </c>
      <c r="T207" s="41" cm="1">
        <f t="array" ref="T207">INDEX(Curva_Temp[Warranted Power Curve for 
1.194Kg/m3 air density '[kW']
SG 5.0-145 (AM+1, 5.2MW) AT 
90M],MATCH(TBL_CalcDarwin[[#This Row],[Darwin Temp.
°C]],Curva_Temp[Temp])+1)</f>
        <v>4900</v>
      </c>
      <c r="U20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4.9880000000000004</v>
      </c>
      <c r="V20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20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20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207" s="41">
        <f>INDEX(Curva_Temp[Temp],MATCH(TBL_CalcDarwin[[#This Row],[Darwin Temp.
°C]],Curva_Temp[Temp]))</f>
        <v>20</v>
      </c>
      <c r="Z207" s="41">
        <f>INDEX(Curva_Temp[Warranted Power Curve for 
1.194Kg/m3 air density '[kW']
SG 5.0-145 (AM 0, 5.0MW) AT 
90M],MATCH(TBL_CalcDarwin[[#This Row],[Darwin Temp.
°C]],Curva_Temp[Temp]))</f>
        <v>5000</v>
      </c>
      <c r="AA207" s="41" cm="1">
        <f t="array" ref="AA207">INDEX(Curva_Temp[Temp],MATCH(TBL_CalcDarwin[[#This Row],[Darwin Temp.
°C]],Curva_Temp[Temp])+1)</f>
        <v>25</v>
      </c>
      <c r="AB207" s="41" cm="1">
        <f t="array" ref="AB207">INDEX(Curva_Temp[Warranted Power Curve for 
1.194Kg/m3 air density '[kW']
SG 5.0-145 (AM 0, 5.0MW) AT 
90M],MATCH(TBL_CalcDarwin[[#This Row],[Darwin Temp.
°C]],Curva_Temp[Temp])+1)</f>
        <v>4900</v>
      </c>
      <c r="AC207" s="45">
        <f>HLOOKUP(TBL_CalcDarwin[[#This Row],[Fecha]],'Plantilla AEG ES'!$E$1:$HX$13,2,FALSE)</f>
        <v>5</v>
      </c>
      <c r="AD207" s="45">
        <f>HLOOKUP(TBL_CalcDarwin[[#This Row],[Fecha]],'Plantilla AEG ES'!$E$1:$HX$13,3,FALSE)</f>
        <v>8</v>
      </c>
      <c r="AE207" s="45">
        <f>HLOOKUP(TBL_CalcDarwin[[#This Row],[Fecha]],'Plantilla AEG ES'!$E$1:$HX$13,4,FALSE)</f>
        <v>12</v>
      </c>
      <c r="AF207" s="45">
        <f>HLOOKUP(TBL_CalcDarwin[[#This Row],[Fecha]],'Plantilla AEG ES'!$E$1:$HX$13,5,FALSE)</f>
        <v>1</v>
      </c>
      <c r="AG207" s="45">
        <f>HLOOKUP(TBL_CalcDarwin[[#This Row],[Fecha]],'Plantilla AEG ES'!$E$1:$HX$13,6,FALSE)</f>
        <v>1</v>
      </c>
      <c r="AH207" s="45">
        <f>HLOOKUP(TBL_CalcDarwin[[#This Row],[Fecha]],'Plantilla AEG ES'!$E$1:$HX$13,7,FALSE)</f>
        <v>0</v>
      </c>
      <c r="AI207" s="46">
        <f>HLOOKUP(TBL_CalcDarwin[[#This Row],[Fecha]],'Plantilla AEG ES'!$E$1:$HX$13,8,FALSE)</f>
        <v>0</v>
      </c>
      <c r="AJ207" s="46">
        <f>HLOOKUP(TBL_CalcDarwin[[#This Row],[Fecha]],'Plantilla AEG ES'!$E$1:$HX$13,9,FALSE)</f>
        <v>3</v>
      </c>
      <c r="AK207" s="46">
        <f>HLOOKUP(TBL_CalcDarwin[[#This Row],[Fecha]],'Plantilla AEG ES'!$E$1:$HX$13,10,FALSE)</f>
        <v>12</v>
      </c>
      <c r="AL207" s="46">
        <f>HLOOKUP(TBL_CalcDarwin[[#This Row],[Fecha]],'Plantilla AEG ES'!$E$1:$HX$13,11,FALSE)</f>
        <v>1</v>
      </c>
      <c r="AM207" s="46">
        <f>HLOOKUP(TBL_CalcDarwin[[#This Row],[Fecha]],'Plantilla AEG ES'!$E$1:$HX$13,12,FALSE)</f>
        <v>7</v>
      </c>
      <c r="AN207" s="46">
        <f>HLOOKUP(TBL_CalcDarwin[[#This Row],[Fecha]],'Plantilla AEG ES'!$E$1:$HX$13,13,FALSE)</f>
        <v>1</v>
      </c>
      <c r="AO207" s="37">
        <f>TBL_CalcDarwin[[#This Row],[Lomitas - Barra A - 5.2 - Cerro]]+TBL_CalcDarwin[[#This Row],[Lomitas - Barra A - 5.2 - Medio]]+TBL_CalcDarwin[[#This Row],[Lomitas - Barra A - 5.2 - Mar]]</f>
        <v>25</v>
      </c>
      <c r="AP20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20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207" s="37">
        <f>TBL_CalcDarwin[[#This Row],[Expansión - Barra A - 5.2 - Cerro]]+TBL_CalcDarwin[[#This Row],[Expansión - Barra A - 5.2 - Medio]]+TBL_CalcDarwin[[#This Row],[Expansión - Barra A - 5.2 - Mar]]</f>
        <v>2</v>
      </c>
      <c r="AT207" s="37">
        <f>TBL_CalcDarwin[[#This Row],[Expansión - Barra B - 5.2 - Cerro]]</f>
        <v>1</v>
      </c>
      <c r="AU20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207" s="29">
        <f>TBL_CalcDarwin[[#This Row],[Expansión - Barra B - 5.2 - Cerro]]*TBL_CalcDarwin[[#This Row],[AEG 5.2 MW Cerro]]</f>
        <v>2.4089999999999998</v>
      </c>
      <c r="AZ207" s="18"/>
      <c r="BA207" s="18"/>
      <c r="BB207" s="18"/>
      <c r="BC207" s="18"/>
      <c r="BD207" s="18"/>
      <c r="BE207" s="18"/>
      <c r="BF207" s="18"/>
    </row>
    <row r="208" spans="2:58" ht="12" x14ac:dyDescent="0.2">
      <c r="B208" s="55">
        <f t="shared" si="19"/>
        <v>45621.583333332841</v>
      </c>
      <c r="C208" s="17">
        <f t="shared" si="20"/>
        <v>8.5833333333333464</v>
      </c>
      <c r="D208" s="34">
        <f>TBL_CalcDarwin[[#This Row],[Darwin PLOM
MW]]+TBL_CalcDarwin[[#This Row],[Darwin PLOME
MW]]</f>
        <v>217.79000000000002</v>
      </c>
      <c r="E208" s="34">
        <f>TBL_CalcDarwin[[#This Row],[PLOM MW TOTAL BARRA A]]+TBL_CalcDarwin[[#This Row],[PLOM MW TOTAL BARRA B]]</f>
        <v>209.13000000000002</v>
      </c>
      <c r="F208" s="34">
        <f>TBL_CalcDarwin[[#This Row],[PLOME MW TOTAL BARRA A]]+TBL_CalcDarwin[[#This Row],[PLOME MW TOTAL BARRA B]]</f>
        <v>8.66</v>
      </c>
      <c r="G208" s="48">
        <f>'Plantilla Datos'!D213</f>
        <v>8.6</v>
      </c>
      <c r="H208" s="48">
        <f>'Plantilla Datos'!E213</f>
        <v>10.8</v>
      </c>
      <c r="I208" s="49">
        <f>'Plantilla Datos'!F213</f>
        <v>20.2</v>
      </c>
      <c r="J208" s="47">
        <f>CEILING('Plantilla Datos'!$L$3*TBL_CalcDarwin[[#This Row],[Darwin Gusts
m/s]],0.5)</f>
        <v>8</v>
      </c>
      <c r="K208" s="47">
        <f>CEILING('Plantilla Datos'!$L$4*TBL_CalcDarwin[[#This Row],[Darwin Gusts
m/s]],0.5)</f>
        <v>9.5</v>
      </c>
      <c r="L208" s="47">
        <f>CEILING(TBL_CalcDarwin[[#This Row],[Darwin Gusts
m/s]],0.5)</f>
        <v>11</v>
      </c>
      <c r="M20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4.9960000000000004</v>
      </c>
      <c r="N20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20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20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208" s="41">
        <f>INDEX(Curva_Temp[Temp],MATCH(TBL_CalcDarwin[[#This Row],[Darwin Temp.
°C]],Curva_Temp[Temp]))</f>
        <v>20</v>
      </c>
      <c r="R208" s="41">
        <f>INDEX(Curva_Temp[Warranted Power Curve for 
1.194Kg/m3 air density '[kW']
SG 5.0-145 (AM+1, 5.2MW) AT 
90M],MATCH(TBL_CalcDarwin[[#This Row],[Darwin Temp.
°C]],Curva_Temp[Temp]))</f>
        <v>5000</v>
      </c>
      <c r="S208" s="41" cm="1">
        <f t="array" ref="S208">INDEX(Curva_Temp[Temp],MATCH(TBL_CalcDarwin[[#This Row],[Darwin Temp.
°C]],Curva_Temp[Temp])+1)</f>
        <v>25</v>
      </c>
      <c r="T208" s="41" cm="1">
        <f t="array" ref="T208">INDEX(Curva_Temp[Warranted Power Curve for 
1.194Kg/m3 air density '[kW']
SG 5.0-145 (AM+1, 5.2MW) AT 
90M],MATCH(TBL_CalcDarwin[[#This Row],[Darwin Temp.
°C]],Curva_Temp[Temp])+1)</f>
        <v>4900</v>
      </c>
      <c r="U20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4.9960000000000004</v>
      </c>
      <c r="V20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20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20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208" s="41">
        <f>INDEX(Curva_Temp[Temp],MATCH(TBL_CalcDarwin[[#This Row],[Darwin Temp.
°C]],Curva_Temp[Temp]))</f>
        <v>20</v>
      </c>
      <c r="Z208" s="41">
        <f>INDEX(Curva_Temp[Warranted Power Curve for 
1.194Kg/m3 air density '[kW']
SG 5.0-145 (AM 0, 5.0MW) AT 
90M],MATCH(TBL_CalcDarwin[[#This Row],[Darwin Temp.
°C]],Curva_Temp[Temp]))</f>
        <v>5000</v>
      </c>
      <c r="AA208" s="41" cm="1">
        <f t="array" ref="AA208">INDEX(Curva_Temp[Temp],MATCH(TBL_CalcDarwin[[#This Row],[Darwin Temp.
°C]],Curva_Temp[Temp])+1)</f>
        <v>25</v>
      </c>
      <c r="AB208" s="41" cm="1">
        <f t="array" ref="AB208">INDEX(Curva_Temp[Warranted Power Curve for 
1.194Kg/m3 air density '[kW']
SG 5.0-145 (AM 0, 5.0MW) AT 
90M],MATCH(TBL_CalcDarwin[[#This Row],[Darwin Temp.
°C]],Curva_Temp[Temp])+1)</f>
        <v>4900</v>
      </c>
      <c r="AC208" s="45">
        <f>HLOOKUP(TBL_CalcDarwin[[#This Row],[Fecha]],'Plantilla AEG ES'!$E$1:$HX$13,2,FALSE)</f>
        <v>5</v>
      </c>
      <c r="AD208" s="45">
        <f>HLOOKUP(TBL_CalcDarwin[[#This Row],[Fecha]],'Plantilla AEG ES'!$E$1:$HX$13,3,FALSE)</f>
        <v>8</v>
      </c>
      <c r="AE208" s="45">
        <f>HLOOKUP(TBL_CalcDarwin[[#This Row],[Fecha]],'Plantilla AEG ES'!$E$1:$HX$13,4,FALSE)</f>
        <v>12</v>
      </c>
      <c r="AF208" s="45">
        <f>HLOOKUP(TBL_CalcDarwin[[#This Row],[Fecha]],'Plantilla AEG ES'!$E$1:$HX$13,5,FALSE)</f>
        <v>1</v>
      </c>
      <c r="AG208" s="45">
        <f>HLOOKUP(TBL_CalcDarwin[[#This Row],[Fecha]],'Plantilla AEG ES'!$E$1:$HX$13,6,FALSE)</f>
        <v>1</v>
      </c>
      <c r="AH208" s="45">
        <f>HLOOKUP(TBL_CalcDarwin[[#This Row],[Fecha]],'Plantilla AEG ES'!$E$1:$HX$13,7,FALSE)</f>
        <v>0</v>
      </c>
      <c r="AI208" s="46">
        <f>HLOOKUP(TBL_CalcDarwin[[#This Row],[Fecha]],'Plantilla AEG ES'!$E$1:$HX$13,8,FALSE)</f>
        <v>0</v>
      </c>
      <c r="AJ208" s="46">
        <f>HLOOKUP(TBL_CalcDarwin[[#This Row],[Fecha]],'Plantilla AEG ES'!$E$1:$HX$13,9,FALSE)</f>
        <v>3</v>
      </c>
      <c r="AK208" s="46">
        <f>HLOOKUP(TBL_CalcDarwin[[#This Row],[Fecha]],'Plantilla AEG ES'!$E$1:$HX$13,10,FALSE)</f>
        <v>12</v>
      </c>
      <c r="AL208" s="46">
        <f>HLOOKUP(TBL_CalcDarwin[[#This Row],[Fecha]],'Plantilla AEG ES'!$E$1:$HX$13,11,FALSE)</f>
        <v>1</v>
      </c>
      <c r="AM208" s="46">
        <f>HLOOKUP(TBL_CalcDarwin[[#This Row],[Fecha]],'Plantilla AEG ES'!$E$1:$HX$13,12,FALSE)</f>
        <v>7</v>
      </c>
      <c r="AN208" s="46">
        <f>HLOOKUP(TBL_CalcDarwin[[#This Row],[Fecha]],'Plantilla AEG ES'!$E$1:$HX$13,13,FALSE)</f>
        <v>1</v>
      </c>
      <c r="AO208" s="37">
        <f>TBL_CalcDarwin[[#This Row],[Lomitas - Barra A - 5.2 - Cerro]]+TBL_CalcDarwin[[#This Row],[Lomitas - Barra A - 5.2 - Medio]]+TBL_CalcDarwin[[#This Row],[Lomitas - Barra A - 5.2 - Mar]]</f>
        <v>25</v>
      </c>
      <c r="AP20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20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208" s="37">
        <f>TBL_CalcDarwin[[#This Row],[Expansión - Barra A - 5.2 - Cerro]]+TBL_CalcDarwin[[#This Row],[Expansión - Barra A - 5.2 - Medio]]+TBL_CalcDarwin[[#This Row],[Expansión - Barra A - 5.2 - Mar]]</f>
        <v>2</v>
      </c>
      <c r="AT208" s="37">
        <f>TBL_CalcDarwin[[#This Row],[Expansión - Barra B - 5.2 - Cerro]]</f>
        <v>1</v>
      </c>
      <c r="AU20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208" s="29">
        <f>TBL_CalcDarwin[[#This Row],[Expansión - Barra B - 5.2 - Cerro]]*TBL_CalcDarwin[[#This Row],[AEG 5.2 MW Cerro]]</f>
        <v>2.4089999999999998</v>
      </c>
      <c r="AZ208" s="18"/>
      <c r="BA208" s="18"/>
      <c r="BB208" s="18"/>
      <c r="BC208" s="18"/>
      <c r="BD208" s="18"/>
      <c r="BE208" s="18"/>
      <c r="BF208" s="18"/>
    </row>
    <row r="209" spans="2:58" ht="12" x14ac:dyDescent="0.2">
      <c r="B209" s="55">
        <f t="shared" si="19"/>
        <v>45621.624999999505</v>
      </c>
      <c r="C209" s="17">
        <f t="shared" si="20"/>
        <v>8.6250000000000124</v>
      </c>
      <c r="D209" s="34">
        <f>TBL_CalcDarwin[[#This Row],[Darwin PLOM
MW]]+TBL_CalcDarwin[[#This Row],[Darwin PLOME
MW]]</f>
        <v>217.79000000000002</v>
      </c>
      <c r="E209" s="34">
        <f>TBL_CalcDarwin[[#This Row],[PLOM MW TOTAL BARRA A]]+TBL_CalcDarwin[[#This Row],[PLOM MW TOTAL BARRA B]]</f>
        <v>209.13000000000002</v>
      </c>
      <c r="F209" s="34">
        <f>TBL_CalcDarwin[[#This Row],[PLOME MW TOTAL BARRA A]]+TBL_CalcDarwin[[#This Row],[PLOME MW TOTAL BARRA B]]</f>
        <v>8.66</v>
      </c>
      <c r="G209" s="48">
        <f>'Plantilla Datos'!D214</f>
        <v>8.6</v>
      </c>
      <c r="H209" s="48">
        <f>'Plantilla Datos'!E214</f>
        <v>10.8</v>
      </c>
      <c r="I209" s="49">
        <f>'Plantilla Datos'!F214</f>
        <v>19.7</v>
      </c>
      <c r="J209" s="47">
        <f>CEILING('Plantilla Datos'!$L$3*TBL_CalcDarwin[[#This Row],[Darwin Gusts
m/s]],0.5)</f>
        <v>8</v>
      </c>
      <c r="K209" s="47">
        <f>CEILING('Plantilla Datos'!$L$4*TBL_CalcDarwin[[#This Row],[Darwin Gusts
m/s]],0.5)</f>
        <v>9.5</v>
      </c>
      <c r="L209" s="47">
        <f>CEILING(TBL_CalcDarwin[[#This Row],[Darwin Gusts
m/s]],0.5)</f>
        <v>11</v>
      </c>
      <c r="M20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5.0119999999999996</v>
      </c>
      <c r="N20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20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20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209" s="41">
        <f>INDEX(Curva_Temp[Temp],MATCH(TBL_CalcDarwin[[#This Row],[Darwin Temp.
°C]],Curva_Temp[Temp]))</f>
        <v>15</v>
      </c>
      <c r="R209" s="41">
        <f>INDEX(Curva_Temp[Warranted Power Curve for 
1.194Kg/m3 air density '[kW']
SG 5.0-145 (AM+1, 5.2MW) AT 
90M],MATCH(TBL_CalcDarwin[[#This Row],[Darwin Temp.
°C]],Curva_Temp[Temp]))</f>
        <v>5200</v>
      </c>
      <c r="S209" s="41" cm="1">
        <f t="array" ref="S209">INDEX(Curva_Temp[Temp],MATCH(TBL_CalcDarwin[[#This Row],[Darwin Temp.
°C]],Curva_Temp[Temp])+1)</f>
        <v>20</v>
      </c>
      <c r="T209" s="41" cm="1">
        <f t="array" ref="T209">INDEX(Curva_Temp[Warranted Power Curve for 
1.194Kg/m3 air density '[kW']
SG 5.0-145 (AM+1, 5.2MW) AT 
90M],MATCH(TBL_CalcDarwin[[#This Row],[Darwin Temp.
°C]],Curva_Temp[Temp])+1)</f>
        <v>5000</v>
      </c>
      <c r="U20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20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20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209" s="41">
        <f>INDEX(Curva_Temp[Temp],MATCH(TBL_CalcDarwin[[#This Row],[Darwin Temp.
°C]],Curva_Temp[Temp]))</f>
        <v>15</v>
      </c>
      <c r="Z209" s="41">
        <f>INDEX(Curva_Temp[Warranted Power Curve for 
1.194Kg/m3 air density '[kW']
SG 5.0-145 (AM 0, 5.0MW) AT 
90M],MATCH(TBL_CalcDarwin[[#This Row],[Darwin Temp.
°C]],Curva_Temp[Temp]))</f>
        <v>5000</v>
      </c>
      <c r="AA209" s="41" cm="1">
        <f t="array" ref="AA209">INDEX(Curva_Temp[Temp],MATCH(TBL_CalcDarwin[[#This Row],[Darwin Temp.
°C]],Curva_Temp[Temp])+1)</f>
        <v>20</v>
      </c>
      <c r="AB209" s="41" cm="1">
        <f t="array" ref="AB209">INDEX(Curva_Temp[Warranted Power Curve for 
1.194Kg/m3 air density '[kW']
SG 5.0-145 (AM 0, 5.0MW) AT 
90M],MATCH(TBL_CalcDarwin[[#This Row],[Darwin Temp.
°C]],Curva_Temp[Temp])+1)</f>
        <v>5000</v>
      </c>
      <c r="AC209" s="45">
        <f>HLOOKUP(TBL_CalcDarwin[[#This Row],[Fecha]],'Plantilla AEG ES'!$E$1:$HX$13,2,FALSE)</f>
        <v>5</v>
      </c>
      <c r="AD209" s="45">
        <f>HLOOKUP(TBL_CalcDarwin[[#This Row],[Fecha]],'Plantilla AEG ES'!$E$1:$HX$13,3,FALSE)</f>
        <v>8</v>
      </c>
      <c r="AE209" s="45">
        <f>HLOOKUP(TBL_CalcDarwin[[#This Row],[Fecha]],'Plantilla AEG ES'!$E$1:$HX$13,4,FALSE)</f>
        <v>12</v>
      </c>
      <c r="AF209" s="45">
        <f>HLOOKUP(TBL_CalcDarwin[[#This Row],[Fecha]],'Plantilla AEG ES'!$E$1:$HX$13,5,FALSE)</f>
        <v>1</v>
      </c>
      <c r="AG209" s="45">
        <f>HLOOKUP(TBL_CalcDarwin[[#This Row],[Fecha]],'Plantilla AEG ES'!$E$1:$HX$13,6,FALSE)</f>
        <v>1</v>
      </c>
      <c r="AH209" s="45">
        <f>HLOOKUP(TBL_CalcDarwin[[#This Row],[Fecha]],'Plantilla AEG ES'!$E$1:$HX$13,7,FALSE)</f>
        <v>0</v>
      </c>
      <c r="AI209" s="46">
        <f>HLOOKUP(TBL_CalcDarwin[[#This Row],[Fecha]],'Plantilla AEG ES'!$E$1:$HX$13,8,FALSE)</f>
        <v>0</v>
      </c>
      <c r="AJ209" s="46">
        <f>HLOOKUP(TBL_CalcDarwin[[#This Row],[Fecha]],'Plantilla AEG ES'!$E$1:$HX$13,9,FALSE)</f>
        <v>3</v>
      </c>
      <c r="AK209" s="46">
        <f>HLOOKUP(TBL_CalcDarwin[[#This Row],[Fecha]],'Plantilla AEG ES'!$E$1:$HX$13,10,FALSE)</f>
        <v>12</v>
      </c>
      <c r="AL209" s="46">
        <f>HLOOKUP(TBL_CalcDarwin[[#This Row],[Fecha]],'Plantilla AEG ES'!$E$1:$HX$13,11,FALSE)</f>
        <v>1</v>
      </c>
      <c r="AM209" s="46">
        <f>HLOOKUP(TBL_CalcDarwin[[#This Row],[Fecha]],'Plantilla AEG ES'!$E$1:$HX$13,12,FALSE)</f>
        <v>7</v>
      </c>
      <c r="AN209" s="46">
        <f>HLOOKUP(TBL_CalcDarwin[[#This Row],[Fecha]],'Plantilla AEG ES'!$E$1:$HX$13,13,FALSE)</f>
        <v>1</v>
      </c>
      <c r="AO209" s="37">
        <f>TBL_CalcDarwin[[#This Row],[Lomitas - Barra A - 5.2 - Cerro]]+TBL_CalcDarwin[[#This Row],[Lomitas - Barra A - 5.2 - Medio]]+TBL_CalcDarwin[[#This Row],[Lomitas - Barra A - 5.2 - Mar]]</f>
        <v>25</v>
      </c>
      <c r="AP20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20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209" s="37">
        <f>TBL_CalcDarwin[[#This Row],[Expansión - Barra A - 5.2 - Cerro]]+TBL_CalcDarwin[[#This Row],[Expansión - Barra A - 5.2 - Medio]]+TBL_CalcDarwin[[#This Row],[Expansión - Barra A - 5.2 - Mar]]</f>
        <v>2</v>
      </c>
      <c r="AT209" s="37">
        <f>TBL_CalcDarwin[[#This Row],[Expansión - Barra B - 5.2 - Cerro]]</f>
        <v>1</v>
      </c>
      <c r="AU20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209" s="29">
        <f>TBL_CalcDarwin[[#This Row],[Expansión - Barra B - 5.2 - Cerro]]*TBL_CalcDarwin[[#This Row],[AEG 5.2 MW Cerro]]</f>
        <v>2.4089999999999998</v>
      </c>
      <c r="AZ209" s="18"/>
      <c r="BA209" s="18"/>
      <c r="BB209" s="18"/>
      <c r="BC209" s="18"/>
      <c r="BD209" s="18"/>
      <c r="BE209" s="18"/>
      <c r="BF209" s="18"/>
    </row>
    <row r="210" spans="2:58" ht="12" x14ac:dyDescent="0.2">
      <c r="B210" s="55">
        <f t="shared" si="19"/>
        <v>45621.666666666169</v>
      </c>
      <c r="C210" s="17">
        <f t="shared" si="20"/>
        <v>8.6666666666666785</v>
      </c>
      <c r="D210" s="34">
        <f>TBL_CalcDarwin[[#This Row],[Darwin PLOM
MW]]+TBL_CalcDarwin[[#This Row],[Darwin PLOME
MW]]</f>
        <v>217.79000000000002</v>
      </c>
      <c r="E210" s="34">
        <f>TBL_CalcDarwin[[#This Row],[PLOM MW TOTAL BARRA A]]+TBL_CalcDarwin[[#This Row],[PLOM MW TOTAL BARRA B]]</f>
        <v>209.13000000000002</v>
      </c>
      <c r="F210" s="34">
        <f>TBL_CalcDarwin[[#This Row],[PLOME MW TOTAL BARRA A]]+TBL_CalcDarwin[[#This Row],[PLOME MW TOTAL BARRA B]]</f>
        <v>8.66</v>
      </c>
      <c r="G210" s="48">
        <f>'Plantilla Datos'!D215</f>
        <v>8.6999999999999993</v>
      </c>
      <c r="H210" s="48">
        <f>'Plantilla Datos'!E215</f>
        <v>10.8</v>
      </c>
      <c r="I210" s="49">
        <f>'Plantilla Datos'!F215</f>
        <v>19.3</v>
      </c>
      <c r="J210" s="47">
        <f>CEILING('Plantilla Datos'!$L$3*TBL_CalcDarwin[[#This Row],[Darwin Gusts
m/s]],0.5)</f>
        <v>8</v>
      </c>
      <c r="K210" s="47">
        <f>CEILING('Plantilla Datos'!$L$4*TBL_CalcDarwin[[#This Row],[Darwin Gusts
m/s]],0.5)</f>
        <v>9.5</v>
      </c>
      <c r="L210" s="47">
        <f>CEILING(TBL_CalcDarwin[[#This Row],[Darwin Gusts
m/s]],0.5)</f>
        <v>11</v>
      </c>
      <c r="M2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5.0279999999999996</v>
      </c>
      <c r="N2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2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2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210" s="41">
        <f>INDEX(Curva_Temp[Temp],MATCH(TBL_CalcDarwin[[#This Row],[Darwin Temp.
°C]],Curva_Temp[Temp]))</f>
        <v>15</v>
      </c>
      <c r="R210" s="41">
        <f>INDEX(Curva_Temp[Warranted Power Curve for 
1.194Kg/m3 air density '[kW']
SG 5.0-145 (AM+1, 5.2MW) AT 
90M],MATCH(TBL_CalcDarwin[[#This Row],[Darwin Temp.
°C]],Curva_Temp[Temp]))</f>
        <v>5200</v>
      </c>
      <c r="S210" s="41" cm="1">
        <f t="array" ref="S210">INDEX(Curva_Temp[Temp],MATCH(TBL_CalcDarwin[[#This Row],[Darwin Temp.
°C]],Curva_Temp[Temp])+1)</f>
        <v>20</v>
      </c>
      <c r="T210" s="41" cm="1">
        <f t="array" ref="T210">INDEX(Curva_Temp[Warranted Power Curve for 
1.194Kg/m3 air density '[kW']
SG 5.0-145 (AM+1, 5.2MW) AT 
90M],MATCH(TBL_CalcDarwin[[#This Row],[Darwin Temp.
°C]],Curva_Temp[Temp])+1)</f>
        <v>5000</v>
      </c>
      <c r="U2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2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2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210" s="41">
        <f>INDEX(Curva_Temp[Temp],MATCH(TBL_CalcDarwin[[#This Row],[Darwin Temp.
°C]],Curva_Temp[Temp]))</f>
        <v>15</v>
      </c>
      <c r="Z210" s="41">
        <f>INDEX(Curva_Temp[Warranted Power Curve for 
1.194Kg/m3 air density '[kW']
SG 5.0-145 (AM 0, 5.0MW) AT 
90M],MATCH(TBL_CalcDarwin[[#This Row],[Darwin Temp.
°C]],Curva_Temp[Temp]))</f>
        <v>5000</v>
      </c>
      <c r="AA210" s="41" cm="1">
        <f t="array" ref="AA210">INDEX(Curva_Temp[Temp],MATCH(TBL_CalcDarwin[[#This Row],[Darwin Temp.
°C]],Curva_Temp[Temp])+1)</f>
        <v>20</v>
      </c>
      <c r="AB210" s="41" cm="1">
        <f t="array" ref="AB210">INDEX(Curva_Temp[Warranted Power Curve for 
1.194Kg/m3 air density '[kW']
SG 5.0-145 (AM 0, 5.0MW) AT 
90M],MATCH(TBL_CalcDarwin[[#This Row],[Darwin Temp.
°C]],Curva_Temp[Temp])+1)</f>
        <v>5000</v>
      </c>
      <c r="AC210" s="45">
        <f>HLOOKUP(TBL_CalcDarwin[[#This Row],[Fecha]],'Plantilla AEG ES'!$E$1:$HX$13,2,FALSE)</f>
        <v>5</v>
      </c>
      <c r="AD210" s="45">
        <f>HLOOKUP(TBL_CalcDarwin[[#This Row],[Fecha]],'Plantilla AEG ES'!$E$1:$HX$13,3,FALSE)</f>
        <v>8</v>
      </c>
      <c r="AE210" s="45">
        <f>HLOOKUP(TBL_CalcDarwin[[#This Row],[Fecha]],'Plantilla AEG ES'!$E$1:$HX$13,4,FALSE)</f>
        <v>12</v>
      </c>
      <c r="AF210" s="45">
        <f>HLOOKUP(TBL_CalcDarwin[[#This Row],[Fecha]],'Plantilla AEG ES'!$E$1:$HX$13,5,FALSE)</f>
        <v>1</v>
      </c>
      <c r="AG210" s="45">
        <f>HLOOKUP(TBL_CalcDarwin[[#This Row],[Fecha]],'Plantilla AEG ES'!$E$1:$HX$13,6,FALSE)</f>
        <v>1</v>
      </c>
      <c r="AH210" s="45">
        <f>HLOOKUP(TBL_CalcDarwin[[#This Row],[Fecha]],'Plantilla AEG ES'!$E$1:$HX$13,7,FALSE)</f>
        <v>0</v>
      </c>
      <c r="AI210" s="46">
        <f>HLOOKUP(TBL_CalcDarwin[[#This Row],[Fecha]],'Plantilla AEG ES'!$E$1:$HX$13,8,FALSE)</f>
        <v>0</v>
      </c>
      <c r="AJ210" s="46">
        <f>HLOOKUP(TBL_CalcDarwin[[#This Row],[Fecha]],'Plantilla AEG ES'!$E$1:$HX$13,9,FALSE)</f>
        <v>3</v>
      </c>
      <c r="AK210" s="46">
        <f>HLOOKUP(TBL_CalcDarwin[[#This Row],[Fecha]],'Plantilla AEG ES'!$E$1:$HX$13,10,FALSE)</f>
        <v>12</v>
      </c>
      <c r="AL210" s="46">
        <f>HLOOKUP(TBL_CalcDarwin[[#This Row],[Fecha]],'Plantilla AEG ES'!$E$1:$HX$13,11,FALSE)</f>
        <v>1</v>
      </c>
      <c r="AM210" s="46">
        <f>HLOOKUP(TBL_CalcDarwin[[#This Row],[Fecha]],'Plantilla AEG ES'!$E$1:$HX$13,12,FALSE)</f>
        <v>7</v>
      </c>
      <c r="AN210" s="46">
        <f>HLOOKUP(TBL_CalcDarwin[[#This Row],[Fecha]],'Plantilla AEG ES'!$E$1:$HX$13,13,FALSE)</f>
        <v>1</v>
      </c>
      <c r="AO210" s="37">
        <f>TBL_CalcDarwin[[#This Row],[Lomitas - Barra A - 5.2 - Cerro]]+TBL_CalcDarwin[[#This Row],[Lomitas - Barra A - 5.2 - Medio]]+TBL_CalcDarwin[[#This Row],[Lomitas - Barra A - 5.2 - Mar]]</f>
        <v>25</v>
      </c>
      <c r="AP2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2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210" s="37">
        <f>TBL_CalcDarwin[[#This Row],[Expansión - Barra A - 5.2 - Cerro]]+TBL_CalcDarwin[[#This Row],[Expansión - Barra A - 5.2 - Medio]]+TBL_CalcDarwin[[#This Row],[Expansión - Barra A - 5.2 - Mar]]</f>
        <v>2</v>
      </c>
      <c r="AT210" s="37">
        <f>TBL_CalcDarwin[[#This Row],[Expansión - Barra B - 5.2 - Cerro]]</f>
        <v>1</v>
      </c>
      <c r="AU2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210" s="29">
        <f>TBL_CalcDarwin[[#This Row],[Expansión - Barra B - 5.2 - Cerro]]*TBL_CalcDarwin[[#This Row],[AEG 5.2 MW Cerro]]</f>
        <v>2.4089999999999998</v>
      </c>
      <c r="AZ210" s="18"/>
      <c r="BA210" s="18"/>
      <c r="BB210" s="18"/>
      <c r="BC210" s="18"/>
      <c r="BD210" s="18"/>
      <c r="BE210" s="18"/>
      <c r="BF210" s="18"/>
    </row>
    <row r="211" spans="2:58" ht="12" x14ac:dyDescent="0.2">
      <c r="B211" s="55">
        <f t="shared" si="19"/>
        <v>45621.708333332834</v>
      </c>
      <c r="C211" s="17">
        <f t="shared" si="20"/>
        <v>8.7083333333333446</v>
      </c>
      <c r="D211" s="34">
        <f>TBL_CalcDarwin[[#This Row],[Darwin PLOM
MW]]+TBL_CalcDarwin[[#This Row],[Darwin PLOME
MW]]</f>
        <v>217.79000000000002</v>
      </c>
      <c r="E211" s="34">
        <f>TBL_CalcDarwin[[#This Row],[PLOM MW TOTAL BARRA A]]+TBL_CalcDarwin[[#This Row],[PLOM MW TOTAL BARRA B]]</f>
        <v>209.13000000000002</v>
      </c>
      <c r="F211" s="34">
        <f>TBL_CalcDarwin[[#This Row],[PLOME MW TOTAL BARRA A]]+TBL_CalcDarwin[[#This Row],[PLOME MW TOTAL BARRA B]]</f>
        <v>8.66</v>
      </c>
      <c r="G211" s="48">
        <f>'Plantilla Datos'!D216</f>
        <v>8.6999999999999993</v>
      </c>
      <c r="H211" s="48">
        <f>'Plantilla Datos'!E216</f>
        <v>10.8</v>
      </c>
      <c r="I211" s="49">
        <f>'Plantilla Datos'!F216</f>
        <v>18.8</v>
      </c>
      <c r="J211" s="47">
        <f>CEILING('Plantilla Datos'!$L$3*TBL_CalcDarwin[[#This Row],[Darwin Gusts
m/s]],0.5)</f>
        <v>8</v>
      </c>
      <c r="K211" s="47">
        <f>CEILING('Plantilla Datos'!$L$4*TBL_CalcDarwin[[#This Row],[Darwin Gusts
m/s]],0.5)</f>
        <v>9.5</v>
      </c>
      <c r="L211" s="47">
        <f>CEILING(TBL_CalcDarwin[[#This Row],[Darwin Gusts
m/s]],0.5)</f>
        <v>11</v>
      </c>
      <c r="M2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5.048</v>
      </c>
      <c r="N2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2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2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211" s="41">
        <f>INDEX(Curva_Temp[Temp],MATCH(TBL_CalcDarwin[[#This Row],[Darwin Temp.
°C]],Curva_Temp[Temp]))</f>
        <v>15</v>
      </c>
      <c r="R211" s="41">
        <f>INDEX(Curva_Temp[Warranted Power Curve for 
1.194Kg/m3 air density '[kW']
SG 5.0-145 (AM+1, 5.2MW) AT 
90M],MATCH(TBL_CalcDarwin[[#This Row],[Darwin Temp.
°C]],Curva_Temp[Temp]))</f>
        <v>5200</v>
      </c>
      <c r="S211" s="41" cm="1">
        <f t="array" ref="S211">INDEX(Curva_Temp[Temp],MATCH(TBL_CalcDarwin[[#This Row],[Darwin Temp.
°C]],Curva_Temp[Temp])+1)</f>
        <v>20</v>
      </c>
      <c r="T211" s="41" cm="1">
        <f t="array" ref="T211">INDEX(Curva_Temp[Warranted Power Curve for 
1.194Kg/m3 air density '[kW']
SG 5.0-145 (AM+1, 5.2MW) AT 
90M],MATCH(TBL_CalcDarwin[[#This Row],[Darwin Temp.
°C]],Curva_Temp[Temp])+1)</f>
        <v>5000</v>
      </c>
      <c r="U2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2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2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211" s="41">
        <f>INDEX(Curva_Temp[Temp],MATCH(TBL_CalcDarwin[[#This Row],[Darwin Temp.
°C]],Curva_Temp[Temp]))</f>
        <v>15</v>
      </c>
      <c r="Z211" s="41">
        <f>INDEX(Curva_Temp[Warranted Power Curve for 
1.194Kg/m3 air density '[kW']
SG 5.0-145 (AM 0, 5.0MW) AT 
90M],MATCH(TBL_CalcDarwin[[#This Row],[Darwin Temp.
°C]],Curva_Temp[Temp]))</f>
        <v>5000</v>
      </c>
      <c r="AA211" s="41" cm="1">
        <f t="array" ref="AA211">INDEX(Curva_Temp[Temp],MATCH(TBL_CalcDarwin[[#This Row],[Darwin Temp.
°C]],Curva_Temp[Temp])+1)</f>
        <v>20</v>
      </c>
      <c r="AB211" s="41" cm="1">
        <f t="array" ref="AB211">INDEX(Curva_Temp[Warranted Power Curve for 
1.194Kg/m3 air density '[kW']
SG 5.0-145 (AM 0, 5.0MW) AT 
90M],MATCH(TBL_CalcDarwin[[#This Row],[Darwin Temp.
°C]],Curva_Temp[Temp])+1)</f>
        <v>5000</v>
      </c>
      <c r="AC211" s="45">
        <f>HLOOKUP(TBL_CalcDarwin[[#This Row],[Fecha]],'Plantilla AEG ES'!$E$1:$HX$13,2,FALSE)</f>
        <v>5</v>
      </c>
      <c r="AD211" s="45">
        <f>HLOOKUP(TBL_CalcDarwin[[#This Row],[Fecha]],'Plantilla AEG ES'!$E$1:$HX$13,3,FALSE)</f>
        <v>8</v>
      </c>
      <c r="AE211" s="45">
        <f>HLOOKUP(TBL_CalcDarwin[[#This Row],[Fecha]],'Plantilla AEG ES'!$E$1:$HX$13,4,FALSE)</f>
        <v>12</v>
      </c>
      <c r="AF211" s="45">
        <f>HLOOKUP(TBL_CalcDarwin[[#This Row],[Fecha]],'Plantilla AEG ES'!$E$1:$HX$13,5,FALSE)</f>
        <v>1</v>
      </c>
      <c r="AG211" s="45">
        <f>HLOOKUP(TBL_CalcDarwin[[#This Row],[Fecha]],'Plantilla AEG ES'!$E$1:$HX$13,6,FALSE)</f>
        <v>1</v>
      </c>
      <c r="AH211" s="45">
        <f>HLOOKUP(TBL_CalcDarwin[[#This Row],[Fecha]],'Plantilla AEG ES'!$E$1:$HX$13,7,FALSE)</f>
        <v>0</v>
      </c>
      <c r="AI211" s="46">
        <f>HLOOKUP(TBL_CalcDarwin[[#This Row],[Fecha]],'Plantilla AEG ES'!$E$1:$HX$13,8,FALSE)</f>
        <v>0</v>
      </c>
      <c r="AJ211" s="46">
        <f>HLOOKUP(TBL_CalcDarwin[[#This Row],[Fecha]],'Plantilla AEG ES'!$E$1:$HX$13,9,FALSE)</f>
        <v>3</v>
      </c>
      <c r="AK211" s="46">
        <f>HLOOKUP(TBL_CalcDarwin[[#This Row],[Fecha]],'Plantilla AEG ES'!$E$1:$HX$13,10,FALSE)</f>
        <v>12</v>
      </c>
      <c r="AL211" s="46">
        <f>HLOOKUP(TBL_CalcDarwin[[#This Row],[Fecha]],'Plantilla AEG ES'!$E$1:$HX$13,11,FALSE)</f>
        <v>1</v>
      </c>
      <c r="AM211" s="46">
        <f>HLOOKUP(TBL_CalcDarwin[[#This Row],[Fecha]],'Plantilla AEG ES'!$E$1:$HX$13,12,FALSE)</f>
        <v>7</v>
      </c>
      <c r="AN211" s="46">
        <f>HLOOKUP(TBL_CalcDarwin[[#This Row],[Fecha]],'Plantilla AEG ES'!$E$1:$HX$13,13,FALSE)</f>
        <v>1</v>
      </c>
      <c r="AO211" s="37">
        <f>TBL_CalcDarwin[[#This Row],[Lomitas - Barra A - 5.2 - Cerro]]+TBL_CalcDarwin[[#This Row],[Lomitas - Barra A - 5.2 - Medio]]+TBL_CalcDarwin[[#This Row],[Lomitas - Barra A - 5.2 - Mar]]</f>
        <v>25</v>
      </c>
      <c r="AP2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2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211" s="37">
        <f>TBL_CalcDarwin[[#This Row],[Expansión - Barra A - 5.2 - Cerro]]+TBL_CalcDarwin[[#This Row],[Expansión - Barra A - 5.2 - Medio]]+TBL_CalcDarwin[[#This Row],[Expansión - Barra A - 5.2 - Mar]]</f>
        <v>2</v>
      </c>
      <c r="AT211" s="37">
        <f>TBL_CalcDarwin[[#This Row],[Expansión - Barra B - 5.2 - Cerro]]</f>
        <v>1</v>
      </c>
      <c r="AU2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211" s="29">
        <f>TBL_CalcDarwin[[#This Row],[Expansión - Barra B - 5.2 - Cerro]]*TBL_CalcDarwin[[#This Row],[AEG 5.2 MW Cerro]]</f>
        <v>2.4089999999999998</v>
      </c>
      <c r="AZ211" s="18"/>
      <c r="BA211" s="18"/>
      <c r="BB211" s="18"/>
      <c r="BC211" s="18"/>
      <c r="BD211" s="18"/>
      <c r="BE211" s="18"/>
      <c r="BF211" s="18"/>
    </row>
    <row r="212" spans="2:58" ht="12" x14ac:dyDescent="0.2">
      <c r="B212" s="55">
        <f t="shared" si="19"/>
        <v>45621.749999999498</v>
      </c>
      <c r="C212" s="17">
        <f t="shared" si="20"/>
        <v>8.7500000000000107</v>
      </c>
      <c r="D212" s="34">
        <f>TBL_CalcDarwin[[#This Row],[Darwin PLOM
MW]]+TBL_CalcDarwin[[#This Row],[Darwin PLOME
MW]]</f>
        <v>217.79000000000002</v>
      </c>
      <c r="E212" s="34">
        <f>TBL_CalcDarwin[[#This Row],[PLOM MW TOTAL BARRA A]]+TBL_CalcDarwin[[#This Row],[PLOM MW TOTAL BARRA B]]</f>
        <v>209.13000000000002</v>
      </c>
      <c r="F212" s="34">
        <f>TBL_CalcDarwin[[#This Row],[PLOME MW TOTAL BARRA A]]+TBL_CalcDarwin[[#This Row],[PLOME MW TOTAL BARRA B]]</f>
        <v>8.66</v>
      </c>
      <c r="G212" s="48">
        <f>'Plantilla Datos'!D217</f>
        <v>8.6999999999999993</v>
      </c>
      <c r="H212" s="48">
        <f>'Plantilla Datos'!E217</f>
        <v>10.9</v>
      </c>
      <c r="I212" s="49">
        <f>'Plantilla Datos'!F217</f>
        <v>18.399999999999999</v>
      </c>
      <c r="J212" s="47">
        <f>CEILING('Plantilla Datos'!$L$3*TBL_CalcDarwin[[#This Row],[Darwin Gusts
m/s]],0.5)</f>
        <v>8</v>
      </c>
      <c r="K212" s="47">
        <f>CEILING('Plantilla Datos'!$L$4*TBL_CalcDarwin[[#This Row],[Darwin Gusts
m/s]],0.5)</f>
        <v>9.5</v>
      </c>
      <c r="L212" s="47">
        <f>CEILING(TBL_CalcDarwin[[#This Row],[Darwin Gusts
m/s]],0.5)</f>
        <v>11</v>
      </c>
      <c r="M2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5.0640000000000001</v>
      </c>
      <c r="N2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2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2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212" s="41">
        <f>INDEX(Curva_Temp[Temp],MATCH(TBL_CalcDarwin[[#This Row],[Darwin Temp.
°C]],Curva_Temp[Temp]))</f>
        <v>15</v>
      </c>
      <c r="R212" s="41">
        <f>INDEX(Curva_Temp[Warranted Power Curve for 
1.194Kg/m3 air density '[kW']
SG 5.0-145 (AM+1, 5.2MW) AT 
90M],MATCH(TBL_CalcDarwin[[#This Row],[Darwin Temp.
°C]],Curva_Temp[Temp]))</f>
        <v>5200</v>
      </c>
      <c r="S212" s="41" cm="1">
        <f t="array" ref="S212">INDEX(Curva_Temp[Temp],MATCH(TBL_CalcDarwin[[#This Row],[Darwin Temp.
°C]],Curva_Temp[Temp])+1)</f>
        <v>20</v>
      </c>
      <c r="T212" s="41" cm="1">
        <f t="array" ref="T212">INDEX(Curva_Temp[Warranted Power Curve for 
1.194Kg/m3 air density '[kW']
SG 5.0-145 (AM+1, 5.2MW) AT 
90M],MATCH(TBL_CalcDarwin[[#This Row],[Darwin Temp.
°C]],Curva_Temp[Temp])+1)</f>
        <v>5000</v>
      </c>
      <c r="U2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2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2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212" s="41">
        <f>INDEX(Curva_Temp[Temp],MATCH(TBL_CalcDarwin[[#This Row],[Darwin Temp.
°C]],Curva_Temp[Temp]))</f>
        <v>15</v>
      </c>
      <c r="Z212" s="41">
        <f>INDEX(Curva_Temp[Warranted Power Curve for 
1.194Kg/m3 air density '[kW']
SG 5.0-145 (AM 0, 5.0MW) AT 
90M],MATCH(TBL_CalcDarwin[[#This Row],[Darwin Temp.
°C]],Curva_Temp[Temp]))</f>
        <v>5000</v>
      </c>
      <c r="AA212" s="41" cm="1">
        <f t="array" ref="AA212">INDEX(Curva_Temp[Temp],MATCH(TBL_CalcDarwin[[#This Row],[Darwin Temp.
°C]],Curva_Temp[Temp])+1)</f>
        <v>20</v>
      </c>
      <c r="AB212" s="41" cm="1">
        <f t="array" ref="AB212">INDEX(Curva_Temp[Warranted Power Curve for 
1.194Kg/m3 air density '[kW']
SG 5.0-145 (AM 0, 5.0MW) AT 
90M],MATCH(TBL_CalcDarwin[[#This Row],[Darwin Temp.
°C]],Curva_Temp[Temp])+1)</f>
        <v>5000</v>
      </c>
      <c r="AC212" s="45">
        <f>HLOOKUP(TBL_CalcDarwin[[#This Row],[Fecha]],'Plantilla AEG ES'!$E$1:$HX$13,2,FALSE)</f>
        <v>5</v>
      </c>
      <c r="AD212" s="45">
        <f>HLOOKUP(TBL_CalcDarwin[[#This Row],[Fecha]],'Plantilla AEG ES'!$E$1:$HX$13,3,FALSE)</f>
        <v>8</v>
      </c>
      <c r="AE212" s="45">
        <f>HLOOKUP(TBL_CalcDarwin[[#This Row],[Fecha]],'Plantilla AEG ES'!$E$1:$HX$13,4,FALSE)</f>
        <v>12</v>
      </c>
      <c r="AF212" s="45">
        <f>HLOOKUP(TBL_CalcDarwin[[#This Row],[Fecha]],'Plantilla AEG ES'!$E$1:$HX$13,5,FALSE)</f>
        <v>1</v>
      </c>
      <c r="AG212" s="45">
        <f>HLOOKUP(TBL_CalcDarwin[[#This Row],[Fecha]],'Plantilla AEG ES'!$E$1:$HX$13,6,FALSE)</f>
        <v>1</v>
      </c>
      <c r="AH212" s="45">
        <f>HLOOKUP(TBL_CalcDarwin[[#This Row],[Fecha]],'Plantilla AEG ES'!$E$1:$HX$13,7,FALSE)</f>
        <v>0</v>
      </c>
      <c r="AI212" s="46">
        <f>HLOOKUP(TBL_CalcDarwin[[#This Row],[Fecha]],'Plantilla AEG ES'!$E$1:$HX$13,8,FALSE)</f>
        <v>0</v>
      </c>
      <c r="AJ212" s="46">
        <f>HLOOKUP(TBL_CalcDarwin[[#This Row],[Fecha]],'Plantilla AEG ES'!$E$1:$HX$13,9,FALSE)</f>
        <v>3</v>
      </c>
      <c r="AK212" s="46">
        <f>HLOOKUP(TBL_CalcDarwin[[#This Row],[Fecha]],'Plantilla AEG ES'!$E$1:$HX$13,10,FALSE)</f>
        <v>12</v>
      </c>
      <c r="AL212" s="46">
        <f>HLOOKUP(TBL_CalcDarwin[[#This Row],[Fecha]],'Plantilla AEG ES'!$E$1:$HX$13,11,FALSE)</f>
        <v>1</v>
      </c>
      <c r="AM212" s="46">
        <f>HLOOKUP(TBL_CalcDarwin[[#This Row],[Fecha]],'Plantilla AEG ES'!$E$1:$HX$13,12,FALSE)</f>
        <v>7</v>
      </c>
      <c r="AN212" s="46">
        <f>HLOOKUP(TBL_CalcDarwin[[#This Row],[Fecha]],'Plantilla AEG ES'!$E$1:$HX$13,13,FALSE)</f>
        <v>1</v>
      </c>
      <c r="AO212" s="37">
        <f>TBL_CalcDarwin[[#This Row],[Lomitas - Barra A - 5.2 - Cerro]]+TBL_CalcDarwin[[#This Row],[Lomitas - Barra A - 5.2 - Medio]]+TBL_CalcDarwin[[#This Row],[Lomitas - Barra A - 5.2 - Mar]]</f>
        <v>25</v>
      </c>
      <c r="AP2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2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212" s="37">
        <f>TBL_CalcDarwin[[#This Row],[Expansión - Barra A - 5.2 - Cerro]]+TBL_CalcDarwin[[#This Row],[Expansión - Barra A - 5.2 - Medio]]+TBL_CalcDarwin[[#This Row],[Expansión - Barra A - 5.2 - Mar]]</f>
        <v>2</v>
      </c>
      <c r="AT212" s="37">
        <f>TBL_CalcDarwin[[#This Row],[Expansión - Barra B - 5.2 - Cerro]]</f>
        <v>1</v>
      </c>
      <c r="AU2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212" s="29">
        <f>TBL_CalcDarwin[[#This Row],[Expansión - Barra B - 5.2 - Cerro]]*TBL_CalcDarwin[[#This Row],[AEG 5.2 MW Cerro]]</f>
        <v>2.4089999999999998</v>
      </c>
      <c r="AZ212" s="18"/>
      <c r="BA212" s="18"/>
      <c r="BB212" s="18"/>
      <c r="BC212" s="18"/>
      <c r="BD212" s="18"/>
      <c r="BE212" s="18"/>
      <c r="BF212" s="18"/>
    </row>
    <row r="213" spans="2:58" ht="12" x14ac:dyDescent="0.2">
      <c r="B213" s="55">
        <f t="shared" si="19"/>
        <v>45621.791666666162</v>
      </c>
      <c r="C213" s="17">
        <f t="shared" si="20"/>
        <v>8.7916666666666767</v>
      </c>
      <c r="D213" s="34">
        <f>TBL_CalcDarwin[[#This Row],[Darwin PLOM
MW]]+TBL_CalcDarwin[[#This Row],[Darwin PLOME
MW]]</f>
        <v>217.79000000000002</v>
      </c>
      <c r="E213" s="34">
        <f>TBL_CalcDarwin[[#This Row],[PLOM MW TOTAL BARRA A]]+TBL_CalcDarwin[[#This Row],[PLOM MW TOTAL BARRA B]]</f>
        <v>209.13000000000002</v>
      </c>
      <c r="F213" s="34">
        <f>TBL_CalcDarwin[[#This Row],[PLOME MW TOTAL BARRA A]]+TBL_CalcDarwin[[#This Row],[PLOME MW TOTAL BARRA B]]</f>
        <v>8.66</v>
      </c>
      <c r="G213" s="48">
        <f>'Plantilla Datos'!D218</f>
        <v>8.6999999999999993</v>
      </c>
      <c r="H213" s="48">
        <f>'Plantilla Datos'!E218</f>
        <v>10.9</v>
      </c>
      <c r="I213" s="49">
        <f>'Plantilla Datos'!F218</f>
        <v>17.7</v>
      </c>
      <c r="J213" s="47">
        <f>CEILING('Plantilla Datos'!$L$3*TBL_CalcDarwin[[#This Row],[Darwin Gusts
m/s]],0.5)</f>
        <v>8</v>
      </c>
      <c r="K213" s="47">
        <f>CEILING('Plantilla Datos'!$L$4*TBL_CalcDarwin[[#This Row],[Darwin Gusts
m/s]],0.5)</f>
        <v>9.5</v>
      </c>
      <c r="L213" s="47">
        <f>CEILING(TBL_CalcDarwin[[#This Row],[Darwin Gusts
m/s]],0.5)</f>
        <v>11</v>
      </c>
      <c r="M2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2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2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2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213" s="41">
        <f>INDEX(Curva_Temp[Temp],MATCH(TBL_CalcDarwin[[#This Row],[Darwin Temp.
°C]],Curva_Temp[Temp]))</f>
        <v>15</v>
      </c>
      <c r="R213" s="41">
        <f>INDEX(Curva_Temp[Warranted Power Curve for 
1.194Kg/m3 air density '[kW']
SG 5.0-145 (AM+1, 5.2MW) AT 
90M],MATCH(TBL_CalcDarwin[[#This Row],[Darwin Temp.
°C]],Curva_Temp[Temp]))</f>
        <v>5200</v>
      </c>
      <c r="S213" s="41" cm="1">
        <f t="array" ref="S213">INDEX(Curva_Temp[Temp],MATCH(TBL_CalcDarwin[[#This Row],[Darwin Temp.
°C]],Curva_Temp[Temp])+1)</f>
        <v>20</v>
      </c>
      <c r="T213" s="41" cm="1">
        <f t="array" ref="T213">INDEX(Curva_Temp[Warranted Power Curve for 
1.194Kg/m3 air density '[kW']
SG 5.0-145 (AM+1, 5.2MW) AT 
90M],MATCH(TBL_CalcDarwin[[#This Row],[Darwin Temp.
°C]],Curva_Temp[Temp])+1)</f>
        <v>5000</v>
      </c>
      <c r="U2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2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2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213" s="41">
        <f>INDEX(Curva_Temp[Temp],MATCH(TBL_CalcDarwin[[#This Row],[Darwin Temp.
°C]],Curva_Temp[Temp]))</f>
        <v>15</v>
      </c>
      <c r="Z213" s="41">
        <f>INDEX(Curva_Temp[Warranted Power Curve for 
1.194Kg/m3 air density '[kW']
SG 5.0-145 (AM 0, 5.0MW) AT 
90M],MATCH(TBL_CalcDarwin[[#This Row],[Darwin Temp.
°C]],Curva_Temp[Temp]))</f>
        <v>5000</v>
      </c>
      <c r="AA213" s="41" cm="1">
        <f t="array" ref="AA213">INDEX(Curva_Temp[Temp],MATCH(TBL_CalcDarwin[[#This Row],[Darwin Temp.
°C]],Curva_Temp[Temp])+1)</f>
        <v>20</v>
      </c>
      <c r="AB213" s="41" cm="1">
        <f t="array" ref="AB213">INDEX(Curva_Temp[Warranted Power Curve for 
1.194Kg/m3 air density '[kW']
SG 5.0-145 (AM 0, 5.0MW) AT 
90M],MATCH(TBL_CalcDarwin[[#This Row],[Darwin Temp.
°C]],Curva_Temp[Temp])+1)</f>
        <v>5000</v>
      </c>
      <c r="AC213" s="45">
        <f>HLOOKUP(TBL_CalcDarwin[[#This Row],[Fecha]],'Plantilla AEG ES'!$E$1:$HX$13,2,FALSE)</f>
        <v>5</v>
      </c>
      <c r="AD213" s="45">
        <f>HLOOKUP(TBL_CalcDarwin[[#This Row],[Fecha]],'Plantilla AEG ES'!$E$1:$HX$13,3,FALSE)</f>
        <v>8</v>
      </c>
      <c r="AE213" s="45">
        <f>HLOOKUP(TBL_CalcDarwin[[#This Row],[Fecha]],'Plantilla AEG ES'!$E$1:$HX$13,4,FALSE)</f>
        <v>12</v>
      </c>
      <c r="AF213" s="45">
        <f>HLOOKUP(TBL_CalcDarwin[[#This Row],[Fecha]],'Plantilla AEG ES'!$E$1:$HX$13,5,FALSE)</f>
        <v>1</v>
      </c>
      <c r="AG213" s="45">
        <f>HLOOKUP(TBL_CalcDarwin[[#This Row],[Fecha]],'Plantilla AEG ES'!$E$1:$HX$13,6,FALSE)</f>
        <v>1</v>
      </c>
      <c r="AH213" s="45">
        <f>HLOOKUP(TBL_CalcDarwin[[#This Row],[Fecha]],'Plantilla AEG ES'!$E$1:$HX$13,7,FALSE)</f>
        <v>0</v>
      </c>
      <c r="AI213" s="46">
        <f>HLOOKUP(TBL_CalcDarwin[[#This Row],[Fecha]],'Plantilla AEG ES'!$E$1:$HX$13,8,FALSE)</f>
        <v>0</v>
      </c>
      <c r="AJ213" s="46">
        <f>HLOOKUP(TBL_CalcDarwin[[#This Row],[Fecha]],'Plantilla AEG ES'!$E$1:$HX$13,9,FALSE)</f>
        <v>3</v>
      </c>
      <c r="AK213" s="46">
        <f>HLOOKUP(TBL_CalcDarwin[[#This Row],[Fecha]],'Plantilla AEG ES'!$E$1:$HX$13,10,FALSE)</f>
        <v>12</v>
      </c>
      <c r="AL213" s="46">
        <f>HLOOKUP(TBL_CalcDarwin[[#This Row],[Fecha]],'Plantilla AEG ES'!$E$1:$HX$13,11,FALSE)</f>
        <v>1</v>
      </c>
      <c r="AM213" s="46">
        <f>HLOOKUP(TBL_CalcDarwin[[#This Row],[Fecha]],'Plantilla AEG ES'!$E$1:$HX$13,12,FALSE)</f>
        <v>7</v>
      </c>
      <c r="AN213" s="46">
        <f>HLOOKUP(TBL_CalcDarwin[[#This Row],[Fecha]],'Plantilla AEG ES'!$E$1:$HX$13,13,FALSE)</f>
        <v>1</v>
      </c>
      <c r="AO213" s="37">
        <f>TBL_CalcDarwin[[#This Row],[Lomitas - Barra A - 5.2 - Cerro]]+TBL_CalcDarwin[[#This Row],[Lomitas - Barra A - 5.2 - Medio]]+TBL_CalcDarwin[[#This Row],[Lomitas - Barra A - 5.2 - Mar]]</f>
        <v>25</v>
      </c>
      <c r="AP2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2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213" s="37">
        <f>TBL_CalcDarwin[[#This Row],[Expansión - Barra A - 5.2 - Cerro]]+TBL_CalcDarwin[[#This Row],[Expansión - Barra A - 5.2 - Medio]]+TBL_CalcDarwin[[#This Row],[Expansión - Barra A - 5.2 - Mar]]</f>
        <v>2</v>
      </c>
      <c r="AT213" s="37">
        <f>TBL_CalcDarwin[[#This Row],[Expansión - Barra B - 5.2 - Cerro]]</f>
        <v>1</v>
      </c>
      <c r="AU2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213" s="29">
        <f>TBL_CalcDarwin[[#This Row],[Expansión - Barra B - 5.2 - Cerro]]*TBL_CalcDarwin[[#This Row],[AEG 5.2 MW Cerro]]</f>
        <v>2.4089999999999998</v>
      </c>
      <c r="AZ213" s="18"/>
      <c r="BA213" s="18"/>
      <c r="BB213" s="18"/>
      <c r="BC213" s="18"/>
      <c r="BD213" s="18"/>
      <c r="BE213" s="18"/>
      <c r="BF213" s="18"/>
    </row>
    <row r="214" spans="2:58" ht="12" x14ac:dyDescent="0.2">
      <c r="B214" s="55">
        <f t="shared" si="19"/>
        <v>45621.833333332826</v>
      </c>
      <c r="C214" s="17">
        <f t="shared" si="20"/>
        <v>8.8333333333333428</v>
      </c>
      <c r="D214" s="34" t="e">
        <f>TBL_CalcDarwin[[#This Row],[Darwin PLOM
MW]]+TBL_CalcDarwin[[#This Row],[Darwin PLOME
MW]]</f>
        <v>#N/A</v>
      </c>
      <c r="E214" s="34" t="e">
        <f>TBL_CalcDarwin[[#This Row],[PLOM MW TOTAL BARRA A]]+TBL_CalcDarwin[[#This Row],[PLOM MW TOTAL BARRA B]]</f>
        <v>#N/A</v>
      </c>
      <c r="F214" s="34" t="e">
        <f>TBL_CalcDarwin[[#This Row],[PLOME MW TOTAL BARRA A]]+TBL_CalcDarwin[[#This Row],[PLOME MW TOTAL BARRA B]]</f>
        <v>#N/A</v>
      </c>
      <c r="G214" s="48">
        <f>'Plantilla Datos'!D219</f>
        <v>0</v>
      </c>
      <c r="H214" s="48">
        <f>'Plantilla Datos'!E219</f>
        <v>0</v>
      </c>
      <c r="I214" s="49">
        <f>'Plantilla Datos'!F219</f>
        <v>0</v>
      </c>
      <c r="J214" s="47">
        <f>CEILING('Plantilla Datos'!$L$3*TBL_CalcDarwin[[#This Row],[Darwin Gusts
m/s]],0.5)</f>
        <v>0</v>
      </c>
      <c r="K214" s="47">
        <f>CEILING('Plantilla Datos'!$L$4*TBL_CalcDarwin[[#This Row],[Darwin Gusts
m/s]],0.5)</f>
        <v>0</v>
      </c>
      <c r="L214" s="47">
        <f>CEILING(TBL_CalcDarwin[[#This Row],[Darwin Gusts
m/s]],0.5)</f>
        <v>0</v>
      </c>
      <c r="M214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4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4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4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4" s="41" t="e">
        <f>INDEX(Curva_Temp[Temp],MATCH(TBL_CalcDarwin[[#This Row],[Darwin Temp.
°C]],Curva_Temp[Temp]))</f>
        <v>#N/A</v>
      </c>
      <c r="R214" s="41" t="e">
        <f>INDEX(Curva_Temp[Warranted Power Curve for 
1.194Kg/m3 air density '[kW']
SG 5.0-145 (AM+1, 5.2MW) AT 
90M],MATCH(TBL_CalcDarwin[[#This Row],[Darwin Temp.
°C]],Curva_Temp[Temp]))</f>
        <v>#N/A</v>
      </c>
      <c r="S214" s="41" t="e" cm="1">
        <f t="array" ref="S214">INDEX(Curva_Temp[Temp],MATCH(TBL_CalcDarwin[[#This Row],[Darwin Temp.
°C]],Curva_Temp[Temp])+1)</f>
        <v>#N/A</v>
      </c>
      <c r="T214" s="41" t="e" cm="1">
        <f t="array" ref="T214">INDEX(Curva_Temp[Warranted Power Curve for 
1.194Kg/m3 air density '[kW']
SG 5.0-145 (AM+1, 5.2MW) AT 
90M],MATCH(TBL_CalcDarwin[[#This Row],[Darwin Temp.
°C]],Curva_Temp[Temp])+1)</f>
        <v>#N/A</v>
      </c>
      <c r="U214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4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4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4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4" s="41" t="e">
        <f>INDEX(Curva_Temp[Temp],MATCH(TBL_CalcDarwin[[#This Row],[Darwin Temp.
°C]],Curva_Temp[Temp]))</f>
        <v>#N/A</v>
      </c>
      <c r="Z214" s="41" t="e">
        <f>INDEX(Curva_Temp[Warranted Power Curve for 
1.194Kg/m3 air density '[kW']
SG 5.0-145 (AM 0, 5.0MW) AT 
90M],MATCH(TBL_CalcDarwin[[#This Row],[Darwin Temp.
°C]],Curva_Temp[Temp]))</f>
        <v>#N/A</v>
      </c>
      <c r="AA214" s="41" t="e" cm="1">
        <f t="array" ref="AA214">INDEX(Curva_Temp[Temp],MATCH(TBL_CalcDarwin[[#This Row],[Darwin Temp.
°C]],Curva_Temp[Temp])+1)</f>
        <v>#N/A</v>
      </c>
      <c r="AB214" s="41" t="e" cm="1">
        <f t="array" ref="AB214">INDEX(Curva_Temp[Warranted Power Curve for 
1.194Kg/m3 air density '[kW']
SG 5.0-145 (AM 0, 5.0MW) AT 
90M],MATCH(TBL_CalcDarwin[[#This Row],[Darwin Temp.
°C]],Curva_Temp[Temp])+1)</f>
        <v>#N/A</v>
      </c>
      <c r="AC214" s="45">
        <f>HLOOKUP(TBL_CalcDarwin[[#This Row],[Fecha]],'Plantilla AEG ES'!$E$1:$HX$13,2,FALSE)</f>
        <v>5</v>
      </c>
      <c r="AD214" s="45">
        <f>HLOOKUP(TBL_CalcDarwin[[#This Row],[Fecha]],'Plantilla AEG ES'!$E$1:$HX$13,3,FALSE)</f>
        <v>8</v>
      </c>
      <c r="AE214" s="45">
        <f>HLOOKUP(TBL_CalcDarwin[[#This Row],[Fecha]],'Plantilla AEG ES'!$E$1:$HX$13,4,FALSE)</f>
        <v>12</v>
      </c>
      <c r="AF214" s="45">
        <f>HLOOKUP(TBL_CalcDarwin[[#This Row],[Fecha]],'Plantilla AEG ES'!$E$1:$HX$13,5,FALSE)</f>
        <v>1</v>
      </c>
      <c r="AG214" s="45">
        <f>HLOOKUP(TBL_CalcDarwin[[#This Row],[Fecha]],'Plantilla AEG ES'!$E$1:$HX$13,6,FALSE)</f>
        <v>1</v>
      </c>
      <c r="AH214" s="45">
        <f>HLOOKUP(TBL_CalcDarwin[[#This Row],[Fecha]],'Plantilla AEG ES'!$E$1:$HX$13,7,FALSE)</f>
        <v>0</v>
      </c>
      <c r="AI214" s="46">
        <f>HLOOKUP(TBL_CalcDarwin[[#This Row],[Fecha]],'Plantilla AEG ES'!$E$1:$HX$13,8,FALSE)</f>
        <v>0</v>
      </c>
      <c r="AJ214" s="46">
        <f>HLOOKUP(TBL_CalcDarwin[[#This Row],[Fecha]],'Plantilla AEG ES'!$E$1:$HX$13,9,FALSE)</f>
        <v>3</v>
      </c>
      <c r="AK214" s="46">
        <f>HLOOKUP(TBL_CalcDarwin[[#This Row],[Fecha]],'Plantilla AEG ES'!$E$1:$HX$13,10,FALSE)</f>
        <v>12</v>
      </c>
      <c r="AL214" s="46">
        <f>HLOOKUP(TBL_CalcDarwin[[#This Row],[Fecha]],'Plantilla AEG ES'!$E$1:$HX$13,11,FALSE)</f>
        <v>1</v>
      </c>
      <c r="AM214" s="46">
        <f>HLOOKUP(TBL_CalcDarwin[[#This Row],[Fecha]],'Plantilla AEG ES'!$E$1:$HX$13,12,FALSE)</f>
        <v>7</v>
      </c>
      <c r="AN214" s="46">
        <f>HLOOKUP(TBL_CalcDarwin[[#This Row],[Fecha]],'Plantilla AEG ES'!$E$1:$HX$13,13,FALSE)</f>
        <v>1</v>
      </c>
      <c r="AO214" s="37">
        <f>TBL_CalcDarwin[[#This Row],[Lomitas - Barra A - 5.2 - Cerro]]+TBL_CalcDarwin[[#This Row],[Lomitas - Barra A - 5.2 - Medio]]+TBL_CalcDarwin[[#This Row],[Lomitas - Barra A - 5.2 - Mar]]</f>
        <v>25</v>
      </c>
      <c r="AP2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4" s="37">
        <f>TBL_CalcDarwin[[#This Row],[Expansión - Barra A - 5.2 - Cerro]]+TBL_CalcDarwin[[#This Row],[Expansión - Barra A - 5.2 - Medio]]+TBL_CalcDarwin[[#This Row],[Expansión - Barra A - 5.2 - Mar]]</f>
        <v>2</v>
      </c>
      <c r="AT214" s="37">
        <f>TBL_CalcDarwin[[#This Row],[Expansión - Barra B - 5.2 - Cerro]]</f>
        <v>1</v>
      </c>
      <c r="AU2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4" s="29" t="e">
        <f>TBL_CalcDarwin[[#This Row],[Expansión - Barra B - 5.2 - Cerro]]*TBL_CalcDarwin[[#This Row],[AEG 5.2 MW Cerro]]</f>
        <v>#N/A</v>
      </c>
      <c r="AZ214" s="18"/>
      <c r="BA214" s="18"/>
      <c r="BB214" s="18"/>
      <c r="BC214" s="18"/>
      <c r="BD214" s="18"/>
      <c r="BE214" s="18"/>
      <c r="BF214" s="18"/>
    </row>
    <row r="215" spans="2:58" ht="12" x14ac:dyDescent="0.2">
      <c r="B215" s="55">
        <f t="shared" si="19"/>
        <v>45621.874999999491</v>
      </c>
      <c r="C215" s="17">
        <f>C214+TIME(1,0,0)</f>
        <v>8.8750000000000089</v>
      </c>
      <c r="D215" s="34" t="e">
        <f>TBL_CalcDarwin[[#This Row],[Darwin PLOM
MW]]+TBL_CalcDarwin[[#This Row],[Darwin PLOME
MW]]</f>
        <v>#N/A</v>
      </c>
      <c r="E215" s="34" t="e">
        <f>TBL_CalcDarwin[[#This Row],[PLOM MW TOTAL BARRA A]]+TBL_CalcDarwin[[#This Row],[PLOM MW TOTAL BARRA B]]</f>
        <v>#N/A</v>
      </c>
      <c r="F215" s="34" t="e">
        <f>TBL_CalcDarwin[[#This Row],[PLOME MW TOTAL BARRA A]]+TBL_CalcDarwin[[#This Row],[PLOME MW TOTAL BARRA B]]</f>
        <v>#N/A</v>
      </c>
      <c r="G215" s="48">
        <f>'Plantilla Datos'!D220</f>
        <v>0</v>
      </c>
      <c r="H215" s="48">
        <f>'Plantilla Datos'!E220</f>
        <v>0</v>
      </c>
      <c r="I215" s="49">
        <f>'Plantilla Datos'!F220</f>
        <v>0</v>
      </c>
      <c r="J215" s="47">
        <f>CEILING('Plantilla Datos'!$L$3*TBL_CalcDarwin[[#This Row],[Darwin Gusts
m/s]],0.5)</f>
        <v>0</v>
      </c>
      <c r="K215" s="47">
        <f>CEILING('Plantilla Datos'!$L$4*TBL_CalcDarwin[[#This Row],[Darwin Gusts
m/s]],0.5)</f>
        <v>0</v>
      </c>
      <c r="L215" s="47">
        <f>CEILING(TBL_CalcDarwin[[#This Row],[Darwin Gusts
m/s]],0.5)</f>
        <v>0</v>
      </c>
      <c r="M215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5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5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5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5" s="41" t="e">
        <f>INDEX(Curva_Temp[Temp],MATCH(TBL_CalcDarwin[[#This Row],[Darwin Temp.
°C]],Curva_Temp[Temp]))</f>
        <v>#N/A</v>
      </c>
      <c r="R215" s="41" t="e">
        <f>INDEX(Curva_Temp[Warranted Power Curve for 
1.194Kg/m3 air density '[kW']
SG 5.0-145 (AM+1, 5.2MW) AT 
90M],MATCH(TBL_CalcDarwin[[#This Row],[Darwin Temp.
°C]],Curva_Temp[Temp]))</f>
        <v>#N/A</v>
      </c>
      <c r="S215" s="41" t="e" cm="1">
        <f t="array" ref="S215">INDEX(Curva_Temp[Temp],MATCH(TBL_CalcDarwin[[#This Row],[Darwin Temp.
°C]],Curva_Temp[Temp])+1)</f>
        <v>#N/A</v>
      </c>
      <c r="T215" s="41" t="e" cm="1">
        <f t="array" ref="T215">INDEX(Curva_Temp[Warranted Power Curve for 
1.194Kg/m3 air density '[kW']
SG 5.0-145 (AM+1, 5.2MW) AT 
90M],MATCH(TBL_CalcDarwin[[#This Row],[Darwin Temp.
°C]],Curva_Temp[Temp])+1)</f>
        <v>#N/A</v>
      </c>
      <c r="U215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5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5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5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5" s="41" t="e">
        <f>INDEX(Curva_Temp[Temp],MATCH(TBL_CalcDarwin[[#This Row],[Darwin Temp.
°C]],Curva_Temp[Temp]))</f>
        <v>#N/A</v>
      </c>
      <c r="Z215" s="41" t="e">
        <f>INDEX(Curva_Temp[Warranted Power Curve for 
1.194Kg/m3 air density '[kW']
SG 5.0-145 (AM 0, 5.0MW) AT 
90M],MATCH(TBL_CalcDarwin[[#This Row],[Darwin Temp.
°C]],Curva_Temp[Temp]))</f>
        <v>#N/A</v>
      </c>
      <c r="AA215" s="41" t="e" cm="1">
        <f t="array" ref="AA215">INDEX(Curva_Temp[Temp],MATCH(TBL_CalcDarwin[[#This Row],[Darwin Temp.
°C]],Curva_Temp[Temp])+1)</f>
        <v>#N/A</v>
      </c>
      <c r="AB215" s="41" t="e" cm="1">
        <f t="array" ref="AB215">INDEX(Curva_Temp[Warranted Power Curve for 
1.194Kg/m3 air density '[kW']
SG 5.0-145 (AM 0, 5.0MW) AT 
90M],MATCH(TBL_CalcDarwin[[#This Row],[Darwin Temp.
°C]],Curva_Temp[Temp])+1)</f>
        <v>#N/A</v>
      </c>
      <c r="AC215" s="45">
        <f>HLOOKUP(TBL_CalcDarwin[[#This Row],[Fecha]],'Plantilla AEG ES'!$E$1:$HX$13,2,FALSE)</f>
        <v>5</v>
      </c>
      <c r="AD215" s="45">
        <f>HLOOKUP(TBL_CalcDarwin[[#This Row],[Fecha]],'Plantilla AEG ES'!$E$1:$HX$13,3,FALSE)</f>
        <v>8</v>
      </c>
      <c r="AE215" s="45">
        <f>HLOOKUP(TBL_CalcDarwin[[#This Row],[Fecha]],'Plantilla AEG ES'!$E$1:$HX$13,4,FALSE)</f>
        <v>12</v>
      </c>
      <c r="AF215" s="45">
        <f>HLOOKUP(TBL_CalcDarwin[[#This Row],[Fecha]],'Plantilla AEG ES'!$E$1:$HX$13,5,FALSE)</f>
        <v>1</v>
      </c>
      <c r="AG215" s="45">
        <f>HLOOKUP(TBL_CalcDarwin[[#This Row],[Fecha]],'Plantilla AEG ES'!$E$1:$HX$13,6,FALSE)</f>
        <v>1</v>
      </c>
      <c r="AH215" s="45">
        <f>HLOOKUP(TBL_CalcDarwin[[#This Row],[Fecha]],'Plantilla AEG ES'!$E$1:$HX$13,7,FALSE)</f>
        <v>0</v>
      </c>
      <c r="AI215" s="46">
        <f>HLOOKUP(TBL_CalcDarwin[[#This Row],[Fecha]],'Plantilla AEG ES'!$E$1:$HX$13,8,FALSE)</f>
        <v>0</v>
      </c>
      <c r="AJ215" s="46">
        <f>HLOOKUP(TBL_CalcDarwin[[#This Row],[Fecha]],'Plantilla AEG ES'!$E$1:$HX$13,9,FALSE)</f>
        <v>3</v>
      </c>
      <c r="AK215" s="46">
        <f>HLOOKUP(TBL_CalcDarwin[[#This Row],[Fecha]],'Plantilla AEG ES'!$E$1:$HX$13,10,FALSE)</f>
        <v>12</v>
      </c>
      <c r="AL215" s="46">
        <f>HLOOKUP(TBL_CalcDarwin[[#This Row],[Fecha]],'Plantilla AEG ES'!$E$1:$HX$13,11,FALSE)</f>
        <v>1</v>
      </c>
      <c r="AM215" s="46">
        <f>HLOOKUP(TBL_CalcDarwin[[#This Row],[Fecha]],'Plantilla AEG ES'!$E$1:$HX$13,12,FALSE)</f>
        <v>7</v>
      </c>
      <c r="AN215" s="46">
        <f>HLOOKUP(TBL_CalcDarwin[[#This Row],[Fecha]],'Plantilla AEG ES'!$E$1:$HX$13,13,FALSE)</f>
        <v>1</v>
      </c>
      <c r="AO215" s="37">
        <f>TBL_CalcDarwin[[#This Row],[Lomitas - Barra A - 5.2 - Cerro]]+TBL_CalcDarwin[[#This Row],[Lomitas - Barra A - 5.2 - Medio]]+TBL_CalcDarwin[[#This Row],[Lomitas - Barra A - 5.2 - Mar]]</f>
        <v>25</v>
      </c>
      <c r="AP2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5" s="37">
        <f>TBL_CalcDarwin[[#This Row],[Expansión - Barra A - 5.2 - Cerro]]+TBL_CalcDarwin[[#This Row],[Expansión - Barra A - 5.2 - Medio]]+TBL_CalcDarwin[[#This Row],[Expansión - Barra A - 5.2 - Mar]]</f>
        <v>2</v>
      </c>
      <c r="AT215" s="37">
        <f>TBL_CalcDarwin[[#This Row],[Expansión - Barra B - 5.2 - Cerro]]</f>
        <v>1</v>
      </c>
      <c r="AU2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5" s="29" t="e">
        <f>TBL_CalcDarwin[[#This Row],[Expansión - Barra B - 5.2 - Cerro]]*TBL_CalcDarwin[[#This Row],[AEG 5.2 MW Cerro]]</f>
        <v>#N/A</v>
      </c>
      <c r="AZ215" s="18"/>
      <c r="BA215" s="18"/>
      <c r="BB215" s="18"/>
      <c r="BC215" s="18"/>
      <c r="BD215" s="18"/>
      <c r="BE215" s="18"/>
      <c r="BF215" s="18"/>
    </row>
    <row r="216" spans="2:58" ht="12" x14ac:dyDescent="0.2">
      <c r="B216" s="55">
        <f t="shared" si="19"/>
        <v>45621.916666666155</v>
      </c>
      <c r="C216" s="17">
        <f t="shared" ref="C216:C220" si="21">C215+TIME(1,0,0)</f>
        <v>8.916666666666675</v>
      </c>
      <c r="D216" s="34" t="e">
        <f>TBL_CalcDarwin[[#This Row],[Darwin PLOM
MW]]+TBL_CalcDarwin[[#This Row],[Darwin PLOME
MW]]</f>
        <v>#N/A</v>
      </c>
      <c r="E216" s="34" t="e">
        <f>TBL_CalcDarwin[[#This Row],[PLOM MW TOTAL BARRA A]]+TBL_CalcDarwin[[#This Row],[PLOM MW TOTAL BARRA B]]</f>
        <v>#N/A</v>
      </c>
      <c r="F216" s="34" t="e">
        <f>TBL_CalcDarwin[[#This Row],[PLOME MW TOTAL BARRA A]]+TBL_CalcDarwin[[#This Row],[PLOME MW TOTAL BARRA B]]</f>
        <v>#N/A</v>
      </c>
      <c r="G216" s="48">
        <f>'Plantilla Datos'!D221</f>
        <v>0</v>
      </c>
      <c r="H216" s="48">
        <f>'Plantilla Datos'!E221</f>
        <v>0</v>
      </c>
      <c r="I216" s="49">
        <f>'Plantilla Datos'!F221</f>
        <v>0</v>
      </c>
      <c r="J216" s="47">
        <f>CEILING('Plantilla Datos'!$L$3*TBL_CalcDarwin[[#This Row],[Darwin Gusts
m/s]],0.5)</f>
        <v>0</v>
      </c>
      <c r="K216" s="47">
        <f>CEILING('Plantilla Datos'!$L$4*TBL_CalcDarwin[[#This Row],[Darwin Gusts
m/s]],0.5)</f>
        <v>0</v>
      </c>
      <c r="L216" s="47">
        <f>CEILING(TBL_CalcDarwin[[#This Row],[Darwin Gusts
m/s]],0.5)</f>
        <v>0</v>
      </c>
      <c r="M216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6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6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6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6" s="41" t="e">
        <f>INDEX(Curva_Temp[Temp],MATCH(TBL_CalcDarwin[[#This Row],[Darwin Temp.
°C]],Curva_Temp[Temp]))</f>
        <v>#N/A</v>
      </c>
      <c r="R216" s="41" t="e">
        <f>INDEX(Curva_Temp[Warranted Power Curve for 
1.194Kg/m3 air density '[kW']
SG 5.0-145 (AM+1, 5.2MW) AT 
90M],MATCH(TBL_CalcDarwin[[#This Row],[Darwin Temp.
°C]],Curva_Temp[Temp]))</f>
        <v>#N/A</v>
      </c>
      <c r="S216" s="41" t="e" cm="1">
        <f t="array" ref="S216">INDEX(Curva_Temp[Temp],MATCH(TBL_CalcDarwin[[#This Row],[Darwin Temp.
°C]],Curva_Temp[Temp])+1)</f>
        <v>#N/A</v>
      </c>
      <c r="T216" s="41" t="e" cm="1">
        <f t="array" ref="T216">INDEX(Curva_Temp[Warranted Power Curve for 
1.194Kg/m3 air density '[kW']
SG 5.0-145 (AM+1, 5.2MW) AT 
90M],MATCH(TBL_CalcDarwin[[#This Row],[Darwin Temp.
°C]],Curva_Temp[Temp])+1)</f>
        <v>#N/A</v>
      </c>
      <c r="U216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6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6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6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6" s="41" t="e">
        <f>INDEX(Curva_Temp[Temp],MATCH(TBL_CalcDarwin[[#This Row],[Darwin Temp.
°C]],Curva_Temp[Temp]))</f>
        <v>#N/A</v>
      </c>
      <c r="Z216" s="41" t="e">
        <f>INDEX(Curva_Temp[Warranted Power Curve for 
1.194Kg/m3 air density '[kW']
SG 5.0-145 (AM 0, 5.0MW) AT 
90M],MATCH(TBL_CalcDarwin[[#This Row],[Darwin Temp.
°C]],Curva_Temp[Temp]))</f>
        <v>#N/A</v>
      </c>
      <c r="AA216" s="41" t="e" cm="1">
        <f t="array" ref="AA216">INDEX(Curva_Temp[Temp],MATCH(TBL_CalcDarwin[[#This Row],[Darwin Temp.
°C]],Curva_Temp[Temp])+1)</f>
        <v>#N/A</v>
      </c>
      <c r="AB216" s="41" t="e" cm="1">
        <f t="array" ref="AB216">INDEX(Curva_Temp[Warranted Power Curve for 
1.194Kg/m3 air density '[kW']
SG 5.0-145 (AM 0, 5.0MW) AT 
90M],MATCH(TBL_CalcDarwin[[#This Row],[Darwin Temp.
°C]],Curva_Temp[Temp])+1)</f>
        <v>#N/A</v>
      </c>
      <c r="AC216" s="45">
        <f>HLOOKUP(TBL_CalcDarwin[[#This Row],[Fecha]],'Plantilla AEG ES'!$E$1:$HX$13,2,FALSE)</f>
        <v>5</v>
      </c>
      <c r="AD216" s="45">
        <f>HLOOKUP(TBL_CalcDarwin[[#This Row],[Fecha]],'Plantilla AEG ES'!$E$1:$HX$13,3,FALSE)</f>
        <v>8</v>
      </c>
      <c r="AE216" s="45">
        <f>HLOOKUP(TBL_CalcDarwin[[#This Row],[Fecha]],'Plantilla AEG ES'!$E$1:$HX$13,4,FALSE)</f>
        <v>12</v>
      </c>
      <c r="AF216" s="45">
        <f>HLOOKUP(TBL_CalcDarwin[[#This Row],[Fecha]],'Plantilla AEG ES'!$E$1:$HX$13,5,FALSE)</f>
        <v>1</v>
      </c>
      <c r="AG216" s="45">
        <f>HLOOKUP(TBL_CalcDarwin[[#This Row],[Fecha]],'Plantilla AEG ES'!$E$1:$HX$13,6,FALSE)</f>
        <v>1</v>
      </c>
      <c r="AH216" s="45">
        <f>HLOOKUP(TBL_CalcDarwin[[#This Row],[Fecha]],'Plantilla AEG ES'!$E$1:$HX$13,7,FALSE)</f>
        <v>0</v>
      </c>
      <c r="AI216" s="46">
        <f>HLOOKUP(TBL_CalcDarwin[[#This Row],[Fecha]],'Plantilla AEG ES'!$E$1:$HX$13,8,FALSE)</f>
        <v>0</v>
      </c>
      <c r="AJ216" s="46">
        <f>HLOOKUP(TBL_CalcDarwin[[#This Row],[Fecha]],'Plantilla AEG ES'!$E$1:$HX$13,9,FALSE)</f>
        <v>3</v>
      </c>
      <c r="AK216" s="46">
        <f>HLOOKUP(TBL_CalcDarwin[[#This Row],[Fecha]],'Plantilla AEG ES'!$E$1:$HX$13,10,FALSE)</f>
        <v>12</v>
      </c>
      <c r="AL216" s="46">
        <f>HLOOKUP(TBL_CalcDarwin[[#This Row],[Fecha]],'Plantilla AEG ES'!$E$1:$HX$13,11,FALSE)</f>
        <v>1</v>
      </c>
      <c r="AM216" s="46">
        <f>HLOOKUP(TBL_CalcDarwin[[#This Row],[Fecha]],'Plantilla AEG ES'!$E$1:$HX$13,12,FALSE)</f>
        <v>7</v>
      </c>
      <c r="AN216" s="46">
        <f>HLOOKUP(TBL_CalcDarwin[[#This Row],[Fecha]],'Plantilla AEG ES'!$E$1:$HX$13,13,FALSE)</f>
        <v>1</v>
      </c>
      <c r="AO216" s="37">
        <f>TBL_CalcDarwin[[#This Row],[Lomitas - Barra A - 5.2 - Cerro]]+TBL_CalcDarwin[[#This Row],[Lomitas - Barra A - 5.2 - Medio]]+TBL_CalcDarwin[[#This Row],[Lomitas - Barra A - 5.2 - Mar]]</f>
        <v>25</v>
      </c>
      <c r="AP2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6" s="37">
        <f>TBL_CalcDarwin[[#This Row],[Expansión - Barra A - 5.2 - Cerro]]+TBL_CalcDarwin[[#This Row],[Expansión - Barra A - 5.2 - Medio]]+TBL_CalcDarwin[[#This Row],[Expansión - Barra A - 5.2 - Mar]]</f>
        <v>2</v>
      </c>
      <c r="AT216" s="37">
        <f>TBL_CalcDarwin[[#This Row],[Expansión - Barra B - 5.2 - Cerro]]</f>
        <v>1</v>
      </c>
      <c r="AU2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6" s="29" t="e">
        <f>TBL_CalcDarwin[[#This Row],[Expansión - Barra B - 5.2 - Cerro]]*TBL_CalcDarwin[[#This Row],[AEG 5.2 MW Cerro]]</f>
        <v>#N/A</v>
      </c>
      <c r="AZ216" s="18"/>
      <c r="BA216" s="18"/>
      <c r="BB216" s="18"/>
      <c r="BC216" s="18"/>
      <c r="BD216" s="18"/>
      <c r="BE216" s="18"/>
      <c r="BF216" s="18"/>
    </row>
    <row r="217" spans="2:58" ht="12" x14ac:dyDescent="0.2">
      <c r="B217" s="55">
        <f t="shared" si="19"/>
        <v>45621.958333332819</v>
      </c>
      <c r="C217" s="17">
        <f t="shared" si="21"/>
        <v>8.958333333333341</v>
      </c>
      <c r="D217" s="34" t="e">
        <f>TBL_CalcDarwin[[#This Row],[Darwin PLOM
MW]]+TBL_CalcDarwin[[#This Row],[Darwin PLOME
MW]]</f>
        <v>#N/A</v>
      </c>
      <c r="E217" s="34" t="e">
        <f>TBL_CalcDarwin[[#This Row],[PLOM MW TOTAL BARRA A]]+TBL_CalcDarwin[[#This Row],[PLOM MW TOTAL BARRA B]]</f>
        <v>#N/A</v>
      </c>
      <c r="F217" s="34" t="e">
        <f>TBL_CalcDarwin[[#This Row],[PLOME MW TOTAL BARRA A]]+TBL_CalcDarwin[[#This Row],[PLOME MW TOTAL BARRA B]]</f>
        <v>#N/A</v>
      </c>
      <c r="G217" s="48">
        <f>'Plantilla Datos'!D222</f>
        <v>0</v>
      </c>
      <c r="H217" s="48">
        <f>'Plantilla Datos'!E222</f>
        <v>0</v>
      </c>
      <c r="I217" s="49">
        <f>'Plantilla Datos'!F222</f>
        <v>0</v>
      </c>
      <c r="J217" s="47">
        <f>CEILING('Plantilla Datos'!$L$3*TBL_CalcDarwin[[#This Row],[Darwin Gusts
m/s]],0.5)</f>
        <v>0</v>
      </c>
      <c r="K217" s="47">
        <f>CEILING('Plantilla Datos'!$L$4*TBL_CalcDarwin[[#This Row],[Darwin Gusts
m/s]],0.5)</f>
        <v>0</v>
      </c>
      <c r="L217" s="47">
        <f>CEILING(TBL_CalcDarwin[[#This Row],[Darwin Gusts
m/s]],0.5)</f>
        <v>0</v>
      </c>
      <c r="M217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7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7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7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7" s="41" t="e">
        <f>INDEX(Curva_Temp[Temp],MATCH(TBL_CalcDarwin[[#This Row],[Darwin Temp.
°C]],Curva_Temp[Temp]))</f>
        <v>#N/A</v>
      </c>
      <c r="R217" s="41" t="e">
        <f>INDEX(Curva_Temp[Warranted Power Curve for 
1.194Kg/m3 air density '[kW']
SG 5.0-145 (AM+1, 5.2MW) AT 
90M],MATCH(TBL_CalcDarwin[[#This Row],[Darwin Temp.
°C]],Curva_Temp[Temp]))</f>
        <v>#N/A</v>
      </c>
      <c r="S217" s="41" t="e" cm="1">
        <f t="array" ref="S217">INDEX(Curva_Temp[Temp],MATCH(TBL_CalcDarwin[[#This Row],[Darwin Temp.
°C]],Curva_Temp[Temp])+1)</f>
        <v>#N/A</v>
      </c>
      <c r="T217" s="41" t="e" cm="1">
        <f t="array" ref="T217">INDEX(Curva_Temp[Warranted Power Curve for 
1.194Kg/m3 air density '[kW']
SG 5.0-145 (AM+1, 5.2MW) AT 
90M],MATCH(TBL_CalcDarwin[[#This Row],[Darwin Temp.
°C]],Curva_Temp[Temp])+1)</f>
        <v>#N/A</v>
      </c>
      <c r="U217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7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7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7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7" s="41" t="e">
        <f>INDEX(Curva_Temp[Temp],MATCH(TBL_CalcDarwin[[#This Row],[Darwin Temp.
°C]],Curva_Temp[Temp]))</f>
        <v>#N/A</v>
      </c>
      <c r="Z217" s="41" t="e">
        <f>INDEX(Curva_Temp[Warranted Power Curve for 
1.194Kg/m3 air density '[kW']
SG 5.0-145 (AM 0, 5.0MW) AT 
90M],MATCH(TBL_CalcDarwin[[#This Row],[Darwin Temp.
°C]],Curva_Temp[Temp]))</f>
        <v>#N/A</v>
      </c>
      <c r="AA217" s="41" t="e" cm="1">
        <f t="array" ref="AA217">INDEX(Curva_Temp[Temp],MATCH(TBL_CalcDarwin[[#This Row],[Darwin Temp.
°C]],Curva_Temp[Temp])+1)</f>
        <v>#N/A</v>
      </c>
      <c r="AB217" s="41" t="e" cm="1">
        <f t="array" ref="AB217">INDEX(Curva_Temp[Warranted Power Curve for 
1.194Kg/m3 air density '[kW']
SG 5.0-145 (AM 0, 5.0MW) AT 
90M],MATCH(TBL_CalcDarwin[[#This Row],[Darwin Temp.
°C]],Curva_Temp[Temp])+1)</f>
        <v>#N/A</v>
      </c>
      <c r="AC217" s="45">
        <f>HLOOKUP(TBL_CalcDarwin[[#This Row],[Fecha]],'Plantilla AEG ES'!$E$1:$HX$13,2,FALSE)</f>
        <v>5</v>
      </c>
      <c r="AD217" s="45">
        <f>HLOOKUP(TBL_CalcDarwin[[#This Row],[Fecha]],'Plantilla AEG ES'!$E$1:$HX$13,3,FALSE)</f>
        <v>8</v>
      </c>
      <c r="AE217" s="45">
        <f>HLOOKUP(TBL_CalcDarwin[[#This Row],[Fecha]],'Plantilla AEG ES'!$E$1:$HX$13,4,FALSE)</f>
        <v>12</v>
      </c>
      <c r="AF217" s="45">
        <f>HLOOKUP(TBL_CalcDarwin[[#This Row],[Fecha]],'Plantilla AEG ES'!$E$1:$HX$13,5,FALSE)</f>
        <v>1</v>
      </c>
      <c r="AG217" s="45">
        <f>HLOOKUP(TBL_CalcDarwin[[#This Row],[Fecha]],'Plantilla AEG ES'!$E$1:$HX$13,6,FALSE)</f>
        <v>1</v>
      </c>
      <c r="AH217" s="45">
        <f>HLOOKUP(TBL_CalcDarwin[[#This Row],[Fecha]],'Plantilla AEG ES'!$E$1:$HX$13,7,FALSE)</f>
        <v>0</v>
      </c>
      <c r="AI217" s="46">
        <f>HLOOKUP(TBL_CalcDarwin[[#This Row],[Fecha]],'Plantilla AEG ES'!$E$1:$HX$13,8,FALSE)</f>
        <v>0</v>
      </c>
      <c r="AJ217" s="46">
        <f>HLOOKUP(TBL_CalcDarwin[[#This Row],[Fecha]],'Plantilla AEG ES'!$E$1:$HX$13,9,FALSE)</f>
        <v>3</v>
      </c>
      <c r="AK217" s="46">
        <f>HLOOKUP(TBL_CalcDarwin[[#This Row],[Fecha]],'Plantilla AEG ES'!$E$1:$HX$13,10,FALSE)</f>
        <v>12</v>
      </c>
      <c r="AL217" s="46">
        <f>HLOOKUP(TBL_CalcDarwin[[#This Row],[Fecha]],'Plantilla AEG ES'!$E$1:$HX$13,11,FALSE)</f>
        <v>1</v>
      </c>
      <c r="AM217" s="46">
        <f>HLOOKUP(TBL_CalcDarwin[[#This Row],[Fecha]],'Plantilla AEG ES'!$E$1:$HX$13,12,FALSE)</f>
        <v>7</v>
      </c>
      <c r="AN217" s="46">
        <f>HLOOKUP(TBL_CalcDarwin[[#This Row],[Fecha]],'Plantilla AEG ES'!$E$1:$HX$13,13,FALSE)</f>
        <v>1</v>
      </c>
      <c r="AO217" s="37">
        <f>TBL_CalcDarwin[[#This Row],[Lomitas - Barra A - 5.2 - Cerro]]+TBL_CalcDarwin[[#This Row],[Lomitas - Barra A - 5.2 - Medio]]+TBL_CalcDarwin[[#This Row],[Lomitas - Barra A - 5.2 - Mar]]</f>
        <v>25</v>
      </c>
      <c r="AP2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7" s="37">
        <f>TBL_CalcDarwin[[#This Row],[Expansión - Barra A - 5.2 - Cerro]]+TBL_CalcDarwin[[#This Row],[Expansión - Barra A - 5.2 - Medio]]+TBL_CalcDarwin[[#This Row],[Expansión - Barra A - 5.2 - Mar]]</f>
        <v>2</v>
      </c>
      <c r="AT217" s="37">
        <f>TBL_CalcDarwin[[#This Row],[Expansión - Barra B - 5.2 - Cerro]]</f>
        <v>1</v>
      </c>
      <c r="AU2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7" s="29" t="e">
        <f>TBL_CalcDarwin[[#This Row],[Expansión - Barra B - 5.2 - Cerro]]*TBL_CalcDarwin[[#This Row],[AEG 5.2 MW Cerro]]</f>
        <v>#N/A</v>
      </c>
      <c r="AZ217" s="18"/>
      <c r="BA217" s="18"/>
      <c r="BB217" s="18"/>
      <c r="BC217" s="18"/>
      <c r="BD217" s="18"/>
      <c r="BE217" s="18"/>
      <c r="BF217" s="18"/>
    </row>
    <row r="218" spans="2:58" ht="12" x14ac:dyDescent="0.2">
      <c r="B218" s="55">
        <f t="shared" si="19"/>
        <v>45621.999999999483</v>
      </c>
      <c r="C218" s="17">
        <f t="shared" si="21"/>
        <v>9.0000000000000071</v>
      </c>
      <c r="D218" s="34" t="e">
        <f>TBL_CalcDarwin[[#This Row],[Darwin PLOM
MW]]+TBL_CalcDarwin[[#This Row],[Darwin PLOME
MW]]</f>
        <v>#N/A</v>
      </c>
      <c r="E218" s="34" t="e">
        <f>TBL_CalcDarwin[[#This Row],[PLOM MW TOTAL BARRA A]]+TBL_CalcDarwin[[#This Row],[PLOM MW TOTAL BARRA B]]</f>
        <v>#N/A</v>
      </c>
      <c r="F218" s="34" t="e">
        <f>TBL_CalcDarwin[[#This Row],[PLOME MW TOTAL BARRA A]]+TBL_CalcDarwin[[#This Row],[PLOME MW TOTAL BARRA B]]</f>
        <v>#N/A</v>
      </c>
      <c r="G218" s="48">
        <f>'Plantilla Datos'!D223</f>
        <v>0</v>
      </c>
      <c r="H218" s="48">
        <f>'Plantilla Datos'!E223</f>
        <v>0</v>
      </c>
      <c r="I218" s="49">
        <f>'Plantilla Datos'!F223</f>
        <v>0</v>
      </c>
      <c r="J218" s="47">
        <f>CEILING('Plantilla Datos'!$L$3*TBL_CalcDarwin[[#This Row],[Darwin Gusts
m/s]],0.5)</f>
        <v>0</v>
      </c>
      <c r="K218" s="47">
        <f>CEILING('Plantilla Datos'!$L$4*TBL_CalcDarwin[[#This Row],[Darwin Gusts
m/s]],0.5)</f>
        <v>0</v>
      </c>
      <c r="L218" s="47">
        <f>CEILING(TBL_CalcDarwin[[#This Row],[Darwin Gusts
m/s]],0.5)</f>
        <v>0</v>
      </c>
      <c r="M218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8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8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8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8" s="41" t="e">
        <f>INDEX(Curva_Temp[Temp],MATCH(TBL_CalcDarwin[[#This Row],[Darwin Temp.
°C]],Curva_Temp[Temp]))</f>
        <v>#N/A</v>
      </c>
      <c r="R218" s="41" t="e">
        <f>INDEX(Curva_Temp[Warranted Power Curve for 
1.194Kg/m3 air density '[kW']
SG 5.0-145 (AM+1, 5.2MW) AT 
90M],MATCH(TBL_CalcDarwin[[#This Row],[Darwin Temp.
°C]],Curva_Temp[Temp]))</f>
        <v>#N/A</v>
      </c>
      <c r="S218" s="41" t="e" cm="1">
        <f t="array" ref="S218">INDEX(Curva_Temp[Temp],MATCH(TBL_CalcDarwin[[#This Row],[Darwin Temp.
°C]],Curva_Temp[Temp])+1)</f>
        <v>#N/A</v>
      </c>
      <c r="T218" s="41" t="e" cm="1">
        <f t="array" ref="T218">INDEX(Curva_Temp[Warranted Power Curve for 
1.194Kg/m3 air density '[kW']
SG 5.0-145 (AM+1, 5.2MW) AT 
90M],MATCH(TBL_CalcDarwin[[#This Row],[Darwin Temp.
°C]],Curva_Temp[Temp])+1)</f>
        <v>#N/A</v>
      </c>
      <c r="U218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8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8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8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8" s="41" t="e">
        <f>INDEX(Curva_Temp[Temp],MATCH(TBL_CalcDarwin[[#This Row],[Darwin Temp.
°C]],Curva_Temp[Temp]))</f>
        <v>#N/A</v>
      </c>
      <c r="Z218" s="41" t="e">
        <f>INDEX(Curva_Temp[Warranted Power Curve for 
1.194Kg/m3 air density '[kW']
SG 5.0-145 (AM 0, 5.0MW) AT 
90M],MATCH(TBL_CalcDarwin[[#This Row],[Darwin Temp.
°C]],Curva_Temp[Temp]))</f>
        <v>#N/A</v>
      </c>
      <c r="AA218" s="41" t="e" cm="1">
        <f t="array" ref="AA218">INDEX(Curva_Temp[Temp],MATCH(TBL_CalcDarwin[[#This Row],[Darwin Temp.
°C]],Curva_Temp[Temp])+1)</f>
        <v>#N/A</v>
      </c>
      <c r="AB218" s="41" t="e" cm="1">
        <f t="array" ref="AB218">INDEX(Curva_Temp[Warranted Power Curve for 
1.194Kg/m3 air density '[kW']
SG 5.0-145 (AM 0, 5.0MW) AT 
90M],MATCH(TBL_CalcDarwin[[#This Row],[Darwin Temp.
°C]],Curva_Temp[Temp])+1)</f>
        <v>#N/A</v>
      </c>
      <c r="AC218" s="45">
        <f>HLOOKUP(TBL_CalcDarwin[[#This Row],[Fecha]],'Plantilla AEG ES'!$E$1:$HX$13,2,FALSE)</f>
        <v>5</v>
      </c>
      <c r="AD218" s="45">
        <f>HLOOKUP(TBL_CalcDarwin[[#This Row],[Fecha]],'Plantilla AEG ES'!$E$1:$HX$13,3,FALSE)</f>
        <v>7</v>
      </c>
      <c r="AE218" s="45">
        <f>HLOOKUP(TBL_CalcDarwin[[#This Row],[Fecha]],'Plantilla AEG ES'!$E$1:$HX$13,4,FALSE)</f>
        <v>11</v>
      </c>
      <c r="AF218" s="45">
        <f>HLOOKUP(TBL_CalcDarwin[[#This Row],[Fecha]],'Plantilla AEG ES'!$E$1:$HX$13,5,FALSE)</f>
        <v>1</v>
      </c>
      <c r="AG218" s="45">
        <f>HLOOKUP(TBL_CalcDarwin[[#This Row],[Fecha]],'Plantilla AEG ES'!$E$1:$HX$13,6,FALSE)</f>
        <v>1</v>
      </c>
      <c r="AH218" s="45">
        <f>HLOOKUP(TBL_CalcDarwin[[#This Row],[Fecha]],'Plantilla AEG ES'!$E$1:$HX$13,7,FALSE)</f>
        <v>0</v>
      </c>
      <c r="AI218" s="46">
        <f>HLOOKUP(TBL_CalcDarwin[[#This Row],[Fecha]],'Plantilla AEG ES'!$E$1:$HX$13,8,FALSE)</f>
        <v>0</v>
      </c>
      <c r="AJ218" s="46">
        <f>HLOOKUP(TBL_CalcDarwin[[#This Row],[Fecha]],'Plantilla AEG ES'!$E$1:$HX$13,9,FALSE)</f>
        <v>3</v>
      </c>
      <c r="AK218" s="46">
        <f>HLOOKUP(TBL_CalcDarwin[[#This Row],[Fecha]],'Plantilla AEG ES'!$E$1:$HX$13,10,FALSE)</f>
        <v>12</v>
      </c>
      <c r="AL218" s="46">
        <f>HLOOKUP(TBL_CalcDarwin[[#This Row],[Fecha]],'Plantilla AEG ES'!$E$1:$HX$13,11,FALSE)</f>
        <v>1</v>
      </c>
      <c r="AM218" s="46">
        <f>HLOOKUP(TBL_CalcDarwin[[#This Row],[Fecha]],'Plantilla AEG ES'!$E$1:$HX$13,12,FALSE)</f>
        <v>7</v>
      </c>
      <c r="AN218" s="46">
        <f>HLOOKUP(TBL_CalcDarwin[[#This Row],[Fecha]],'Plantilla AEG ES'!$E$1:$HX$13,13,FALSE)</f>
        <v>1</v>
      </c>
      <c r="AO218" s="37">
        <f>TBL_CalcDarwin[[#This Row],[Lomitas - Barra A - 5.2 - Cerro]]+TBL_CalcDarwin[[#This Row],[Lomitas - Barra A - 5.2 - Medio]]+TBL_CalcDarwin[[#This Row],[Lomitas - Barra A - 5.2 - Mar]]</f>
        <v>23</v>
      </c>
      <c r="AP2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8" s="37">
        <f>TBL_CalcDarwin[[#This Row],[Expansión - Barra A - 5.2 - Cerro]]+TBL_CalcDarwin[[#This Row],[Expansión - Barra A - 5.2 - Medio]]+TBL_CalcDarwin[[#This Row],[Expansión - Barra A - 5.2 - Mar]]</f>
        <v>2</v>
      </c>
      <c r="AT218" s="37">
        <f>TBL_CalcDarwin[[#This Row],[Expansión - Barra B - 5.2 - Cerro]]</f>
        <v>1</v>
      </c>
      <c r="AU2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8" s="29" t="e">
        <f>TBL_CalcDarwin[[#This Row],[Expansión - Barra B - 5.2 - Cerro]]*TBL_CalcDarwin[[#This Row],[AEG 5.2 MW Cerro]]</f>
        <v>#N/A</v>
      </c>
      <c r="AZ218" s="18"/>
      <c r="BA218" s="18"/>
      <c r="BB218" s="18"/>
      <c r="BC218" s="18"/>
      <c r="BD218" s="18"/>
      <c r="BE218" s="18"/>
      <c r="BF218" s="18"/>
    </row>
    <row r="219" spans="2:58" ht="12" x14ac:dyDescent="0.2">
      <c r="B219" s="55">
        <f t="shared" si="19"/>
        <v>45622.041666666148</v>
      </c>
      <c r="C219" s="17">
        <f t="shared" si="21"/>
        <v>9.0416666666666732</v>
      </c>
      <c r="D219" s="34" t="e">
        <f>TBL_CalcDarwin[[#This Row],[Darwin PLOM
MW]]+TBL_CalcDarwin[[#This Row],[Darwin PLOME
MW]]</f>
        <v>#N/A</v>
      </c>
      <c r="E219" s="34" t="e">
        <f>TBL_CalcDarwin[[#This Row],[PLOM MW TOTAL BARRA A]]+TBL_CalcDarwin[[#This Row],[PLOM MW TOTAL BARRA B]]</f>
        <v>#N/A</v>
      </c>
      <c r="F219" s="34" t="e">
        <f>TBL_CalcDarwin[[#This Row],[PLOME MW TOTAL BARRA A]]+TBL_CalcDarwin[[#This Row],[PLOME MW TOTAL BARRA B]]</f>
        <v>#N/A</v>
      </c>
      <c r="G219" s="48">
        <f>'Plantilla Datos'!D224</f>
        <v>0</v>
      </c>
      <c r="H219" s="48">
        <f>'Plantilla Datos'!E224</f>
        <v>0</v>
      </c>
      <c r="I219" s="49">
        <f>'Plantilla Datos'!F224</f>
        <v>0</v>
      </c>
      <c r="J219" s="47">
        <f>CEILING('Plantilla Datos'!$L$3*TBL_CalcDarwin[[#This Row],[Darwin Gusts
m/s]],0.5)</f>
        <v>0</v>
      </c>
      <c r="K219" s="47">
        <f>CEILING('Plantilla Datos'!$L$4*TBL_CalcDarwin[[#This Row],[Darwin Gusts
m/s]],0.5)</f>
        <v>0</v>
      </c>
      <c r="L219" s="47">
        <f>CEILING(TBL_CalcDarwin[[#This Row],[Darwin Gusts
m/s]],0.5)</f>
        <v>0</v>
      </c>
      <c r="M219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9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9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9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9" s="41" t="e">
        <f>INDEX(Curva_Temp[Temp],MATCH(TBL_CalcDarwin[[#This Row],[Darwin Temp.
°C]],Curva_Temp[Temp]))</f>
        <v>#N/A</v>
      </c>
      <c r="R219" s="41" t="e">
        <f>INDEX(Curva_Temp[Warranted Power Curve for 
1.194Kg/m3 air density '[kW']
SG 5.0-145 (AM+1, 5.2MW) AT 
90M],MATCH(TBL_CalcDarwin[[#This Row],[Darwin Temp.
°C]],Curva_Temp[Temp]))</f>
        <v>#N/A</v>
      </c>
      <c r="S219" s="41" t="e" cm="1">
        <f t="array" ref="S219">INDEX(Curva_Temp[Temp],MATCH(TBL_CalcDarwin[[#This Row],[Darwin Temp.
°C]],Curva_Temp[Temp])+1)</f>
        <v>#N/A</v>
      </c>
      <c r="T219" s="41" t="e" cm="1">
        <f t="array" ref="T219">INDEX(Curva_Temp[Warranted Power Curve for 
1.194Kg/m3 air density '[kW']
SG 5.0-145 (AM+1, 5.2MW) AT 
90M],MATCH(TBL_CalcDarwin[[#This Row],[Darwin Temp.
°C]],Curva_Temp[Temp])+1)</f>
        <v>#N/A</v>
      </c>
      <c r="U219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9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9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9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9" s="41" t="e">
        <f>INDEX(Curva_Temp[Temp],MATCH(TBL_CalcDarwin[[#This Row],[Darwin Temp.
°C]],Curva_Temp[Temp]))</f>
        <v>#N/A</v>
      </c>
      <c r="Z219" s="41" t="e">
        <f>INDEX(Curva_Temp[Warranted Power Curve for 
1.194Kg/m3 air density '[kW']
SG 5.0-145 (AM 0, 5.0MW) AT 
90M],MATCH(TBL_CalcDarwin[[#This Row],[Darwin Temp.
°C]],Curva_Temp[Temp]))</f>
        <v>#N/A</v>
      </c>
      <c r="AA219" s="41" t="e" cm="1">
        <f t="array" ref="AA219">INDEX(Curva_Temp[Temp],MATCH(TBL_CalcDarwin[[#This Row],[Darwin Temp.
°C]],Curva_Temp[Temp])+1)</f>
        <v>#N/A</v>
      </c>
      <c r="AB219" s="41" t="e" cm="1">
        <f t="array" ref="AB219">INDEX(Curva_Temp[Warranted Power Curve for 
1.194Kg/m3 air density '[kW']
SG 5.0-145 (AM 0, 5.0MW) AT 
90M],MATCH(TBL_CalcDarwin[[#This Row],[Darwin Temp.
°C]],Curva_Temp[Temp])+1)</f>
        <v>#N/A</v>
      </c>
      <c r="AC219" s="45">
        <f>HLOOKUP(TBL_CalcDarwin[[#This Row],[Fecha]],'Plantilla AEG ES'!$E$1:$HX$13,2,FALSE)</f>
        <v>5</v>
      </c>
      <c r="AD219" s="45">
        <f>HLOOKUP(TBL_CalcDarwin[[#This Row],[Fecha]],'Plantilla AEG ES'!$E$1:$HX$13,3,FALSE)</f>
        <v>7</v>
      </c>
      <c r="AE219" s="45">
        <f>HLOOKUP(TBL_CalcDarwin[[#This Row],[Fecha]],'Plantilla AEG ES'!$E$1:$HX$13,4,FALSE)</f>
        <v>11</v>
      </c>
      <c r="AF219" s="45">
        <f>HLOOKUP(TBL_CalcDarwin[[#This Row],[Fecha]],'Plantilla AEG ES'!$E$1:$HX$13,5,FALSE)</f>
        <v>1</v>
      </c>
      <c r="AG219" s="45">
        <f>HLOOKUP(TBL_CalcDarwin[[#This Row],[Fecha]],'Plantilla AEG ES'!$E$1:$HX$13,6,FALSE)</f>
        <v>1</v>
      </c>
      <c r="AH219" s="45">
        <f>HLOOKUP(TBL_CalcDarwin[[#This Row],[Fecha]],'Plantilla AEG ES'!$E$1:$HX$13,7,FALSE)</f>
        <v>0</v>
      </c>
      <c r="AI219" s="46">
        <f>HLOOKUP(TBL_CalcDarwin[[#This Row],[Fecha]],'Plantilla AEG ES'!$E$1:$HX$13,8,FALSE)</f>
        <v>0</v>
      </c>
      <c r="AJ219" s="46">
        <f>HLOOKUP(TBL_CalcDarwin[[#This Row],[Fecha]],'Plantilla AEG ES'!$E$1:$HX$13,9,FALSE)</f>
        <v>3</v>
      </c>
      <c r="AK219" s="46">
        <f>HLOOKUP(TBL_CalcDarwin[[#This Row],[Fecha]],'Plantilla AEG ES'!$E$1:$HX$13,10,FALSE)</f>
        <v>12</v>
      </c>
      <c r="AL219" s="46">
        <f>HLOOKUP(TBL_CalcDarwin[[#This Row],[Fecha]],'Plantilla AEG ES'!$E$1:$HX$13,11,FALSE)</f>
        <v>1</v>
      </c>
      <c r="AM219" s="46">
        <f>HLOOKUP(TBL_CalcDarwin[[#This Row],[Fecha]],'Plantilla AEG ES'!$E$1:$HX$13,12,FALSE)</f>
        <v>7</v>
      </c>
      <c r="AN219" s="46">
        <f>HLOOKUP(TBL_CalcDarwin[[#This Row],[Fecha]],'Plantilla AEG ES'!$E$1:$HX$13,13,FALSE)</f>
        <v>1</v>
      </c>
      <c r="AO219" s="37">
        <f>TBL_CalcDarwin[[#This Row],[Lomitas - Barra A - 5.2 - Cerro]]+TBL_CalcDarwin[[#This Row],[Lomitas - Barra A - 5.2 - Medio]]+TBL_CalcDarwin[[#This Row],[Lomitas - Barra A - 5.2 - Mar]]</f>
        <v>23</v>
      </c>
      <c r="AP2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9" s="37">
        <f>TBL_CalcDarwin[[#This Row],[Expansión - Barra A - 5.2 - Cerro]]+TBL_CalcDarwin[[#This Row],[Expansión - Barra A - 5.2 - Medio]]+TBL_CalcDarwin[[#This Row],[Expansión - Barra A - 5.2 - Mar]]</f>
        <v>2</v>
      </c>
      <c r="AT219" s="37">
        <f>TBL_CalcDarwin[[#This Row],[Expansión - Barra B - 5.2 - Cerro]]</f>
        <v>1</v>
      </c>
      <c r="AU2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9" s="29" t="e">
        <f>TBL_CalcDarwin[[#This Row],[Expansión - Barra B - 5.2 - Cerro]]*TBL_CalcDarwin[[#This Row],[AEG 5.2 MW Cerro]]</f>
        <v>#N/A</v>
      </c>
      <c r="AZ219" s="18"/>
      <c r="BA219" s="18"/>
      <c r="BB219" s="18"/>
      <c r="BC219" s="18"/>
      <c r="BD219" s="18"/>
      <c r="BE219" s="18"/>
      <c r="BF219" s="18"/>
    </row>
    <row r="220" spans="2:58" ht="12" x14ac:dyDescent="0.2">
      <c r="B220" s="55">
        <f t="shared" si="19"/>
        <v>45622.083333332812</v>
      </c>
      <c r="C220" s="17">
        <f t="shared" si="21"/>
        <v>9.0833333333333393</v>
      </c>
      <c r="D220" s="34" t="e">
        <f>TBL_CalcDarwin[[#This Row],[Darwin PLOM
MW]]+TBL_CalcDarwin[[#This Row],[Darwin PLOME
MW]]</f>
        <v>#N/A</v>
      </c>
      <c r="E220" s="34" t="e">
        <f>TBL_CalcDarwin[[#This Row],[PLOM MW TOTAL BARRA A]]+TBL_CalcDarwin[[#This Row],[PLOM MW TOTAL BARRA B]]</f>
        <v>#N/A</v>
      </c>
      <c r="F220" s="34" t="e">
        <f>TBL_CalcDarwin[[#This Row],[PLOME MW TOTAL BARRA A]]+TBL_CalcDarwin[[#This Row],[PLOME MW TOTAL BARRA B]]</f>
        <v>#N/A</v>
      </c>
      <c r="G220" s="48">
        <f>'Plantilla Datos'!D225</f>
        <v>0</v>
      </c>
      <c r="H220" s="48">
        <f>'Plantilla Datos'!E225</f>
        <v>0</v>
      </c>
      <c r="I220" s="49">
        <f>'Plantilla Datos'!F225</f>
        <v>0</v>
      </c>
      <c r="J220" s="47">
        <f>CEILING('Plantilla Datos'!$L$3*TBL_CalcDarwin[[#This Row],[Darwin Gusts
m/s]],0.5)</f>
        <v>0</v>
      </c>
      <c r="K220" s="47">
        <f>CEILING('Plantilla Datos'!$L$4*TBL_CalcDarwin[[#This Row],[Darwin Gusts
m/s]],0.5)</f>
        <v>0</v>
      </c>
      <c r="L220" s="47">
        <f>CEILING(TBL_CalcDarwin[[#This Row],[Darwin Gusts
m/s]],0.5)</f>
        <v>0</v>
      </c>
      <c r="M220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0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0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0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0" s="41" t="e">
        <f>INDEX(Curva_Temp[Temp],MATCH(TBL_CalcDarwin[[#This Row],[Darwin Temp.
°C]],Curva_Temp[Temp]))</f>
        <v>#N/A</v>
      </c>
      <c r="R220" s="41" t="e">
        <f>INDEX(Curva_Temp[Warranted Power Curve for 
1.194Kg/m3 air density '[kW']
SG 5.0-145 (AM+1, 5.2MW) AT 
90M],MATCH(TBL_CalcDarwin[[#This Row],[Darwin Temp.
°C]],Curva_Temp[Temp]))</f>
        <v>#N/A</v>
      </c>
      <c r="S220" s="41" t="e" cm="1">
        <f t="array" ref="S220">INDEX(Curva_Temp[Temp],MATCH(TBL_CalcDarwin[[#This Row],[Darwin Temp.
°C]],Curva_Temp[Temp])+1)</f>
        <v>#N/A</v>
      </c>
      <c r="T220" s="41" t="e" cm="1">
        <f t="array" ref="T220">INDEX(Curva_Temp[Warranted Power Curve for 
1.194Kg/m3 air density '[kW']
SG 5.0-145 (AM+1, 5.2MW) AT 
90M],MATCH(TBL_CalcDarwin[[#This Row],[Darwin Temp.
°C]],Curva_Temp[Temp])+1)</f>
        <v>#N/A</v>
      </c>
      <c r="U220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0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0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0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0" s="41" t="e">
        <f>INDEX(Curva_Temp[Temp],MATCH(TBL_CalcDarwin[[#This Row],[Darwin Temp.
°C]],Curva_Temp[Temp]))</f>
        <v>#N/A</v>
      </c>
      <c r="Z220" s="41" t="e">
        <f>INDEX(Curva_Temp[Warranted Power Curve for 
1.194Kg/m3 air density '[kW']
SG 5.0-145 (AM 0, 5.0MW) AT 
90M],MATCH(TBL_CalcDarwin[[#This Row],[Darwin Temp.
°C]],Curva_Temp[Temp]))</f>
        <v>#N/A</v>
      </c>
      <c r="AA220" s="41" t="e" cm="1">
        <f t="array" ref="AA220">INDEX(Curva_Temp[Temp],MATCH(TBL_CalcDarwin[[#This Row],[Darwin Temp.
°C]],Curva_Temp[Temp])+1)</f>
        <v>#N/A</v>
      </c>
      <c r="AB220" s="41" t="e" cm="1">
        <f t="array" ref="AB220">INDEX(Curva_Temp[Warranted Power Curve for 
1.194Kg/m3 air density '[kW']
SG 5.0-145 (AM 0, 5.0MW) AT 
90M],MATCH(TBL_CalcDarwin[[#This Row],[Darwin Temp.
°C]],Curva_Temp[Temp])+1)</f>
        <v>#N/A</v>
      </c>
      <c r="AC220" s="45">
        <f>HLOOKUP(TBL_CalcDarwin[[#This Row],[Fecha]],'Plantilla AEG ES'!$E$1:$HX$13,2,FALSE)</f>
        <v>5</v>
      </c>
      <c r="AD220" s="45">
        <f>HLOOKUP(TBL_CalcDarwin[[#This Row],[Fecha]],'Plantilla AEG ES'!$E$1:$HX$13,3,FALSE)</f>
        <v>7</v>
      </c>
      <c r="AE220" s="45">
        <f>HLOOKUP(TBL_CalcDarwin[[#This Row],[Fecha]],'Plantilla AEG ES'!$E$1:$HX$13,4,FALSE)</f>
        <v>11</v>
      </c>
      <c r="AF220" s="45">
        <f>HLOOKUP(TBL_CalcDarwin[[#This Row],[Fecha]],'Plantilla AEG ES'!$E$1:$HX$13,5,FALSE)</f>
        <v>1</v>
      </c>
      <c r="AG220" s="45">
        <f>HLOOKUP(TBL_CalcDarwin[[#This Row],[Fecha]],'Plantilla AEG ES'!$E$1:$HX$13,6,FALSE)</f>
        <v>1</v>
      </c>
      <c r="AH220" s="45">
        <f>HLOOKUP(TBL_CalcDarwin[[#This Row],[Fecha]],'Plantilla AEG ES'!$E$1:$HX$13,7,FALSE)</f>
        <v>0</v>
      </c>
      <c r="AI220" s="46">
        <f>HLOOKUP(TBL_CalcDarwin[[#This Row],[Fecha]],'Plantilla AEG ES'!$E$1:$HX$13,8,FALSE)</f>
        <v>0</v>
      </c>
      <c r="AJ220" s="46">
        <f>HLOOKUP(TBL_CalcDarwin[[#This Row],[Fecha]],'Plantilla AEG ES'!$E$1:$HX$13,9,FALSE)</f>
        <v>3</v>
      </c>
      <c r="AK220" s="46">
        <f>HLOOKUP(TBL_CalcDarwin[[#This Row],[Fecha]],'Plantilla AEG ES'!$E$1:$HX$13,10,FALSE)</f>
        <v>12</v>
      </c>
      <c r="AL220" s="46">
        <f>HLOOKUP(TBL_CalcDarwin[[#This Row],[Fecha]],'Plantilla AEG ES'!$E$1:$HX$13,11,FALSE)</f>
        <v>1</v>
      </c>
      <c r="AM220" s="46">
        <f>HLOOKUP(TBL_CalcDarwin[[#This Row],[Fecha]],'Plantilla AEG ES'!$E$1:$HX$13,12,FALSE)</f>
        <v>7</v>
      </c>
      <c r="AN220" s="46">
        <f>HLOOKUP(TBL_CalcDarwin[[#This Row],[Fecha]],'Plantilla AEG ES'!$E$1:$HX$13,13,FALSE)</f>
        <v>1</v>
      </c>
      <c r="AO220" s="37">
        <f>TBL_CalcDarwin[[#This Row],[Lomitas - Barra A - 5.2 - Cerro]]+TBL_CalcDarwin[[#This Row],[Lomitas - Barra A - 5.2 - Medio]]+TBL_CalcDarwin[[#This Row],[Lomitas - Barra A - 5.2 - Mar]]</f>
        <v>23</v>
      </c>
      <c r="AP2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0" s="37">
        <f>TBL_CalcDarwin[[#This Row],[Expansión - Barra A - 5.2 - Cerro]]+TBL_CalcDarwin[[#This Row],[Expansión - Barra A - 5.2 - Medio]]+TBL_CalcDarwin[[#This Row],[Expansión - Barra A - 5.2 - Mar]]</f>
        <v>2</v>
      </c>
      <c r="AT220" s="37">
        <f>TBL_CalcDarwin[[#This Row],[Expansión - Barra B - 5.2 - Cerro]]</f>
        <v>1</v>
      </c>
      <c r="AU2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0" s="29" t="e">
        <f>TBL_CalcDarwin[[#This Row],[Expansión - Barra B - 5.2 - Cerro]]*TBL_CalcDarwin[[#This Row],[AEG 5.2 MW Cerro]]</f>
        <v>#N/A</v>
      </c>
      <c r="AZ220" s="18"/>
      <c r="BA220" s="18"/>
      <c r="BB220" s="18"/>
      <c r="BC220" s="18"/>
      <c r="BD220" s="18"/>
      <c r="BE220" s="18"/>
      <c r="BF220" s="18"/>
    </row>
    <row r="221" spans="2:58" ht="12" x14ac:dyDescent="0.2">
      <c r="B221" s="55">
        <f t="shared" si="19"/>
        <v>45622.124999999476</v>
      </c>
      <c r="C221" s="17">
        <f>C220+TIME(1,0,0)</f>
        <v>9.1250000000000053</v>
      </c>
      <c r="D221" s="34" t="e">
        <f>TBL_CalcDarwin[[#This Row],[Darwin PLOM
MW]]+TBL_CalcDarwin[[#This Row],[Darwin PLOME
MW]]</f>
        <v>#N/A</v>
      </c>
      <c r="E221" s="34" t="e">
        <f>TBL_CalcDarwin[[#This Row],[PLOM MW TOTAL BARRA A]]+TBL_CalcDarwin[[#This Row],[PLOM MW TOTAL BARRA B]]</f>
        <v>#N/A</v>
      </c>
      <c r="F221" s="34" t="e">
        <f>TBL_CalcDarwin[[#This Row],[PLOME MW TOTAL BARRA A]]+TBL_CalcDarwin[[#This Row],[PLOME MW TOTAL BARRA B]]</f>
        <v>#N/A</v>
      </c>
      <c r="G221" s="48">
        <f>'Plantilla Datos'!D226</f>
        <v>0</v>
      </c>
      <c r="H221" s="48">
        <f>'Plantilla Datos'!E226</f>
        <v>0</v>
      </c>
      <c r="I221" s="49">
        <f>'Plantilla Datos'!F226</f>
        <v>0</v>
      </c>
      <c r="J221" s="47">
        <f>CEILING('Plantilla Datos'!$L$3*TBL_CalcDarwin[[#This Row],[Darwin Gusts
m/s]],0.5)</f>
        <v>0</v>
      </c>
      <c r="K221" s="47">
        <f>CEILING('Plantilla Datos'!$L$4*TBL_CalcDarwin[[#This Row],[Darwin Gusts
m/s]],0.5)</f>
        <v>0</v>
      </c>
      <c r="L221" s="47">
        <f>CEILING(TBL_CalcDarwin[[#This Row],[Darwin Gusts
m/s]],0.5)</f>
        <v>0</v>
      </c>
      <c r="M221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1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1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1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1" s="41" t="e">
        <f>INDEX(Curva_Temp[Temp],MATCH(TBL_CalcDarwin[[#This Row],[Darwin Temp.
°C]],Curva_Temp[Temp]))</f>
        <v>#N/A</v>
      </c>
      <c r="R221" s="41" t="e">
        <f>INDEX(Curva_Temp[Warranted Power Curve for 
1.194Kg/m3 air density '[kW']
SG 5.0-145 (AM+1, 5.2MW) AT 
90M],MATCH(TBL_CalcDarwin[[#This Row],[Darwin Temp.
°C]],Curva_Temp[Temp]))</f>
        <v>#N/A</v>
      </c>
      <c r="S221" s="41" t="e" cm="1">
        <f t="array" ref="S221">INDEX(Curva_Temp[Temp],MATCH(TBL_CalcDarwin[[#This Row],[Darwin Temp.
°C]],Curva_Temp[Temp])+1)</f>
        <v>#N/A</v>
      </c>
      <c r="T221" s="41" t="e" cm="1">
        <f t="array" ref="T221">INDEX(Curva_Temp[Warranted Power Curve for 
1.194Kg/m3 air density '[kW']
SG 5.0-145 (AM+1, 5.2MW) AT 
90M],MATCH(TBL_CalcDarwin[[#This Row],[Darwin Temp.
°C]],Curva_Temp[Temp])+1)</f>
        <v>#N/A</v>
      </c>
      <c r="U221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1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1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1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1" s="41" t="e">
        <f>INDEX(Curva_Temp[Temp],MATCH(TBL_CalcDarwin[[#This Row],[Darwin Temp.
°C]],Curva_Temp[Temp]))</f>
        <v>#N/A</v>
      </c>
      <c r="Z221" s="41" t="e">
        <f>INDEX(Curva_Temp[Warranted Power Curve for 
1.194Kg/m3 air density '[kW']
SG 5.0-145 (AM 0, 5.0MW) AT 
90M],MATCH(TBL_CalcDarwin[[#This Row],[Darwin Temp.
°C]],Curva_Temp[Temp]))</f>
        <v>#N/A</v>
      </c>
      <c r="AA221" s="41" t="e" cm="1">
        <f t="array" ref="AA221">INDEX(Curva_Temp[Temp],MATCH(TBL_CalcDarwin[[#This Row],[Darwin Temp.
°C]],Curva_Temp[Temp])+1)</f>
        <v>#N/A</v>
      </c>
      <c r="AB221" s="41" t="e" cm="1">
        <f t="array" ref="AB221">INDEX(Curva_Temp[Warranted Power Curve for 
1.194Kg/m3 air density '[kW']
SG 5.0-145 (AM 0, 5.0MW) AT 
90M],MATCH(TBL_CalcDarwin[[#This Row],[Darwin Temp.
°C]],Curva_Temp[Temp])+1)</f>
        <v>#N/A</v>
      </c>
      <c r="AC221" s="45">
        <f>HLOOKUP(TBL_CalcDarwin[[#This Row],[Fecha]],'Plantilla AEG ES'!$E$1:$HX$13,2,FALSE)</f>
        <v>5</v>
      </c>
      <c r="AD221" s="45">
        <f>HLOOKUP(TBL_CalcDarwin[[#This Row],[Fecha]],'Plantilla AEG ES'!$E$1:$HX$13,3,FALSE)</f>
        <v>7</v>
      </c>
      <c r="AE221" s="45">
        <f>HLOOKUP(TBL_CalcDarwin[[#This Row],[Fecha]],'Plantilla AEG ES'!$E$1:$HX$13,4,FALSE)</f>
        <v>11</v>
      </c>
      <c r="AF221" s="45">
        <f>HLOOKUP(TBL_CalcDarwin[[#This Row],[Fecha]],'Plantilla AEG ES'!$E$1:$HX$13,5,FALSE)</f>
        <v>1</v>
      </c>
      <c r="AG221" s="45">
        <f>HLOOKUP(TBL_CalcDarwin[[#This Row],[Fecha]],'Plantilla AEG ES'!$E$1:$HX$13,6,FALSE)</f>
        <v>1</v>
      </c>
      <c r="AH221" s="45">
        <f>HLOOKUP(TBL_CalcDarwin[[#This Row],[Fecha]],'Plantilla AEG ES'!$E$1:$HX$13,7,FALSE)</f>
        <v>0</v>
      </c>
      <c r="AI221" s="46">
        <f>HLOOKUP(TBL_CalcDarwin[[#This Row],[Fecha]],'Plantilla AEG ES'!$E$1:$HX$13,8,FALSE)</f>
        <v>0</v>
      </c>
      <c r="AJ221" s="46">
        <f>HLOOKUP(TBL_CalcDarwin[[#This Row],[Fecha]],'Plantilla AEG ES'!$E$1:$HX$13,9,FALSE)</f>
        <v>3</v>
      </c>
      <c r="AK221" s="46">
        <f>HLOOKUP(TBL_CalcDarwin[[#This Row],[Fecha]],'Plantilla AEG ES'!$E$1:$HX$13,10,FALSE)</f>
        <v>12</v>
      </c>
      <c r="AL221" s="46">
        <f>HLOOKUP(TBL_CalcDarwin[[#This Row],[Fecha]],'Plantilla AEG ES'!$E$1:$HX$13,11,FALSE)</f>
        <v>1</v>
      </c>
      <c r="AM221" s="46">
        <f>HLOOKUP(TBL_CalcDarwin[[#This Row],[Fecha]],'Plantilla AEG ES'!$E$1:$HX$13,12,FALSE)</f>
        <v>7</v>
      </c>
      <c r="AN221" s="46">
        <f>HLOOKUP(TBL_CalcDarwin[[#This Row],[Fecha]],'Plantilla AEG ES'!$E$1:$HX$13,13,FALSE)</f>
        <v>1</v>
      </c>
      <c r="AO221" s="37">
        <f>TBL_CalcDarwin[[#This Row],[Lomitas - Barra A - 5.2 - Cerro]]+TBL_CalcDarwin[[#This Row],[Lomitas - Barra A - 5.2 - Medio]]+TBL_CalcDarwin[[#This Row],[Lomitas - Barra A - 5.2 - Mar]]</f>
        <v>23</v>
      </c>
      <c r="AP2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1" s="37">
        <f>TBL_CalcDarwin[[#This Row],[Expansión - Barra A - 5.2 - Cerro]]+TBL_CalcDarwin[[#This Row],[Expansión - Barra A - 5.2 - Medio]]+TBL_CalcDarwin[[#This Row],[Expansión - Barra A - 5.2 - Mar]]</f>
        <v>2</v>
      </c>
      <c r="AT221" s="37">
        <f>TBL_CalcDarwin[[#This Row],[Expansión - Barra B - 5.2 - Cerro]]</f>
        <v>1</v>
      </c>
      <c r="AU2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1" s="29" t="e">
        <f>TBL_CalcDarwin[[#This Row],[Expansión - Barra B - 5.2 - Cerro]]*TBL_CalcDarwin[[#This Row],[AEG 5.2 MW Cerro]]</f>
        <v>#N/A</v>
      </c>
      <c r="AZ221" s="18"/>
      <c r="BA221" s="18"/>
      <c r="BB221" s="18"/>
      <c r="BC221" s="18"/>
      <c r="BD221" s="18"/>
      <c r="BE221" s="18"/>
      <c r="BF221" s="18"/>
    </row>
    <row r="222" spans="2:58" ht="12" x14ac:dyDescent="0.2">
      <c r="B222" s="55">
        <f t="shared" si="19"/>
        <v>45622.16666666614</v>
      </c>
      <c r="C222" s="17">
        <f t="shared" ref="C222:C229" si="22">C221+TIME(1,0,0)</f>
        <v>9.1666666666666714</v>
      </c>
      <c r="D222" s="34" t="e">
        <f>TBL_CalcDarwin[[#This Row],[Darwin PLOM
MW]]+TBL_CalcDarwin[[#This Row],[Darwin PLOME
MW]]</f>
        <v>#N/A</v>
      </c>
      <c r="E222" s="34" t="e">
        <f>TBL_CalcDarwin[[#This Row],[PLOM MW TOTAL BARRA A]]+TBL_CalcDarwin[[#This Row],[PLOM MW TOTAL BARRA B]]</f>
        <v>#N/A</v>
      </c>
      <c r="F222" s="34" t="e">
        <f>TBL_CalcDarwin[[#This Row],[PLOME MW TOTAL BARRA A]]+TBL_CalcDarwin[[#This Row],[PLOME MW TOTAL BARRA B]]</f>
        <v>#N/A</v>
      </c>
      <c r="G222" s="48">
        <f>'Plantilla Datos'!D227</f>
        <v>0</v>
      </c>
      <c r="H222" s="48">
        <f>'Plantilla Datos'!E227</f>
        <v>0</v>
      </c>
      <c r="I222" s="49">
        <f>'Plantilla Datos'!F227</f>
        <v>0</v>
      </c>
      <c r="J222" s="47">
        <f>CEILING('Plantilla Datos'!$L$3*TBL_CalcDarwin[[#This Row],[Darwin Gusts
m/s]],0.5)</f>
        <v>0</v>
      </c>
      <c r="K222" s="47">
        <f>CEILING('Plantilla Datos'!$L$4*TBL_CalcDarwin[[#This Row],[Darwin Gusts
m/s]],0.5)</f>
        <v>0</v>
      </c>
      <c r="L222" s="47">
        <f>CEILING(TBL_CalcDarwin[[#This Row],[Darwin Gusts
m/s]],0.5)</f>
        <v>0</v>
      </c>
      <c r="M222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2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2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2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2" s="41" t="e">
        <f>INDEX(Curva_Temp[Temp],MATCH(TBL_CalcDarwin[[#This Row],[Darwin Temp.
°C]],Curva_Temp[Temp]))</f>
        <v>#N/A</v>
      </c>
      <c r="R222" s="41" t="e">
        <f>INDEX(Curva_Temp[Warranted Power Curve for 
1.194Kg/m3 air density '[kW']
SG 5.0-145 (AM+1, 5.2MW) AT 
90M],MATCH(TBL_CalcDarwin[[#This Row],[Darwin Temp.
°C]],Curva_Temp[Temp]))</f>
        <v>#N/A</v>
      </c>
      <c r="S222" s="41" t="e" cm="1">
        <f t="array" ref="S222">INDEX(Curva_Temp[Temp],MATCH(TBL_CalcDarwin[[#This Row],[Darwin Temp.
°C]],Curva_Temp[Temp])+1)</f>
        <v>#N/A</v>
      </c>
      <c r="T222" s="41" t="e" cm="1">
        <f t="array" ref="T222">INDEX(Curva_Temp[Warranted Power Curve for 
1.194Kg/m3 air density '[kW']
SG 5.0-145 (AM+1, 5.2MW) AT 
90M],MATCH(TBL_CalcDarwin[[#This Row],[Darwin Temp.
°C]],Curva_Temp[Temp])+1)</f>
        <v>#N/A</v>
      </c>
      <c r="U222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2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2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2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2" s="41" t="e">
        <f>INDEX(Curva_Temp[Temp],MATCH(TBL_CalcDarwin[[#This Row],[Darwin Temp.
°C]],Curva_Temp[Temp]))</f>
        <v>#N/A</v>
      </c>
      <c r="Z222" s="41" t="e">
        <f>INDEX(Curva_Temp[Warranted Power Curve for 
1.194Kg/m3 air density '[kW']
SG 5.0-145 (AM 0, 5.0MW) AT 
90M],MATCH(TBL_CalcDarwin[[#This Row],[Darwin Temp.
°C]],Curva_Temp[Temp]))</f>
        <v>#N/A</v>
      </c>
      <c r="AA222" s="41" t="e" cm="1">
        <f t="array" ref="AA222">INDEX(Curva_Temp[Temp],MATCH(TBL_CalcDarwin[[#This Row],[Darwin Temp.
°C]],Curva_Temp[Temp])+1)</f>
        <v>#N/A</v>
      </c>
      <c r="AB222" s="41" t="e" cm="1">
        <f t="array" ref="AB222">INDEX(Curva_Temp[Warranted Power Curve for 
1.194Kg/m3 air density '[kW']
SG 5.0-145 (AM 0, 5.0MW) AT 
90M],MATCH(TBL_CalcDarwin[[#This Row],[Darwin Temp.
°C]],Curva_Temp[Temp])+1)</f>
        <v>#N/A</v>
      </c>
      <c r="AC222" s="45">
        <f>HLOOKUP(TBL_CalcDarwin[[#This Row],[Fecha]],'Plantilla AEG ES'!$E$1:$HX$13,2,FALSE)</f>
        <v>5</v>
      </c>
      <c r="AD222" s="45">
        <f>HLOOKUP(TBL_CalcDarwin[[#This Row],[Fecha]],'Plantilla AEG ES'!$E$1:$HX$13,3,FALSE)</f>
        <v>7</v>
      </c>
      <c r="AE222" s="45">
        <f>HLOOKUP(TBL_CalcDarwin[[#This Row],[Fecha]],'Plantilla AEG ES'!$E$1:$HX$13,4,FALSE)</f>
        <v>11</v>
      </c>
      <c r="AF222" s="45">
        <f>HLOOKUP(TBL_CalcDarwin[[#This Row],[Fecha]],'Plantilla AEG ES'!$E$1:$HX$13,5,FALSE)</f>
        <v>1</v>
      </c>
      <c r="AG222" s="45">
        <f>HLOOKUP(TBL_CalcDarwin[[#This Row],[Fecha]],'Plantilla AEG ES'!$E$1:$HX$13,6,FALSE)</f>
        <v>1</v>
      </c>
      <c r="AH222" s="45">
        <f>HLOOKUP(TBL_CalcDarwin[[#This Row],[Fecha]],'Plantilla AEG ES'!$E$1:$HX$13,7,FALSE)</f>
        <v>0</v>
      </c>
      <c r="AI222" s="46">
        <f>HLOOKUP(TBL_CalcDarwin[[#This Row],[Fecha]],'Plantilla AEG ES'!$E$1:$HX$13,8,FALSE)</f>
        <v>0</v>
      </c>
      <c r="AJ222" s="46">
        <f>HLOOKUP(TBL_CalcDarwin[[#This Row],[Fecha]],'Plantilla AEG ES'!$E$1:$HX$13,9,FALSE)</f>
        <v>3</v>
      </c>
      <c r="AK222" s="46">
        <f>HLOOKUP(TBL_CalcDarwin[[#This Row],[Fecha]],'Plantilla AEG ES'!$E$1:$HX$13,10,FALSE)</f>
        <v>12</v>
      </c>
      <c r="AL222" s="46">
        <f>HLOOKUP(TBL_CalcDarwin[[#This Row],[Fecha]],'Plantilla AEG ES'!$E$1:$HX$13,11,FALSE)</f>
        <v>1</v>
      </c>
      <c r="AM222" s="46">
        <f>HLOOKUP(TBL_CalcDarwin[[#This Row],[Fecha]],'Plantilla AEG ES'!$E$1:$HX$13,12,FALSE)</f>
        <v>7</v>
      </c>
      <c r="AN222" s="46">
        <f>HLOOKUP(TBL_CalcDarwin[[#This Row],[Fecha]],'Plantilla AEG ES'!$E$1:$HX$13,13,FALSE)</f>
        <v>1</v>
      </c>
      <c r="AO222" s="37">
        <f>TBL_CalcDarwin[[#This Row],[Lomitas - Barra A - 5.2 - Cerro]]+TBL_CalcDarwin[[#This Row],[Lomitas - Barra A - 5.2 - Medio]]+TBL_CalcDarwin[[#This Row],[Lomitas - Barra A - 5.2 - Mar]]</f>
        <v>23</v>
      </c>
      <c r="AP2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2" s="37">
        <f>TBL_CalcDarwin[[#This Row],[Expansión - Barra A - 5.2 - Cerro]]+TBL_CalcDarwin[[#This Row],[Expansión - Barra A - 5.2 - Medio]]+TBL_CalcDarwin[[#This Row],[Expansión - Barra A - 5.2 - Mar]]</f>
        <v>2</v>
      </c>
      <c r="AT222" s="37">
        <f>TBL_CalcDarwin[[#This Row],[Expansión - Barra B - 5.2 - Cerro]]</f>
        <v>1</v>
      </c>
      <c r="AU2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2" s="29" t="e">
        <f>TBL_CalcDarwin[[#This Row],[Expansión - Barra B - 5.2 - Cerro]]*TBL_CalcDarwin[[#This Row],[AEG 5.2 MW Cerro]]</f>
        <v>#N/A</v>
      </c>
      <c r="AZ222" s="18"/>
      <c r="BA222" s="18"/>
      <c r="BB222" s="18"/>
      <c r="BC222" s="18"/>
      <c r="BD222" s="18"/>
      <c r="BE222" s="18"/>
      <c r="BF222" s="18"/>
    </row>
    <row r="223" spans="2:58" ht="12" x14ac:dyDescent="0.2">
      <c r="B223" s="55">
        <f t="shared" si="19"/>
        <v>45622.208333332805</v>
      </c>
      <c r="C223" s="17">
        <f t="shared" si="22"/>
        <v>9.2083333333333375</v>
      </c>
      <c r="D223" s="34" t="e">
        <f>TBL_CalcDarwin[[#This Row],[Darwin PLOM
MW]]+TBL_CalcDarwin[[#This Row],[Darwin PLOME
MW]]</f>
        <v>#N/A</v>
      </c>
      <c r="E223" s="34" t="e">
        <f>TBL_CalcDarwin[[#This Row],[PLOM MW TOTAL BARRA A]]+TBL_CalcDarwin[[#This Row],[PLOM MW TOTAL BARRA B]]</f>
        <v>#N/A</v>
      </c>
      <c r="F223" s="34" t="e">
        <f>TBL_CalcDarwin[[#This Row],[PLOME MW TOTAL BARRA A]]+TBL_CalcDarwin[[#This Row],[PLOME MW TOTAL BARRA B]]</f>
        <v>#N/A</v>
      </c>
      <c r="G223" s="48">
        <f>'Plantilla Datos'!D228</f>
        <v>0</v>
      </c>
      <c r="H223" s="48">
        <f>'Plantilla Datos'!E228</f>
        <v>0</v>
      </c>
      <c r="I223" s="49">
        <f>'Plantilla Datos'!F228</f>
        <v>0</v>
      </c>
      <c r="J223" s="47">
        <f>CEILING('Plantilla Datos'!$L$3*TBL_CalcDarwin[[#This Row],[Darwin Gusts
m/s]],0.5)</f>
        <v>0</v>
      </c>
      <c r="K223" s="47">
        <f>CEILING('Plantilla Datos'!$L$4*TBL_CalcDarwin[[#This Row],[Darwin Gusts
m/s]],0.5)</f>
        <v>0</v>
      </c>
      <c r="L223" s="47">
        <f>CEILING(TBL_CalcDarwin[[#This Row],[Darwin Gusts
m/s]],0.5)</f>
        <v>0</v>
      </c>
      <c r="M223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3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3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3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3" s="41" t="e">
        <f>INDEX(Curva_Temp[Temp],MATCH(TBL_CalcDarwin[[#This Row],[Darwin Temp.
°C]],Curva_Temp[Temp]))</f>
        <v>#N/A</v>
      </c>
      <c r="R223" s="41" t="e">
        <f>INDEX(Curva_Temp[Warranted Power Curve for 
1.194Kg/m3 air density '[kW']
SG 5.0-145 (AM+1, 5.2MW) AT 
90M],MATCH(TBL_CalcDarwin[[#This Row],[Darwin Temp.
°C]],Curva_Temp[Temp]))</f>
        <v>#N/A</v>
      </c>
      <c r="S223" s="41" t="e" cm="1">
        <f t="array" ref="S223">INDEX(Curva_Temp[Temp],MATCH(TBL_CalcDarwin[[#This Row],[Darwin Temp.
°C]],Curva_Temp[Temp])+1)</f>
        <v>#N/A</v>
      </c>
      <c r="T223" s="41" t="e" cm="1">
        <f t="array" ref="T223">INDEX(Curva_Temp[Warranted Power Curve for 
1.194Kg/m3 air density '[kW']
SG 5.0-145 (AM+1, 5.2MW) AT 
90M],MATCH(TBL_CalcDarwin[[#This Row],[Darwin Temp.
°C]],Curva_Temp[Temp])+1)</f>
        <v>#N/A</v>
      </c>
      <c r="U223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3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3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3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3" s="41" t="e">
        <f>INDEX(Curva_Temp[Temp],MATCH(TBL_CalcDarwin[[#This Row],[Darwin Temp.
°C]],Curva_Temp[Temp]))</f>
        <v>#N/A</v>
      </c>
      <c r="Z223" s="41" t="e">
        <f>INDEX(Curva_Temp[Warranted Power Curve for 
1.194Kg/m3 air density '[kW']
SG 5.0-145 (AM 0, 5.0MW) AT 
90M],MATCH(TBL_CalcDarwin[[#This Row],[Darwin Temp.
°C]],Curva_Temp[Temp]))</f>
        <v>#N/A</v>
      </c>
      <c r="AA223" s="41" t="e" cm="1">
        <f t="array" ref="AA223">INDEX(Curva_Temp[Temp],MATCH(TBL_CalcDarwin[[#This Row],[Darwin Temp.
°C]],Curva_Temp[Temp])+1)</f>
        <v>#N/A</v>
      </c>
      <c r="AB223" s="41" t="e" cm="1">
        <f t="array" ref="AB223">INDEX(Curva_Temp[Warranted Power Curve for 
1.194Kg/m3 air density '[kW']
SG 5.0-145 (AM 0, 5.0MW) AT 
90M],MATCH(TBL_CalcDarwin[[#This Row],[Darwin Temp.
°C]],Curva_Temp[Temp])+1)</f>
        <v>#N/A</v>
      </c>
      <c r="AC223" s="45">
        <f>HLOOKUP(TBL_CalcDarwin[[#This Row],[Fecha]],'Plantilla AEG ES'!$E$1:$HX$13,2,FALSE)</f>
        <v>5</v>
      </c>
      <c r="AD223" s="45">
        <f>HLOOKUP(TBL_CalcDarwin[[#This Row],[Fecha]],'Plantilla AEG ES'!$E$1:$HX$13,3,FALSE)</f>
        <v>7</v>
      </c>
      <c r="AE223" s="45">
        <f>HLOOKUP(TBL_CalcDarwin[[#This Row],[Fecha]],'Plantilla AEG ES'!$E$1:$HX$13,4,FALSE)</f>
        <v>11</v>
      </c>
      <c r="AF223" s="45">
        <f>HLOOKUP(TBL_CalcDarwin[[#This Row],[Fecha]],'Plantilla AEG ES'!$E$1:$HX$13,5,FALSE)</f>
        <v>1</v>
      </c>
      <c r="AG223" s="45">
        <f>HLOOKUP(TBL_CalcDarwin[[#This Row],[Fecha]],'Plantilla AEG ES'!$E$1:$HX$13,6,FALSE)</f>
        <v>1</v>
      </c>
      <c r="AH223" s="45">
        <f>HLOOKUP(TBL_CalcDarwin[[#This Row],[Fecha]],'Plantilla AEG ES'!$E$1:$HX$13,7,FALSE)</f>
        <v>0</v>
      </c>
      <c r="AI223" s="46">
        <f>HLOOKUP(TBL_CalcDarwin[[#This Row],[Fecha]],'Plantilla AEG ES'!$E$1:$HX$13,8,FALSE)</f>
        <v>0</v>
      </c>
      <c r="AJ223" s="46">
        <f>HLOOKUP(TBL_CalcDarwin[[#This Row],[Fecha]],'Plantilla AEG ES'!$E$1:$HX$13,9,FALSE)</f>
        <v>3</v>
      </c>
      <c r="AK223" s="46">
        <f>HLOOKUP(TBL_CalcDarwin[[#This Row],[Fecha]],'Plantilla AEG ES'!$E$1:$HX$13,10,FALSE)</f>
        <v>12</v>
      </c>
      <c r="AL223" s="46">
        <f>HLOOKUP(TBL_CalcDarwin[[#This Row],[Fecha]],'Plantilla AEG ES'!$E$1:$HX$13,11,FALSE)</f>
        <v>1</v>
      </c>
      <c r="AM223" s="46">
        <f>HLOOKUP(TBL_CalcDarwin[[#This Row],[Fecha]],'Plantilla AEG ES'!$E$1:$HX$13,12,FALSE)</f>
        <v>7</v>
      </c>
      <c r="AN223" s="46">
        <f>HLOOKUP(TBL_CalcDarwin[[#This Row],[Fecha]],'Plantilla AEG ES'!$E$1:$HX$13,13,FALSE)</f>
        <v>1</v>
      </c>
      <c r="AO223" s="37">
        <f>TBL_CalcDarwin[[#This Row],[Lomitas - Barra A - 5.2 - Cerro]]+TBL_CalcDarwin[[#This Row],[Lomitas - Barra A - 5.2 - Medio]]+TBL_CalcDarwin[[#This Row],[Lomitas - Barra A - 5.2 - Mar]]</f>
        <v>23</v>
      </c>
      <c r="AP2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3" s="37">
        <f>TBL_CalcDarwin[[#This Row],[Expansión - Barra A - 5.2 - Cerro]]+TBL_CalcDarwin[[#This Row],[Expansión - Barra A - 5.2 - Medio]]+TBL_CalcDarwin[[#This Row],[Expansión - Barra A - 5.2 - Mar]]</f>
        <v>2</v>
      </c>
      <c r="AT223" s="37">
        <f>TBL_CalcDarwin[[#This Row],[Expansión - Barra B - 5.2 - Cerro]]</f>
        <v>1</v>
      </c>
      <c r="AU2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3" s="29" t="e">
        <f>TBL_CalcDarwin[[#This Row],[Expansión - Barra B - 5.2 - Cerro]]*TBL_CalcDarwin[[#This Row],[AEG 5.2 MW Cerro]]</f>
        <v>#N/A</v>
      </c>
      <c r="AZ223" s="18"/>
      <c r="BA223" s="18"/>
      <c r="BB223" s="18"/>
      <c r="BC223" s="18"/>
      <c r="BD223" s="18"/>
      <c r="BE223" s="18"/>
      <c r="BF223" s="18"/>
    </row>
    <row r="224" spans="2:58" ht="12" x14ac:dyDescent="0.2">
      <c r="B224" s="55">
        <f t="shared" si="19"/>
        <v>45622.249999999469</v>
      </c>
      <c r="C224" s="17">
        <f t="shared" si="22"/>
        <v>9.2500000000000036</v>
      </c>
      <c r="D224" s="34" t="e">
        <f>TBL_CalcDarwin[[#This Row],[Darwin PLOM
MW]]+TBL_CalcDarwin[[#This Row],[Darwin PLOME
MW]]</f>
        <v>#N/A</v>
      </c>
      <c r="E224" s="34" t="e">
        <f>TBL_CalcDarwin[[#This Row],[PLOM MW TOTAL BARRA A]]+TBL_CalcDarwin[[#This Row],[PLOM MW TOTAL BARRA B]]</f>
        <v>#N/A</v>
      </c>
      <c r="F224" s="34" t="e">
        <f>TBL_CalcDarwin[[#This Row],[PLOME MW TOTAL BARRA A]]+TBL_CalcDarwin[[#This Row],[PLOME MW TOTAL BARRA B]]</f>
        <v>#N/A</v>
      </c>
      <c r="G224" s="48">
        <f>'Plantilla Datos'!D229</f>
        <v>0</v>
      </c>
      <c r="H224" s="48">
        <f>'Plantilla Datos'!E229</f>
        <v>0</v>
      </c>
      <c r="I224" s="49">
        <f>'Plantilla Datos'!F229</f>
        <v>0</v>
      </c>
      <c r="J224" s="47">
        <f>CEILING('Plantilla Datos'!$L$3*TBL_CalcDarwin[[#This Row],[Darwin Gusts
m/s]],0.5)</f>
        <v>0</v>
      </c>
      <c r="K224" s="47">
        <f>CEILING('Plantilla Datos'!$L$4*TBL_CalcDarwin[[#This Row],[Darwin Gusts
m/s]],0.5)</f>
        <v>0</v>
      </c>
      <c r="L224" s="47">
        <f>CEILING(TBL_CalcDarwin[[#This Row],[Darwin Gusts
m/s]],0.5)</f>
        <v>0</v>
      </c>
      <c r="M224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4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4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4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4" s="41" t="e">
        <f>INDEX(Curva_Temp[Temp],MATCH(TBL_CalcDarwin[[#This Row],[Darwin Temp.
°C]],Curva_Temp[Temp]))</f>
        <v>#N/A</v>
      </c>
      <c r="R224" s="41" t="e">
        <f>INDEX(Curva_Temp[Warranted Power Curve for 
1.194Kg/m3 air density '[kW']
SG 5.0-145 (AM+1, 5.2MW) AT 
90M],MATCH(TBL_CalcDarwin[[#This Row],[Darwin Temp.
°C]],Curva_Temp[Temp]))</f>
        <v>#N/A</v>
      </c>
      <c r="S224" s="41" t="e" cm="1">
        <f t="array" ref="S224">INDEX(Curva_Temp[Temp],MATCH(TBL_CalcDarwin[[#This Row],[Darwin Temp.
°C]],Curva_Temp[Temp])+1)</f>
        <v>#N/A</v>
      </c>
      <c r="T224" s="41" t="e" cm="1">
        <f t="array" ref="T224">INDEX(Curva_Temp[Warranted Power Curve for 
1.194Kg/m3 air density '[kW']
SG 5.0-145 (AM+1, 5.2MW) AT 
90M],MATCH(TBL_CalcDarwin[[#This Row],[Darwin Temp.
°C]],Curva_Temp[Temp])+1)</f>
        <v>#N/A</v>
      </c>
      <c r="U224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4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4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4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4" s="41" t="e">
        <f>INDEX(Curva_Temp[Temp],MATCH(TBL_CalcDarwin[[#This Row],[Darwin Temp.
°C]],Curva_Temp[Temp]))</f>
        <v>#N/A</v>
      </c>
      <c r="Z224" s="41" t="e">
        <f>INDEX(Curva_Temp[Warranted Power Curve for 
1.194Kg/m3 air density '[kW']
SG 5.0-145 (AM 0, 5.0MW) AT 
90M],MATCH(TBL_CalcDarwin[[#This Row],[Darwin Temp.
°C]],Curva_Temp[Temp]))</f>
        <v>#N/A</v>
      </c>
      <c r="AA224" s="41" t="e" cm="1">
        <f t="array" ref="AA224">INDEX(Curva_Temp[Temp],MATCH(TBL_CalcDarwin[[#This Row],[Darwin Temp.
°C]],Curva_Temp[Temp])+1)</f>
        <v>#N/A</v>
      </c>
      <c r="AB224" s="41" t="e" cm="1">
        <f t="array" ref="AB224">INDEX(Curva_Temp[Warranted Power Curve for 
1.194Kg/m3 air density '[kW']
SG 5.0-145 (AM 0, 5.0MW) AT 
90M],MATCH(TBL_CalcDarwin[[#This Row],[Darwin Temp.
°C]],Curva_Temp[Temp])+1)</f>
        <v>#N/A</v>
      </c>
      <c r="AC224" s="45">
        <f>HLOOKUP(TBL_CalcDarwin[[#This Row],[Fecha]],'Plantilla AEG ES'!$E$1:$HX$13,2,FALSE)</f>
        <v>5</v>
      </c>
      <c r="AD224" s="45">
        <f>HLOOKUP(TBL_CalcDarwin[[#This Row],[Fecha]],'Plantilla AEG ES'!$E$1:$HX$13,3,FALSE)</f>
        <v>7</v>
      </c>
      <c r="AE224" s="45">
        <f>HLOOKUP(TBL_CalcDarwin[[#This Row],[Fecha]],'Plantilla AEG ES'!$E$1:$HX$13,4,FALSE)</f>
        <v>11</v>
      </c>
      <c r="AF224" s="45">
        <f>HLOOKUP(TBL_CalcDarwin[[#This Row],[Fecha]],'Plantilla AEG ES'!$E$1:$HX$13,5,FALSE)</f>
        <v>1</v>
      </c>
      <c r="AG224" s="45">
        <f>HLOOKUP(TBL_CalcDarwin[[#This Row],[Fecha]],'Plantilla AEG ES'!$E$1:$HX$13,6,FALSE)</f>
        <v>1</v>
      </c>
      <c r="AH224" s="45">
        <f>HLOOKUP(TBL_CalcDarwin[[#This Row],[Fecha]],'Plantilla AEG ES'!$E$1:$HX$13,7,FALSE)</f>
        <v>0</v>
      </c>
      <c r="AI224" s="46">
        <f>HLOOKUP(TBL_CalcDarwin[[#This Row],[Fecha]],'Plantilla AEG ES'!$E$1:$HX$13,8,FALSE)</f>
        <v>0</v>
      </c>
      <c r="AJ224" s="46">
        <f>HLOOKUP(TBL_CalcDarwin[[#This Row],[Fecha]],'Plantilla AEG ES'!$E$1:$HX$13,9,FALSE)</f>
        <v>3</v>
      </c>
      <c r="AK224" s="46">
        <f>HLOOKUP(TBL_CalcDarwin[[#This Row],[Fecha]],'Plantilla AEG ES'!$E$1:$HX$13,10,FALSE)</f>
        <v>12</v>
      </c>
      <c r="AL224" s="46">
        <f>HLOOKUP(TBL_CalcDarwin[[#This Row],[Fecha]],'Plantilla AEG ES'!$E$1:$HX$13,11,FALSE)</f>
        <v>1</v>
      </c>
      <c r="AM224" s="46">
        <f>HLOOKUP(TBL_CalcDarwin[[#This Row],[Fecha]],'Plantilla AEG ES'!$E$1:$HX$13,12,FALSE)</f>
        <v>7</v>
      </c>
      <c r="AN224" s="46">
        <f>HLOOKUP(TBL_CalcDarwin[[#This Row],[Fecha]],'Plantilla AEG ES'!$E$1:$HX$13,13,FALSE)</f>
        <v>1</v>
      </c>
      <c r="AO224" s="37">
        <f>TBL_CalcDarwin[[#This Row],[Lomitas - Barra A - 5.2 - Cerro]]+TBL_CalcDarwin[[#This Row],[Lomitas - Barra A - 5.2 - Medio]]+TBL_CalcDarwin[[#This Row],[Lomitas - Barra A - 5.2 - Mar]]</f>
        <v>23</v>
      </c>
      <c r="AP2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4" s="37">
        <f>TBL_CalcDarwin[[#This Row],[Expansión - Barra A - 5.2 - Cerro]]+TBL_CalcDarwin[[#This Row],[Expansión - Barra A - 5.2 - Medio]]+TBL_CalcDarwin[[#This Row],[Expansión - Barra A - 5.2 - Mar]]</f>
        <v>2</v>
      </c>
      <c r="AT224" s="37">
        <f>TBL_CalcDarwin[[#This Row],[Expansión - Barra B - 5.2 - Cerro]]</f>
        <v>1</v>
      </c>
      <c r="AU2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4" s="29" t="e">
        <f>TBL_CalcDarwin[[#This Row],[Expansión - Barra B - 5.2 - Cerro]]*TBL_CalcDarwin[[#This Row],[AEG 5.2 MW Cerro]]</f>
        <v>#N/A</v>
      </c>
      <c r="AZ224" s="18"/>
      <c r="BA224" s="18"/>
      <c r="BB224" s="18"/>
      <c r="BC224" s="18"/>
      <c r="BD224" s="18"/>
      <c r="BE224" s="18"/>
      <c r="BF224" s="18"/>
    </row>
    <row r="225" spans="2:58" ht="12" x14ac:dyDescent="0.2">
      <c r="B225" s="55">
        <f t="shared" si="19"/>
        <v>45622.291666666133</v>
      </c>
      <c r="C225" s="17">
        <f t="shared" si="22"/>
        <v>9.2916666666666696</v>
      </c>
      <c r="D225" s="34" t="e">
        <f>TBL_CalcDarwin[[#This Row],[Darwin PLOM
MW]]+TBL_CalcDarwin[[#This Row],[Darwin PLOME
MW]]</f>
        <v>#N/A</v>
      </c>
      <c r="E225" s="34" t="e">
        <f>TBL_CalcDarwin[[#This Row],[PLOM MW TOTAL BARRA A]]+TBL_CalcDarwin[[#This Row],[PLOM MW TOTAL BARRA B]]</f>
        <v>#N/A</v>
      </c>
      <c r="F225" s="34" t="e">
        <f>TBL_CalcDarwin[[#This Row],[PLOME MW TOTAL BARRA A]]+TBL_CalcDarwin[[#This Row],[PLOME MW TOTAL BARRA B]]</f>
        <v>#N/A</v>
      </c>
      <c r="G225" s="48">
        <f>'Plantilla Datos'!D230</f>
        <v>0</v>
      </c>
      <c r="H225" s="48">
        <f>'Plantilla Datos'!E230</f>
        <v>0</v>
      </c>
      <c r="I225" s="49">
        <f>'Plantilla Datos'!F230</f>
        <v>0</v>
      </c>
      <c r="J225" s="47">
        <f>CEILING('Plantilla Datos'!$L$3*TBL_CalcDarwin[[#This Row],[Darwin Gusts
m/s]],0.5)</f>
        <v>0</v>
      </c>
      <c r="K225" s="47">
        <f>CEILING('Plantilla Datos'!$L$4*TBL_CalcDarwin[[#This Row],[Darwin Gusts
m/s]],0.5)</f>
        <v>0</v>
      </c>
      <c r="L225" s="47">
        <f>CEILING(TBL_CalcDarwin[[#This Row],[Darwin Gusts
m/s]],0.5)</f>
        <v>0</v>
      </c>
      <c r="M225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5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5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5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5" s="41" t="e">
        <f>INDEX(Curva_Temp[Temp],MATCH(TBL_CalcDarwin[[#This Row],[Darwin Temp.
°C]],Curva_Temp[Temp]))</f>
        <v>#N/A</v>
      </c>
      <c r="R225" s="41" t="e">
        <f>INDEX(Curva_Temp[Warranted Power Curve for 
1.194Kg/m3 air density '[kW']
SG 5.0-145 (AM+1, 5.2MW) AT 
90M],MATCH(TBL_CalcDarwin[[#This Row],[Darwin Temp.
°C]],Curva_Temp[Temp]))</f>
        <v>#N/A</v>
      </c>
      <c r="S225" s="41" t="e" cm="1">
        <f t="array" ref="S225">INDEX(Curva_Temp[Temp],MATCH(TBL_CalcDarwin[[#This Row],[Darwin Temp.
°C]],Curva_Temp[Temp])+1)</f>
        <v>#N/A</v>
      </c>
      <c r="T225" s="41" t="e" cm="1">
        <f t="array" ref="T225">INDEX(Curva_Temp[Warranted Power Curve for 
1.194Kg/m3 air density '[kW']
SG 5.0-145 (AM+1, 5.2MW) AT 
90M],MATCH(TBL_CalcDarwin[[#This Row],[Darwin Temp.
°C]],Curva_Temp[Temp])+1)</f>
        <v>#N/A</v>
      </c>
      <c r="U225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5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5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5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5" s="41" t="e">
        <f>INDEX(Curva_Temp[Temp],MATCH(TBL_CalcDarwin[[#This Row],[Darwin Temp.
°C]],Curva_Temp[Temp]))</f>
        <v>#N/A</v>
      </c>
      <c r="Z225" s="41" t="e">
        <f>INDEX(Curva_Temp[Warranted Power Curve for 
1.194Kg/m3 air density '[kW']
SG 5.0-145 (AM 0, 5.0MW) AT 
90M],MATCH(TBL_CalcDarwin[[#This Row],[Darwin Temp.
°C]],Curva_Temp[Temp]))</f>
        <v>#N/A</v>
      </c>
      <c r="AA225" s="41" t="e" cm="1">
        <f t="array" ref="AA225">INDEX(Curva_Temp[Temp],MATCH(TBL_CalcDarwin[[#This Row],[Darwin Temp.
°C]],Curva_Temp[Temp])+1)</f>
        <v>#N/A</v>
      </c>
      <c r="AB225" s="41" t="e" cm="1">
        <f t="array" ref="AB225">INDEX(Curva_Temp[Warranted Power Curve for 
1.194Kg/m3 air density '[kW']
SG 5.0-145 (AM 0, 5.0MW) AT 
90M],MATCH(TBL_CalcDarwin[[#This Row],[Darwin Temp.
°C]],Curva_Temp[Temp])+1)</f>
        <v>#N/A</v>
      </c>
      <c r="AC225" s="45">
        <f>HLOOKUP(TBL_CalcDarwin[[#This Row],[Fecha]],'Plantilla AEG ES'!$E$1:$HX$13,2,FALSE)</f>
        <v>5</v>
      </c>
      <c r="AD225" s="45">
        <f>HLOOKUP(TBL_CalcDarwin[[#This Row],[Fecha]],'Plantilla AEG ES'!$E$1:$HX$13,3,FALSE)</f>
        <v>7</v>
      </c>
      <c r="AE225" s="45">
        <f>HLOOKUP(TBL_CalcDarwin[[#This Row],[Fecha]],'Plantilla AEG ES'!$E$1:$HX$13,4,FALSE)</f>
        <v>11</v>
      </c>
      <c r="AF225" s="45">
        <f>HLOOKUP(TBL_CalcDarwin[[#This Row],[Fecha]],'Plantilla AEG ES'!$E$1:$HX$13,5,FALSE)</f>
        <v>1</v>
      </c>
      <c r="AG225" s="45">
        <f>HLOOKUP(TBL_CalcDarwin[[#This Row],[Fecha]],'Plantilla AEG ES'!$E$1:$HX$13,6,FALSE)</f>
        <v>1</v>
      </c>
      <c r="AH225" s="45">
        <f>HLOOKUP(TBL_CalcDarwin[[#This Row],[Fecha]],'Plantilla AEG ES'!$E$1:$HX$13,7,FALSE)</f>
        <v>0</v>
      </c>
      <c r="AI225" s="46">
        <f>HLOOKUP(TBL_CalcDarwin[[#This Row],[Fecha]],'Plantilla AEG ES'!$E$1:$HX$13,8,FALSE)</f>
        <v>0</v>
      </c>
      <c r="AJ225" s="46">
        <f>HLOOKUP(TBL_CalcDarwin[[#This Row],[Fecha]],'Plantilla AEG ES'!$E$1:$HX$13,9,FALSE)</f>
        <v>3</v>
      </c>
      <c r="AK225" s="46">
        <f>HLOOKUP(TBL_CalcDarwin[[#This Row],[Fecha]],'Plantilla AEG ES'!$E$1:$HX$13,10,FALSE)</f>
        <v>12</v>
      </c>
      <c r="AL225" s="46">
        <f>HLOOKUP(TBL_CalcDarwin[[#This Row],[Fecha]],'Plantilla AEG ES'!$E$1:$HX$13,11,FALSE)</f>
        <v>1</v>
      </c>
      <c r="AM225" s="46">
        <f>HLOOKUP(TBL_CalcDarwin[[#This Row],[Fecha]],'Plantilla AEG ES'!$E$1:$HX$13,12,FALSE)</f>
        <v>7</v>
      </c>
      <c r="AN225" s="46">
        <f>HLOOKUP(TBL_CalcDarwin[[#This Row],[Fecha]],'Plantilla AEG ES'!$E$1:$HX$13,13,FALSE)</f>
        <v>1</v>
      </c>
      <c r="AO225" s="37">
        <f>TBL_CalcDarwin[[#This Row],[Lomitas - Barra A - 5.2 - Cerro]]+TBL_CalcDarwin[[#This Row],[Lomitas - Barra A - 5.2 - Medio]]+TBL_CalcDarwin[[#This Row],[Lomitas - Barra A - 5.2 - Mar]]</f>
        <v>23</v>
      </c>
      <c r="AP2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5" s="37">
        <f>TBL_CalcDarwin[[#This Row],[Expansión - Barra A - 5.2 - Cerro]]+TBL_CalcDarwin[[#This Row],[Expansión - Barra A - 5.2 - Medio]]+TBL_CalcDarwin[[#This Row],[Expansión - Barra A - 5.2 - Mar]]</f>
        <v>2</v>
      </c>
      <c r="AT225" s="37">
        <f>TBL_CalcDarwin[[#This Row],[Expansión - Barra B - 5.2 - Cerro]]</f>
        <v>1</v>
      </c>
      <c r="AU2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5" s="29" t="e">
        <f>TBL_CalcDarwin[[#This Row],[Expansión - Barra B - 5.2 - Cerro]]*TBL_CalcDarwin[[#This Row],[AEG 5.2 MW Cerro]]</f>
        <v>#N/A</v>
      </c>
      <c r="AZ225" s="18"/>
      <c r="BA225" s="18"/>
      <c r="BB225" s="18"/>
      <c r="BC225" s="18"/>
      <c r="BD225" s="18"/>
      <c r="BE225" s="18"/>
      <c r="BF225" s="18"/>
    </row>
    <row r="226" spans="2:58" ht="12" x14ac:dyDescent="0.2">
      <c r="B226" s="55">
        <f t="shared" si="19"/>
        <v>45622.333333332797</v>
      </c>
      <c r="C226" s="17">
        <f t="shared" si="22"/>
        <v>9.3333333333333357</v>
      </c>
      <c r="D226" s="34" t="e">
        <f>TBL_CalcDarwin[[#This Row],[Darwin PLOM
MW]]+TBL_CalcDarwin[[#This Row],[Darwin PLOME
MW]]</f>
        <v>#N/A</v>
      </c>
      <c r="E226" s="34" t="e">
        <f>TBL_CalcDarwin[[#This Row],[PLOM MW TOTAL BARRA A]]+TBL_CalcDarwin[[#This Row],[PLOM MW TOTAL BARRA B]]</f>
        <v>#N/A</v>
      </c>
      <c r="F226" s="34" t="e">
        <f>TBL_CalcDarwin[[#This Row],[PLOME MW TOTAL BARRA A]]+TBL_CalcDarwin[[#This Row],[PLOME MW TOTAL BARRA B]]</f>
        <v>#N/A</v>
      </c>
      <c r="G226" s="48">
        <f>'Plantilla Datos'!D231</f>
        <v>0</v>
      </c>
      <c r="H226" s="48">
        <f>'Plantilla Datos'!E231</f>
        <v>0</v>
      </c>
      <c r="I226" s="49">
        <f>'Plantilla Datos'!F231</f>
        <v>0</v>
      </c>
      <c r="J226" s="47">
        <f>CEILING('Plantilla Datos'!$L$3*TBL_CalcDarwin[[#This Row],[Darwin Gusts
m/s]],0.5)</f>
        <v>0</v>
      </c>
      <c r="K226" s="47">
        <f>CEILING('Plantilla Datos'!$L$4*TBL_CalcDarwin[[#This Row],[Darwin Gusts
m/s]],0.5)</f>
        <v>0</v>
      </c>
      <c r="L226" s="47">
        <f>CEILING(TBL_CalcDarwin[[#This Row],[Darwin Gusts
m/s]],0.5)</f>
        <v>0</v>
      </c>
      <c r="M226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6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6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6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6" s="41" t="e">
        <f>INDEX(Curva_Temp[Temp],MATCH(TBL_CalcDarwin[[#This Row],[Darwin Temp.
°C]],Curva_Temp[Temp]))</f>
        <v>#N/A</v>
      </c>
      <c r="R226" s="41" t="e">
        <f>INDEX(Curva_Temp[Warranted Power Curve for 
1.194Kg/m3 air density '[kW']
SG 5.0-145 (AM+1, 5.2MW) AT 
90M],MATCH(TBL_CalcDarwin[[#This Row],[Darwin Temp.
°C]],Curva_Temp[Temp]))</f>
        <v>#N/A</v>
      </c>
      <c r="S226" s="41" t="e" cm="1">
        <f t="array" ref="S226">INDEX(Curva_Temp[Temp],MATCH(TBL_CalcDarwin[[#This Row],[Darwin Temp.
°C]],Curva_Temp[Temp])+1)</f>
        <v>#N/A</v>
      </c>
      <c r="T226" s="41" t="e" cm="1">
        <f t="array" ref="T226">INDEX(Curva_Temp[Warranted Power Curve for 
1.194Kg/m3 air density '[kW']
SG 5.0-145 (AM+1, 5.2MW) AT 
90M],MATCH(TBL_CalcDarwin[[#This Row],[Darwin Temp.
°C]],Curva_Temp[Temp])+1)</f>
        <v>#N/A</v>
      </c>
      <c r="U226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6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6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6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6" s="41" t="e">
        <f>INDEX(Curva_Temp[Temp],MATCH(TBL_CalcDarwin[[#This Row],[Darwin Temp.
°C]],Curva_Temp[Temp]))</f>
        <v>#N/A</v>
      </c>
      <c r="Z226" s="41" t="e">
        <f>INDEX(Curva_Temp[Warranted Power Curve for 
1.194Kg/m3 air density '[kW']
SG 5.0-145 (AM 0, 5.0MW) AT 
90M],MATCH(TBL_CalcDarwin[[#This Row],[Darwin Temp.
°C]],Curva_Temp[Temp]))</f>
        <v>#N/A</v>
      </c>
      <c r="AA226" s="41" t="e" cm="1">
        <f t="array" ref="AA226">INDEX(Curva_Temp[Temp],MATCH(TBL_CalcDarwin[[#This Row],[Darwin Temp.
°C]],Curva_Temp[Temp])+1)</f>
        <v>#N/A</v>
      </c>
      <c r="AB226" s="41" t="e" cm="1">
        <f t="array" ref="AB226">INDEX(Curva_Temp[Warranted Power Curve for 
1.194Kg/m3 air density '[kW']
SG 5.0-145 (AM 0, 5.0MW) AT 
90M],MATCH(TBL_CalcDarwin[[#This Row],[Darwin Temp.
°C]],Curva_Temp[Temp])+1)</f>
        <v>#N/A</v>
      </c>
      <c r="AC226" s="45">
        <f>HLOOKUP(TBL_CalcDarwin[[#This Row],[Fecha]],'Plantilla AEG ES'!$E$1:$HX$13,2,FALSE)</f>
        <v>5</v>
      </c>
      <c r="AD226" s="45">
        <f>HLOOKUP(TBL_CalcDarwin[[#This Row],[Fecha]],'Plantilla AEG ES'!$E$1:$HX$13,3,FALSE)</f>
        <v>7</v>
      </c>
      <c r="AE226" s="45">
        <f>HLOOKUP(TBL_CalcDarwin[[#This Row],[Fecha]],'Plantilla AEG ES'!$E$1:$HX$13,4,FALSE)</f>
        <v>11</v>
      </c>
      <c r="AF226" s="45">
        <f>HLOOKUP(TBL_CalcDarwin[[#This Row],[Fecha]],'Plantilla AEG ES'!$E$1:$HX$13,5,FALSE)</f>
        <v>1</v>
      </c>
      <c r="AG226" s="45">
        <f>HLOOKUP(TBL_CalcDarwin[[#This Row],[Fecha]],'Plantilla AEG ES'!$E$1:$HX$13,6,FALSE)</f>
        <v>1</v>
      </c>
      <c r="AH226" s="45">
        <f>HLOOKUP(TBL_CalcDarwin[[#This Row],[Fecha]],'Plantilla AEG ES'!$E$1:$HX$13,7,FALSE)</f>
        <v>0</v>
      </c>
      <c r="AI226" s="46">
        <f>HLOOKUP(TBL_CalcDarwin[[#This Row],[Fecha]],'Plantilla AEG ES'!$E$1:$HX$13,8,FALSE)</f>
        <v>0</v>
      </c>
      <c r="AJ226" s="46">
        <f>HLOOKUP(TBL_CalcDarwin[[#This Row],[Fecha]],'Plantilla AEG ES'!$E$1:$HX$13,9,FALSE)</f>
        <v>3</v>
      </c>
      <c r="AK226" s="46">
        <f>HLOOKUP(TBL_CalcDarwin[[#This Row],[Fecha]],'Plantilla AEG ES'!$E$1:$HX$13,10,FALSE)</f>
        <v>12</v>
      </c>
      <c r="AL226" s="46">
        <f>HLOOKUP(TBL_CalcDarwin[[#This Row],[Fecha]],'Plantilla AEG ES'!$E$1:$HX$13,11,FALSE)</f>
        <v>1</v>
      </c>
      <c r="AM226" s="46">
        <f>HLOOKUP(TBL_CalcDarwin[[#This Row],[Fecha]],'Plantilla AEG ES'!$E$1:$HX$13,12,FALSE)</f>
        <v>7</v>
      </c>
      <c r="AN226" s="46">
        <f>HLOOKUP(TBL_CalcDarwin[[#This Row],[Fecha]],'Plantilla AEG ES'!$E$1:$HX$13,13,FALSE)</f>
        <v>1</v>
      </c>
      <c r="AO226" s="37">
        <f>TBL_CalcDarwin[[#This Row],[Lomitas - Barra A - 5.2 - Cerro]]+TBL_CalcDarwin[[#This Row],[Lomitas - Barra A - 5.2 - Medio]]+TBL_CalcDarwin[[#This Row],[Lomitas - Barra A - 5.2 - Mar]]</f>
        <v>23</v>
      </c>
      <c r="AP2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6" s="37">
        <f>TBL_CalcDarwin[[#This Row],[Expansión - Barra A - 5.2 - Cerro]]+TBL_CalcDarwin[[#This Row],[Expansión - Barra A - 5.2 - Medio]]+TBL_CalcDarwin[[#This Row],[Expansión - Barra A - 5.2 - Mar]]</f>
        <v>2</v>
      </c>
      <c r="AT226" s="37">
        <f>TBL_CalcDarwin[[#This Row],[Expansión - Barra B - 5.2 - Cerro]]</f>
        <v>1</v>
      </c>
      <c r="AU2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6" s="29" t="e">
        <f>TBL_CalcDarwin[[#This Row],[Expansión - Barra B - 5.2 - Cerro]]*TBL_CalcDarwin[[#This Row],[AEG 5.2 MW Cerro]]</f>
        <v>#N/A</v>
      </c>
      <c r="AZ226" s="18"/>
      <c r="BA226" s="18"/>
      <c r="BB226" s="18"/>
      <c r="BC226" s="18"/>
      <c r="BD226" s="18"/>
      <c r="BE226" s="18"/>
      <c r="BF226" s="18"/>
    </row>
    <row r="227" spans="2:58" ht="12" x14ac:dyDescent="0.2">
      <c r="B227" s="55">
        <f t="shared" si="19"/>
        <v>45622.374999999462</v>
      </c>
      <c r="C227" s="17">
        <f t="shared" si="22"/>
        <v>9.3750000000000018</v>
      </c>
      <c r="D227" s="34" t="e">
        <f>TBL_CalcDarwin[[#This Row],[Darwin PLOM
MW]]+TBL_CalcDarwin[[#This Row],[Darwin PLOME
MW]]</f>
        <v>#N/A</v>
      </c>
      <c r="E227" s="34" t="e">
        <f>TBL_CalcDarwin[[#This Row],[PLOM MW TOTAL BARRA A]]+TBL_CalcDarwin[[#This Row],[PLOM MW TOTAL BARRA B]]</f>
        <v>#N/A</v>
      </c>
      <c r="F227" s="34" t="e">
        <f>TBL_CalcDarwin[[#This Row],[PLOME MW TOTAL BARRA A]]+TBL_CalcDarwin[[#This Row],[PLOME MW TOTAL BARRA B]]</f>
        <v>#N/A</v>
      </c>
      <c r="G227" s="48">
        <f>'Plantilla Datos'!D232</f>
        <v>0</v>
      </c>
      <c r="H227" s="48">
        <f>'Plantilla Datos'!E232</f>
        <v>0</v>
      </c>
      <c r="I227" s="49">
        <f>'Plantilla Datos'!F232</f>
        <v>0</v>
      </c>
      <c r="J227" s="47">
        <f>CEILING('Plantilla Datos'!$L$3*TBL_CalcDarwin[[#This Row],[Darwin Gusts
m/s]],0.5)</f>
        <v>0</v>
      </c>
      <c r="K227" s="47">
        <f>CEILING('Plantilla Datos'!$L$4*TBL_CalcDarwin[[#This Row],[Darwin Gusts
m/s]],0.5)</f>
        <v>0</v>
      </c>
      <c r="L227" s="47">
        <f>CEILING(TBL_CalcDarwin[[#This Row],[Darwin Gusts
m/s]],0.5)</f>
        <v>0</v>
      </c>
      <c r="M227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7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7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7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7" s="41" t="e">
        <f>INDEX(Curva_Temp[Temp],MATCH(TBL_CalcDarwin[[#This Row],[Darwin Temp.
°C]],Curva_Temp[Temp]))</f>
        <v>#N/A</v>
      </c>
      <c r="R227" s="41" t="e">
        <f>INDEX(Curva_Temp[Warranted Power Curve for 
1.194Kg/m3 air density '[kW']
SG 5.0-145 (AM+1, 5.2MW) AT 
90M],MATCH(TBL_CalcDarwin[[#This Row],[Darwin Temp.
°C]],Curva_Temp[Temp]))</f>
        <v>#N/A</v>
      </c>
      <c r="S227" s="41" t="e" cm="1">
        <f t="array" ref="S227">INDEX(Curva_Temp[Temp],MATCH(TBL_CalcDarwin[[#This Row],[Darwin Temp.
°C]],Curva_Temp[Temp])+1)</f>
        <v>#N/A</v>
      </c>
      <c r="T227" s="41" t="e" cm="1">
        <f t="array" ref="T227">INDEX(Curva_Temp[Warranted Power Curve for 
1.194Kg/m3 air density '[kW']
SG 5.0-145 (AM+1, 5.2MW) AT 
90M],MATCH(TBL_CalcDarwin[[#This Row],[Darwin Temp.
°C]],Curva_Temp[Temp])+1)</f>
        <v>#N/A</v>
      </c>
      <c r="U227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7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7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7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7" s="41" t="e">
        <f>INDEX(Curva_Temp[Temp],MATCH(TBL_CalcDarwin[[#This Row],[Darwin Temp.
°C]],Curva_Temp[Temp]))</f>
        <v>#N/A</v>
      </c>
      <c r="Z227" s="41" t="e">
        <f>INDEX(Curva_Temp[Warranted Power Curve for 
1.194Kg/m3 air density '[kW']
SG 5.0-145 (AM 0, 5.0MW) AT 
90M],MATCH(TBL_CalcDarwin[[#This Row],[Darwin Temp.
°C]],Curva_Temp[Temp]))</f>
        <v>#N/A</v>
      </c>
      <c r="AA227" s="41" t="e" cm="1">
        <f t="array" ref="AA227">INDEX(Curva_Temp[Temp],MATCH(TBL_CalcDarwin[[#This Row],[Darwin Temp.
°C]],Curva_Temp[Temp])+1)</f>
        <v>#N/A</v>
      </c>
      <c r="AB227" s="41" t="e" cm="1">
        <f t="array" ref="AB227">INDEX(Curva_Temp[Warranted Power Curve for 
1.194Kg/m3 air density '[kW']
SG 5.0-145 (AM 0, 5.0MW) AT 
90M],MATCH(TBL_CalcDarwin[[#This Row],[Darwin Temp.
°C]],Curva_Temp[Temp])+1)</f>
        <v>#N/A</v>
      </c>
      <c r="AC227" s="45">
        <f>HLOOKUP(TBL_CalcDarwin[[#This Row],[Fecha]],'Plantilla AEG ES'!$E$1:$HX$13,2,FALSE)</f>
        <v>5</v>
      </c>
      <c r="AD227" s="45">
        <f>HLOOKUP(TBL_CalcDarwin[[#This Row],[Fecha]],'Plantilla AEG ES'!$E$1:$HX$13,3,FALSE)</f>
        <v>7</v>
      </c>
      <c r="AE227" s="45">
        <f>HLOOKUP(TBL_CalcDarwin[[#This Row],[Fecha]],'Plantilla AEG ES'!$E$1:$HX$13,4,FALSE)</f>
        <v>11</v>
      </c>
      <c r="AF227" s="45">
        <f>HLOOKUP(TBL_CalcDarwin[[#This Row],[Fecha]],'Plantilla AEG ES'!$E$1:$HX$13,5,FALSE)</f>
        <v>1</v>
      </c>
      <c r="AG227" s="45">
        <f>HLOOKUP(TBL_CalcDarwin[[#This Row],[Fecha]],'Plantilla AEG ES'!$E$1:$HX$13,6,FALSE)</f>
        <v>1</v>
      </c>
      <c r="AH227" s="45">
        <f>HLOOKUP(TBL_CalcDarwin[[#This Row],[Fecha]],'Plantilla AEG ES'!$E$1:$HX$13,7,FALSE)</f>
        <v>0</v>
      </c>
      <c r="AI227" s="46">
        <f>HLOOKUP(TBL_CalcDarwin[[#This Row],[Fecha]],'Plantilla AEG ES'!$E$1:$HX$13,8,FALSE)</f>
        <v>0</v>
      </c>
      <c r="AJ227" s="46">
        <f>HLOOKUP(TBL_CalcDarwin[[#This Row],[Fecha]],'Plantilla AEG ES'!$E$1:$HX$13,9,FALSE)</f>
        <v>3</v>
      </c>
      <c r="AK227" s="46">
        <f>HLOOKUP(TBL_CalcDarwin[[#This Row],[Fecha]],'Plantilla AEG ES'!$E$1:$HX$13,10,FALSE)</f>
        <v>12</v>
      </c>
      <c r="AL227" s="46">
        <f>HLOOKUP(TBL_CalcDarwin[[#This Row],[Fecha]],'Plantilla AEG ES'!$E$1:$HX$13,11,FALSE)</f>
        <v>1</v>
      </c>
      <c r="AM227" s="46">
        <f>HLOOKUP(TBL_CalcDarwin[[#This Row],[Fecha]],'Plantilla AEG ES'!$E$1:$HX$13,12,FALSE)</f>
        <v>7</v>
      </c>
      <c r="AN227" s="46">
        <f>HLOOKUP(TBL_CalcDarwin[[#This Row],[Fecha]],'Plantilla AEG ES'!$E$1:$HX$13,13,FALSE)</f>
        <v>1</v>
      </c>
      <c r="AO227" s="37">
        <f>TBL_CalcDarwin[[#This Row],[Lomitas - Barra A - 5.2 - Cerro]]+TBL_CalcDarwin[[#This Row],[Lomitas - Barra A - 5.2 - Medio]]+TBL_CalcDarwin[[#This Row],[Lomitas - Barra A - 5.2 - Mar]]</f>
        <v>23</v>
      </c>
      <c r="AP2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7" s="37">
        <f>TBL_CalcDarwin[[#This Row],[Expansión - Barra A - 5.2 - Cerro]]+TBL_CalcDarwin[[#This Row],[Expansión - Barra A - 5.2 - Medio]]+TBL_CalcDarwin[[#This Row],[Expansión - Barra A - 5.2 - Mar]]</f>
        <v>2</v>
      </c>
      <c r="AT227" s="37">
        <f>TBL_CalcDarwin[[#This Row],[Expansión - Barra B - 5.2 - Cerro]]</f>
        <v>1</v>
      </c>
      <c r="AU2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7" s="29" t="e">
        <f>TBL_CalcDarwin[[#This Row],[Expansión - Barra B - 5.2 - Cerro]]*TBL_CalcDarwin[[#This Row],[AEG 5.2 MW Cerro]]</f>
        <v>#N/A</v>
      </c>
      <c r="AZ227" s="18"/>
      <c r="BA227" s="18"/>
      <c r="BB227" s="18"/>
      <c r="BC227" s="18"/>
      <c r="BD227" s="18"/>
      <c r="BE227" s="18"/>
      <c r="BF227" s="18"/>
    </row>
    <row r="228" spans="2:58" ht="12" x14ac:dyDescent="0.2">
      <c r="B228" s="55">
        <f t="shared" si="19"/>
        <v>45622.416666666126</v>
      </c>
      <c r="C228" s="17">
        <f t="shared" si="22"/>
        <v>9.4166666666666679</v>
      </c>
      <c r="D228" s="34" t="e">
        <f>TBL_CalcDarwin[[#This Row],[Darwin PLOM
MW]]+TBL_CalcDarwin[[#This Row],[Darwin PLOME
MW]]</f>
        <v>#N/A</v>
      </c>
      <c r="E228" s="34" t="e">
        <f>TBL_CalcDarwin[[#This Row],[PLOM MW TOTAL BARRA A]]+TBL_CalcDarwin[[#This Row],[PLOM MW TOTAL BARRA B]]</f>
        <v>#N/A</v>
      </c>
      <c r="F228" s="34" t="e">
        <f>TBL_CalcDarwin[[#This Row],[PLOME MW TOTAL BARRA A]]+TBL_CalcDarwin[[#This Row],[PLOME MW TOTAL BARRA B]]</f>
        <v>#N/A</v>
      </c>
      <c r="G228" s="48">
        <f>'Plantilla Datos'!D233</f>
        <v>0</v>
      </c>
      <c r="H228" s="48">
        <f>'Plantilla Datos'!E233</f>
        <v>0</v>
      </c>
      <c r="I228" s="49">
        <f>'Plantilla Datos'!F233</f>
        <v>0</v>
      </c>
      <c r="J228" s="47">
        <f>CEILING('Plantilla Datos'!$L$3*TBL_CalcDarwin[[#This Row],[Darwin Gusts
m/s]],0.5)</f>
        <v>0</v>
      </c>
      <c r="K228" s="47">
        <f>CEILING('Plantilla Datos'!$L$4*TBL_CalcDarwin[[#This Row],[Darwin Gusts
m/s]],0.5)</f>
        <v>0</v>
      </c>
      <c r="L228" s="47">
        <f>CEILING(TBL_CalcDarwin[[#This Row],[Darwin Gusts
m/s]],0.5)</f>
        <v>0</v>
      </c>
      <c r="M228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8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8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8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8" s="41" t="e">
        <f>INDEX(Curva_Temp[Temp],MATCH(TBL_CalcDarwin[[#This Row],[Darwin Temp.
°C]],Curva_Temp[Temp]))</f>
        <v>#N/A</v>
      </c>
      <c r="R228" s="41" t="e">
        <f>INDEX(Curva_Temp[Warranted Power Curve for 
1.194Kg/m3 air density '[kW']
SG 5.0-145 (AM+1, 5.2MW) AT 
90M],MATCH(TBL_CalcDarwin[[#This Row],[Darwin Temp.
°C]],Curva_Temp[Temp]))</f>
        <v>#N/A</v>
      </c>
      <c r="S228" s="41" t="e" cm="1">
        <f t="array" ref="S228">INDEX(Curva_Temp[Temp],MATCH(TBL_CalcDarwin[[#This Row],[Darwin Temp.
°C]],Curva_Temp[Temp])+1)</f>
        <v>#N/A</v>
      </c>
      <c r="T228" s="41" t="e" cm="1">
        <f t="array" ref="T228">INDEX(Curva_Temp[Warranted Power Curve for 
1.194Kg/m3 air density '[kW']
SG 5.0-145 (AM+1, 5.2MW) AT 
90M],MATCH(TBL_CalcDarwin[[#This Row],[Darwin Temp.
°C]],Curva_Temp[Temp])+1)</f>
        <v>#N/A</v>
      </c>
      <c r="U228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8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8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8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8" s="41" t="e">
        <f>INDEX(Curva_Temp[Temp],MATCH(TBL_CalcDarwin[[#This Row],[Darwin Temp.
°C]],Curva_Temp[Temp]))</f>
        <v>#N/A</v>
      </c>
      <c r="Z228" s="41" t="e">
        <f>INDEX(Curva_Temp[Warranted Power Curve for 
1.194Kg/m3 air density '[kW']
SG 5.0-145 (AM 0, 5.0MW) AT 
90M],MATCH(TBL_CalcDarwin[[#This Row],[Darwin Temp.
°C]],Curva_Temp[Temp]))</f>
        <v>#N/A</v>
      </c>
      <c r="AA228" s="41" t="e" cm="1">
        <f t="array" ref="AA228">INDEX(Curva_Temp[Temp],MATCH(TBL_CalcDarwin[[#This Row],[Darwin Temp.
°C]],Curva_Temp[Temp])+1)</f>
        <v>#N/A</v>
      </c>
      <c r="AB228" s="41" t="e" cm="1">
        <f t="array" ref="AB228">INDEX(Curva_Temp[Warranted Power Curve for 
1.194Kg/m3 air density '[kW']
SG 5.0-145 (AM 0, 5.0MW) AT 
90M],MATCH(TBL_CalcDarwin[[#This Row],[Darwin Temp.
°C]],Curva_Temp[Temp])+1)</f>
        <v>#N/A</v>
      </c>
      <c r="AC228" s="45">
        <f>HLOOKUP(TBL_CalcDarwin[[#This Row],[Fecha]],'Plantilla AEG ES'!$E$1:$HX$13,2,FALSE)</f>
        <v>5</v>
      </c>
      <c r="AD228" s="45">
        <f>HLOOKUP(TBL_CalcDarwin[[#This Row],[Fecha]],'Plantilla AEG ES'!$E$1:$HX$13,3,FALSE)</f>
        <v>7</v>
      </c>
      <c r="AE228" s="45">
        <f>HLOOKUP(TBL_CalcDarwin[[#This Row],[Fecha]],'Plantilla AEG ES'!$E$1:$HX$13,4,FALSE)</f>
        <v>11</v>
      </c>
      <c r="AF228" s="45">
        <f>HLOOKUP(TBL_CalcDarwin[[#This Row],[Fecha]],'Plantilla AEG ES'!$E$1:$HX$13,5,FALSE)</f>
        <v>1</v>
      </c>
      <c r="AG228" s="45">
        <f>HLOOKUP(TBL_CalcDarwin[[#This Row],[Fecha]],'Plantilla AEG ES'!$E$1:$HX$13,6,FALSE)</f>
        <v>1</v>
      </c>
      <c r="AH228" s="45">
        <f>HLOOKUP(TBL_CalcDarwin[[#This Row],[Fecha]],'Plantilla AEG ES'!$E$1:$HX$13,7,FALSE)</f>
        <v>0</v>
      </c>
      <c r="AI228" s="46">
        <f>HLOOKUP(TBL_CalcDarwin[[#This Row],[Fecha]],'Plantilla AEG ES'!$E$1:$HX$13,8,FALSE)</f>
        <v>0</v>
      </c>
      <c r="AJ228" s="46">
        <f>HLOOKUP(TBL_CalcDarwin[[#This Row],[Fecha]],'Plantilla AEG ES'!$E$1:$HX$13,9,FALSE)</f>
        <v>3</v>
      </c>
      <c r="AK228" s="46">
        <f>HLOOKUP(TBL_CalcDarwin[[#This Row],[Fecha]],'Plantilla AEG ES'!$E$1:$HX$13,10,FALSE)</f>
        <v>12</v>
      </c>
      <c r="AL228" s="46">
        <f>HLOOKUP(TBL_CalcDarwin[[#This Row],[Fecha]],'Plantilla AEG ES'!$E$1:$HX$13,11,FALSE)</f>
        <v>1</v>
      </c>
      <c r="AM228" s="46">
        <f>HLOOKUP(TBL_CalcDarwin[[#This Row],[Fecha]],'Plantilla AEG ES'!$E$1:$HX$13,12,FALSE)</f>
        <v>7</v>
      </c>
      <c r="AN228" s="46">
        <f>HLOOKUP(TBL_CalcDarwin[[#This Row],[Fecha]],'Plantilla AEG ES'!$E$1:$HX$13,13,FALSE)</f>
        <v>1</v>
      </c>
      <c r="AO228" s="37">
        <f>TBL_CalcDarwin[[#This Row],[Lomitas - Barra A - 5.2 - Cerro]]+TBL_CalcDarwin[[#This Row],[Lomitas - Barra A - 5.2 - Medio]]+TBL_CalcDarwin[[#This Row],[Lomitas - Barra A - 5.2 - Mar]]</f>
        <v>23</v>
      </c>
      <c r="AP2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8" s="37">
        <f>TBL_CalcDarwin[[#This Row],[Expansión - Barra A - 5.2 - Cerro]]+TBL_CalcDarwin[[#This Row],[Expansión - Barra A - 5.2 - Medio]]+TBL_CalcDarwin[[#This Row],[Expansión - Barra A - 5.2 - Mar]]</f>
        <v>2</v>
      </c>
      <c r="AT228" s="37">
        <f>TBL_CalcDarwin[[#This Row],[Expansión - Barra B - 5.2 - Cerro]]</f>
        <v>1</v>
      </c>
      <c r="AU2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8" s="29" t="e">
        <f>TBL_CalcDarwin[[#This Row],[Expansión - Barra B - 5.2 - Cerro]]*TBL_CalcDarwin[[#This Row],[AEG 5.2 MW Cerro]]</f>
        <v>#N/A</v>
      </c>
      <c r="AZ228" s="18"/>
      <c r="BA228" s="18"/>
      <c r="BB228" s="18"/>
      <c r="BC228" s="18"/>
      <c r="BD228" s="18"/>
      <c r="BE228" s="18"/>
      <c r="BF228" s="18"/>
    </row>
    <row r="229" spans="2:58" ht="12" x14ac:dyDescent="0.2">
      <c r="B229" s="55">
        <f t="shared" si="19"/>
        <v>45622.45833333279</v>
      </c>
      <c r="C229" s="17">
        <f t="shared" si="22"/>
        <v>9.4583333333333339</v>
      </c>
      <c r="D229" s="34" t="e">
        <f>TBL_CalcDarwin[[#This Row],[Darwin PLOM
MW]]+TBL_CalcDarwin[[#This Row],[Darwin PLOME
MW]]</f>
        <v>#N/A</v>
      </c>
      <c r="E229" s="34" t="e">
        <f>TBL_CalcDarwin[[#This Row],[PLOM MW TOTAL BARRA A]]+TBL_CalcDarwin[[#This Row],[PLOM MW TOTAL BARRA B]]</f>
        <v>#N/A</v>
      </c>
      <c r="F229" s="34" t="e">
        <f>TBL_CalcDarwin[[#This Row],[PLOME MW TOTAL BARRA A]]+TBL_CalcDarwin[[#This Row],[PLOME MW TOTAL BARRA B]]</f>
        <v>#N/A</v>
      </c>
      <c r="G229" s="48">
        <f>'Plantilla Datos'!D234</f>
        <v>0</v>
      </c>
      <c r="H229" s="48">
        <f>'Plantilla Datos'!E234</f>
        <v>0</v>
      </c>
      <c r="I229" s="49">
        <f>'Plantilla Datos'!F234</f>
        <v>0</v>
      </c>
      <c r="J229" s="47">
        <f>CEILING('Plantilla Datos'!$L$3*TBL_CalcDarwin[[#This Row],[Darwin Gusts
m/s]],0.5)</f>
        <v>0</v>
      </c>
      <c r="K229" s="47">
        <f>CEILING('Plantilla Datos'!$L$4*TBL_CalcDarwin[[#This Row],[Darwin Gusts
m/s]],0.5)</f>
        <v>0</v>
      </c>
      <c r="L229" s="47">
        <f>CEILING(TBL_CalcDarwin[[#This Row],[Darwin Gusts
m/s]],0.5)</f>
        <v>0</v>
      </c>
      <c r="M229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9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9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9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9" s="41" t="e">
        <f>INDEX(Curva_Temp[Temp],MATCH(TBL_CalcDarwin[[#This Row],[Darwin Temp.
°C]],Curva_Temp[Temp]))</f>
        <v>#N/A</v>
      </c>
      <c r="R229" s="41" t="e">
        <f>INDEX(Curva_Temp[Warranted Power Curve for 
1.194Kg/m3 air density '[kW']
SG 5.0-145 (AM+1, 5.2MW) AT 
90M],MATCH(TBL_CalcDarwin[[#This Row],[Darwin Temp.
°C]],Curva_Temp[Temp]))</f>
        <v>#N/A</v>
      </c>
      <c r="S229" s="41" t="e" cm="1">
        <f t="array" ref="S229">INDEX(Curva_Temp[Temp],MATCH(TBL_CalcDarwin[[#This Row],[Darwin Temp.
°C]],Curva_Temp[Temp])+1)</f>
        <v>#N/A</v>
      </c>
      <c r="T229" s="41" t="e" cm="1">
        <f t="array" ref="T229">INDEX(Curva_Temp[Warranted Power Curve for 
1.194Kg/m3 air density '[kW']
SG 5.0-145 (AM+1, 5.2MW) AT 
90M],MATCH(TBL_CalcDarwin[[#This Row],[Darwin Temp.
°C]],Curva_Temp[Temp])+1)</f>
        <v>#N/A</v>
      </c>
      <c r="U229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9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9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9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9" s="41" t="e">
        <f>INDEX(Curva_Temp[Temp],MATCH(TBL_CalcDarwin[[#This Row],[Darwin Temp.
°C]],Curva_Temp[Temp]))</f>
        <v>#N/A</v>
      </c>
      <c r="Z229" s="41" t="e">
        <f>INDEX(Curva_Temp[Warranted Power Curve for 
1.194Kg/m3 air density '[kW']
SG 5.0-145 (AM 0, 5.0MW) AT 
90M],MATCH(TBL_CalcDarwin[[#This Row],[Darwin Temp.
°C]],Curva_Temp[Temp]))</f>
        <v>#N/A</v>
      </c>
      <c r="AA229" s="41" t="e" cm="1">
        <f t="array" ref="AA229">INDEX(Curva_Temp[Temp],MATCH(TBL_CalcDarwin[[#This Row],[Darwin Temp.
°C]],Curva_Temp[Temp])+1)</f>
        <v>#N/A</v>
      </c>
      <c r="AB229" s="41" t="e" cm="1">
        <f t="array" ref="AB229">INDEX(Curva_Temp[Warranted Power Curve for 
1.194Kg/m3 air density '[kW']
SG 5.0-145 (AM 0, 5.0MW) AT 
90M],MATCH(TBL_CalcDarwin[[#This Row],[Darwin Temp.
°C]],Curva_Temp[Temp])+1)</f>
        <v>#N/A</v>
      </c>
      <c r="AC229" s="45">
        <f>HLOOKUP(TBL_CalcDarwin[[#This Row],[Fecha]],'Plantilla AEG ES'!$E$1:$HX$13,2,FALSE)</f>
        <v>5</v>
      </c>
      <c r="AD229" s="45">
        <f>HLOOKUP(TBL_CalcDarwin[[#This Row],[Fecha]],'Plantilla AEG ES'!$E$1:$HX$13,3,FALSE)</f>
        <v>8</v>
      </c>
      <c r="AE229" s="45">
        <f>HLOOKUP(TBL_CalcDarwin[[#This Row],[Fecha]],'Plantilla AEG ES'!$E$1:$HX$13,4,FALSE)</f>
        <v>12</v>
      </c>
      <c r="AF229" s="45">
        <f>HLOOKUP(TBL_CalcDarwin[[#This Row],[Fecha]],'Plantilla AEG ES'!$E$1:$HX$13,5,FALSE)</f>
        <v>1</v>
      </c>
      <c r="AG229" s="45">
        <f>HLOOKUP(TBL_CalcDarwin[[#This Row],[Fecha]],'Plantilla AEG ES'!$E$1:$HX$13,6,FALSE)</f>
        <v>1</v>
      </c>
      <c r="AH229" s="45">
        <f>HLOOKUP(TBL_CalcDarwin[[#This Row],[Fecha]],'Plantilla AEG ES'!$E$1:$HX$13,7,FALSE)</f>
        <v>0</v>
      </c>
      <c r="AI229" s="46">
        <f>HLOOKUP(TBL_CalcDarwin[[#This Row],[Fecha]],'Plantilla AEG ES'!$E$1:$HX$13,8,FALSE)</f>
        <v>0</v>
      </c>
      <c r="AJ229" s="46">
        <f>HLOOKUP(TBL_CalcDarwin[[#This Row],[Fecha]],'Plantilla AEG ES'!$E$1:$HX$13,9,FALSE)</f>
        <v>3</v>
      </c>
      <c r="AK229" s="46">
        <f>HLOOKUP(TBL_CalcDarwin[[#This Row],[Fecha]],'Plantilla AEG ES'!$E$1:$HX$13,10,FALSE)</f>
        <v>12</v>
      </c>
      <c r="AL229" s="46">
        <f>HLOOKUP(TBL_CalcDarwin[[#This Row],[Fecha]],'Plantilla AEG ES'!$E$1:$HX$13,11,FALSE)</f>
        <v>1</v>
      </c>
      <c r="AM229" s="46">
        <f>HLOOKUP(TBL_CalcDarwin[[#This Row],[Fecha]],'Plantilla AEG ES'!$E$1:$HX$13,12,FALSE)</f>
        <v>7</v>
      </c>
      <c r="AN229" s="46">
        <f>HLOOKUP(TBL_CalcDarwin[[#This Row],[Fecha]],'Plantilla AEG ES'!$E$1:$HX$13,13,FALSE)</f>
        <v>1</v>
      </c>
      <c r="AO229" s="37">
        <f>TBL_CalcDarwin[[#This Row],[Lomitas - Barra A - 5.2 - Cerro]]+TBL_CalcDarwin[[#This Row],[Lomitas - Barra A - 5.2 - Medio]]+TBL_CalcDarwin[[#This Row],[Lomitas - Barra A - 5.2 - Mar]]</f>
        <v>25</v>
      </c>
      <c r="AP2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9" s="37">
        <f>TBL_CalcDarwin[[#This Row],[Expansión - Barra A - 5.2 - Cerro]]+TBL_CalcDarwin[[#This Row],[Expansión - Barra A - 5.2 - Medio]]+TBL_CalcDarwin[[#This Row],[Expansión - Barra A - 5.2 - Mar]]</f>
        <v>2</v>
      </c>
      <c r="AT229" s="37">
        <f>TBL_CalcDarwin[[#This Row],[Expansión - Barra B - 5.2 - Cerro]]</f>
        <v>1</v>
      </c>
      <c r="AU2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9" s="29" t="e">
        <f>TBL_CalcDarwin[[#This Row],[Expansión - Barra B - 5.2 - Cerro]]*TBL_CalcDarwin[[#This Row],[AEG 5.2 MW Cerro]]</f>
        <v>#N/A</v>
      </c>
      <c r="AZ229" s="18"/>
      <c r="BA229" s="18"/>
      <c r="BB229" s="18"/>
      <c r="BC229" s="18"/>
      <c r="BD229" s="18"/>
      <c r="BE229" s="18"/>
      <c r="BF22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8F5F5-E0BF-4CA1-B28D-E3D3126B3571}">
  <sheetPr codeName="Sheet7">
    <tabColor rgb="FF00B050"/>
  </sheetPr>
  <dimension ref="A1:P50"/>
  <sheetViews>
    <sheetView topLeftCell="C8" zoomScale="80" zoomScaleNormal="80" workbookViewId="0">
      <selection activeCell="I48" sqref="I48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  <col min="14" max="14" width="10.5703125" bestFit="1" customWidth="1"/>
    <col min="15" max="15" width="11.7109375" customWidth="1"/>
    <col min="16" max="16" width="12" bestFit="1" customWidth="1"/>
  </cols>
  <sheetData>
    <row r="1" spans="1:16" ht="54.6" customHeight="1" x14ac:dyDescent="0.35">
      <c r="A1" s="138" t="str">
        <f>"DATA DE VIENTO EJECUTADO CE PUNTA LOMITAS "&amp;UPPER(TEXT(A3,"DDDD dd mmmm"))</f>
        <v>DATA DE VIENTO EJECUTADO CE PUNTA LOMITAS SATURDAY 16 NOVEMBER</v>
      </c>
      <c r="B1" s="138"/>
      <c r="C1" s="138"/>
      <c r="F1" s="138" t="str">
        <f>"GENERACIÓN PROYECTADA CE PUNTA LOMITAS, POR BARRA Y # AEG E/S "&amp;UPPER(TEXT(F3,"DDDD dd mmmm"))</f>
        <v>GENERACIÓN PROYECTADA CE PUNTA LOMITAS, POR BARRA Y # AEG E/S MONDAY 18 NOVEMBER</v>
      </c>
      <c r="G1" s="138"/>
      <c r="H1" s="138"/>
      <c r="I1" s="138"/>
      <c r="J1" s="138"/>
      <c r="K1" s="138"/>
      <c r="L1" s="138"/>
      <c r="N1" s="128" t="s">
        <v>209</v>
      </c>
      <c r="P1" s="128">
        <v>175</v>
      </c>
    </row>
    <row r="2" spans="1:16" ht="59.25" customHeight="1" x14ac:dyDescent="0.25">
      <c r="A2" s="15" t="s">
        <v>0</v>
      </c>
      <c r="B2" s="15" t="s">
        <v>1</v>
      </c>
      <c r="C2" s="15" t="s">
        <v>174</v>
      </c>
      <c r="F2" s="15" t="s">
        <v>0</v>
      </c>
      <c r="G2" s="15" t="s">
        <v>1</v>
      </c>
      <c r="H2" s="13" t="s">
        <v>175</v>
      </c>
      <c r="I2" s="13" t="s">
        <v>176</v>
      </c>
      <c r="J2" s="13" t="s">
        <v>177</v>
      </c>
      <c r="K2" s="13" t="s">
        <v>178</v>
      </c>
      <c r="L2" s="15" t="s">
        <v>179</v>
      </c>
      <c r="N2" s="72" t="s">
        <v>188</v>
      </c>
      <c r="O2" s="72" t="s">
        <v>189</v>
      </c>
      <c r="P2" s="72" t="s">
        <v>190</v>
      </c>
    </row>
    <row r="3" spans="1:16" x14ac:dyDescent="0.25">
      <c r="A3" s="106">
        <f>ROUND('Plantilla Datos'!E3,5)</f>
        <v>45612</v>
      </c>
      <c r="B3" s="51">
        <v>0</v>
      </c>
      <c r="C3" s="1">
        <f>'Plantilla Datos'!K9</f>
        <v>9.1</v>
      </c>
      <c r="F3" s="107">
        <f>(Table2[[#This Row],[Fecha]]+2)</f>
        <v>45614</v>
      </c>
      <c r="G3" s="52">
        <f>Table2[[#This Row],[Hora]]</f>
        <v>0</v>
      </c>
      <c r="H3" s="53">
        <f>VLOOKUP(Table1[[#This Row],[Fecha]],TBL_CalcDarwin[],42,1)</f>
        <v>58.119</v>
      </c>
      <c r="I3" s="53">
        <f>VLOOKUP(Table1[[#This Row],[Fecha]],TBL_CalcDarwin[],43,1)</f>
        <v>62.228000000000002</v>
      </c>
      <c r="J3" s="73">
        <f>VLOOKUP(Table1[[#This Row],[Fecha]],TBL_CalcDarwin[],40,1)</f>
        <v>23</v>
      </c>
      <c r="K3" s="73">
        <f>VLOOKUP(Table1[[#This Row],[Fecha]],TBL_CalcDarwin[],41,1)</f>
        <v>20</v>
      </c>
      <c r="L3" s="53">
        <f>Table1[[#This Row],[MW Proyectada (Barra A)]]+Table1[[#This Row],[MW Proyectada (Barra B)]]</f>
        <v>120.34700000000001</v>
      </c>
      <c r="N3" s="53">
        <f>IF(Table1[[#This Row],[TOTAL MW]]&lt;($P$1-Table18[[#This Row],[TOTAL MW]]),Table1[[#This Row],[MW Proyectada (Barra A)]],Table1[[#This Row],[MW Proyectada (Barra A)]]*($P$1-Table18[[#This Row],[TOTAL MW]])/Table1[[#This Row],[TOTAL MW]])</f>
        <v>58.119</v>
      </c>
      <c r="O3" s="53">
        <f>IF(Table1[[#This Row],[TOTAL MW]]&lt;($P$1-Table18[[#This Row],[TOTAL MW]]),Table1[[#This Row],[MW Proyectada (Barra B)]],Table1[[#This Row],[MW Proyectada (Barra B)]]*($P$1-Table18[[#This Row],[TOTAL MW]])/Table1[[#This Row],[TOTAL MW]])</f>
        <v>62.228000000000002</v>
      </c>
      <c r="P3" s="53">
        <f>N3+O3</f>
        <v>120.34700000000001</v>
      </c>
    </row>
    <row r="4" spans="1:16" x14ac:dyDescent="0.25">
      <c r="A4" s="106">
        <f>A3+TIME(0,30,0)</f>
        <v>45612.020833333336</v>
      </c>
      <c r="B4" s="51">
        <f>B3+TIME(0,30,0)</f>
        <v>2.0833333333333332E-2</v>
      </c>
      <c r="C4" s="1">
        <f>'Plantilla Datos'!K10</f>
        <v>6.2</v>
      </c>
      <c r="F4" s="107">
        <f>(Table2[[#This Row],[Fecha]]+2)</f>
        <v>45614.020833333336</v>
      </c>
      <c r="G4" s="52">
        <f>Table2[[#This Row],[Hora]]</f>
        <v>2.0833333333333332E-2</v>
      </c>
      <c r="H4" s="53">
        <f>VLOOKUP(Table1[[#This Row],[Fecha]],TBL_CalcDarwin[],42,1)</f>
        <v>58.119</v>
      </c>
      <c r="I4" s="53">
        <f>VLOOKUP(Table1[[#This Row],[Fecha]],TBL_CalcDarwin[],43,1)</f>
        <v>62.228000000000002</v>
      </c>
      <c r="J4" s="73">
        <f>VLOOKUP(Table1[[#This Row],[Fecha]],TBL_CalcDarwin[],40,1)</f>
        <v>23</v>
      </c>
      <c r="K4" s="73">
        <f>VLOOKUP(Table1[[#This Row],[Fecha]],TBL_CalcDarwin[],41,1)</f>
        <v>20</v>
      </c>
      <c r="L4" s="53">
        <f>Table1[[#This Row],[MW Proyectada (Barra A)]]+Table1[[#This Row],[MW Proyectada (Barra B)]]</f>
        <v>120.34700000000001</v>
      </c>
      <c r="N4" s="53">
        <f>IF(Table1[[#This Row],[TOTAL MW]]&lt;($P$1-Table18[[#This Row],[TOTAL MW]]),Table1[[#This Row],[MW Proyectada (Barra A)]],Table1[[#This Row],[MW Proyectada (Barra A)]]*($P$1-Table18[[#This Row],[TOTAL MW]])/Table1[[#This Row],[TOTAL MW]])</f>
        <v>58.119</v>
      </c>
      <c r="O4" s="53">
        <f>IF(Table1[[#This Row],[TOTAL MW]]&lt;($P$1-Table18[[#This Row],[TOTAL MW]]),Table1[[#This Row],[MW Proyectada (Barra B)]],Table1[[#This Row],[MW Proyectada (Barra B)]]*($P$1-Table18[[#This Row],[TOTAL MW]])/Table1[[#This Row],[TOTAL MW]])</f>
        <v>62.228000000000002</v>
      </c>
      <c r="P4" s="53">
        <f t="shared" ref="P4:P50" si="0">N4+O4</f>
        <v>120.34700000000001</v>
      </c>
    </row>
    <row r="5" spans="1:16" x14ac:dyDescent="0.25">
      <c r="A5" s="106">
        <f t="shared" ref="A5:A50" si="1">A4+TIME(0,30,0)</f>
        <v>45612.041666666672</v>
      </c>
      <c r="B5" s="51">
        <f t="shared" ref="B5:B50" si="2">B4+TIME(0,30,0)</f>
        <v>4.1666666666666664E-2</v>
      </c>
      <c r="C5" s="1">
        <f>'Plantilla Datos'!K11</f>
        <v>8.6999999999999993</v>
      </c>
      <c r="F5" s="107">
        <f>(Table2[[#This Row],[Fecha]]+2)</f>
        <v>45614.041666666672</v>
      </c>
      <c r="G5" s="52">
        <f>Table2[[#This Row],[Hora]]</f>
        <v>4.1666666666666664E-2</v>
      </c>
      <c r="H5" s="53">
        <f>VLOOKUP(Table1[[#This Row],[Fecha]],TBL_CalcDarwin[],42,1)</f>
        <v>45.856999999999999</v>
      </c>
      <c r="I5" s="53">
        <f>VLOOKUP(Table1[[#This Row],[Fecha]],TBL_CalcDarwin[],43,1)</f>
        <v>51.744999999999997</v>
      </c>
      <c r="J5" s="73">
        <f>VLOOKUP(Table1[[#This Row],[Fecha]],TBL_CalcDarwin[],40,1)</f>
        <v>23</v>
      </c>
      <c r="K5" s="73">
        <f>VLOOKUP(Table1[[#This Row],[Fecha]],TBL_CalcDarwin[],41,1)</f>
        <v>20</v>
      </c>
      <c r="L5" s="53">
        <f>Table1[[#This Row],[MW Proyectada (Barra A)]]+Table1[[#This Row],[MW Proyectada (Barra B)]]</f>
        <v>97.602000000000004</v>
      </c>
      <c r="N5" s="53">
        <f>IF(Table1[[#This Row],[TOTAL MW]]&lt;($P$1-Table18[[#This Row],[TOTAL MW]]),Table1[[#This Row],[MW Proyectada (Barra A)]],Table1[[#This Row],[MW Proyectada (Barra A)]]*($P$1-Table18[[#This Row],[TOTAL MW]])/Table1[[#This Row],[TOTAL MW]])</f>
        <v>45.856999999999999</v>
      </c>
      <c r="O5" s="53">
        <f>IF(Table1[[#This Row],[TOTAL MW]]&lt;($P$1-Table18[[#This Row],[TOTAL MW]]),Table1[[#This Row],[MW Proyectada (Barra B)]],Table1[[#This Row],[MW Proyectada (Barra B)]]*($P$1-Table18[[#This Row],[TOTAL MW]])/Table1[[#This Row],[TOTAL MW]])</f>
        <v>51.744999999999997</v>
      </c>
      <c r="P5" s="53">
        <f t="shared" si="0"/>
        <v>97.602000000000004</v>
      </c>
    </row>
    <row r="6" spans="1:16" x14ac:dyDescent="0.25">
      <c r="A6" s="106">
        <f t="shared" si="1"/>
        <v>45612.062500000007</v>
      </c>
      <c r="B6" s="51">
        <f t="shared" si="2"/>
        <v>6.25E-2</v>
      </c>
      <c r="C6" s="1">
        <f>'Plantilla Datos'!K12</f>
        <v>7.9</v>
      </c>
      <c r="F6" s="107">
        <f>(Table2[[#This Row],[Fecha]]+2)</f>
        <v>45614.062500000007</v>
      </c>
      <c r="G6" s="52">
        <f>Table2[[#This Row],[Hora]]</f>
        <v>6.25E-2</v>
      </c>
      <c r="H6" s="53">
        <f>VLOOKUP(Table1[[#This Row],[Fecha]],TBL_CalcDarwin[],42,1)</f>
        <v>45.856999999999999</v>
      </c>
      <c r="I6" s="53">
        <f>VLOOKUP(Table1[[#This Row],[Fecha]],TBL_CalcDarwin[],43,1)</f>
        <v>51.744999999999997</v>
      </c>
      <c r="J6" s="73">
        <f>VLOOKUP(Table1[[#This Row],[Fecha]],TBL_CalcDarwin[],40,1)</f>
        <v>23</v>
      </c>
      <c r="K6" s="73">
        <f>VLOOKUP(Table1[[#This Row],[Fecha]],TBL_CalcDarwin[],41,1)</f>
        <v>20</v>
      </c>
      <c r="L6" s="53">
        <f>Table1[[#This Row],[MW Proyectada (Barra A)]]+Table1[[#This Row],[MW Proyectada (Barra B)]]</f>
        <v>97.602000000000004</v>
      </c>
      <c r="N6" s="53">
        <f>IF(Table1[[#This Row],[TOTAL MW]]&lt;($P$1-Table18[[#This Row],[TOTAL MW]]),Table1[[#This Row],[MW Proyectada (Barra A)]],Table1[[#This Row],[MW Proyectada (Barra A)]]*($P$1-Table18[[#This Row],[TOTAL MW]])/Table1[[#This Row],[TOTAL MW]])</f>
        <v>45.856999999999999</v>
      </c>
      <c r="O6" s="53">
        <f>IF(Table1[[#This Row],[TOTAL MW]]&lt;($P$1-Table18[[#This Row],[TOTAL MW]]),Table1[[#This Row],[MW Proyectada (Barra B)]],Table1[[#This Row],[MW Proyectada (Barra B)]]*($P$1-Table18[[#This Row],[TOTAL MW]])/Table1[[#This Row],[TOTAL MW]])</f>
        <v>51.744999999999997</v>
      </c>
      <c r="P6" s="53">
        <f t="shared" si="0"/>
        <v>97.602000000000004</v>
      </c>
    </row>
    <row r="7" spans="1:16" x14ac:dyDescent="0.25">
      <c r="A7" s="106">
        <f t="shared" si="1"/>
        <v>45612.083333333343</v>
      </c>
      <c r="B7" s="51">
        <f t="shared" si="2"/>
        <v>8.3333333333333329E-2</v>
      </c>
      <c r="C7" s="1">
        <f>'Plantilla Datos'!K13</f>
        <v>7.4</v>
      </c>
      <c r="F7" s="107">
        <f>(Table2[[#This Row],[Fecha]]+2)</f>
        <v>45614.083333333343</v>
      </c>
      <c r="G7" s="52">
        <f>Table2[[#This Row],[Hora]]</f>
        <v>8.3333333333333329E-2</v>
      </c>
      <c r="H7" s="53">
        <f>VLOOKUP(Table1[[#This Row],[Fecha]],TBL_CalcDarwin[],42,1)</f>
        <v>27.320999999999998</v>
      </c>
      <c r="I7" s="53">
        <f>VLOOKUP(Table1[[#This Row],[Fecha]],TBL_CalcDarwin[],43,1)</f>
        <v>29.233999999999998</v>
      </c>
      <c r="J7" s="73">
        <f>VLOOKUP(Table1[[#This Row],[Fecha]],TBL_CalcDarwin[],40,1)</f>
        <v>23</v>
      </c>
      <c r="K7" s="73">
        <f>VLOOKUP(Table1[[#This Row],[Fecha]],TBL_CalcDarwin[],41,1)</f>
        <v>20</v>
      </c>
      <c r="L7" s="53">
        <f>Table1[[#This Row],[MW Proyectada (Barra A)]]+Table1[[#This Row],[MW Proyectada (Barra B)]]</f>
        <v>56.554999999999993</v>
      </c>
      <c r="N7" s="53">
        <f>IF(Table1[[#This Row],[TOTAL MW]]&lt;($P$1-Table18[[#This Row],[TOTAL MW]]),Table1[[#This Row],[MW Proyectada (Barra A)]],Table1[[#This Row],[MW Proyectada (Barra A)]]*($P$1-Table18[[#This Row],[TOTAL MW]])/Table1[[#This Row],[TOTAL MW]])</f>
        <v>27.320999999999998</v>
      </c>
      <c r="O7" s="53">
        <f>IF(Table1[[#This Row],[TOTAL MW]]&lt;($P$1-Table18[[#This Row],[TOTAL MW]]),Table1[[#This Row],[MW Proyectada (Barra B)]],Table1[[#This Row],[MW Proyectada (Barra B)]]*($P$1-Table18[[#This Row],[TOTAL MW]])/Table1[[#This Row],[TOTAL MW]])</f>
        <v>29.233999999999998</v>
      </c>
      <c r="P7" s="53">
        <f t="shared" si="0"/>
        <v>56.554999999999993</v>
      </c>
    </row>
    <row r="8" spans="1:16" x14ac:dyDescent="0.25">
      <c r="A8" s="106">
        <f t="shared" si="1"/>
        <v>45612.104166666679</v>
      </c>
      <c r="B8" s="51">
        <f t="shared" si="2"/>
        <v>0.10416666666666666</v>
      </c>
      <c r="C8" s="1">
        <f>'Plantilla Datos'!K14</f>
        <v>10</v>
      </c>
      <c r="F8" s="107">
        <f>(Table2[[#This Row],[Fecha]]+2)</f>
        <v>45614.104166666679</v>
      </c>
      <c r="G8" s="52">
        <f>Table2[[#This Row],[Hora]]</f>
        <v>0.10416666666666666</v>
      </c>
      <c r="H8" s="53">
        <f>VLOOKUP(Table1[[#This Row],[Fecha]],TBL_CalcDarwin[],42,1)</f>
        <v>27.320999999999998</v>
      </c>
      <c r="I8" s="53">
        <f>VLOOKUP(Table1[[#This Row],[Fecha]],TBL_CalcDarwin[],43,1)</f>
        <v>29.233999999999998</v>
      </c>
      <c r="J8" s="73">
        <f>VLOOKUP(Table1[[#This Row],[Fecha]],TBL_CalcDarwin[],40,1)</f>
        <v>23</v>
      </c>
      <c r="K8" s="73">
        <f>VLOOKUP(Table1[[#This Row],[Fecha]],TBL_CalcDarwin[],41,1)</f>
        <v>20</v>
      </c>
      <c r="L8" s="53">
        <f>Table1[[#This Row],[MW Proyectada (Barra A)]]+Table1[[#This Row],[MW Proyectada (Barra B)]]</f>
        <v>56.554999999999993</v>
      </c>
      <c r="N8" s="53">
        <f>IF(Table1[[#This Row],[TOTAL MW]]&lt;($P$1-Table18[[#This Row],[TOTAL MW]]),Table1[[#This Row],[MW Proyectada (Barra A)]],Table1[[#This Row],[MW Proyectada (Barra A)]]*($P$1-Table18[[#This Row],[TOTAL MW]])/Table1[[#This Row],[TOTAL MW]])</f>
        <v>27.320999999999998</v>
      </c>
      <c r="O8" s="53">
        <f>IF(Table1[[#This Row],[TOTAL MW]]&lt;($P$1-Table18[[#This Row],[TOTAL MW]]),Table1[[#This Row],[MW Proyectada (Barra B)]],Table1[[#This Row],[MW Proyectada (Barra B)]]*($P$1-Table18[[#This Row],[TOTAL MW]])/Table1[[#This Row],[TOTAL MW]])</f>
        <v>29.233999999999998</v>
      </c>
      <c r="P8" s="53">
        <f t="shared" si="0"/>
        <v>56.554999999999993</v>
      </c>
    </row>
    <row r="9" spans="1:16" x14ac:dyDescent="0.25">
      <c r="A9" s="106">
        <f t="shared" si="1"/>
        <v>45612.125000000015</v>
      </c>
      <c r="B9" s="51">
        <f t="shared" si="2"/>
        <v>0.12499999999999999</v>
      </c>
      <c r="C9" s="1">
        <f>'Plantilla Datos'!K15</f>
        <v>6.2</v>
      </c>
      <c r="F9" s="107">
        <f>(Table2[[#This Row],[Fecha]]+2)</f>
        <v>45614.125000000015</v>
      </c>
      <c r="G9" s="52">
        <f>Table2[[#This Row],[Hora]]</f>
        <v>0.12499999999999999</v>
      </c>
      <c r="H9" s="53">
        <f>VLOOKUP(Table1[[#This Row],[Fecha]],TBL_CalcDarwin[],42,1)</f>
        <v>17.337</v>
      </c>
      <c r="I9" s="53">
        <f>VLOOKUP(Table1[[#This Row],[Fecha]],TBL_CalcDarwin[],43,1)</f>
        <v>18.329999999999998</v>
      </c>
      <c r="J9" s="73">
        <f>VLOOKUP(Table1[[#This Row],[Fecha]],TBL_CalcDarwin[],40,1)</f>
        <v>23</v>
      </c>
      <c r="K9" s="73">
        <f>VLOOKUP(Table1[[#This Row],[Fecha]],TBL_CalcDarwin[],41,1)</f>
        <v>20</v>
      </c>
      <c r="L9" s="53">
        <f>Table1[[#This Row],[MW Proyectada (Barra A)]]+Table1[[#This Row],[MW Proyectada (Barra B)]]</f>
        <v>35.667000000000002</v>
      </c>
      <c r="N9" s="53">
        <f>IF(Table1[[#This Row],[TOTAL MW]]&lt;($P$1-Table18[[#This Row],[TOTAL MW]]),Table1[[#This Row],[MW Proyectada (Barra A)]],Table1[[#This Row],[MW Proyectada (Barra A)]]*($P$1-Table18[[#This Row],[TOTAL MW]])/Table1[[#This Row],[TOTAL MW]])</f>
        <v>17.337</v>
      </c>
      <c r="O9" s="53">
        <f>IF(Table1[[#This Row],[TOTAL MW]]&lt;($P$1-Table18[[#This Row],[TOTAL MW]]),Table1[[#This Row],[MW Proyectada (Barra B)]],Table1[[#This Row],[MW Proyectada (Barra B)]]*($P$1-Table18[[#This Row],[TOTAL MW]])/Table1[[#This Row],[TOTAL MW]])</f>
        <v>18.329999999999998</v>
      </c>
      <c r="P9" s="53">
        <f t="shared" si="0"/>
        <v>35.667000000000002</v>
      </c>
    </row>
    <row r="10" spans="1:16" x14ac:dyDescent="0.25">
      <c r="A10" s="106">
        <f t="shared" si="1"/>
        <v>45612.14583333335</v>
      </c>
      <c r="B10" s="51">
        <f t="shared" si="2"/>
        <v>0.14583333333333331</v>
      </c>
      <c r="C10" s="1">
        <f>'Plantilla Datos'!K16</f>
        <v>9</v>
      </c>
      <c r="F10" s="107">
        <f>(Table2[[#This Row],[Fecha]]+2)</f>
        <v>45614.14583333335</v>
      </c>
      <c r="G10" s="52">
        <f>Table2[[#This Row],[Hora]]</f>
        <v>0.14583333333333331</v>
      </c>
      <c r="H10" s="53">
        <f>VLOOKUP(Table1[[#This Row],[Fecha]],TBL_CalcDarwin[],42,1)</f>
        <v>17.337</v>
      </c>
      <c r="I10" s="53">
        <f>VLOOKUP(Table1[[#This Row],[Fecha]],TBL_CalcDarwin[],43,1)</f>
        <v>18.329999999999998</v>
      </c>
      <c r="J10" s="73">
        <f>VLOOKUP(Table1[[#This Row],[Fecha]],TBL_CalcDarwin[],40,1)</f>
        <v>23</v>
      </c>
      <c r="K10" s="73">
        <f>VLOOKUP(Table1[[#This Row],[Fecha]],TBL_CalcDarwin[],41,1)</f>
        <v>20</v>
      </c>
      <c r="L10" s="53">
        <f>Table1[[#This Row],[MW Proyectada (Barra A)]]+Table1[[#This Row],[MW Proyectada (Barra B)]]</f>
        <v>35.667000000000002</v>
      </c>
      <c r="N10" s="53">
        <f>IF(Table1[[#This Row],[TOTAL MW]]&lt;($P$1-Table18[[#This Row],[TOTAL MW]]),Table1[[#This Row],[MW Proyectada (Barra A)]],Table1[[#This Row],[MW Proyectada (Barra A)]]*($P$1-Table18[[#This Row],[TOTAL MW]])/Table1[[#This Row],[TOTAL MW]])</f>
        <v>17.337</v>
      </c>
      <c r="O10" s="53">
        <f>IF(Table1[[#This Row],[TOTAL MW]]&lt;($P$1-Table18[[#This Row],[TOTAL MW]]),Table1[[#This Row],[MW Proyectada (Barra B)]],Table1[[#This Row],[MW Proyectada (Barra B)]]*($P$1-Table18[[#This Row],[TOTAL MW]])/Table1[[#This Row],[TOTAL MW]])</f>
        <v>18.329999999999998</v>
      </c>
      <c r="P10" s="53">
        <f t="shared" si="0"/>
        <v>35.667000000000002</v>
      </c>
    </row>
    <row r="11" spans="1:16" x14ac:dyDescent="0.25">
      <c r="A11" s="106">
        <f t="shared" si="1"/>
        <v>45612.166666666686</v>
      </c>
      <c r="B11" s="51">
        <f t="shared" si="2"/>
        <v>0.16666666666666666</v>
      </c>
      <c r="C11" s="1">
        <f>'Plantilla Datos'!K17</f>
        <v>6.5</v>
      </c>
      <c r="F11" s="107">
        <f>(Table2[[#This Row],[Fecha]]+2)</f>
        <v>45614.166666666686</v>
      </c>
      <c r="G11" s="52">
        <f>Table2[[#This Row],[Hora]]</f>
        <v>0.16666666666666666</v>
      </c>
      <c r="H11" s="53">
        <f>VLOOKUP(Table1[[#This Row],[Fecha]],TBL_CalcDarwin[],42,1)</f>
        <v>8.9239999999999995</v>
      </c>
      <c r="I11" s="53">
        <f>VLOOKUP(Table1[[#This Row],[Fecha]],TBL_CalcDarwin[],43,1)</f>
        <v>9.9909999999999997</v>
      </c>
      <c r="J11" s="73">
        <f>VLOOKUP(Table1[[#This Row],[Fecha]],TBL_CalcDarwin[],40,1)</f>
        <v>23</v>
      </c>
      <c r="K11" s="73">
        <f>VLOOKUP(Table1[[#This Row],[Fecha]],TBL_CalcDarwin[],41,1)</f>
        <v>20</v>
      </c>
      <c r="L11" s="53">
        <f>Table1[[#This Row],[MW Proyectada (Barra A)]]+Table1[[#This Row],[MW Proyectada (Barra B)]]</f>
        <v>18.914999999999999</v>
      </c>
      <c r="N11" s="53">
        <f>IF(Table1[[#This Row],[TOTAL MW]]&lt;($P$1-Table18[[#This Row],[TOTAL MW]]),Table1[[#This Row],[MW Proyectada (Barra A)]],Table1[[#This Row],[MW Proyectada (Barra A)]]*($P$1-Table18[[#This Row],[TOTAL MW]])/Table1[[#This Row],[TOTAL MW]])</f>
        <v>8.9239999999999995</v>
      </c>
      <c r="O11" s="53">
        <f>IF(Table1[[#This Row],[TOTAL MW]]&lt;($P$1-Table18[[#This Row],[TOTAL MW]]),Table1[[#This Row],[MW Proyectada (Barra B)]],Table1[[#This Row],[MW Proyectada (Barra B)]]*($P$1-Table18[[#This Row],[TOTAL MW]])/Table1[[#This Row],[TOTAL MW]])</f>
        <v>9.9909999999999997</v>
      </c>
      <c r="P11" s="53">
        <f t="shared" si="0"/>
        <v>18.914999999999999</v>
      </c>
    </row>
    <row r="12" spans="1:16" x14ac:dyDescent="0.25">
      <c r="A12" s="106">
        <f t="shared" si="1"/>
        <v>45612.187500000022</v>
      </c>
      <c r="B12" s="51">
        <f t="shared" si="2"/>
        <v>0.1875</v>
      </c>
      <c r="C12" s="1">
        <f>'Plantilla Datos'!K18</f>
        <v>9.1</v>
      </c>
      <c r="F12" s="107">
        <f>(Table2[[#This Row],[Fecha]]+2)</f>
        <v>45614.187500000022</v>
      </c>
      <c r="G12" s="52">
        <f>Table2[[#This Row],[Hora]]</f>
        <v>0.1875</v>
      </c>
      <c r="H12" s="53">
        <f>VLOOKUP(Table1[[#This Row],[Fecha]],TBL_CalcDarwin[],42,1)</f>
        <v>8.9239999999999995</v>
      </c>
      <c r="I12" s="53">
        <f>VLOOKUP(Table1[[#This Row],[Fecha]],TBL_CalcDarwin[],43,1)</f>
        <v>9.9909999999999997</v>
      </c>
      <c r="J12" s="73">
        <f>VLOOKUP(Table1[[#This Row],[Fecha]],TBL_CalcDarwin[],40,1)</f>
        <v>23</v>
      </c>
      <c r="K12" s="73">
        <f>VLOOKUP(Table1[[#This Row],[Fecha]],TBL_CalcDarwin[],41,1)</f>
        <v>20</v>
      </c>
      <c r="L12" s="53">
        <f>Table1[[#This Row],[MW Proyectada (Barra A)]]+Table1[[#This Row],[MW Proyectada (Barra B)]]</f>
        <v>18.914999999999999</v>
      </c>
      <c r="N12" s="53">
        <f>IF(Table1[[#This Row],[TOTAL MW]]&lt;($P$1-Table18[[#This Row],[TOTAL MW]]),Table1[[#This Row],[MW Proyectada (Barra A)]],Table1[[#This Row],[MW Proyectada (Barra A)]]*($P$1-Table18[[#This Row],[TOTAL MW]])/Table1[[#This Row],[TOTAL MW]])</f>
        <v>8.9239999999999995</v>
      </c>
      <c r="O12" s="53">
        <f>IF(Table1[[#This Row],[TOTAL MW]]&lt;($P$1-Table18[[#This Row],[TOTAL MW]]),Table1[[#This Row],[MW Proyectada (Barra B)]],Table1[[#This Row],[MW Proyectada (Barra B)]]*($P$1-Table18[[#This Row],[TOTAL MW]])/Table1[[#This Row],[TOTAL MW]])</f>
        <v>9.9909999999999997</v>
      </c>
      <c r="P12" s="53">
        <f t="shared" si="0"/>
        <v>18.914999999999999</v>
      </c>
    </row>
    <row r="13" spans="1:16" x14ac:dyDescent="0.25">
      <c r="A13" s="106">
        <f t="shared" si="1"/>
        <v>45612.208333333358</v>
      </c>
      <c r="B13" s="51">
        <f t="shared" si="2"/>
        <v>0.20833333333333334</v>
      </c>
      <c r="C13" s="1">
        <f>'Plantilla Datos'!K19</f>
        <v>10.4</v>
      </c>
      <c r="F13" s="107">
        <f>(Table2[[#This Row],[Fecha]]+2)</f>
        <v>45614.208333333358</v>
      </c>
      <c r="G13" s="52">
        <f>Table2[[#This Row],[Hora]]</f>
        <v>0.20833333333333334</v>
      </c>
      <c r="H13" s="53">
        <f>VLOOKUP(Table1[[#This Row],[Fecha]],TBL_CalcDarwin[],42,1)</f>
        <v>9.6080000000000005</v>
      </c>
      <c r="I13" s="53">
        <f>VLOOKUP(Table1[[#This Row],[Fecha]],TBL_CalcDarwin[],43,1)</f>
        <v>10.099</v>
      </c>
      <c r="J13" s="73">
        <f>VLOOKUP(Table1[[#This Row],[Fecha]],TBL_CalcDarwin[],40,1)</f>
        <v>23</v>
      </c>
      <c r="K13" s="73">
        <f>VLOOKUP(Table1[[#This Row],[Fecha]],TBL_CalcDarwin[],41,1)</f>
        <v>20</v>
      </c>
      <c r="L13" s="53">
        <f>Table1[[#This Row],[MW Proyectada (Barra A)]]+Table1[[#This Row],[MW Proyectada (Barra B)]]</f>
        <v>19.707000000000001</v>
      </c>
      <c r="N13" s="53">
        <f>IF(Table1[[#This Row],[TOTAL MW]]&lt;($P$1-Table18[[#This Row],[TOTAL MW]]),Table1[[#This Row],[MW Proyectada (Barra A)]],Table1[[#This Row],[MW Proyectada (Barra A)]]*($P$1-Table18[[#This Row],[TOTAL MW]])/Table1[[#This Row],[TOTAL MW]])</f>
        <v>9.6080000000000005</v>
      </c>
      <c r="O13" s="53">
        <f>IF(Table1[[#This Row],[TOTAL MW]]&lt;($P$1-Table18[[#This Row],[TOTAL MW]]),Table1[[#This Row],[MW Proyectada (Barra B)]],Table1[[#This Row],[MW Proyectada (Barra B)]]*($P$1-Table18[[#This Row],[TOTAL MW]])/Table1[[#This Row],[TOTAL MW]])</f>
        <v>10.099</v>
      </c>
      <c r="P13" s="53">
        <f t="shared" si="0"/>
        <v>19.707000000000001</v>
      </c>
    </row>
    <row r="14" spans="1:16" x14ac:dyDescent="0.25">
      <c r="A14" s="106">
        <f t="shared" si="1"/>
        <v>45612.229166666693</v>
      </c>
      <c r="B14" s="51">
        <f t="shared" si="2"/>
        <v>0.22916666666666669</v>
      </c>
      <c r="C14" s="1">
        <f>'Plantilla Datos'!K20</f>
        <v>9.6</v>
      </c>
      <c r="F14" s="107">
        <f>(Table2[[#This Row],[Fecha]]+2)</f>
        <v>45614.229166666693</v>
      </c>
      <c r="G14" s="52">
        <f>Table2[[#This Row],[Hora]]</f>
        <v>0.22916666666666669</v>
      </c>
      <c r="H14" s="53">
        <f>VLOOKUP(Table1[[#This Row],[Fecha]],TBL_CalcDarwin[],42,1)</f>
        <v>9.6080000000000005</v>
      </c>
      <c r="I14" s="53">
        <f>VLOOKUP(Table1[[#This Row],[Fecha]],TBL_CalcDarwin[],43,1)</f>
        <v>10.099</v>
      </c>
      <c r="J14" s="73">
        <f>VLOOKUP(Table1[[#This Row],[Fecha]],TBL_CalcDarwin[],40,1)</f>
        <v>23</v>
      </c>
      <c r="K14" s="73">
        <f>VLOOKUP(Table1[[#This Row],[Fecha]],TBL_CalcDarwin[],41,1)</f>
        <v>20</v>
      </c>
      <c r="L14" s="53">
        <f>Table1[[#This Row],[MW Proyectada (Barra A)]]+Table1[[#This Row],[MW Proyectada (Barra B)]]</f>
        <v>19.707000000000001</v>
      </c>
      <c r="N14" s="53">
        <f>IF(Table1[[#This Row],[TOTAL MW]]&lt;($P$1-Table18[[#This Row],[TOTAL MW]]),Table1[[#This Row],[MW Proyectada (Barra A)]],Table1[[#This Row],[MW Proyectada (Barra A)]]*($P$1-Table18[[#This Row],[TOTAL MW]])/Table1[[#This Row],[TOTAL MW]])</f>
        <v>9.6080000000000005</v>
      </c>
      <c r="O14" s="53">
        <f>IF(Table1[[#This Row],[TOTAL MW]]&lt;($P$1-Table18[[#This Row],[TOTAL MW]]),Table1[[#This Row],[MW Proyectada (Barra B)]],Table1[[#This Row],[MW Proyectada (Barra B)]]*($P$1-Table18[[#This Row],[TOTAL MW]])/Table1[[#This Row],[TOTAL MW]])</f>
        <v>10.099</v>
      </c>
      <c r="P14" s="53">
        <f t="shared" si="0"/>
        <v>19.707000000000001</v>
      </c>
    </row>
    <row r="15" spans="1:16" x14ac:dyDescent="0.25">
      <c r="A15" s="106">
        <f t="shared" si="1"/>
        <v>45612.250000000029</v>
      </c>
      <c r="B15" s="51">
        <f t="shared" si="2"/>
        <v>0.25</v>
      </c>
      <c r="C15" s="1">
        <f>'Plantilla Datos'!K21</f>
        <v>11.6</v>
      </c>
      <c r="F15" s="107">
        <f>(Table2[[#This Row],[Fecha]]+2)</f>
        <v>45614.250000000029</v>
      </c>
      <c r="G15" s="52">
        <f>Table2[[#This Row],[Hora]]</f>
        <v>0.25</v>
      </c>
      <c r="H15" s="53">
        <f>VLOOKUP(Table1[[#This Row],[Fecha]],TBL_CalcDarwin[],42,1)</f>
        <v>9.6080000000000005</v>
      </c>
      <c r="I15" s="53">
        <f>VLOOKUP(Table1[[#This Row],[Fecha]],TBL_CalcDarwin[],43,1)</f>
        <v>10.099</v>
      </c>
      <c r="J15" s="73">
        <f>VLOOKUP(Table1[[#This Row],[Fecha]],TBL_CalcDarwin[],40,1)</f>
        <v>23</v>
      </c>
      <c r="K15" s="73">
        <f>VLOOKUP(Table1[[#This Row],[Fecha]],TBL_CalcDarwin[],41,1)</f>
        <v>20</v>
      </c>
      <c r="L15" s="53">
        <f>Table1[[#This Row],[MW Proyectada (Barra A)]]+Table1[[#This Row],[MW Proyectada (Barra B)]]</f>
        <v>19.707000000000001</v>
      </c>
      <c r="N15" s="53">
        <f>IF(Table1[[#This Row],[TOTAL MW]]&lt;($P$1-Table18[[#This Row],[TOTAL MW]]),Table1[[#This Row],[MW Proyectada (Barra A)]],Table1[[#This Row],[MW Proyectada (Barra A)]]*($P$1-Table18[[#This Row],[TOTAL MW]])/Table1[[#This Row],[TOTAL MW]])</f>
        <v>9.6080000000000005</v>
      </c>
      <c r="O15" s="53">
        <f>IF(Table1[[#This Row],[TOTAL MW]]&lt;($P$1-Table18[[#This Row],[TOTAL MW]]),Table1[[#This Row],[MW Proyectada (Barra B)]],Table1[[#This Row],[MW Proyectada (Barra B)]]*($P$1-Table18[[#This Row],[TOTAL MW]])/Table1[[#This Row],[TOTAL MW]])</f>
        <v>10.099</v>
      </c>
      <c r="P15" s="53">
        <f t="shared" si="0"/>
        <v>19.707000000000001</v>
      </c>
    </row>
    <row r="16" spans="1:16" x14ac:dyDescent="0.25">
      <c r="A16" s="106">
        <f t="shared" si="1"/>
        <v>45612.270833333365</v>
      </c>
      <c r="B16" s="51">
        <f t="shared" si="2"/>
        <v>0.27083333333333331</v>
      </c>
      <c r="C16" s="1">
        <f>'Plantilla Datos'!K22</f>
        <v>8.1</v>
      </c>
      <c r="F16" s="107">
        <f>(Table2[[#This Row],[Fecha]]+2)</f>
        <v>45614.270833333365</v>
      </c>
      <c r="G16" s="52">
        <f>Table2[[#This Row],[Hora]]</f>
        <v>0.27083333333333331</v>
      </c>
      <c r="H16" s="53">
        <f>VLOOKUP(Table1[[#This Row],[Fecha]],TBL_CalcDarwin[],42,1)</f>
        <v>9.6080000000000005</v>
      </c>
      <c r="I16" s="53">
        <f>VLOOKUP(Table1[[#This Row],[Fecha]],TBL_CalcDarwin[],43,1)</f>
        <v>10.099</v>
      </c>
      <c r="J16" s="73">
        <f>VLOOKUP(Table1[[#This Row],[Fecha]],TBL_CalcDarwin[],40,1)</f>
        <v>23</v>
      </c>
      <c r="K16" s="73">
        <f>VLOOKUP(Table1[[#This Row],[Fecha]],TBL_CalcDarwin[],41,1)</f>
        <v>20</v>
      </c>
      <c r="L16" s="53">
        <f>Table1[[#This Row],[MW Proyectada (Barra A)]]+Table1[[#This Row],[MW Proyectada (Barra B)]]</f>
        <v>19.707000000000001</v>
      </c>
      <c r="N16" s="53">
        <f>IF(Table1[[#This Row],[TOTAL MW]]&lt;($P$1-Table18[[#This Row],[TOTAL MW]]),Table1[[#This Row],[MW Proyectada (Barra A)]],Table1[[#This Row],[MW Proyectada (Barra A)]]*($P$1-Table18[[#This Row],[TOTAL MW]])/Table1[[#This Row],[TOTAL MW]])</f>
        <v>9.6080000000000005</v>
      </c>
      <c r="O16" s="53">
        <f>IF(Table1[[#This Row],[TOTAL MW]]&lt;($P$1-Table18[[#This Row],[TOTAL MW]]),Table1[[#This Row],[MW Proyectada (Barra B)]],Table1[[#This Row],[MW Proyectada (Barra B)]]*($P$1-Table18[[#This Row],[TOTAL MW]])/Table1[[#This Row],[TOTAL MW]])</f>
        <v>10.099</v>
      </c>
      <c r="P16" s="53">
        <f t="shared" si="0"/>
        <v>19.707000000000001</v>
      </c>
    </row>
    <row r="17" spans="1:16" x14ac:dyDescent="0.25">
      <c r="A17" s="106">
        <f t="shared" si="1"/>
        <v>45612.291666666701</v>
      </c>
      <c r="B17" s="51">
        <f t="shared" si="2"/>
        <v>0.29166666666666663</v>
      </c>
      <c r="C17" s="1">
        <f>'Plantilla Datos'!K23</f>
        <v>8.6999999999999993</v>
      </c>
      <c r="F17" s="107">
        <f>(Table2[[#This Row],[Fecha]]+2)</f>
        <v>45614.291666666701</v>
      </c>
      <c r="G17" s="52">
        <f>Table2[[#This Row],[Hora]]</f>
        <v>0.29166666666666663</v>
      </c>
      <c r="H17" s="53">
        <f>VLOOKUP(Table1[[#This Row],[Fecha]],TBL_CalcDarwin[],42,1)</f>
        <v>11.588000000000001</v>
      </c>
      <c r="I17" s="53">
        <f>VLOOKUP(Table1[[#This Row],[Fecha]],TBL_CalcDarwin[],43,1)</f>
        <v>13.282999999999999</v>
      </c>
      <c r="J17" s="73">
        <f>VLOOKUP(Table1[[#This Row],[Fecha]],TBL_CalcDarwin[],40,1)</f>
        <v>23</v>
      </c>
      <c r="K17" s="73">
        <f>VLOOKUP(Table1[[#This Row],[Fecha]],TBL_CalcDarwin[],41,1)</f>
        <v>20</v>
      </c>
      <c r="L17" s="53">
        <f>Table1[[#This Row],[MW Proyectada (Barra A)]]+Table1[[#This Row],[MW Proyectada (Barra B)]]</f>
        <v>24.871000000000002</v>
      </c>
      <c r="N17" s="53">
        <f>IF(Table1[[#This Row],[TOTAL MW]]&lt;($P$1-Table18[[#This Row],[TOTAL MW]]),Table1[[#This Row],[MW Proyectada (Barra A)]],Table1[[#This Row],[MW Proyectada (Barra A)]]*($P$1-Table18[[#This Row],[TOTAL MW]])/Table1[[#This Row],[TOTAL MW]])</f>
        <v>11.588000000000001</v>
      </c>
      <c r="O17" s="53">
        <f>IF(Table1[[#This Row],[TOTAL MW]]&lt;($P$1-Table18[[#This Row],[TOTAL MW]]),Table1[[#This Row],[MW Proyectada (Barra B)]],Table1[[#This Row],[MW Proyectada (Barra B)]]*($P$1-Table18[[#This Row],[TOTAL MW]])/Table1[[#This Row],[TOTAL MW]])</f>
        <v>13.282999999999999</v>
      </c>
      <c r="P17" s="53">
        <f t="shared" si="0"/>
        <v>24.871000000000002</v>
      </c>
    </row>
    <row r="18" spans="1:16" x14ac:dyDescent="0.25">
      <c r="A18" s="106">
        <f t="shared" si="1"/>
        <v>45612.312500000036</v>
      </c>
      <c r="B18" s="51">
        <f t="shared" si="2"/>
        <v>0.31249999999999994</v>
      </c>
      <c r="C18" s="1">
        <f>'Plantilla Datos'!K24</f>
        <v>7.6</v>
      </c>
      <c r="F18" s="107">
        <f>(Table2[[#This Row],[Fecha]]+2)</f>
        <v>45614.312500000036</v>
      </c>
      <c r="G18" s="52">
        <f>Table2[[#This Row],[Hora]]</f>
        <v>0.31249999999999994</v>
      </c>
      <c r="H18" s="53">
        <f>VLOOKUP(Table1[[#This Row],[Fecha]],TBL_CalcDarwin[],42,1)</f>
        <v>11.588000000000001</v>
      </c>
      <c r="I18" s="53">
        <f>VLOOKUP(Table1[[#This Row],[Fecha]],TBL_CalcDarwin[],43,1)</f>
        <v>13.282999999999999</v>
      </c>
      <c r="J18" s="73">
        <f>VLOOKUP(Table1[[#This Row],[Fecha]],TBL_CalcDarwin[],40,1)</f>
        <v>23</v>
      </c>
      <c r="K18" s="73">
        <f>VLOOKUP(Table1[[#This Row],[Fecha]],TBL_CalcDarwin[],41,1)</f>
        <v>20</v>
      </c>
      <c r="L18" s="53">
        <f>Table1[[#This Row],[MW Proyectada (Barra A)]]+Table1[[#This Row],[MW Proyectada (Barra B)]]</f>
        <v>24.871000000000002</v>
      </c>
      <c r="N18" s="53">
        <f>IF(Table1[[#This Row],[TOTAL MW]]&lt;($P$1-Table18[[#This Row],[TOTAL MW]]),Table1[[#This Row],[MW Proyectada (Barra A)]],Table1[[#This Row],[MW Proyectada (Barra A)]]*($P$1-Table18[[#This Row],[TOTAL MW]])/Table1[[#This Row],[TOTAL MW]])</f>
        <v>11.588000000000001</v>
      </c>
      <c r="O18" s="53">
        <f>IF(Table1[[#This Row],[TOTAL MW]]&lt;($P$1-Table18[[#This Row],[TOTAL MW]]),Table1[[#This Row],[MW Proyectada (Barra B)]],Table1[[#This Row],[MW Proyectada (Barra B)]]*($P$1-Table18[[#This Row],[TOTAL MW]])/Table1[[#This Row],[TOTAL MW]])</f>
        <v>13.282999999999999</v>
      </c>
      <c r="P18" s="53">
        <f t="shared" si="0"/>
        <v>24.871000000000002</v>
      </c>
    </row>
    <row r="19" spans="1:16" x14ac:dyDescent="0.25">
      <c r="A19" s="106">
        <f t="shared" si="1"/>
        <v>45612.333333333372</v>
      </c>
      <c r="B19" s="51">
        <f t="shared" si="2"/>
        <v>0.33333333333333326</v>
      </c>
      <c r="C19" s="1">
        <f>'Plantilla Datos'!K25</f>
        <v>10.6</v>
      </c>
      <c r="F19" s="107">
        <f>(Table2[[#This Row],[Fecha]]+2)</f>
        <v>45614.333333333372</v>
      </c>
      <c r="G19" s="52">
        <f>Table2[[#This Row],[Hora]]</f>
        <v>0.33333333333333326</v>
      </c>
      <c r="H19" s="53">
        <f>VLOOKUP(Table1[[#This Row],[Fecha]],TBL_CalcDarwin[],42,1)</f>
        <v>21.157</v>
      </c>
      <c r="I19" s="53">
        <f>VLOOKUP(Table1[[#This Row],[Fecha]],TBL_CalcDarwin[],43,1)</f>
        <v>23.026</v>
      </c>
      <c r="J19" s="73">
        <f>VLOOKUP(Table1[[#This Row],[Fecha]],TBL_CalcDarwin[],40,1)</f>
        <v>23</v>
      </c>
      <c r="K19" s="73">
        <f>VLOOKUP(Table1[[#This Row],[Fecha]],TBL_CalcDarwin[],41,1)</f>
        <v>20</v>
      </c>
      <c r="L19" s="53">
        <f>Table1[[#This Row],[MW Proyectada (Barra A)]]+Table1[[#This Row],[MW Proyectada (Barra B)]]</f>
        <v>44.183</v>
      </c>
      <c r="N19" s="53">
        <f>IF(Table1[[#This Row],[TOTAL MW]]&lt;($P$1-Table18[[#This Row],[TOTAL MW]]),Table1[[#This Row],[MW Proyectada (Barra A)]],Table1[[#This Row],[MW Proyectada (Barra A)]]*($P$1-Table18[[#This Row],[TOTAL MW]])/Table1[[#This Row],[TOTAL MW]])</f>
        <v>21.157</v>
      </c>
      <c r="O19" s="53">
        <f>IF(Table1[[#This Row],[TOTAL MW]]&lt;($P$1-Table18[[#This Row],[TOTAL MW]]),Table1[[#This Row],[MW Proyectada (Barra B)]],Table1[[#This Row],[MW Proyectada (Barra B)]]*($P$1-Table18[[#This Row],[TOTAL MW]])/Table1[[#This Row],[TOTAL MW]])</f>
        <v>23.026</v>
      </c>
      <c r="P19" s="53">
        <f t="shared" si="0"/>
        <v>44.183</v>
      </c>
    </row>
    <row r="20" spans="1:16" x14ac:dyDescent="0.25">
      <c r="A20" s="106">
        <f t="shared" si="1"/>
        <v>45612.354166666708</v>
      </c>
      <c r="B20" s="51">
        <f t="shared" si="2"/>
        <v>0.35416666666666657</v>
      </c>
      <c r="C20" s="1">
        <f>'Plantilla Datos'!K26</f>
        <v>9.1</v>
      </c>
      <c r="F20" s="107">
        <f>(Table2[[#This Row],[Fecha]]+2)</f>
        <v>45614.354166666708</v>
      </c>
      <c r="G20" s="52">
        <f>Table2[[#This Row],[Hora]]</f>
        <v>0.35416666666666657</v>
      </c>
      <c r="H20" s="53">
        <f>VLOOKUP(Table1[[#This Row],[Fecha]],TBL_CalcDarwin[],42,1)</f>
        <v>21.157</v>
      </c>
      <c r="I20" s="53">
        <f>VLOOKUP(Table1[[#This Row],[Fecha]],TBL_CalcDarwin[],43,1)</f>
        <v>23.026</v>
      </c>
      <c r="J20" s="73">
        <f>VLOOKUP(Table1[[#This Row],[Fecha]],TBL_CalcDarwin[],40,1)</f>
        <v>23</v>
      </c>
      <c r="K20" s="73">
        <f>VLOOKUP(Table1[[#This Row],[Fecha]],TBL_CalcDarwin[],41,1)</f>
        <v>20</v>
      </c>
      <c r="L20" s="53">
        <f>Table1[[#This Row],[MW Proyectada (Barra A)]]+Table1[[#This Row],[MW Proyectada (Barra B)]]</f>
        <v>44.183</v>
      </c>
      <c r="N20" s="53">
        <f>IF(Table1[[#This Row],[TOTAL MW]]&lt;($P$1-Table18[[#This Row],[TOTAL MW]]),Table1[[#This Row],[MW Proyectada (Barra A)]],Table1[[#This Row],[MW Proyectada (Barra A)]]*($P$1-Table18[[#This Row],[TOTAL MW]])/Table1[[#This Row],[TOTAL MW]])</f>
        <v>21.157</v>
      </c>
      <c r="O20" s="53">
        <f>IF(Table1[[#This Row],[TOTAL MW]]&lt;($P$1-Table18[[#This Row],[TOTAL MW]]),Table1[[#This Row],[MW Proyectada (Barra B)]],Table1[[#This Row],[MW Proyectada (Barra B)]]*($P$1-Table18[[#This Row],[TOTAL MW]])/Table1[[#This Row],[TOTAL MW]])</f>
        <v>23.026</v>
      </c>
      <c r="P20" s="53">
        <f t="shared" si="0"/>
        <v>44.183</v>
      </c>
    </row>
    <row r="21" spans="1:16" x14ac:dyDescent="0.25">
      <c r="A21" s="106">
        <f t="shared" si="1"/>
        <v>45612.375000000044</v>
      </c>
      <c r="B21" s="51">
        <f t="shared" si="2"/>
        <v>0.37499999999999989</v>
      </c>
      <c r="C21" s="1">
        <f>'Plantilla Datos'!K27</f>
        <v>10.199999999999999</v>
      </c>
      <c r="F21" s="107">
        <f>(Table2[[#This Row],[Fecha]]+2)</f>
        <v>45614.375000000044</v>
      </c>
      <c r="G21" s="52">
        <f>Table2[[#This Row],[Hora]]</f>
        <v>0.37499999999999989</v>
      </c>
      <c r="H21" s="53">
        <f>VLOOKUP(Table1[[#This Row],[Fecha]],TBL_CalcDarwin[],42,1)</f>
        <v>33.112000000000002</v>
      </c>
      <c r="I21" s="53">
        <f>VLOOKUP(Table1[[#This Row],[Fecha]],TBL_CalcDarwin[],43,1)</f>
        <v>36.167000000000002</v>
      </c>
      <c r="J21" s="73">
        <f>VLOOKUP(Table1[[#This Row],[Fecha]],TBL_CalcDarwin[],40,1)</f>
        <v>23</v>
      </c>
      <c r="K21" s="73">
        <f>VLOOKUP(Table1[[#This Row],[Fecha]],TBL_CalcDarwin[],41,1)</f>
        <v>20</v>
      </c>
      <c r="L21" s="53">
        <f>Table1[[#This Row],[MW Proyectada (Barra A)]]+Table1[[#This Row],[MW Proyectada (Barra B)]]</f>
        <v>69.278999999999996</v>
      </c>
      <c r="N21" s="53">
        <f>IF(Table1[[#This Row],[TOTAL MW]]&lt;($P$1-Table18[[#This Row],[TOTAL MW]]),Table1[[#This Row],[MW Proyectada (Barra A)]],Table1[[#This Row],[MW Proyectada (Barra A)]]*($P$1-Table18[[#This Row],[TOTAL MW]])/Table1[[#This Row],[TOTAL MW]])</f>
        <v>33.112000000000002</v>
      </c>
      <c r="O21" s="53">
        <f>IF(Table1[[#This Row],[TOTAL MW]]&lt;($P$1-Table18[[#This Row],[TOTAL MW]]),Table1[[#This Row],[MW Proyectada (Barra B)]],Table1[[#This Row],[MW Proyectada (Barra B)]]*($P$1-Table18[[#This Row],[TOTAL MW]])/Table1[[#This Row],[TOTAL MW]])</f>
        <v>36.167000000000002</v>
      </c>
      <c r="P21" s="53">
        <f t="shared" si="0"/>
        <v>69.278999999999996</v>
      </c>
    </row>
    <row r="22" spans="1:16" x14ac:dyDescent="0.25">
      <c r="A22" s="106">
        <f t="shared" si="1"/>
        <v>45612.395833333379</v>
      </c>
      <c r="B22" s="51">
        <f t="shared" si="2"/>
        <v>0.3958333333333332</v>
      </c>
      <c r="C22" s="1">
        <f>'Plantilla Datos'!K28</f>
        <v>11.2</v>
      </c>
      <c r="F22" s="107">
        <f>(Table2[[#This Row],[Fecha]]+2)</f>
        <v>45614.395833333379</v>
      </c>
      <c r="G22" s="52">
        <f>Table2[[#This Row],[Hora]]</f>
        <v>0.3958333333333332</v>
      </c>
      <c r="H22" s="53">
        <f>VLOOKUP(Table1[[#This Row],[Fecha]],TBL_CalcDarwin[],42,1)</f>
        <v>33.112000000000002</v>
      </c>
      <c r="I22" s="53">
        <f>VLOOKUP(Table1[[#This Row],[Fecha]],TBL_CalcDarwin[],43,1)</f>
        <v>36.167000000000002</v>
      </c>
      <c r="J22" s="73">
        <f>VLOOKUP(Table1[[#This Row],[Fecha]],TBL_CalcDarwin[],40,1)</f>
        <v>23</v>
      </c>
      <c r="K22" s="73">
        <f>VLOOKUP(Table1[[#This Row],[Fecha]],TBL_CalcDarwin[],41,1)</f>
        <v>20</v>
      </c>
      <c r="L22" s="53">
        <f>Table1[[#This Row],[MW Proyectada (Barra A)]]+Table1[[#This Row],[MW Proyectada (Barra B)]]</f>
        <v>69.278999999999996</v>
      </c>
      <c r="N22" s="53">
        <f>IF(Table1[[#This Row],[TOTAL MW]]&lt;($P$1-Table18[[#This Row],[TOTAL MW]]),Table1[[#This Row],[MW Proyectada (Barra A)]],Table1[[#This Row],[MW Proyectada (Barra A)]]*($P$1-Table18[[#This Row],[TOTAL MW]])/Table1[[#This Row],[TOTAL MW]])</f>
        <v>33.112000000000002</v>
      </c>
      <c r="O22" s="53">
        <f>IF(Table1[[#This Row],[TOTAL MW]]&lt;($P$1-Table18[[#This Row],[TOTAL MW]]),Table1[[#This Row],[MW Proyectada (Barra B)]],Table1[[#This Row],[MW Proyectada (Barra B)]]*($P$1-Table18[[#This Row],[TOTAL MW]])/Table1[[#This Row],[TOTAL MW]])</f>
        <v>36.167000000000002</v>
      </c>
      <c r="P22" s="53">
        <f t="shared" si="0"/>
        <v>69.278999999999996</v>
      </c>
    </row>
    <row r="23" spans="1:16" x14ac:dyDescent="0.25">
      <c r="A23" s="106">
        <f t="shared" si="1"/>
        <v>45612.416666666715</v>
      </c>
      <c r="B23" s="51">
        <f t="shared" si="2"/>
        <v>0.41666666666666652</v>
      </c>
      <c r="C23" s="1">
        <f>'Plantilla Datos'!K29</f>
        <v>11.6</v>
      </c>
      <c r="F23" s="107">
        <f>(Table2[[#This Row],[Fecha]]+2)</f>
        <v>45614.416666666715</v>
      </c>
      <c r="G23" s="52">
        <f>Table2[[#This Row],[Hora]]</f>
        <v>0.41666666666666652</v>
      </c>
      <c r="H23" s="53">
        <f>VLOOKUP(Table1[[#This Row],[Fecha]],TBL_CalcDarwin[],42,1)</f>
        <v>50.222000000000001</v>
      </c>
      <c r="I23" s="53">
        <f>VLOOKUP(Table1[[#This Row],[Fecha]],TBL_CalcDarwin[],43,1)</f>
        <v>53.170999999999999</v>
      </c>
      <c r="J23" s="73">
        <f>VLOOKUP(Table1[[#This Row],[Fecha]],TBL_CalcDarwin[],40,1)</f>
        <v>23</v>
      </c>
      <c r="K23" s="73">
        <f>VLOOKUP(Table1[[#This Row],[Fecha]],TBL_CalcDarwin[],41,1)</f>
        <v>20</v>
      </c>
      <c r="L23" s="53">
        <f>Table1[[#This Row],[MW Proyectada (Barra A)]]+Table1[[#This Row],[MW Proyectada (Barra B)]]</f>
        <v>103.393</v>
      </c>
      <c r="N23" s="53">
        <f>IF(Table1[[#This Row],[TOTAL MW]]&lt;($P$1-Table18[[#This Row],[TOTAL MW]]),Table1[[#This Row],[MW Proyectada (Barra A)]],Table1[[#This Row],[MW Proyectada (Barra A)]]*($P$1-Table18[[#This Row],[TOTAL MW]])/Table1[[#This Row],[TOTAL MW]])</f>
        <v>50.222000000000001</v>
      </c>
      <c r="O23" s="53">
        <f>IF(Table1[[#This Row],[TOTAL MW]]&lt;($P$1-Table18[[#This Row],[TOTAL MW]]),Table1[[#This Row],[MW Proyectada (Barra B)]],Table1[[#This Row],[MW Proyectada (Barra B)]]*($P$1-Table18[[#This Row],[TOTAL MW]])/Table1[[#This Row],[TOTAL MW]])</f>
        <v>53.170999999999999</v>
      </c>
      <c r="P23" s="53">
        <f t="shared" si="0"/>
        <v>103.393</v>
      </c>
    </row>
    <row r="24" spans="1:16" x14ac:dyDescent="0.25">
      <c r="A24" s="106">
        <f t="shared" si="1"/>
        <v>45612.437500000051</v>
      </c>
      <c r="B24" s="51">
        <f t="shared" si="2"/>
        <v>0.43749999999999983</v>
      </c>
      <c r="C24" s="1">
        <f>'Plantilla Datos'!K30</f>
        <v>8</v>
      </c>
      <c r="F24" s="107">
        <f>(Table2[[#This Row],[Fecha]]+2)</f>
        <v>45614.437500000051</v>
      </c>
      <c r="G24" s="52">
        <f>Table2[[#This Row],[Hora]]</f>
        <v>0.43749999999999983</v>
      </c>
      <c r="H24" s="53">
        <f>VLOOKUP(Table1[[#This Row],[Fecha]],TBL_CalcDarwin[],42,1)</f>
        <v>50.222000000000001</v>
      </c>
      <c r="I24" s="53">
        <f>VLOOKUP(Table1[[#This Row],[Fecha]],TBL_CalcDarwin[],43,1)</f>
        <v>53.170999999999999</v>
      </c>
      <c r="J24" s="73">
        <f>VLOOKUP(Table1[[#This Row],[Fecha]],TBL_CalcDarwin[],40,1)</f>
        <v>23</v>
      </c>
      <c r="K24" s="73">
        <f>VLOOKUP(Table1[[#This Row],[Fecha]],TBL_CalcDarwin[],41,1)</f>
        <v>20</v>
      </c>
      <c r="L24" s="53">
        <f>Table1[[#This Row],[MW Proyectada (Barra A)]]+Table1[[#This Row],[MW Proyectada (Barra B)]]</f>
        <v>103.393</v>
      </c>
      <c r="N24" s="53">
        <f>IF(Table1[[#This Row],[TOTAL MW]]&lt;($P$1-Table18[[#This Row],[TOTAL MW]]),Table1[[#This Row],[MW Proyectada (Barra A)]],Table1[[#This Row],[MW Proyectada (Barra A)]]*($P$1-Table18[[#This Row],[TOTAL MW]])/Table1[[#This Row],[TOTAL MW]])</f>
        <v>50.222000000000001</v>
      </c>
      <c r="O24" s="53">
        <f>IF(Table1[[#This Row],[TOTAL MW]]&lt;($P$1-Table18[[#This Row],[TOTAL MW]]),Table1[[#This Row],[MW Proyectada (Barra B)]],Table1[[#This Row],[MW Proyectada (Barra B)]]*($P$1-Table18[[#This Row],[TOTAL MW]])/Table1[[#This Row],[TOTAL MW]])</f>
        <v>53.170999999999999</v>
      </c>
      <c r="P24" s="53">
        <f t="shared" si="0"/>
        <v>103.393</v>
      </c>
    </row>
    <row r="25" spans="1:16" x14ac:dyDescent="0.25">
      <c r="A25" s="106">
        <f t="shared" si="1"/>
        <v>45612.458333333387</v>
      </c>
      <c r="B25" s="51">
        <f t="shared" si="2"/>
        <v>0.45833333333333315</v>
      </c>
      <c r="C25" s="1">
        <f>'Plantilla Datos'!K31</f>
        <v>9.5</v>
      </c>
      <c r="F25" s="107">
        <f>(Table2[[#This Row],[Fecha]]+2)</f>
        <v>45614.458333333387</v>
      </c>
      <c r="G25" s="52">
        <f>Table2[[#This Row],[Hora]]</f>
        <v>0.45833333333333315</v>
      </c>
      <c r="H25" s="53">
        <f>VLOOKUP(Table1[[#This Row],[Fecha]],TBL_CalcDarwin[],42,1)</f>
        <v>58.119</v>
      </c>
      <c r="I25" s="53">
        <f>VLOOKUP(Table1[[#This Row],[Fecha]],TBL_CalcDarwin[],43,1)</f>
        <v>62.228000000000002</v>
      </c>
      <c r="J25" s="73">
        <f>VLOOKUP(Table1[[#This Row],[Fecha]],TBL_CalcDarwin[],40,1)</f>
        <v>23</v>
      </c>
      <c r="K25" s="73">
        <f>VLOOKUP(Table1[[#This Row],[Fecha]],TBL_CalcDarwin[],41,1)</f>
        <v>20</v>
      </c>
      <c r="L25" s="53">
        <f>Table1[[#This Row],[MW Proyectada (Barra A)]]+Table1[[#This Row],[MW Proyectada (Barra B)]]</f>
        <v>120.34700000000001</v>
      </c>
      <c r="N25" s="53">
        <f>IF(Table1[[#This Row],[TOTAL MW]]&lt;($P$1-Table18[[#This Row],[TOTAL MW]]),Table1[[#This Row],[MW Proyectada (Barra A)]],Table1[[#This Row],[MW Proyectada (Barra A)]]*($P$1-Table18[[#This Row],[TOTAL MW]])/Table1[[#This Row],[TOTAL MW]])</f>
        <v>58.119</v>
      </c>
      <c r="O25" s="53">
        <f>IF(Table1[[#This Row],[TOTAL MW]]&lt;($P$1-Table18[[#This Row],[TOTAL MW]]),Table1[[#This Row],[MW Proyectada (Barra B)]],Table1[[#This Row],[MW Proyectada (Barra B)]]*($P$1-Table18[[#This Row],[TOTAL MW]])/Table1[[#This Row],[TOTAL MW]])</f>
        <v>62.228000000000002</v>
      </c>
      <c r="P25" s="53">
        <f t="shared" si="0"/>
        <v>120.34700000000001</v>
      </c>
    </row>
    <row r="26" spans="1:16" x14ac:dyDescent="0.25">
      <c r="A26" s="106">
        <f t="shared" si="1"/>
        <v>45612.479166666722</v>
      </c>
      <c r="B26" s="51">
        <f t="shared" si="2"/>
        <v>0.47916666666666646</v>
      </c>
      <c r="C26" s="1">
        <f>'Plantilla Datos'!K32</f>
        <v>9</v>
      </c>
      <c r="F26" s="107">
        <f>(Table2[[#This Row],[Fecha]]+2)</f>
        <v>45614.479166666722</v>
      </c>
      <c r="G26" s="52">
        <f>Table2[[#This Row],[Hora]]</f>
        <v>0.47916666666666646</v>
      </c>
      <c r="H26" s="53">
        <f>VLOOKUP(Table1[[#This Row],[Fecha]],TBL_CalcDarwin[],42,1)</f>
        <v>58.119</v>
      </c>
      <c r="I26" s="53">
        <f>VLOOKUP(Table1[[#This Row],[Fecha]],TBL_CalcDarwin[],43,1)</f>
        <v>62.228000000000002</v>
      </c>
      <c r="J26" s="73">
        <f>VLOOKUP(Table1[[#This Row],[Fecha]],TBL_CalcDarwin[],40,1)</f>
        <v>23</v>
      </c>
      <c r="K26" s="73">
        <f>VLOOKUP(Table1[[#This Row],[Fecha]],TBL_CalcDarwin[],41,1)</f>
        <v>20</v>
      </c>
      <c r="L26" s="53">
        <f>Table1[[#This Row],[MW Proyectada (Barra A)]]+Table1[[#This Row],[MW Proyectada (Barra B)]]</f>
        <v>120.34700000000001</v>
      </c>
      <c r="N26" s="53">
        <f>IF(Table1[[#This Row],[TOTAL MW]]&lt;($P$1-Table18[[#This Row],[TOTAL MW]]),Table1[[#This Row],[MW Proyectada (Barra A)]],Table1[[#This Row],[MW Proyectada (Barra A)]]*($P$1-Table18[[#This Row],[TOTAL MW]])/Table1[[#This Row],[TOTAL MW]])</f>
        <v>58.119</v>
      </c>
      <c r="O26" s="53">
        <f>IF(Table1[[#This Row],[TOTAL MW]]&lt;($P$1-Table18[[#This Row],[TOTAL MW]]),Table1[[#This Row],[MW Proyectada (Barra B)]],Table1[[#This Row],[MW Proyectada (Barra B)]]*($P$1-Table18[[#This Row],[TOTAL MW]])/Table1[[#This Row],[TOTAL MW]])</f>
        <v>62.228000000000002</v>
      </c>
      <c r="P26" s="53">
        <f t="shared" si="0"/>
        <v>120.34700000000001</v>
      </c>
    </row>
    <row r="27" spans="1:16" x14ac:dyDescent="0.25">
      <c r="A27" s="106">
        <f t="shared" si="1"/>
        <v>45612.500000000058</v>
      </c>
      <c r="B27" s="51">
        <f t="shared" si="2"/>
        <v>0.49999999999999978</v>
      </c>
      <c r="C27" s="1">
        <f>'Plantilla Datos'!K33</f>
        <v>7.2</v>
      </c>
      <c r="F27" s="107">
        <f>(Table2[[#This Row],[Fecha]]+2)</f>
        <v>45614.500000000058</v>
      </c>
      <c r="G27" s="52">
        <f>Table2[[#This Row],[Hora]]</f>
        <v>0.49999999999999978</v>
      </c>
      <c r="H27" s="53">
        <f>VLOOKUP(Table1[[#This Row],[Fecha]],TBL_CalcDarwin[],42,1)</f>
        <v>64.865000000000009</v>
      </c>
      <c r="I27" s="53">
        <f>VLOOKUP(Table1[[#This Row],[Fecha]],TBL_CalcDarwin[],43,1)</f>
        <v>70.117999999999995</v>
      </c>
      <c r="J27" s="73">
        <f>VLOOKUP(Table1[[#This Row],[Fecha]],TBL_CalcDarwin[],40,1)</f>
        <v>23</v>
      </c>
      <c r="K27" s="73">
        <f>VLOOKUP(Table1[[#This Row],[Fecha]],TBL_CalcDarwin[],41,1)</f>
        <v>20</v>
      </c>
      <c r="L27" s="53">
        <f>Table1[[#This Row],[MW Proyectada (Barra A)]]+Table1[[#This Row],[MW Proyectada (Barra B)]]</f>
        <v>134.983</v>
      </c>
      <c r="N27" s="53">
        <f>IF(Table1[[#This Row],[TOTAL MW]]&lt;($P$1-Table18[[#This Row],[TOTAL MW]]),Table1[[#This Row],[MW Proyectada (Barra A)]],Table1[[#This Row],[MW Proyectada (Barra A)]]*($P$1-Table18[[#This Row],[TOTAL MW]])/Table1[[#This Row],[TOTAL MW]])</f>
        <v>64.865000000000009</v>
      </c>
      <c r="O27" s="53">
        <f>IF(Table1[[#This Row],[TOTAL MW]]&lt;($P$1-Table18[[#This Row],[TOTAL MW]]),Table1[[#This Row],[MW Proyectada (Barra B)]],Table1[[#This Row],[MW Proyectada (Barra B)]]*($P$1-Table18[[#This Row],[TOTAL MW]])/Table1[[#This Row],[TOTAL MW]])</f>
        <v>70.117999999999995</v>
      </c>
      <c r="P27" s="53">
        <f t="shared" si="0"/>
        <v>134.983</v>
      </c>
    </row>
    <row r="28" spans="1:16" x14ac:dyDescent="0.25">
      <c r="A28" s="106">
        <f t="shared" si="1"/>
        <v>45612.520833333394</v>
      </c>
      <c r="B28" s="51">
        <f t="shared" si="2"/>
        <v>0.52083333333333315</v>
      </c>
      <c r="C28" s="1">
        <f>'Plantilla Datos'!K34</f>
        <v>7.5</v>
      </c>
      <c r="F28" s="107">
        <f>(Table2[[#This Row],[Fecha]]+2)</f>
        <v>45614.520833333394</v>
      </c>
      <c r="G28" s="52">
        <f>Table2[[#This Row],[Hora]]</f>
        <v>0.52083333333333315</v>
      </c>
      <c r="H28" s="53">
        <f>VLOOKUP(Table1[[#This Row],[Fecha]],TBL_CalcDarwin[],42,1)</f>
        <v>64.865000000000009</v>
      </c>
      <c r="I28" s="53">
        <f>VLOOKUP(Table1[[#This Row],[Fecha]],TBL_CalcDarwin[],43,1)</f>
        <v>70.117999999999995</v>
      </c>
      <c r="J28" s="73">
        <f>VLOOKUP(Table1[[#This Row],[Fecha]],TBL_CalcDarwin[],40,1)</f>
        <v>23</v>
      </c>
      <c r="K28" s="73">
        <f>VLOOKUP(Table1[[#This Row],[Fecha]],TBL_CalcDarwin[],41,1)</f>
        <v>20</v>
      </c>
      <c r="L28" s="53">
        <f>Table1[[#This Row],[MW Proyectada (Barra A)]]+Table1[[#This Row],[MW Proyectada (Barra B)]]</f>
        <v>134.983</v>
      </c>
      <c r="N28" s="53">
        <f>IF(Table1[[#This Row],[TOTAL MW]]&lt;($P$1-Table18[[#This Row],[TOTAL MW]]),Table1[[#This Row],[MW Proyectada (Barra A)]],Table1[[#This Row],[MW Proyectada (Barra A)]]*($P$1-Table18[[#This Row],[TOTAL MW]])/Table1[[#This Row],[TOTAL MW]])</f>
        <v>64.865000000000009</v>
      </c>
      <c r="O28" s="53">
        <f>IF(Table1[[#This Row],[TOTAL MW]]&lt;($P$1-Table18[[#This Row],[TOTAL MW]]),Table1[[#This Row],[MW Proyectada (Barra B)]],Table1[[#This Row],[MW Proyectada (Barra B)]]*($P$1-Table18[[#This Row],[TOTAL MW]])/Table1[[#This Row],[TOTAL MW]])</f>
        <v>70.117999999999995</v>
      </c>
      <c r="P28" s="53">
        <f t="shared" si="0"/>
        <v>134.983</v>
      </c>
    </row>
    <row r="29" spans="1:16" x14ac:dyDescent="0.25">
      <c r="A29" s="106">
        <f t="shared" si="1"/>
        <v>45612.54166666673</v>
      </c>
      <c r="B29" s="51">
        <f t="shared" si="2"/>
        <v>0.54166666666666652</v>
      </c>
      <c r="C29" s="1">
        <f>'Plantilla Datos'!K35</f>
        <v>6.9</v>
      </c>
      <c r="F29" s="107">
        <f>(Table2[[#This Row],[Fecha]]+2)</f>
        <v>45614.54166666673</v>
      </c>
      <c r="G29" s="52">
        <f>Table2[[#This Row],[Hora]]</f>
        <v>0.54166666666666652</v>
      </c>
      <c r="H29" s="53">
        <f>VLOOKUP(Table1[[#This Row],[Fecha]],TBL_CalcDarwin[],42,1)</f>
        <v>72.567999999999998</v>
      </c>
      <c r="I29" s="53">
        <f>VLOOKUP(Table1[[#This Row],[Fecha]],TBL_CalcDarwin[],43,1)</f>
        <v>78.484999999999999</v>
      </c>
      <c r="J29" s="73">
        <f>VLOOKUP(Table1[[#This Row],[Fecha]],TBL_CalcDarwin[],40,1)</f>
        <v>23</v>
      </c>
      <c r="K29" s="73">
        <f>VLOOKUP(Table1[[#This Row],[Fecha]],TBL_CalcDarwin[],41,1)</f>
        <v>20</v>
      </c>
      <c r="L29" s="53">
        <f>Table1[[#This Row],[MW Proyectada (Barra A)]]+Table1[[#This Row],[MW Proyectada (Barra B)]]</f>
        <v>151.053</v>
      </c>
      <c r="N29" s="53">
        <f>IF(Table1[[#This Row],[TOTAL MW]]&lt;($P$1-Table18[[#This Row],[TOTAL MW]]),Table1[[#This Row],[MW Proyectada (Barra A)]],Table1[[#This Row],[MW Proyectada (Barra A)]]*($P$1-Table18[[#This Row],[TOTAL MW]])/Table1[[#This Row],[TOTAL MW]])</f>
        <v>72.567999999999998</v>
      </c>
      <c r="O29" s="53">
        <f>IF(Table1[[#This Row],[TOTAL MW]]&lt;($P$1-Table18[[#This Row],[TOTAL MW]]),Table1[[#This Row],[MW Proyectada (Barra B)]],Table1[[#This Row],[MW Proyectada (Barra B)]]*($P$1-Table18[[#This Row],[TOTAL MW]])/Table1[[#This Row],[TOTAL MW]])</f>
        <v>78.484999999999999</v>
      </c>
      <c r="P29" s="53">
        <f t="shared" si="0"/>
        <v>151.053</v>
      </c>
    </row>
    <row r="30" spans="1:16" x14ac:dyDescent="0.25">
      <c r="A30" s="106">
        <f t="shared" si="1"/>
        <v>45612.562500000065</v>
      </c>
      <c r="B30" s="51">
        <f t="shared" si="2"/>
        <v>0.56249999999999989</v>
      </c>
      <c r="C30" s="1">
        <f>'Plantilla Datos'!K36</f>
        <v>6.3</v>
      </c>
      <c r="F30" s="107">
        <f>(Table2[[#This Row],[Fecha]]+2)</f>
        <v>45614.562500000065</v>
      </c>
      <c r="G30" s="52">
        <f>Table2[[#This Row],[Hora]]</f>
        <v>0.56249999999999989</v>
      </c>
      <c r="H30" s="53">
        <f>VLOOKUP(Table1[[#This Row],[Fecha]],TBL_CalcDarwin[],42,1)</f>
        <v>72.567999999999998</v>
      </c>
      <c r="I30" s="53">
        <f>VLOOKUP(Table1[[#This Row],[Fecha]],TBL_CalcDarwin[],43,1)</f>
        <v>78.484999999999999</v>
      </c>
      <c r="J30" s="73">
        <f>VLOOKUP(Table1[[#This Row],[Fecha]],TBL_CalcDarwin[],40,1)</f>
        <v>23</v>
      </c>
      <c r="K30" s="73">
        <f>VLOOKUP(Table1[[#This Row],[Fecha]],TBL_CalcDarwin[],41,1)</f>
        <v>20</v>
      </c>
      <c r="L30" s="53">
        <f>Table1[[#This Row],[MW Proyectada (Barra A)]]+Table1[[#This Row],[MW Proyectada (Barra B)]]</f>
        <v>151.053</v>
      </c>
      <c r="N30" s="53">
        <f>IF(Table1[[#This Row],[TOTAL MW]]&lt;($P$1-Table18[[#This Row],[TOTAL MW]]),Table1[[#This Row],[MW Proyectada (Barra A)]],Table1[[#This Row],[MW Proyectada (Barra A)]]*($P$1-Table18[[#This Row],[TOTAL MW]])/Table1[[#This Row],[TOTAL MW]])</f>
        <v>72.567999999999998</v>
      </c>
      <c r="O30" s="53">
        <f>IF(Table1[[#This Row],[TOTAL MW]]&lt;($P$1-Table18[[#This Row],[TOTAL MW]]),Table1[[#This Row],[MW Proyectada (Barra B)]],Table1[[#This Row],[MW Proyectada (Barra B)]]*($P$1-Table18[[#This Row],[TOTAL MW]])/Table1[[#This Row],[TOTAL MW]])</f>
        <v>78.484999999999999</v>
      </c>
      <c r="P30" s="53">
        <f t="shared" si="0"/>
        <v>151.053</v>
      </c>
    </row>
    <row r="31" spans="1:16" x14ac:dyDescent="0.25">
      <c r="A31" s="106">
        <f t="shared" si="1"/>
        <v>45612.583333333401</v>
      </c>
      <c r="B31" s="51">
        <f t="shared" si="2"/>
        <v>0.58333333333333326</v>
      </c>
      <c r="C31" s="1">
        <f>'Plantilla Datos'!K37</f>
        <v>6.8</v>
      </c>
      <c r="F31" s="107">
        <f>(Table2[[#This Row],[Fecha]]+2)</f>
        <v>45614.583333333401</v>
      </c>
      <c r="G31" s="52">
        <f>Table2[[#This Row],[Hora]]</f>
        <v>0.58333333333333326</v>
      </c>
      <c r="H31" s="53">
        <f>VLOOKUP(Table1[[#This Row],[Fecha]],TBL_CalcDarwin[],42,1)</f>
        <v>78.27</v>
      </c>
      <c r="I31" s="53">
        <f>VLOOKUP(Table1[[#This Row],[Fecha]],TBL_CalcDarwin[],43,1)</f>
        <v>80.326999999999998</v>
      </c>
      <c r="J31" s="73">
        <f>VLOOKUP(Table1[[#This Row],[Fecha]],TBL_CalcDarwin[],40,1)</f>
        <v>23</v>
      </c>
      <c r="K31" s="73">
        <f>VLOOKUP(Table1[[#This Row],[Fecha]],TBL_CalcDarwin[],41,1)</f>
        <v>20</v>
      </c>
      <c r="L31" s="53">
        <f>Table1[[#This Row],[MW Proyectada (Barra A)]]+Table1[[#This Row],[MW Proyectada (Barra B)]]</f>
        <v>158.59699999999998</v>
      </c>
      <c r="N31" s="53">
        <f>IF(Table1[[#This Row],[TOTAL MW]]&lt;($P$1-Table18[[#This Row],[TOTAL MW]]),Table1[[#This Row],[MW Proyectada (Barra A)]],Table1[[#This Row],[MW Proyectada (Barra A)]]*($P$1-Table18[[#This Row],[TOTAL MW]])/Table1[[#This Row],[TOTAL MW]])</f>
        <v>78.27</v>
      </c>
      <c r="O31" s="53">
        <f>IF(Table1[[#This Row],[TOTAL MW]]&lt;($P$1-Table18[[#This Row],[TOTAL MW]]),Table1[[#This Row],[MW Proyectada (Barra B)]],Table1[[#This Row],[MW Proyectada (Barra B)]]*($P$1-Table18[[#This Row],[TOTAL MW]])/Table1[[#This Row],[TOTAL MW]])</f>
        <v>80.326999999999998</v>
      </c>
      <c r="P31" s="53">
        <f t="shared" si="0"/>
        <v>158.59699999999998</v>
      </c>
    </row>
    <row r="32" spans="1:16" x14ac:dyDescent="0.25">
      <c r="A32" s="106">
        <f t="shared" si="1"/>
        <v>45612.604166666737</v>
      </c>
      <c r="B32" s="51">
        <f t="shared" si="2"/>
        <v>0.60416666666666663</v>
      </c>
      <c r="C32" s="1">
        <f>'Plantilla Datos'!K38</f>
        <v>6.7</v>
      </c>
      <c r="F32" s="107">
        <f>(Table2[[#This Row],[Fecha]]+2)</f>
        <v>45614.604166666737</v>
      </c>
      <c r="G32" s="52">
        <f>Table2[[#This Row],[Hora]]</f>
        <v>0.60416666666666663</v>
      </c>
      <c r="H32" s="53">
        <f>VLOOKUP(Table1[[#This Row],[Fecha]],TBL_CalcDarwin[],42,1)</f>
        <v>78.27</v>
      </c>
      <c r="I32" s="53">
        <f>VLOOKUP(Table1[[#This Row],[Fecha]],TBL_CalcDarwin[],43,1)</f>
        <v>80.326999999999998</v>
      </c>
      <c r="J32" s="73">
        <f>VLOOKUP(Table1[[#This Row],[Fecha]],TBL_CalcDarwin[],40,1)</f>
        <v>23</v>
      </c>
      <c r="K32" s="73">
        <f>VLOOKUP(Table1[[#This Row],[Fecha]],TBL_CalcDarwin[],41,1)</f>
        <v>20</v>
      </c>
      <c r="L32" s="53">
        <f>Table1[[#This Row],[MW Proyectada (Barra A)]]+Table1[[#This Row],[MW Proyectada (Barra B)]]</f>
        <v>158.59699999999998</v>
      </c>
      <c r="N32" s="53">
        <f>IF(Table1[[#This Row],[TOTAL MW]]&lt;($P$1-Table18[[#This Row],[TOTAL MW]]),Table1[[#This Row],[MW Proyectada (Barra A)]],Table1[[#This Row],[MW Proyectada (Barra A)]]*($P$1-Table18[[#This Row],[TOTAL MW]])/Table1[[#This Row],[TOTAL MW]])</f>
        <v>78.27</v>
      </c>
      <c r="O32" s="53">
        <f>IF(Table1[[#This Row],[TOTAL MW]]&lt;($P$1-Table18[[#This Row],[TOTAL MW]]),Table1[[#This Row],[MW Proyectada (Barra B)]],Table1[[#This Row],[MW Proyectada (Barra B)]]*($P$1-Table18[[#This Row],[TOTAL MW]])/Table1[[#This Row],[TOTAL MW]])</f>
        <v>80.326999999999998</v>
      </c>
      <c r="P32" s="53">
        <f t="shared" si="0"/>
        <v>158.59699999999998</v>
      </c>
    </row>
    <row r="33" spans="1:16" x14ac:dyDescent="0.25">
      <c r="A33" s="106">
        <f t="shared" si="1"/>
        <v>45612.625000000073</v>
      </c>
      <c r="B33" s="51">
        <f t="shared" si="2"/>
        <v>0.625</v>
      </c>
      <c r="C33" s="1">
        <f>'Plantilla Datos'!K39</f>
        <v>7.1</v>
      </c>
      <c r="F33" s="107">
        <f>(Table2[[#This Row],[Fecha]]+2)</f>
        <v>45614.625000000073</v>
      </c>
      <c r="G33" s="52">
        <f>Table2[[#This Row],[Hora]]</f>
        <v>0.625</v>
      </c>
      <c r="H33" s="53">
        <f>VLOOKUP(Table1[[#This Row],[Fecha]],TBL_CalcDarwin[],42,1)</f>
        <v>82.06</v>
      </c>
      <c r="I33" s="53">
        <f>VLOOKUP(Table1[[#This Row],[Fecha]],TBL_CalcDarwin[],43,1)</f>
        <v>86.206999999999994</v>
      </c>
      <c r="J33" s="73">
        <f>VLOOKUP(Table1[[#This Row],[Fecha]],TBL_CalcDarwin[],40,1)</f>
        <v>23</v>
      </c>
      <c r="K33" s="73">
        <f>VLOOKUP(Table1[[#This Row],[Fecha]],TBL_CalcDarwin[],41,1)</f>
        <v>20</v>
      </c>
      <c r="L33" s="53">
        <f>Table1[[#This Row],[MW Proyectada (Barra A)]]+Table1[[#This Row],[MW Proyectada (Barra B)]]</f>
        <v>168.267</v>
      </c>
      <c r="N33" s="53">
        <f>IF(Table1[[#This Row],[TOTAL MW]]&lt;($P$1-Table18[[#This Row],[TOTAL MW]]),Table1[[#This Row],[MW Proyectada (Barra A)]],Table1[[#This Row],[MW Proyectada (Barra A)]]*($P$1-Table18[[#This Row],[TOTAL MW]])/Table1[[#This Row],[TOTAL MW]])</f>
        <v>78.878880826305817</v>
      </c>
      <c r="O33" s="53">
        <f>IF(Table1[[#This Row],[TOTAL MW]]&lt;($P$1-Table18[[#This Row],[TOTAL MW]]),Table1[[#This Row],[MW Proyectada (Barra B)]],Table1[[#This Row],[MW Proyectada (Barra B)]]*($P$1-Table18[[#This Row],[TOTAL MW]])/Table1[[#This Row],[TOTAL MW]])</f>
        <v>82.865119173694183</v>
      </c>
      <c r="P33" s="53">
        <f t="shared" si="0"/>
        <v>161.744</v>
      </c>
    </row>
    <row r="34" spans="1:16" x14ac:dyDescent="0.25">
      <c r="A34" s="106">
        <f t="shared" si="1"/>
        <v>45612.645833333409</v>
      </c>
      <c r="B34" s="51">
        <f t="shared" si="2"/>
        <v>0.64583333333333337</v>
      </c>
      <c r="C34" s="1">
        <f>'Plantilla Datos'!K40</f>
        <v>7.1</v>
      </c>
      <c r="F34" s="107">
        <f>(Table2[[#This Row],[Fecha]]+2)</f>
        <v>45614.645833333409</v>
      </c>
      <c r="G34" s="52">
        <f>Table2[[#This Row],[Hora]]</f>
        <v>0.64583333333333337</v>
      </c>
      <c r="H34" s="53">
        <f>VLOOKUP(Table1[[#This Row],[Fecha]],TBL_CalcDarwin[],42,1)</f>
        <v>82.06</v>
      </c>
      <c r="I34" s="53">
        <f>VLOOKUP(Table1[[#This Row],[Fecha]],TBL_CalcDarwin[],43,1)</f>
        <v>86.206999999999994</v>
      </c>
      <c r="J34" s="73">
        <f>VLOOKUP(Table1[[#This Row],[Fecha]],TBL_CalcDarwin[],40,1)</f>
        <v>23</v>
      </c>
      <c r="K34" s="73">
        <f>VLOOKUP(Table1[[#This Row],[Fecha]],TBL_CalcDarwin[],41,1)</f>
        <v>20</v>
      </c>
      <c r="L34" s="53">
        <f>Table1[[#This Row],[MW Proyectada (Barra A)]]+Table1[[#This Row],[MW Proyectada (Barra B)]]</f>
        <v>168.267</v>
      </c>
      <c r="N34" s="53">
        <f>IF(Table1[[#This Row],[TOTAL MW]]&lt;($P$1-Table18[[#This Row],[TOTAL MW]]),Table1[[#This Row],[MW Proyectada (Barra A)]],Table1[[#This Row],[MW Proyectada (Barra A)]]*($P$1-Table18[[#This Row],[TOTAL MW]])/Table1[[#This Row],[TOTAL MW]])</f>
        <v>78.878880826305817</v>
      </c>
      <c r="O34" s="53">
        <f>IF(Table1[[#This Row],[TOTAL MW]]&lt;($P$1-Table18[[#This Row],[TOTAL MW]]),Table1[[#This Row],[MW Proyectada (Barra B)]],Table1[[#This Row],[MW Proyectada (Barra B)]]*($P$1-Table18[[#This Row],[TOTAL MW]])/Table1[[#This Row],[TOTAL MW]])</f>
        <v>82.865119173694183</v>
      </c>
      <c r="P34" s="53">
        <f t="shared" si="0"/>
        <v>161.744</v>
      </c>
    </row>
    <row r="35" spans="1:16" x14ac:dyDescent="0.25">
      <c r="A35" s="106">
        <f t="shared" si="1"/>
        <v>45612.666666666744</v>
      </c>
      <c r="B35" s="51">
        <f t="shared" si="2"/>
        <v>0.66666666666666674</v>
      </c>
      <c r="C35" s="1">
        <f>'Plantilla Datos'!K41</f>
        <v>7.5</v>
      </c>
      <c r="F35" s="107">
        <f>(Table2[[#This Row],[Fecha]]+2)</f>
        <v>45614.666666666744</v>
      </c>
      <c r="G35" s="52">
        <f>Table2[[#This Row],[Hora]]</f>
        <v>0.66666666666666674</v>
      </c>
      <c r="H35" s="53">
        <f>VLOOKUP(Table1[[#This Row],[Fecha]],TBL_CalcDarwin[],42,1)</f>
        <v>90.908000000000001</v>
      </c>
      <c r="I35" s="53">
        <f>VLOOKUP(Table1[[#This Row],[Fecha]],TBL_CalcDarwin[],43,1)</f>
        <v>92.528000000000006</v>
      </c>
      <c r="J35" s="73">
        <f>VLOOKUP(Table1[[#This Row],[Fecha]],TBL_CalcDarwin[],40,1)</f>
        <v>23</v>
      </c>
      <c r="K35" s="73">
        <f>VLOOKUP(Table1[[#This Row],[Fecha]],TBL_CalcDarwin[],41,1)</f>
        <v>20</v>
      </c>
      <c r="L35" s="53">
        <f>Table1[[#This Row],[MW Proyectada (Barra A)]]+Table1[[#This Row],[MW Proyectada (Barra B)]]</f>
        <v>183.43600000000001</v>
      </c>
      <c r="N35" s="53">
        <f>IF(Table1[[#This Row],[TOTAL MW]]&lt;($P$1-Table18[[#This Row],[TOTAL MW]]),Table1[[#This Row],[MW Proyectada (Barra A)]],Table1[[#This Row],[MW Proyectada (Barra A)]]*($P$1-Table18[[#This Row],[TOTAL MW]])/Table1[[#This Row],[TOTAL MW]])</f>
        <v>78.853903290520947</v>
      </c>
      <c r="O35" s="53">
        <f>IF(Table1[[#This Row],[TOTAL MW]]&lt;($P$1-Table18[[#This Row],[TOTAL MW]]),Table1[[#This Row],[MW Proyectada (Barra B)]],Table1[[#This Row],[MW Proyectada (Barra B)]]*($P$1-Table18[[#This Row],[TOTAL MW]])/Table1[[#This Row],[TOTAL MW]])</f>
        <v>80.259096709479053</v>
      </c>
      <c r="P35" s="53">
        <f t="shared" si="0"/>
        <v>159.113</v>
      </c>
    </row>
    <row r="36" spans="1:16" x14ac:dyDescent="0.25">
      <c r="A36" s="106">
        <f t="shared" si="1"/>
        <v>45612.68750000008</v>
      </c>
      <c r="B36" s="51">
        <f t="shared" si="2"/>
        <v>0.68750000000000011</v>
      </c>
      <c r="C36" s="1">
        <f>'Plantilla Datos'!K42</f>
        <v>5</v>
      </c>
      <c r="F36" s="107">
        <f>(Table2[[#This Row],[Fecha]]+2)</f>
        <v>45614.68750000008</v>
      </c>
      <c r="G36" s="52">
        <f>Table2[[#This Row],[Hora]]</f>
        <v>0.68750000000000011</v>
      </c>
      <c r="H36" s="53">
        <f>VLOOKUP(Table1[[#This Row],[Fecha]],TBL_CalcDarwin[],42,1)</f>
        <v>90.908000000000001</v>
      </c>
      <c r="I36" s="53">
        <f>VLOOKUP(Table1[[#This Row],[Fecha]],TBL_CalcDarwin[],43,1)</f>
        <v>92.528000000000006</v>
      </c>
      <c r="J36" s="73">
        <f>VLOOKUP(Table1[[#This Row],[Fecha]],TBL_CalcDarwin[],40,1)</f>
        <v>23</v>
      </c>
      <c r="K36" s="73">
        <f>VLOOKUP(Table1[[#This Row],[Fecha]],TBL_CalcDarwin[],41,1)</f>
        <v>20</v>
      </c>
      <c r="L36" s="53">
        <f>Table1[[#This Row],[MW Proyectada (Barra A)]]+Table1[[#This Row],[MW Proyectada (Barra B)]]</f>
        <v>183.43600000000001</v>
      </c>
      <c r="N36" s="53">
        <f>IF(Table1[[#This Row],[TOTAL MW]]&lt;($P$1-Table18[[#This Row],[TOTAL MW]]),Table1[[#This Row],[MW Proyectada (Barra A)]],Table1[[#This Row],[MW Proyectada (Barra A)]]*($P$1-Table18[[#This Row],[TOTAL MW]])/Table1[[#This Row],[TOTAL MW]])</f>
        <v>78.853903290520947</v>
      </c>
      <c r="O36" s="53">
        <f>IF(Table1[[#This Row],[TOTAL MW]]&lt;($P$1-Table18[[#This Row],[TOTAL MW]]),Table1[[#This Row],[MW Proyectada (Barra B)]],Table1[[#This Row],[MW Proyectada (Barra B)]]*($P$1-Table18[[#This Row],[TOTAL MW]])/Table1[[#This Row],[TOTAL MW]])</f>
        <v>80.259096709479053</v>
      </c>
      <c r="P36" s="53">
        <f t="shared" si="0"/>
        <v>159.113</v>
      </c>
    </row>
    <row r="37" spans="1:16" x14ac:dyDescent="0.25">
      <c r="A37" s="106">
        <f t="shared" si="1"/>
        <v>45612.708333333416</v>
      </c>
      <c r="B37" s="51">
        <f t="shared" si="2"/>
        <v>0.70833333333333348</v>
      </c>
      <c r="C37" s="1">
        <f>'Plantilla Datos'!K43</f>
        <v>5.3</v>
      </c>
      <c r="F37" s="107">
        <f>(Table2[[#This Row],[Fecha]]+2)</f>
        <v>45614.708333333416</v>
      </c>
      <c r="G37" s="52">
        <f>Table2[[#This Row],[Hora]]</f>
        <v>0.70833333333333348</v>
      </c>
      <c r="H37" s="53">
        <f>VLOOKUP(Table1[[#This Row],[Fecha]],TBL_CalcDarwin[],42,1)</f>
        <v>90.908000000000001</v>
      </c>
      <c r="I37" s="53">
        <f>VLOOKUP(Table1[[#This Row],[Fecha]],TBL_CalcDarwin[],43,1)</f>
        <v>92.528000000000006</v>
      </c>
      <c r="J37" s="73">
        <f>VLOOKUP(Table1[[#This Row],[Fecha]],TBL_CalcDarwin[],40,1)</f>
        <v>23</v>
      </c>
      <c r="K37" s="73">
        <f>VLOOKUP(Table1[[#This Row],[Fecha]],TBL_CalcDarwin[],41,1)</f>
        <v>20</v>
      </c>
      <c r="L37" s="53">
        <f>Table1[[#This Row],[MW Proyectada (Barra A)]]+Table1[[#This Row],[MW Proyectada (Barra B)]]</f>
        <v>183.43600000000001</v>
      </c>
      <c r="N37" s="53">
        <f>IF(Table1[[#This Row],[TOTAL MW]]&lt;($P$1-Table18[[#This Row],[TOTAL MW]]),Table1[[#This Row],[MW Proyectada (Barra A)]],Table1[[#This Row],[MW Proyectada (Barra A)]]*($P$1-Table18[[#This Row],[TOTAL MW]])/Table1[[#This Row],[TOTAL MW]])</f>
        <v>78.853903290520947</v>
      </c>
      <c r="O37" s="53">
        <f>IF(Table1[[#This Row],[TOTAL MW]]&lt;($P$1-Table18[[#This Row],[TOTAL MW]]),Table1[[#This Row],[MW Proyectada (Barra B)]],Table1[[#This Row],[MW Proyectada (Barra B)]]*($P$1-Table18[[#This Row],[TOTAL MW]])/Table1[[#This Row],[TOTAL MW]])</f>
        <v>80.259096709479053</v>
      </c>
      <c r="P37" s="53">
        <f t="shared" si="0"/>
        <v>159.113</v>
      </c>
    </row>
    <row r="38" spans="1:16" x14ac:dyDescent="0.25">
      <c r="A38" s="106">
        <f t="shared" si="1"/>
        <v>45612.729166666752</v>
      </c>
      <c r="B38" s="51">
        <f t="shared" si="2"/>
        <v>0.72916666666666685</v>
      </c>
      <c r="C38" s="1">
        <f>'Plantilla Datos'!K44</f>
        <v>5.3</v>
      </c>
      <c r="F38" s="107">
        <f>(Table2[[#This Row],[Fecha]]+2)</f>
        <v>45614.729166666752</v>
      </c>
      <c r="G38" s="52">
        <f>Table2[[#This Row],[Hora]]</f>
        <v>0.72916666666666685</v>
      </c>
      <c r="H38" s="53">
        <f>VLOOKUP(Table1[[#This Row],[Fecha]],TBL_CalcDarwin[],42,1)</f>
        <v>90.908000000000001</v>
      </c>
      <c r="I38" s="53">
        <f>VLOOKUP(Table1[[#This Row],[Fecha]],TBL_CalcDarwin[],43,1)</f>
        <v>92.528000000000006</v>
      </c>
      <c r="J38" s="73">
        <f>VLOOKUP(Table1[[#This Row],[Fecha]],TBL_CalcDarwin[],40,1)</f>
        <v>23</v>
      </c>
      <c r="K38" s="73">
        <f>VLOOKUP(Table1[[#This Row],[Fecha]],TBL_CalcDarwin[],41,1)</f>
        <v>20</v>
      </c>
      <c r="L38" s="53">
        <f>Table1[[#This Row],[MW Proyectada (Barra A)]]+Table1[[#This Row],[MW Proyectada (Barra B)]]</f>
        <v>183.43600000000001</v>
      </c>
      <c r="N38" s="53">
        <f>IF(Table1[[#This Row],[TOTAL MW]]&lt;($P$1-Table18[[#This Row],[TOTAL MW]]),Table1[[#This Row],[MW Proyectada (Barra A)]],Table1[[#This Row],[MW Proyectada (Barra A)]]*($P$1-Table18[[#This Row],[TOTAL MW]])/Table1[[#This Row],[TOTAL MW]])</f>
        <v>78.853903290520947</v>
      </c>
      <c r="O38" s="53">
        <f>IF(Table1[[#This Row],[TOTAL MW]]&lt;($P$1-Table18[[#This Row],[TOTAL MW]]),Table1[[#This Row],[MW Proyectada (Barra B)]],Table1[[#This Row],[MW Proyectada (Barra B)]]*($P$1-Table18[[#This Row],[TOTAL MW]])/Table1[[#This Row],[TOTAL MW]])</f>
        <v>80.259096709479053</v>
      </c>
      <c r="P38" s="53">
        <f t="shared" si="0"/>
        <v>159.113</v>
      </c>
    </row>
    <row r="39" spans="1:16" x14ac:dyDescent="0.25">
      <c r="A39" s="106">
        <f t="shared" si="1"/>
        <v>45612.750000000087</v>
      </c>
      <c r="B39" s="51">
        <f t="shared" si="2"/>
        <v>0.75000000000000022</v>
      </c>
      <c r="C39" s="1">
        <f>'Plantilla Datos'!K45</f>
        <v>5.6</v>
      </c>
      <c r="F39" s="107">
        <f>(Table2[[#This Row],[Fecha]]+2)</f>
        <v>45614.750000000087</v>
      </c>
      <c r="G39" s="52">
        <f>Table2[[#This Row],[Hora]]</f>
        <v>0.75000000000000022</v>
      </c>
      <c r="H39" s="53">
        <f>VLOOKUP(Table1[[#This Row],[Fecha]],TBL_CalcDarwin[],42,1)</f>
        <v>90.908000000000001</v>
      </c>
      <c r="I39" s="53">
        <f>VLOOKUP(Table1[[#This Row],[Fecha]],TBL_CalcDarwin[],43,1)</f>
        <v>92.528000000000006</v>
      </c>
      <c r="J39" s="73">
        <f>VLOOKUP(Table1[[#This Row],[Fecha]],TBL_CalcDarwin[],40,1)</f>
        <v>23</v>
      </c>
      <c r="K39" s="73">
        <f>VLOOKUP(Table1[[#This Row],[Fecha]],TBL_CalcDarwin[],41,1)</f>
        <v>20</v>
      </c>
      <c r="L39" s="53">
        <f>Table1[[#This Row],[MW Proyectada (Barra A)]]+Table1[[#This Row],[MW Proyectada (Barra B)]]</f>
        <v>183.43600000000001</v>
      </c>
      <c r="N39" s="53">
        <f>IF(Table1[[#This Row],[TOTAL MW]]&lt;($P$1-Table18[[#This Row],[TOTAL MW]]),Table1[[#This Row],[MW Proyectada (Barra A)]],Table1[[#This Row],[MW Proyectada (Barra A)]]*($P$1-Table18[[#This Row],[TOTAL MW]])/Table1[[#This Row],[TOTAL MW]])</f>
        <v>78.853903290520947</v>
      </c>
      <c r="O39" s="53">
        <f>IF(Table1[[#This Row],[TOTAL MW]]&lt;($P$1-Table18[[#This Row],[TOTAL MW]]),Table1[[#This Row],[MW Proyectada (Barra B)]],Table1[[#This Row],[MW Proyectada (Barra B)]]*($P$1-Table18[[#This Row],[TOTAL MW]])/Table1[[#This Row],[TOTAL MW]])</f>
        <v>80.259096709479053</v>
      </c>
      <c r="P39" s="53">
        <f t="shared" si="0"/>
        <v>159.113</v>
      </c>
    </row>
    <row r="40" spans="1:16" x14ac:dyDescent="0.25">
      <c r="A40" s="106">
        <f t="shared" si="1"/>
        <v>45612.770833333423</v>
      </c>
      <c r="B40" s="51">
        <f t="shared" si="2"/>
        <v>0.77083333333333359</v>
      </c>
      <c r="C40" s="1">
        <f>'Plantilla Datos'!K46</f>
        <v>7.2</v>
      </c>
      <c r="F40" s="107">
        <f>(Table2[[#This Row],[Fecha]]+2)</f>
        <v>45614.770833333423</v>
      </c>
      <c r="G40" s="52">
        <f>Table2[[#This Row],[Hora]]</f>
        <v>0.77083333333333359</v>
      </c>
      <c r="H40" s="53">
        <f>VLOOKUP(Table1[[#This Row],[Fecha]],TBL_CalcDarwin[],42,1)</f>
        <v>90.908000000000001</v>
      </c>
      <c r="I40" s="53">
        <f>VLOOKUP(Table1[[#This Row],[Fecha]],TBL_CalcDarwin[],43,1)</f>
        <v>92.528000000000006</v>
      </c>
      <c r="J40" s="73">
        <f>VLOOKUP(Table1[[#This Row],[Fecha]],TBL_CalcDarwin[],40,1)</f>
        <v>23</v>
      </c>
      <c r="K40" s="73">
        <f>VLOOKUP(Table1[[#This Row],[Fecha]],TBL_CalcDarwin[],41,1)</f>
        <v>20</v>
      </c>
      <c r="L40" s="53">
        <f>Table1[[#This Row],[MW Proyectada (Barra A)]]+Table1[[#This Row],[MW Proyectada (Barra B)]]</f>
        <v>183.43600000000001</v>
      </c>
      <c r="N40" s="53">
        <f>IF(Table1[[#This Row],[TOTAL MW]]&lt;($P$1-Table18[[#This Row],[TOTAL MW]]),Table1[[#This Row],[MW Proyectada (Barra A)]],Table1[[#This Row],[MW Proyectada (Barra A)]]*($P$1-Table18[[#This Row],[TOTAL MW]])/Table1[[#This Row],[TOTAL MW]])</f>
        <v>78.853903290520947</v>
      </c>
      <c r="O40" s="53">
        <f>IF(Table1[[#This Row],[TOTAL MW]]&lt;($P$1-Table18[[#This Row],[TOTAL MW]]),Table1[[#This Row],[MW Proyectada (Barra B)]],Table1[[#This Row],[MW Proyectada (Barra B)]]*($P$1-Table18[[#This Row],[TOTAL MW]])/Table1[[#This Row],[TOTAL MW]])</f>
        <v>80.259096709479053</v>
      </c>
      <c r="P40" s="53">
        <f t="shared" si="0"/>
        <v>159.113</v>
      </c>
    </row>
    <row r="41" spans="1:16" x14ac:dyDescent="0.25">
      <c r="A41" s="106">
        <f t="shared" si="1"/>
        <v>45612.791666666759</v>
      </c>
      <c r="B41" s="51">
        <f t="shared" si="2"/>
        <v>0.79166666666666696</v>
      </c>
      <c r="C41" s="1">
        <f>'Plantilla Datos'!K47</f>
        <v>7.2</v>
      </c>
      <c r="F41" s="107">
        <f>(Table2[[#This Row],[Fecha]]+2)</f>
        <v>45614.791666666759</v>
      </c>
      <c r="G41" s="52">
        <f>Table2[[#This Row],[Hora]]</f>
        <v>0.79166666666666696</v>
      </c>
      <c r="H41" s="53">
        <f>VLOOKUP(Table1[[#This Row],[Fecha]],TBL_CalcDarwin[],42,1)</f>
        <v>98.295999999999992</v>
      </c>
      <c r="I41" s="53">
        <f>VLOOKUP(Table1[[#This Row],[Fecha]],TBL_CalcDarwin[],43,1)</f>
        <v>96.643000000000001</v>
      </c>
      <c r="J41" s="73">
        <f>VLOOKUP(Table1[[#This Row],[Fecha]],TBL_CalcDarwin[],40,1)</f>
        <v>23</v>
      </c>
      <c r="K41" s="73">
        <f>VLOOKUP(Table1[[#This Row],[Fecha]],TBL_CalcDarwin[],41,1)</f>
        <v>20</v>
      </c>
      <c r="L41" s="53">
        <f>Table1[[#This Row],[MW Proyectada (Barra A)]]+Table1[[#This Row],[MW Proyectada (Barra B)]]</f>
        <v>194.93899999999999</v>
      </c>
      <c r="N41" s="53">
        <f>IF(Table1[[#This Row],[TOTAL MW]]&lt;($P$1-Table18[[#This Row],[TOTAL MW]]),Table1[[#This Row],[MW Proyectada (Barra A)]],Table1[[#This Row],[MW Proyectada (Barra A)]]*($P$1-Table18[[#This Row],[TOTAL MW]])/Table1[[#This Row],[TOTAL MW]])</f>
        <v>78.825789072479083</v>
      </c>
      <c r="O41" s="53">
        <f>IF(Table1[[#This Row],[TOTAL MW]]&lt;($P$1-Table18[[#This Row],[TOTAL MW]]),Table1[[#This Row],[MW Proyectada (Barra B)]],Table1[[#This Row],[MW Proyectada (Barra B)]]*($P$1-Table18[[#This Row],[TOTAL MW]])/Table1[[#This Row],[TOTAL MW]])</f>
        <v>77.500210927520925</v>
      </c>
      <c r="P41" s="53">
        <f t="shared" si="0"/>
        <v>156.32600000000002</v>
      </c>
    </row>
    <row r="42" spans="1:16" x14ac:dyDescent="0.25">
      <c r="A42" s="106">
        <f t="shared" si="1"/>
        <v>45612.812500000095</v>
      </c>
      <c r="B42" s="51">
        <f t="shared" si="2"/>
        <v>0.81250000000000033</v>
      </c>
      <c r="C42" s="1">
        <f>'Plantilla Datos'!K48</f>
        <v>6.1</v>
      </c>
      <c r="F42" s="107">
        <f>(Table2[[#This Row],[Fecha]]+2)</f>
        <v>45614.812500000095</v>
      </c>
      <c r="G42" s="52">
        <f>Table2[[#This Row],[Hora]]</f>
        <v>0.81250000000000033</v>
      </c>
      <c r="H42" s="53">
        <f>VLOOKUP(Table1[[#This Row],[Fecha]],TBL_CalcDarwin[],42,1)</f>
        <v>98.295999999999992</v>
      </c>
      <c r="I42" s="53">
        <f>VLOOKUP(Table1[[#This Row],[Fecha]],TBL_CalcDarwin[],43,1)</f>
        <v>96.643000000000001</v>
      </c>
      <c r="J42" s="73">
        <f>VLOOKUP(Table1[[#This Row],[Fecha]],TBL_CalcDarwin[],40,1)</f>
        <v>23</v>
      </c>
      <c r="K42" s="73">
        <f>VLOOKUP(Table1[[#This Row],[Fecha]],TBL_CalcDarwin[],41,1)</f>
        <v>20</v>
      </c>
      <c r="L42" s="53">
        <f>Table1[[#This Row],[MW Proyectada (Barra A)]]+Table1[[#This Row],[MW Proyectada (Barra B)]]</f>
        <v>194.93899999999999</v>
      </c>
      <c r="N42" s="53">
        <f>IF(Table1[[#This Row],[TOTAL MW]]&lt;($P$1-Table18[[#This Row],[TOTAL MW]]),Table1[[#This Row],[MW Proyectada (Barra A)]],Table1[[#This Row],[MW Proyectada (Barra A)]]*($P$1-Table18[[#This Row],[TOTAL MW]])/Table1[[#This Row],[TOTAL MW]])</f>
        <v>78.825789072479083</v>
      </c>
      <c r="O42" s="53">
        <f>IF(Table1[[#This Row],[TOTAL MW]]&lt;($P$1-Table18[[#This Row],[TOTAL MW]]),Table1[[#This Row],[MW Proyectada (Barra B)]],Table1[[#This Row],[MW Proyectada (Barra B)]]*($P$1-Table18[[#This Row],[TOTAL MW]])/Table1[[#This Row],[TOTAL MW]])</f>
        <v>77.500210927520925</v>
      </c>
      <c r="P42" s="53">
        <f t="shared" si="0"/>
        <v>156.32600000000002</v>
      </c>
    </row>
    <row r="43" spans="1:16" x14ac:dyDescent="0.25">
      <c r="A43" s="106">
        <f t="shared" si="1"/>
        <v>45612.83333333343</v>
      </c>
      <c r="B43" s="51">
        <f t="shared" si="2"/>
        <v>0.8333333333333337</v>
      </c>
      <c r="C43" s="1">
        <f>'Plantilla Datos'!K49</f>
        <v>7.1</v>
      </c>
      <c r="F43" s="107">
        <f>(Table2[[#This Row],[Fecha]]+2)</f>
        <v>45614.83333333343</v>
      </c>
      <c r="G43" s="52">
        <f>Table2[[#This Row],[Hora]]</f>
        <v>0.8333333333333337</v>
      </c>
      <c r="H43" s="53">
        <f>VLOOKUP(Table1[[#This Row],[Fecha]],TBL_CalcDarwin[],42,1)</f>
        <v>90.908000000000001</v>
      </c>
      <c r="I43" s="53">
        <f>VLOOKUP(Table1[[#This Row],[Fecha]],TBL_CalcDarwin[],43,1)</f>
        <v>92.528000000000006</v>
      </c>
      <c r="J43" s="73">
        <f>VLOOKUP(Table1[[#This Row],[Fecha]],TBL_CalcDarwin[],40,1)</f>
        <v>23</v>
      </c>
      <c r="K43" s="73">
        <f>VLOOKUP(Table1[[#This Row],[Fecha]],TBL_CalcDarwin[],41,1)</f>
        <v>20</v>
      </c>
      <c r="L43" s="53">
        <f>Table1[[#This Row],[MW Proyectada (Barra A)]]+Table1[[#This Row],[MW Proyectada (Barra B)]]</f>
        <v>183.43600000000001</v>
      </c>
      <c r="N43" s="53">
        <f>IF(Table1[[#This Row],[TOTAL MW]]&lt;($P$1-Table18[[#This Row],[TOTAL MW]]),Table1[[#This Row],[MW Proyectada (Barra A)]],Table1[[#This Row],[MW Proyectada (Barra A)]]*($P$1-Table18[[#This Row],[TOTAL MW]])/Table1[[#This Row],[TOTAL MW]])</f>
        <v>78.853903290520947</v>
      </c>
      <c r="O43" s="53">
        <f>IF(Table1[[#This Row],[TOTAL MW]]&lt;($P$1-Table18[[#This Row],[TOTAL MW]]),Table1[[#This Row],[MW Proyectada (Barra B)]],Table1[[#This Row],[MW Proyectada (Barra B)]]*($P$1-Table18[[#This Row],[TOTAL MW]])/Table1[[#This Row],[TOTAL MW]])</f>
        <v>80.259096709479053</v>
      </c>
      <c r="P43" s="53">
        <f t="shared" si="0"/>
        <v>159.113</v>
      </c>
    </row>
    <row r="44" spans="1:16" x14ac:dyDescent="0.25">
      <c r="A44" s="106">
        <f t="shared" si="1"/>
        <v>45612.854166666766</v>
      </c>
      <c r="B44" s="51">
        <f t="shared" si="2"/>
        <v>0.85416666666666707</v>
      </c>
      <c r="C44" s="1">
        <f>'Plantilla Datos'!K50</f>
        <v>7.2</v>
      </c>
      <c r="F44" s="107">
        <f>(Table2[[#This Row],[Fecha]]+2)</f>
        <v>45614.854166666766</v>
      </c>
      <c r="G44" s="52">
        <f>Table2[[#This Row],[Hora]]</f>
        <v>0.85416666666666707</v>
      </c>
      <c r="H44" s="53">
        <f>VLOOKUP(Table1[[#This Row],[Fecha]],TBL_CalcDarwin[],42,1)</f>
        <v>90.908000000000001</v>
      </c>
      <c r="I44" s="53">
        <f>VLOOKUP(Table1[[#This Row],[Fecha]],TBL_CalcDarwin[],43,1)</f>
        <v>92.528000000000006</v>
      </c>
      <c r="J44" s="73">
        <f>VLOOKUP(Table1[[#This Row],[Fecha]],TBL_CalcDarwin[],40,1)</f>
        <v>23</v>
      </c>
      <c r="K44" s="73">
        <f>VLOOKUP(Table1[[#This Row],[Fecha]],TBL_CalcDarwin[],41,1)</f>
        <v>20</v>
      </c>
      <c r="L44" s="53">
        <f>Table1[[#This Row],[MW Proyectada (Barra A)]]+Table1[[#This Row],[MW Proyectada (Barra B)]]</f>
        <v>183.43600000000001</v>
      </c>
      <c r="N44" s="53">
        <f>IF(Table1[[#This Row],[TOTAL MW]]&lt;($P$1-Table18[[#This Row],[TOTAL MW]]),Table1[[#This Row],[MW Proyectada (Barra A)]],Table1[[#This Row],[MW Proyectada (Barra A)]]*($P$1-Table18[[#This Row],[TOTAL MW]])/Table1[[#This Row],[TOTAL MW]])</f>
        <v>78.853903290520947</v>
      </c>
      <c r="O44" s="53">
        <f>IF(Table1[[#This Row],[TOTAL MW]]&lt;($P$1-Table18[[#This Row],[TOTAL MW]]),Table1[[#This Row],[MW Proyectada (Barra B)]],Table1[[#This Row],[MW Proyectada (Barra B)]]*($P$1-Table18[[#This Row],[TOTAL MW]])/Table1[[#This Row],[TOTAL MW]])</f>
        <v>80.259096709479053</v>
      </c>
      <c r="P44" s="53">
        <f t="shared" si="0"/>
        <v>159.113</v>
      </c>
    </row>
    <row r="45" spans="1:16" x14ac:dyDescent="0.25">
      <c r="A45" s="106">
        <f t="shared" si="1"/>
        <v>45612.875000000102</v>
      </c>
      <c r="B45" s="51">
        <f t="shared" si="2"/>
        <v>0.87500000000000044</v>
      </c>
      <c r="C45" s="1">
        <f>'Plantilla Datos'!K51</f>
        <v>7.8</v>
      </c>
      <c r="F45" s="107">
        <f>(Table2[[#This Row],[Fecha]]+2)</f>
        <v>45614.875000000102</v>
      </c>
      <c r="G45" s="52">
        <f>Table2[[#This Row],[Hora]]</f>
        <v>0.87500000000000044</v>
      </c>
      <c r="H45" s="53">
        <f>VLOOKUP(Table1[[#This Row],[Fecha]],TBL_CalcDarwin[],42,1)</f>
        <v>90.908000000000001</v>
      </c>
      <c r="I45" s="53">
        <f>VLOOKUP(Table1[[#This Row],[Fecha]],TBL_CalcDarwin[],43,1)</f>
        <v>92.528000000000006</v>
      </c>
      <c r="J45" s="73">
        <f>VLOOKUP(Table1[[#This Row],[Fecha]],TBL_CalcDarwin[],40,1)</f>
        <v>23</v>
      </c>
      <c r="K45" s="73">
        <f>VLOOKUP(Table1[[#This Row],[Fecha]],TBL_CalcDarwin[],41,1)</f>
        <v>20</v>
      </c>
      <c r="L45" s="53">
        <f>Table1[[#This Row],[MW Proyectada (Barra A)]]+Table1[[#This Row],[MW Proyectada (Barra B)]]</f>
        <v>183.43600000000001</v>
      </c>
      <c r="N45" s="53">
        <f>IF(Table1[[#This Row],[TOTAL MW]]&lt;($P$1-Table18[[#This Row],[TOTAL MW]]),Table1[[#This Row],[MW Proyectada (Barra A)]],Table1[[#This Row],[MW Proyectada (Barra A)]]*($P$1-Table18[[#This Row],[TOTAL MW]])/Table1[[#This Row],[TOTAL MW]])</f>
        <v>78.853903290520947</v>
      </c>
      <c r="O45" s="53">
        <f>IF(Table1[[#This Row],[TOTAL MW]]&lt;($P$1-Table18[[#This Row],[TOTAL MW]]),Table1[[#This Row],[MW Proyectada (Barra B)]],Table1[[#This Row],[MW Proyectada (Barra B)]]*($P$1-Table18[[#This Row],[TOTAL MW]])/Table1[[#This Row],[TOTAL MW]])</f>
        <v>80.259096709479053</v>
      </c>
      <c r="P45" s="53">
        <f t="shared" si="0"/>
        <v>159.113</v>
      </c>
    </row>
    <row r="46" spans="1:16" x14ac:dyDescent="0.25">
      <c r="A46" s="106">
        <f t="shared" si="1"/>
        <v>45612.895833333438</v>
      </c>
      <c r="B46" s="51">
        <f t="shared" si="2"/>
        <v>0.89583333333333381</v>
      </c>
      <c r="C46" s="1">
        <f>'Plantilla Datos'!K52</f>
        <v>8.6</v>
      </c>
      <c r="F46" s="107">
        <f>(Table2[[#This Row],[Fecha]]+2)</f>
        <v>45614.895833333438</v>
      </c>
      <c r="G46" s="52">
        <f>Table2[[#This Row],[Hora]]</f>
        <v>0.89583333333333381</v>
      </c>
      <c r="H46" s="53">
        <f>VLOOKUP(Table1[[#This Row],[Fecha]],TBL_CalcDarwin[],42,1)</f>
        <v>90.908000000000001</v>
      </c>
      <c r="I46" s="53">
        <f>VLOOKUP(Table1[[#This Row],[Fecha]],TBL_CalcDarwin[],43,1)</f>
        <v>92.528000000000006</v>
      </c>
      <c r="J46" s="73">
        <f>VLOOKUP(Table1[[#This Row],[Fecha]],TBL_CalcDarwin[],40,1)</f>
        <v>23</v>
      </c>
      <c r="K46" s="73">
        <f>VLOOKUP(Table1[[#This Row],[Fecha]],TBL_CalcDarwin[],41,1)</f>
        <v>20</v>
      </c>
      <c r="L46" s="53">
        <f>Table1[[#This Row],[MW Proyectada (Barra A)]]+Table1[[#This Row],[MW Proyectada (Barra B)]]</f>
        <v>183.43600000000001</v>
      </c>
      <c r="N46" s="53">
        <f>IF(Table1[[#This Row],[TOTAL MW]]&lt;($P$1-Table18[[#This Row],[TOTAL MW]]),Table1[[#This Row],[MW Proyectada (Barra A)]],Table1[[#This Row],[MW Proyectada (Barra A)]]*($P$1-Table18[[#This Row],[TOTAL MW]])/Table1[[#This Row],[TOTAL MW]])</f>
        <v>78.853903290520947</v>
      </c>
      <c r="O46" s="53">
        <f>IF(Table1[[#This Row],[TOTAL MW]]&lt;($P$1-Table18[[#This Row],[TOTAL MW]]),Table1[[#This Row],[MW Proyectada (Barra B)]],Table1[[#This Row],[MW Proyectada (Barra B)]]*($P$1-Table18[[#This Row],[TOTAL MW]])/Table1[[#This Row],[TOTAL MW]])</f>
        <v>80.259096709479053</v>
      </c>
      <c r="P46" s="53">
        <f t="shared" si="0"/>
        <v>159.113</v>
      </c>
    </row>
    <row r="47" spans="1:16" x14ac:dyDescent="0.25">
      <c r="A47" s="106">
        <f t="shared" si="1"/>
        <v>45612.916666666773</v>
      </c>
      <c r="B47" s="51">
        <f t="shared" si="2"/>
        <v>0.91666666666666718</v>
      </c>
      <c r="C47" s="1">
        <f>'Plantilla Datos'!K53</f>
        <v>8.5</v>
      </c>
      <c r="F47" s="107">
        <f>(Table2[[#This Row],[Fecha]]+2)</f>
        <v>45614.916666666773</v>
      </c>
      <c r="G47" s="52">
        <f>Table2[[#This Row],[Hora]]</f>
        <v>0.91666666666666718</v>
      </c>
      <c r="H47" s="53">
        <f>VLOOKUP(Table1[[#This Row],[Fecha]],TBL_CalcDarwin[],42,1)</f>
        <v>82.06</v>
      </c>
      <c r="I47" s="53">
        <f>VLOOKUP(Table1[[#This Row],[Fecha]],TBL_CalcDarwin[],43,1)</f>
        <v>86.206999999999994</v>
      </c>
      <c r="J47" s="73">
        <f>VLOOKUP(Table1[[#This Row],[Fecha]],TBL_CalcDarwin[],40,1)</f>
        <v>23</v>
      </c>
      <c r="K47" s="73">
        <f>VLOOKUP(Table1[[#This Row],[Fecha]],TBL_CalcDarwin[],41,1)</f>
        <v>20</v>
      </c>
      <c r="L47" s="53">
        <f>Table1[[#This Row],[MW Proyectada (Barra A)]]+Table1[[#This Row],[MW Proyectada (Barra B)]]</f>
        <v>168.267</v>
      </c>
      <c r="N47" s="53">
        <f>IF(Table1[[#This Row],[TOTAL MW]]&lt;($P$1-Table18[[#This Row],[TOTAL MW]]),Table1[[#This Row],[MW Proyectada (Barra A)]],Table1[[#This Row],[MW Proyectada (Barra A)]]*($P$1-Table18[[#This Row],[TOTAL MW]])/Table1[[#This Row],[TOTAL MW]])</f>
        <v>78.878880826305817</v>
      </c>
      <c r="O47" s="53">
        <f>IF(Table1[[#This Row],[TOTAL MW]]&lt;($P$1-Table18[[#This Row],[TOTAL MW]]),Table1[[#This Row],[MW Proyectada (Barra B)]],Table1[[#This Row],[MW Proyectada (Barra B)]]*($P$1-Table18[[#This Row],[TOTAL MW]])/Table1[[#This Row],[TOTAL MW]])</f>
        <v>82.865119173694183</v>
      </c>
      <c r="P47" s="53">
        <f t="shared" si="0"/>
        <v>161.744</v>
      </c>
    </row>
    <row r="48" spans="1:16" x14ac:dyDescent="0.25">
      <c r="A48" s="106">
        <f t="shared" si="1"/>
        <v>45612.937500000109</v>
      </c>
      <c r="B48" s="51">
        <f t="shared" si="2"/>
        <v>0.93750000000000056</v>
      </c>
      <c r="C48" s="1">
        <f>'Plantilla Datos'!K54</f>
        <v>7.3</v>
      </c>
      <c r="F48" s="107">
        <f>(Table2[[#This Row],[Fecha]]+2)</f>
        <v>45614.937500000109</v>
      </c>
      <c r="G48" s="52">
        <f>Table2[[#This Row],[Hora]]</f>
        <v>0.93750000000000056</v>
      </c>
      <c r="H48" s="53">
        <f>VLOOKUP(Table1[[#This Row],[Fecha]],TBL_CalcDarwin[],42,1)</f>
        <v>82.06</v>
      </c>
      <c r="I48" s="53">
        <f>VLOOKUP(Table1[[#This Row],[Fecha]],TBL_CalcDarwin[],43,1)</f>
        <v>86.206999999999994</v>
      </c>
      <c r="J48" s="73">
        <f>VLOOKUP(Table1[[#This Row],[Fecha]],TBL_CalcDarwin[],40,1)</f>
        <v>23</v>
      </c>
      <c r="K48" s="73">
        <f>VLOOKUP(Table1[[#This Row],[Fecha]],TBL_CalcDarwin[],41,1)</f>
        <v>20</v>
      </c>
      <c r="L48" s="53">
        <f>Table1[[#This Row],[MW Proyectada (Barra A)]]+Table1[[#This Row],[MW Proyectada (Barra B)]]</f>
        <v>168.267</v>
      </c>
      <c r="N48" s="53">
        <f>IF(Table1[[#This Row],[TOTAL MW]]&lt;($P$1-Table18[[#This Row],[TOTAL MW]]),Table1[[#This Row],[MW Proyectada (Barra A)]],Table1[[#This Row],[MW Proyectada (Barra A)]]*($P$1-Table18[[#This Row],[TOTAL MW]])/Table1[[#This Row],[TOTAL MW]])</f>
        <v>78.878880826305817</v>
      </c>
      <c r="O48" s="53">
        <f>IF(Table1[[#This Row],[TOTAL MW]]&lt;($P$1-Table18[[#This Row],[TOTAL MW]]),Table1[[#This Row],[MW Proyectada (Barra B)]],Table1[[#This Row],[MW Proyectada (Barra B)]]*($P$1-Table18[[#This Row],[TOTAL MW]])/Table1[[#This Row],[TOTAL MW]])</f>
        <v>82.865119173694183</v>
      </c>
      <c r="P48" s="53">
        <f t="shared" si="0"/>
        <v>161.744</v>
      </c>
    </row>
    <row r="49" spans="1:16" x14ac:dyDescent="0.25">
      <c r="A49" s="106">
        <f t="shared" si="1"/>
        <v>45612.958333333445</v>
      </c>
      <c r="B49" s="51">
        <f t="shared" si="2"/>
        <v>0.95833333333333393</v>
      </c>
      <c r="C49" s="1">
        <f>'Plantilla Datos'!K55</f>
        <v>8.9</v>
      </c>
      <c r="F49" s="107">
        <f>(Table2[[#This Row],[Fecha]]+2)</f>
        <v>45614.958333333445</v>
      </c>
      <c r="G49" s="52">
        <f>Table2[[#This Row],[Hora]]</f>
        <v>0.95833333333333393</v>
      </c>
      <c r="H49" s="53">
        <f>VLOOKUP(Table1[[#This Row],[Fecha]],TBL_CalcDarwin[],42,1)</f>
        <v>68.147999999999996</v>
      </c>
      <c r="I49" s="53">
        <f>VLOOKUP(Table1[[#This Row],[Fecha]],TBL_CalcDarwin[],43,1)</f>
        <v>71.525000000000006</v>
      </c>
      <c r="J49" s="73">
        <f>VLOOKUP(Table1[[#This Row],[Fecha]],TBL_CalcDarwin[],40,1)</f>
        <v>23</v>
      </c>
      <c r="K49" s="73">
        <f>VLOOKUP(Table1[[#This Row],[Fecha]],TBL_CalcDarwin[],41,1)</f>
        <v>20</v>
      </c>
      <c r="L49" s="53">
        <f>Table1[[#This Row],[MW Proyectada (Barra A)]]+Table1[[#This Row],[MW Proyectada (Barra B)]]</f>
        <v>139.673</v>
      </c>
      <c r="N49" s="53">
        <f>IF(Table1[[#This Row],[TOTAL MW]]&lt;($P$1-Table18[[#This Row],[TOTAL MW]]),Table1[[#This Row],[MW Proyectada (Barra A)]],Table1[[#This Row],[MW Proyectada (Barra A)]]*($P$1-Table18[[#This Row],[TOTAL MW]])/Table1[[#This Row],[TOTAL MW]])</f>
        <v>68.147999999999996</v>
      </c>
      <c r="O49" s="53">
        <f>IF(Table1[[#This Row],[TOTAL MW]]&lt;($P$1-Table18[[#This Row],[TOTAL MW]]),Table1[[#This Row],[MW Proyectada (Barra B)]],Table1[[#This Row],[MW Proyectada (Barra B)]]*($P$1-Table18[[#This Row],[TOTAL MW]])/Table1[[#This Row],[TOTAL MW]])</f>
        <v>71.525000000000006</v>
      </c>
      <c r="P49" s="53">
        <f t="shared" si="0"/>
        <v>139.673</v>
      </c>
    </row>
    <row r="50" spans="1:16" x14ac:dyDescent="0.25">
      <c r="A50" s="106">
        <f t="shared" si="1"/>
        <v>45612.979166666781</v>
      </c>
      <c r="B50" s="51">
        <f t="shared" si="2"/>
        <v>0.9791666666666673</v>
      </c>
      <c r="C50" s="1">
        <f>'Plantilla Datos'!K56</f>
        <v>7.9</v>
      </c>
      <c r="F50" s="107">
        <f>(Table2[[#This Row],[Fecha]]+2)</f>
        <v>45614.979166666781</v>
      </c>
      <c r="G50" s="52">
        <f>Table2[[#This Row],[Hora]]</f>
        <v>0.9791666666666673</v>
      </c>
      <c r="H50" s="53">
        <f>VLOOKUP(Table1[[#This Row],[Fecha]],TBL_CalcDarwin[],42,1)</f>
        <v>68.147999999999996</v>
      </c>
      <c r="I50" s="53">
        <f>VLOOKUP(Table1[[#This Row],[Fecha]],TBL_CalcDarwin[],43,1)</f>
        <v>71.525000000000006</v>
      </c>
      <c r="J50" s="73">
        <f>VLOOKUP(Table1[[#This Row],[Fecha]],TBL_CalcDarwin[],40,1)</f>
        <v>23</v>
      </c>
      <c r="K50" s="73">
        <f>VLOOKUP(Table1[[#This Row],[Fecha]],TBL_CalcDarwin[],41,1)</f>
        <v>20</v>
      </c>
      <c r="L50" s="53">
        <f>Table1[[#This Row],[MW Proyectada (Barra A)]]+Table1[[#This Row],[MW Proyectada (Barra B)]]</f>
        <v>139.673</v>
      </c>
      <c r="N50" s="53">
        <f>IF(Table1[[#This Row],[TOTAL MW]]&lt;($P$1-Table18[[#This Row],[TOTAL MW]]),Table1[[#This Row],[MW Proyectada (Barra A)]],Table1[[#This Row],[MW Proyectada (Barra A)]]*($P$1-Table18[[#This Row],[TOTAL MW]])/Table1[[#This Row],[TOTAL MW]])</f>
        <v>68.147999999999996</v>
      </c>
      <c r="O50" s="53">
        <f>IF(Table1[[#This Row],[TOTAL MW]]&lt;($P$1-Table18[[#This Row],[TOTAL MW]]),Table1[[#This Row],[MW Proyectada (Barra B)]],Table1[[#This Row],[MW Proyectada (Barra B)]]*($P$1-Table18[[#This Row],[TOTAL MW]])/Table1[[#This Row],[TOTAL MW]])</f>
        <v>71.525000000000006</v>
      </c>
      <c r="P50" s="53">
        <f t="shared" si="0"/>
        <v>139.673</v>
      </c>
    </row>
  </sheetData>
  <mergeCells count="2">
    <mergeCell ref="F1:L1"/>
    <mergeCell ref="A1:C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3080B-D6B0-4C12-BABF-A0E25E7CC2DD}">
  <sheetPr codeName="Sheet8">
    <tabColor rgb="FF92D050"/>
  </sheetPr>
  <dimension ref="A1:L50"/>
  <sheetViews>
    <sheetView topLeftCell="C8" zoomScale="80" zoomScaleNormal="80" workbookViewId="0">
      <selection activeCell="M40" sqref="M40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139" t="str">
        <f>"DATA DE VIENTO EJECUTADO CE PUNTA LOMITAS EXPANSIÓN "&amp;UPPER(TEXT(A3,"DDDD dd mmmm"))</f>
        <v>DATA DE VIENTO EJECUTADO CE PUNTA LOMITAS EXPANSIÓN SATURDAY 16 NOVEMBER</v>
      </c>
      <c r="B1" s="139"/>
      <c r="C1" s="139"/>
      <c r="F1" s="139" t="str">
        <f>"GENERACIÓN PROYECTADA CE PUNTA LOMITAS EXPANSIÓN, POR BARRA Y # AEG E/S "&amp;UPPER(TEXT(F3,"DDDD dd mmmm"))</f>
        <v>GENERACIÓN PROYECTADA CE PUNTA LOMITAS EXPANSIÓN, POR BARRA Y # AEG E/S MONDAY 18 NOVEMBER</v>
      </c>
      <c r="G1" s="139"/>
      <c r="H1" s="139"/>
      <c r="I1" s="139"/>
      <c r="J1" s="139"/>
      <c r="K1" s="139"/>
      <c r="L1" s="139"/>
    </row>
    <row r="2" spans="1:12" ht="59.25" customHeight="1" x14ac:dyDescent="0.25">
      <c r="A2" s="15" t="s">
        <v>0</v>
      </c>
      <c r="B2" s="15" t="s">
        <v>1</v>
      </c>
      <c r="C2" s="15" t="s">
        <v>174</v>
      </c>
      <c r="F2" s="15" t="s">
        <v>0</v>
      </c>
      <c r="G2" s="15" t="s">
        <v>1</v>
      </c>
      <c r="H2" s="13" t="s">
        <v>175</v>
      </c>
      <c r="I2" s="13" t="s">
        <v>176</v>
      </c>
      <c r="J2" s="13" t="s">
        <v>177</v>
      </c>
      <c r="K2" s="13" t="s">
        <v>178</v>
      </c>
      <c r="L2" s="15" t="s">
        <v>179</v>
      </c>
    </row>
    <row r="3" spans="1:12" x14ac:dyDescent="0.25">
      <c r="A3" s="106">
        <f>ROUND('Plantilla Datos'!E3,5)</f>
        <v>45612</v>
      </c>
      <c r="B3" s="51">
        <v>0</v>
      </c>
      <c r="C3" s="1">
        <f>'Plantilla Datos'!K9</f>
        <v>9.1</v>
      </c>
      <c r="F3" s="107">
        <f>(Table29[[#This Row],[Fecha]]+2)</f>
        <v>45614</v>
      </c>
      <c r="G3" s="52">
        <f>Table29[[#This Row],[Hora]]</f>
        <v>0</v>
      </c>
      <c r="H3" s="53">
        <f>VLOOKUP(Table18[[#This Row],[Fecha]],TBL_CalcDarwin[],46,1)</f>
        <v>4.9409999999999998</v>
      </c>
      <c r="I3" s="53">
        <f>VLOOKUP(Table18[[#This Row],[Fecha]],TBL_CalcDarwin[],47,1)</f>
        <v>3.798</v>
      </c>
      <c r="J3" s="73">
        <f>VLOOKUP(Table18[[#This Row],[Fecha]],TBL_CalcDarwin[],44,1)</f>
        <v>3</v>
      </c>
      <c r="K3" s="73">
        <f>VLOOKUP(Table18[[#This Row],[Fecha]],TBL_CalcDarwin[],45,1)</f>
        <v>3</v>
      </c>
      <c r="L3" s="53">
        <f>Table18[[#This Row],[MW Proyectada (Barra A)]]+Table18[[#This Row],[MW Proyectada (Barra B)]]</f>
        <v>8.7390000000000008</v>
      </c>
    </row>
    <row r="4" spans="1:12" x14ac:dyDescent="0.25">
      <c r="A4" s="106">
        <f>A3+TIME(0,30,0)</f>
        <v>45612.020833333336</v>
      </c>
      <c r="B4" s="51">
        <f>B3+TIME(0,30,0)</f>
        <v>2.0833333333333332E-2</v>
      </c>
      <c r="C4" s="1">
        <f>'Plantilla Datos'!K10</f>
        <v>6.2</v>
      </c>
      <c r="F4" s="107">
        <f>(Table29[[#This Row],[Fecha]]+2)</f>
        <v>45614.020833333336</v>
      </c>
      <c r="G4" s="52">
        <f>Table29[[#This Row],[Hora]]</f>
        <v>2.0833333333333332E-2</v>
      </c>
      <c r="H4" s="53">
        <f>VLOOKUP(Table18[[#This Row],[Fecha]],TBL_CalcDarwin[],46,1)</f>
        <v>4.9409999999999998</v>
      </c>
      <c r="I4" s="53">
        <f>VLOOKUP(Table18[[#This Row],[Fecha]],TBL_CalcDarwin[],47,1)</f>
        <v>3.798</v>
      </c>
      <c r="J4" s="73">
        <f>VLOOKUP(Table18[[#This Row],[Fecha]],TBL_CalcDarwin[],44,1)</f>
        <v>3</v>
      </c>
      <c r="K4" s="73">
        <f>VLOOKUP(Table18[[#This Row],[Fecha]],TBL_CalcDarwin[],45,1)</f>
        <v>3</v>
      </c>
      <c r="L4" s="53">
        <f>Table18[[#This Row],[MW Proyectada (Barra A)]]+Table18[[#This Row],[MW Proyectada (Barra B)]]</f>
        <v>8.7390000000000008</v>
      </c>
    </row>
    <row r="5" spans="1:12" x14ac:dyDescent="0.25">
      <c r="A5" s="106">
        <f t="shared" ref="A5:B20" si="0">A4+TIME(0,30,0)</f>
        <v>45612.041666666672</v>
      </c>
      <c r="B5" s="51">
        <f t="shared" si="0"/>
        <v>4.1666666666666664E-2</v>
      </c>
      <c r="C5" s="1">
        <f>'Plantilla Datos'!K11</f>
        <v>8.6999999999999993</v>
      </c>
      <c r="F5" s="107">
        <f>(Table29[[#This Row],[Fecha]]+2)</f>
        <v>45614.041666666672</v>
      </c>
      <c r="G5" s="52">
        <f>Table29[[#This Row],[Hora]]</f>
        <v>4.1666666666666664E-2</v>
      </c>
      <c r="H5" s="53">
        <f>VLOOKUP(Table18[[#This Row],[Fecha]],TBL_CalcDarwin[],46,1)</f>
        <v>3.5629999999999997</v>
      </c>
      <c r="I5" s="53">
        <f>VLOOKUP(Table18[[#This Row],[Fecha]],TBL_CalcDarwin[],47,1)</f>
        <v>2.9489999999999998</v>
      </c>
      <c r="J5" s="73">
        <f>VLOOKUP(Table18[[#This Row],[Fecha]],TBL_CalcDarwin[],44,1)</f>
        <v>3</v>
      </c>
      <c r="K5" s="73">
        <f>VLOOKUP(Table18[[#This Row],[Fecha]],TBL_CalcDarwin[],45,1)</f>
        <v>3</v>
      </c>
      <c r="L5" s="53">
        <f>Table18[[#This Row],[MW Proyectada (Barra A)]]+Table18[[#This Row],[MW Proyectada (Barra B)]]</f>
        <v>6.5119999999999996</v>
      </c>
    </row>
    <row r="6" spans="1:12" x14ac:dyDescent="0.25">
      <c r="A6" s="106">
        <f t="shared" si="0"/>
        <v>45612.062500000007</v>
      </c>
      <c r="B6" s="51">
        <f t="shared" si="0"/>
        <v>6.25E-2</v>
      </c>
      <c r="C6" s="1">
        <f>'Plantilla Datos'!K12</f>
        <v>7.9</v>
      </c>
      <c r="F6" s="107">
        <f>(Table29[[#This Row],[Fecha]]+2)</f>
        <v>45614.062500000007</v>
      </c>
      <c r="G6" s="52">
        <f>Table29[[#This Row],[Hora]]</f>
        <v>6.25E-2</v>
      </c>
      <c r="H6" s="53">
        <f>VLOOKUP(Table18[[#This Row],[Fecha]],TBL_CalcDarwin[],46,1)</f>
        <v>3.5629999999999997</v>
      </c>
      <c r="I6" s="53">
        <f>VLOOKUP(Table18[[#This Row],[Fecha]],TBL_CalcDarwin[],47,1)</f>
        <v>2.9489999999999998</v>
      </c>
      <c r="J6" s="73">
        <f>VLOOKUP(Table18[[#This Row],[Fecha]],TBL_CalcDarwin[],44,1)</f>
        <v>3</v>
      </c>
      <c r="K6" s="73">
        <f>VLOOKUP(Table18[[#This Row],[Fecha]],TBL_CalcDarwin[],45,1)</f>
        <v>3</v>
      </c>
      <c r="L6" s="53">
        <f>Table18[[#This Row],[MW Proyectada (Barra A)]]+Table18[[#This Row],[MW Proyectada (Barra B)]]</f>
        <v>6.5119999999999996</v>
      </c>
    </row>
    <row r="7" spans="1:12" x14ac:dyDescent="0.25">
      <c r="A7" s="106">
        <f t="shared" si="0"/>
        <v>45612.083333333343</v>
      </c>
      <c r="B7" s="51">
        <f t="shared" si="0"/>
        <v>8.3333333333333329E-2</v>
      </c>
      <c r="C7" s="1">
        <f>'Plantilla Datos'!K13</f>
        <v>7.4</v>
      </c>
      <c r="F7" s="107">
        <f>(Table29[[#This Row],[Fecha]]+2)</f>
        <v>45614.083333333343</v>
      </c>
      <c r="G7" s="52">
        <f>Table29[[#This Row],[Hora]]</f>
        <v>8.3333333333333329E-2</v>
      </c>
      <c r="H7" s="53">
        <f>VLOOKUP(Table18[[#This Row],[Fecha]],TBL_CalcDarwin[],46,1)</f>
        <v>2.4729999999999999</v>
      </c>
      <c r="I7" s="53">
        <f>VLOOKUP(Table18[[#This Row],[Fecha]],TBL_CalcDarwin[],47,1)</f>
        <v>2.2349999999999999</v>
      </c>
      <c r="J7" s="73">
        <f>VLOOKUP(Table18[[#This Row],[Fecha]],TBL_CalcDarwin[],44,1)</f>
        <v>3</v>
      </c>
      <c r="K7" s="73">
        <f>VLOOKUP(Table18[[#This Row],[Fecha]],TBL_CalcDarwin[],45,1)</f>
        <v>3</v>
      </c>
      <c r="L7" s="53">
        <f>Table18[[#This Row],[MW Proyectada (Barra A)]]+Table18[[#This Row],[MW Proyectada (Barra B)]]</f>
        <v>4.7080000000000002</v>
      </c>
    </row>
    <row r="8" spans="1:12" x14ac:dyDescent="0.25">
      <c r="A8" s="106">
        <f t="shared" si="0"/>
        <v>45612.104166666679</v>
      </c>
      <c r="B8" s="51">
        <f t="shared" si="0"/>
        <v>0.10416666666666666</v>
      </c>
      <c r="C8" s="1">
        <f>'Plantilla Datos'!K14</f>
        <v>10</v>
      </c>
      <c r="F8" s="107">
        <f>(Table29[[#This Row],[Fecha]]+2)</f>
        <v>45614.104166666679</v>
      </c>
      <c r="G8" s="52">
        <f>Table29[[#This Row],[Hora]]</f>
        <v>0.10416666666666666</v>
      </c>
      <c r="H8" s="53">
        <f>VLOOKUP(Table18[[#This Row],[Fecha]],TBL_CalcDarwin[],46,1)</f>
        <v>2.4729999999999999</v>
      </c>
      <c r="I8" s="53">
        <f>VLOOKUP(Table18[[#This Row],[Fecha]],TBL_CalcDarwin[],47,1)</f>
        <v>2.2349999999999999</v>
      </c>
      <c r="J8" s="73">
        <f>VLOOKUP(Table18[[#This Row],[Fecha]],TBL_CalcDarwin[],44,1)</f>
        <v>3</v>
      </c>
      <c r="K8" s="73">
        <f>VLOOKUP(Table18[[#This Row],[Fecha]],TBL_CalcDarwin[],45,1)</f>
        <v>3</v>
      </c>
      <c r="L8" s="53">
        <f>Table18[[#This Row],[MW Proyectada (Barra A)]]+Table18[[#This Row],[MW Proyectada (Barra B)]]</f>
        <v>4.7080000000000002</v>
      </c>
    </row>
    <row r="9" spans="1:12" x14ac:dyDescent="0.25">
      <c r="A9" s="106">
        <f t="shared" si="0"/>
        <v>45612.125000000015</v>
      </c>
      <c r="B9" s="51">
        <f t="shared" si="0"/>
        <v>0.12499999999999999</v>
      </c>
      <c r="C9" s="1">
        <f>'Plantilla Datos'!K15</f>
        <v>6.2</v>
      </c>
      <c r="F9" s="107">
        <f>(Table29[[#This Row],[Fecha]]+2)</f>
        <v>45614.125000000015</v>
      </c>
      <c r="G9" s="52">
        <f>Table29[[#This Row],[Hora]]</f>
        <v>0.12499999999999999</v>
      </c>
      <c r="H9" s="53">
        <f>VLOOKUP(Table18[[#This Row],[Fecha]],TBL_CalcDarwin[],46,1)</f>
        <v>1.5089999999999999</v>
      </c>
      <c r="I9" s="53">
        <f>VLOOKUP(Table18[[#This Row],[Fecha]],TBL_CalcDarwin[],47,1)</f>
        <v>1.1459999999999999</v>
      </c>
      <c r="J9" s="73">
        <f>VLOOKUP(Table18[[#This Row],[Fecha]],TBL_CalcDarwin[],44,1)</f>
        <v>3</v>
      </c>
      <c r="K9" s="73">
        <f>VLOOKUP(Table18[[#This Row],[Fecha]],TBL_CalcDarwin[],45,1)</f>
        <v>3</v>
      </c>
      <c r="L9" s="53">
        <f>Table18[[#This Row],[MW Proyectada (Barra A)]]+Table18[[#This Row],[MW Proyectada (Barra B)]]</f>
        <v>2.6549999999999998</v>
      </c>
    </row>
    <row r="10" spans="1:12" x14ac:dyDescent="0.25">
      <c r="A10" s="106">
        <f t="shared" si="0"/>
        <v>45612.14583333335</v>
      </c>
      <c r="B10" s="51">
        <f t="shared" si="0"/>
        <v>0.14583333333333331</v>
      </c>
      <c r="C10" s="1">
        <f>'Plantilla Datos'!K16</f>
        <v>9</v>
      </c>
      <c r="F10" s="107">
        <f>(Table29[[#This Row],[Fecha]]+2)</f>
        <v>45614.14583333335</v>
      </c>
      <c r="G10" s="52">
        <f>Table29[[#This Row],[Hora]]</f>
        <v>0.14583333333333331</v>
      </c>
      <c r="H10" s="53">
        <f>VLOOKUP(Table18[[#This Row],[Fecha]],TBL_CalcDarwin[],46,1)</f>
        <v>1.5089999999999999</v>
      </c>
      <c r="I10" s="53">
        <f>VLOOKUP(Table18[[#This Row],[Fecha]],TBL_CalcDarwin[],47,1)</f>
        <v>1.1459999999999999</v>
      </c>
      <c r="J10" s="73">
        <f>VLOOKUP(Table18[[#This Row],[Fecha]],TBL_CalcDarwin[],44,1)</f>
        <v>3</v>
      </c>
      <c r="K10" s="73">
        <f>VLOOKUP(Table18[[#This Row],[Fecha]],TBL_CalcDarwin[],45,1)</f>
        <v>3</v>
      </c>
      <c r="L10" s="53">
        <f>Table18[[#This Row],[MW Proyectada (Barra A)]]+Table18[[#This Row],[MW Proyectada (Barra B)]]</f>
        <v>2.6549999999999998</v>
      </c>
    </row>
    <row r="11" spans="1:12" x14ac:dyDescent="0.25">
      <c r="A11" s="106">
        <f t="shared" si="0"/>
        <v>45612.166666666686</v>
      </c>
      <c r="B11" s="51">
        <f t="shared" si="0"/>
        <v>0.16666666666666666</v>
      </c>
      <c r="C11" s="1">
        <f>'Plantilla Datos'!K17</f>
        <v>6.5</v>
      </c>
      <c r="F11" s="107">
        <f>(Table29[[#This Row],[Fecha]]+2)</f>
        <v>45614.166666666686</v>
      </c>
      <c r="G11" s="52">
        <f>Table29[[#This Row],[Hora]]</f>
        <v>0.16666666666666666</v>
      </c>
      <c r="H11" s="53">
        <f>VLOOKUP(Table18[[#This Row],[Fecha]],TBL_CalcDarwin[],46,1)</f>
        <v>0.64200000000000002</v>
      </c>
      <c r="I11" s="53">
        <f>VLOOKUP(Table18[[#This Row],[Fecha]],TBL_CalcDarwin[],47,1)</f>
        <v>0.39</v>
      </c>
      <c r="J11" s="73">
        <f>VLOOKUP(Table18[[#This Row],[Fecha]],TBL_CalcDarwin[],44,1)</f>
        <v>3</v>
      </c>
      <c r="K11" s="73">
        <f>VLOOKUP(Table18[[#This Row],[Fecha]],TBL_CalcDarwin[],45,1)</f>
        <v>3</v>
      </c>
      <c r="L11" s="53">
        <f>Table18[[#This Row],[MW Proyectada (Barra A)]]+Table18[[#This Row],[MW Proyectada (Barra B)]]</f>
        <v>1.032</v>
      </c>
    </row>
    <row r="12" spans="1:12" x14ac:dyDescent="0.25">
      <c r="A12" s="106">
        <f t="shared" si="0"/>
        <v>45612.187500000022</v>
      </c>
      <c r="B12" s="51">
        <f t="shared" si="0"/>
        <v>0.1875</v>
      </c>
      <c r="C12" s="1">
        <f>'Plantilla Datos'!K18</f>
        <v>9.1</v>
      </c>
      <c r="F12" s="107">
        <f>(Table29[[#This Row],[Fecha]]+2)</f>
        <v>45614.187500000022</v>
      </c>
      <c r="G12" s="52">
        <f>Table29[[#This Row],[Hora]]</f>
        <v>0.1875</v>
      </c>
      <c r="H12" s="53">
        <f>VLOOKUP(Table18[[#This Row],[Fecha]],TBL_CalcDarwin[],46,1)</f>
        <v>0.64200000000000002</v>
      </c>
      <c r="I12" s="53">
        <f>VLOOKUP(Table18[[#This Row],[Fecha]],TBL_CalcDarwin[],47,1)</f>
        <v>0.39</v>
      </c>
      <c r="J12" s="73">
        <f>VLOOKUP(Table18[[#This Row],[Fecha]],TBL_CalcDarwin[],44,1)</f>
        <v>3</v>
      </c>
      <c r="K12" s="73">
        <f>VLOOKUP(Table18[[#This Row],[Fecha]],TBL_CalcDarwin[],45,1)</f>
        <v>3</v>
      </c>
      <c r="L12" s="53">
        <f>Table18[[#This Row],[MW Proyectada (Barra A)]]+Table18[[#This Row],[MW Proyectada (Barra B)]]</f>
        <v>1.032</v>
      </c>
    </row>
    <row r="13" spans="1:12" x14ac:dyDescent="0.25">
      <c r="A13" s="106">
        <f t="shared" si="0"/>
        <v>45612.208333333358</v>
      </c>
      <c r="B13" s="51">
        <f t="shared" si="0"/>
        <v>0.20833333333333334</v>
      </c>
      <c r="C13" s="1">
        <f>'Plantilla Datos'!K19</f>
        <v>10.4</v>
      </c>
      <c r="F13" s="107">
        <f>(Table29[[#This Row],[Fecha]]+2)</f>
        <v>45614.208333333358</v>
      </c>
      <c r="G13" s="52">
        <f>Table29[[#This Row],[Hora]]</f>
        <v>0.20833333333333334</v>
      </c>
      <c r="H13" s="53">
        <f>VLOOKUP(Table18[[#This Row],[Fecha]],TBL_CalcDarwin[],46,1)</f>
        <v>0.87</v>
      </c>
      <c r="I13" s="53">
        <f>VLOOKUP(Table18[[#This Row],[Fecha]],TBL_CalcDarwin[],47,1)</f>
        <v>0.73199999999999998</v>
      </c>
      <c r="J13" s="73">
        <f>VLOOKUP(Table18[[#This Row],[Fecha]],TBL_CalcDarwin[],44,1)</f>
        <v>3</v>
      </c>
      <c r="K13" s="73">
        <f>VLOOKUP(Table18[[#This Row],[Fecha]],TBL_CalcDarwin[],45,1)</f>
        <v>3</v>
      </c>
      <c r="L13" s="53">
        <f>Table18[[#This Row],[MW Proyectada (Barra A)]]+Table18[[#This Row],[MW Proyectada (Barra B)]]</f>
        <v>1.6019999999999999</v>
      </c>
    </row>
    <row r="14" spans="1:12" x14ac:dyDescent="0.25">
      <c r="A14" s="106">
        <f t="shared" si="0"/>
        <v>45612.229166666693</v>
      </c>
      <c r="B14" s="51">
        <f t="shared" si="0"/>
        <v>0.22916666666666669</v>
      </c>
      <c r="C14" s="1">
        <f>'Plantilla Datos'!K20</f>
        <v>9.6</v>
      </c>
      <c r="F14" s="107">
        <f>(Table29[[#This Row],[Fecha]]+2)</f>
        <v>45614.229166666693</v>
      </c>
      <c r="G14" s="52">
        <f>Table29[[#This Row],[Hora]]</f>
        <v>0.22916666666666669</v>
      </c>
      <c r="H14" s="53">
        <f>VLOOKUP(Table18[[#This Row],[Fecha]],TBL_CalcDarwin[],46,1)</f>
        <v>0.87</v>
      </c>
      <c r="I14" s="53">
        <f>VLOOKUP(Table18[[#This Row],[Fecha]],TBL_CalcDarwin[],47,1)</f>
        <v>0.73199999999999998</v>
      </c>
      <c r="J14" s="73">
        <f>VLOOKUP(Table18[[#This Row],[Fecha]],TBL_CalcDarwin[],44,1)</f>
        <v>3</v>
      </c>
      <c r="K14" s="73">
        <f>VLOOKUP(Table18[[#This Row],[Fecha]],TBL_CalcDarwin[],45,1)</f>
        <v>3</v>
      </c>
      <c r="L14" s="53">
        <f>Table18[[#This Row],[MW Proyectada (Barra A)]]+Table18[[#This Row],[MW Proyectada (Barra B)]]</f>
        <v>1.6019999999999999</v>
      </c>
    </row>
    <row r="15" spans="1:12" x14ac:dyDescent="0.25">
      <c r="A15" s="106">
        <f t="shared" si="0"/>
        <v>45612.250000000029</v>
      </c>
      <c r="B15" s="51">
        <f t="shared" si="0"/>
        <v>0.25</v>
      </c>
      <c r="C15" s="1">
        <f>'Plantilla Datos'!K21</f>
        <v>11.6</v>
      </c>
      <c r="F15" s="107">
        <f>(Table29[[#This Row],[Fecha]]+2)</f>
        <v>45614.250000000029</v>
      </c>
      <c r="G15" s="52">
        <f>Table29[[#This Row],[Hora]]</f>
        <v>0.25</v>
      </c>
      <c r="H15" s="53">
        <f>VLOOKUP(Table18[[#This Row],[Fecha]],TBL_CalcDarwin[],46,1)</f>
        <v>0.87</v>
      </c>
      <c r="I15" s="53">
        <f>VLOOKUP(Table18[[#This Row],[Fecha]],TBL_CalcDarwin[],47,1)</f>
        <v>0.73199999999999998</v>
      </c>
      <c r="J15" s="73">
        <f>VLOOKUP(Table18[[#This Row],[Fecha]],TBL_CalcDarwin[],44,1)</f>
        <v>3</v>
      </c>
      <c r="K15" s="73">
        <f>VLOOKUP(Table18[[#This Row],[Fecha]],TBL_CalcDarwin[],45,1)</f>
        <v>3</v>
      </c>
      <c r="L15" s="53">
        <f>Table18[[#This Row],[MW Proyectada (Barra A)]]+Table18[[#This Row],[MW Proyectada (Barra B)]]</f>
        <v>1.6019999999999999</v>
      </c>
    </row>
    <row r="16" spans="1:12" x14ac:dyDescent="0.25">
      <c r="A16" s="106">
        <f t="shared" si="0"/>
        <v>45612.270833333365</v>
      </c>
      <c r="B16" s="51">
        <f t="shared" si="0"/>
        <v>0.27083333333333331</v>
      </c>
      <c r="C16" s="1">
        <f>'Plantilla Datos'!K22</f>
        <v>8.1</v>
      </c>
      <c r="F16" s="107">
        <f>(Table29[[#This Row],[Fecha]]+2)</f>
        <v>45614.270833333365</v>
      </c>
      <c r="G16" s="52">
        <f>Table29[[#This Row],[Hora]]</f>
        <v>0.27083333333333331</v>
      </c>
      <c r="H16" s="53">
        <f>VLOOKUP(Table18[[#This Row],[Fecha]],TBL_CalcDarwin[],46,1)</f>
        <v>0.87</v>
      </c>
      <c r="I16" s="53">
        <f>VLOOKUP(Table18[[#This Row],[Fecha]],TBL_CalcDarwin[],47,1)</f>
        <v>0.73199999999999998</v>
      </c>
      <c r="J16" s="73">
        <f>VLOOKUP(Table18[[#This Row],[Fecha]],TBL_CalcDarwin[],44,1)</f>
        <v>3</v>
      </c>
      <c r="K16" s="73">
        <f>VLOOKUP(Table18[[#This Row],[Fecha]],TBL_CalcDarwin[],45,1)</f>
        <v>3</v>
      </c>
      <c r="L16" s="53">
        <f>Table18[[#This Row],[MW Proyectada (Barra A)]]+Table18[[#This Row],[MW Proyectada (Barra B)]]</f>
        <v>1.6019999999999999</v>
      </c>
    </row>
    <row r="17" spans="1:12" x14ac:dyDescent="0.25">
      <c r="A17" s="106">
        <f t="shared" si="0"/>
        <v>45612.291666666701</v>
      </c>
      <c r="B17" s="51">
        <f t="shared" si="0"/>
        <v>0.29166666666666663</v>
      </c>
      <c r="C17" s="1">
        <f>'Plantilla Datos'!K23</f>
        <v>8.6999999999999993</v>
      </c>
      <c r="F17" s="107">
        <f>(Table29[[#This Row],[Fecha]]+2)</f>
        <v>45614.291666666701</v>
      </c>
      <c r="G17" s="52">
        <f>Table29[[#This Row],[Hora]]</f>
        <v>0.29166666666666663</v>
      </c>
      <c r="H17" s="53">
        <f>VLOOKUP(Table18[[#This Row],[Fecha]],TBL_CalcDarwin[],46,1)</f>
        <v>0.87</v>
      </c>
      <c r="I17" s="53">
        <f>VLOOKUP(Table18[[#This Row],[Fecha]],TBL_CalcDarwin[],47,1)</f>
        <v>0.73199999999999998</v>
      </c>
      <c r="J17" s="73">
        <f>VLOOKUP(Table18[[#This Row],[Fecha]],TBL_CalcDarwin[],44,1)</f>
        <v>3</v>
      </c>
      <c r="K17" s="73">
        <f>VLOOKUP(Table18[[#This Row],[Fecha]],TBL_CalcDarwin[],45,1)</f>
        <v>3</v>
      </c>
      <c r="L17" s="53">
        <f>Table18[[#This Row],[MW Proyectada (Barra A)]]+Table18[[#This Row],[MW Proyectada (Barra B)]]</f>
        <v>1.6019999999999999</v>
      </c>
    </row>
    <row r="18" spans="1:12" x14ac:dyDescent="0.25">
      <c r="A18" s="106">
        <f t="shared" si="0"/>
        <v>45612.312500000036</v>
      </c>
      <c r="B18" s="51">
        <f t="shared" si="0"/>
        <v>0.31249999999999994</v>
      </c>
      <c r="C18" s="1">
        <f>'Plantilla Datos'!K24</f>
        <v>7.6</v>
      </c>
      <c r="F18" s="107">
        <f>(Table29[[#This Row],[Fecha]]+2)</f>
        <v>45614.312500000036</v>
      </c>
      <c r="G18" s="52">
        <f>Table29[[#This Row],[Hora]]</f>
        <v>0.31249999999999994</v>
      </c>
      <c r="H18" s="53">
        <f>VLOOKUP(Table18[[#This Row],[Fecha]],TBL_CalcDarwin[],46,1)</f>
        <v>0.87</v>
      </c>
      <c r="I18" s="53">
        <f>VLOOKUP(Table18[[#This Row],[Fecha]],TBL_CalcDarwin[],47,1)</f>
        <v>0.73199999999999998</v>
      </c>
      <c r="J18" s="73">
        <f>VLOOKUP(Table18[[#This Row],[Fecha]],TBL_CalcDarwin[],44,1)</f>
        <v>3</v>
      </c>
      <c r="K18" s="73">
        <f>VLOOKUP(Table18[[#This Row],[Fecha]],TBL_CalcDarwin[],45,1)</f>
        <v>3</v>
      </c>
      <c r="L18" s="53">
        <f>Table18[[#This Row],[MW Proyectada (Barra A)]]+Table18[[#This Row],[MW Proyectada (Barra B)]]</f>
        <v>1.6019999999999999</v>
      </c>
    </row>
    <row r="19" spans="1:12" x14ac:dyDescent="0.25">
      <c r="A19" s="106">
        <f t="shared" si="0"/>
        <v>45612.333333333372</v>
      </c>
      <c r="B19" s="51">
        <f t="shared" si="0"/>
        <v>0.33333333333333326</v>
      </c>
      <c r="C19" s="1">
        <f>'Plantilla Datos'!K25</f>
        <v>10.6</v>
      </c>
      <c r="F19" s="107">
        <f>(Table29[[#This Row],[Fecha]]+2)</f>
        <v>45614.333333333372</v>
      </c>
      <c r="G19" s="52">
        <f>Table29[[#This Row],[Hora]]</f>
        <v>0.33333333333333326</v>
      </c>
      <c r="H19" s="53">
        <f>VLOOKUP(Table18[[#This Row],[Fecha]],TBL_CalcDarwin[],46,1)</f>
        <v>1.839</v>
      </c>
      <c r="I19" s="53">
        <f>VLOOKUP(Table18[[#This Row],[Fecha]],TBL_CalcDarwin[],47,1)</f>
        <v>1.641</v>
      </c>
      <c r="J19" s="73">
        <f>VLOOKUP(Table18[[#This Row],[Fecha]],TBL_CalcDarwin[],44,1)</f>
        <v>3</v>
      </c>
      <c r="K19" s="73">
        <f>VLOOKUP(Table18[[#This Row],[Fecha]],TBL_CalcDarwin[],45,1)</f>
        <v>3</v>
      </c>
      <c r="L19" s="53">
        <f>Table18[[#This Row],[MW Proyectada (Barra A)]]+Table18[[#This Row],[MW Proyectada (Barra B)]]</f>
        <v>3.48</v>
      </c>
    </row>
    <row r="20" spans="1:12" x14ac:dyDescent="0.25">
      <c r="A20" s="106">
        <f t="shared" si="0"/>
        <v>45612.354166666708</v>
      </c>
      <c r="B20" s="51">
        <f t="shared" si="0"/>
        <v>0.35416666666666657</v>
      </c>
      <c r="C20" s="1">
        <f>'Plantilla Datos'!K26</f>
        <v>9.1</v>
      </c>
      <c r="F20" s="107">
        <f>(Table29[[#This Row],[Fecha]]+2)</f>
        <v>45614.354166666708</v>
      </c>
      <c r="G20" s="52">
        <f>Table29[[#This Row],[Hora]]</f>
        <v>0.35416666666666657</v>
      </c>
      <c r="H20" s="53">
        <f>VLOOKUP(Table18[[#This Row],[Fecha]],TBL_CalcDarwin[],46,1)</f>
        <v>1.839</v>
      </c>
      <c r="I20" s="53">
        <f>VLOOKUP(Table18[[#This Row],[Fecha]],TBL_CalcDarwin[],47,1)</f>
        <v>1.641</v>
      </c>
      <c r="J20" s="73">
        <f>VLOOKUP(Table18[[#This Row],[Fecha]],TBL_CalcDarwin[],44,1)</f>
        <v>3</v>
      </c>
      <c r="K20" s="73">
        <f>VLOOKUP(Table18[[#This Row],[Fecha]],TBL_CalcDarwin[],45,1)</f>
        <v>3</v>
      </c>
      <c r="L20" s="53">
        <f>Table18[[#This Row],[MW Proyectada (Barra A)]]+Table18[[#This Row],[MW Proyectada (Barra B)]]</f>
        <v>3.48</v>
      </c>
    </row>
    <row r="21" spans="1:12" x14ac:dyDescent="0.25">
      <c r="A21" s="106">
        <f t="shared" ref="A21:B36" si="1">A20+TIME(0,30,0)</f>
        <v>45612.375000000044</v>
      </c>
      <c r="B21" s="51">
        <f t="shared" si="1"/>
        <v>0.37499999999999989</v>
      </c>
      <c r="C21" s="1">
        <f>'Plantilla Datos'!K27</f>
        <v>10.199999999999999</v>
      </c>
      <c r="F21" s="107">
        <f>(Table29[[#This Row],[Fecha]]+2)</f>
        <v>45614.375000000044</v>
      </c>
      <c r="G21" s="52">
        <f>Table29[[#This Row],[Hora]]</f>
        <v>0.37499999999999989</v>
      </c>
      <c r="H21" s="53">
        <f>VLOOKUP(Table18[[#This Row],[Fecha]],TBL_CalcDarwin[],46,1)</f>
        <v>2.7560000000000002</v>
      </c>
      <c r="I21" s="53">
        <f>VLOOKUP(Table18[[#This Row],[Fecha]],TBL_CalcDarwin[],47,1)</f>
        <v>2.2349999999999999</v>
      </c>
      <c r="J21" s="73">
        <f>VLOOKUP(Table18[[#This Row],[Fecha]],TBL_CalcDarwin[],44,1)</f>
        <v>3</v>
      </c>
      <c r="K21" s="73">
        <f>VLOOKUP(Table18[[#This Row],[Fecha]],TBL_CalcDarwin[],45,1)</f>
        <v>3</v>
      </c>
      <c r="L21" s="53">
        <f>Table18[[#This Row],[MW Proyectada (Barra A)]]+Table18[[#This Row],[MW Proyectada (Barra B)]]</f>
        <v>4.9909999999999997</v>
      </c>
    </row>
    <row r="22" spans="1:12" x14ac:dyDescent="0.25">
      <c r="A22" s="106">
        <f t="shared" si="1"/>
        <v>45612.395833333379</v>
      </c>
      <c r="B22" s="51">
        <f t="shared" si="1"/>
        <v>0.3958333333333332</v>
      </c>
      <c r="C22" s="1">
        <f>'Plantilla Datos'!K28</f>
        <v>11.2</v>
      </c>
      <c r="F22" s="107">
        <f>(Table29[[#This Row],[Fecha]]+2)</f>
        <v>45614.395833333379</v>
      </c>
      <c r="G22" s="52">
        <f>Table29[[#This Row],[Hora]]</f>
        <v>0.3958333333333332</v>
      </c>
      <c r="H22" s="53">
        <f>VLOOKUP(Table18[[#This Row],[Fecha]],TBL_CalcDarwin[],46,1)</f>
        <v>2.7560000000000002</v>
      </c>
      <c r="I22" s="53">
        <f>VLOOKUP(Table18[[#This Row],[Fecha]],TBL_CalcDarwin[],47,1)</f>
        <v>2.2349999999999999</v>
      </c>
      <c r="J22" s="73">
        <f>VLOOKUP(Table18[[#This Row],[Fecha]],TBL_CalcDarwin[],44,1)</f>
        <v>3</v>
      </c>
      <c r="K22" s="73">
        <f>VLOOKUP(Table18[[#This Row],[Fecha]],TBL_CalcDarwin[],45,1)</f>
        <v>3</v>
      </c>
      <c r="L22" s="53">
        <f>Table18[[#This Row],[MW Proyectada (Barra A)]]+Table18[[#This Row],[MW Proyectada (Barra B)]]</f>
        <v>4.9909999999999997</v>
      </c>
    </row>
    <row r="23" spans="1:12" x14ac:dyDescent="0.25">
      <c r="A23" s="106">
        <f t="shared" si="1"/>
        <v>45612.416666666715</v>
      </c>
      <c r="B23" s="51">
        <f t="shared" si="1"/>
        <v>0.41666666666666652</v>
      </c>
      <c r="C23" s="1">
        <f>'Plantilla Datos'!K29</f>
        <v>11.6</v>
      </c>
      <c r="F23" s="107">
        <f>(Table29[[#This Row],[Fecha]]+2)</f>
        <v>45614.416666666715</v>
      </c>
      <c r="G23" s="52">
        <f>Table29[[#This Row],[Hora]]</f>
        <v>0.41666666666666652</v>
      </c>
      <c r="H23" s="53">
        <f>VLOOKUP(Table18[[#This Row],[Fecha]],TBL_CalcDarwin[],46,1)</f>
        <v>4.51</v>
      </c>
      <c r="I23" s="53">
        <f>VLOOKUP(Table18[[#This Row],[Fecha]],TBL_CalcDarwin[],47,1)</f>
        <v>3.798</v>
      </c>
      <c r="J23" s="73">
        <f>VLOOKUP(Table18[[#This Row],[Fecha]],TBL_CalcDarwin[],44,1)</f>
        <v>3</v>
      </c>
      <c r="K23" s="73">
        <f>VLOOKUP(Table18[[#This Row],[Fecha]],TBL_CalcDarwin[],45,1)</f>
        <v>3</v>
      </c>
      <c r="L23" s="53">
        <f>Table18[[#This Row],[MW Proyectada (Barra A)]]+Table18[[#This Row],[MW Proyectada (Barra B)]]</f>
        <v>8.3079999999999998</v>
      </c>
    </row>
    <row r="24" spans="1:12" x14ac:dyDescent="0.25">
      <c r="A24" s="106">
        <f t="shared" si="1"/>
        <v>45612.437500000051</v>
      </c>
      <c r="B24" s="51">
        <f t="shared" si="1"/>
        <v>0.43749999999999983</v>
      </c>
      <c r="C24" s="1">
        <f>'Plantilla Datos'!K30</f>
        <v>8</v>
      </c>
      <c r="F24" s="107">
        <f>(Table29[[#This Row],[Fecha]]+2)</f>
        <v>45614.437500000051</v>
      </c>
      <c r="G24" s="52">
        <f>Table29[[#This Row],[Hora]]</f>
        <v>0.43749999999999983</v>
      </c>
      <c r="H24" s="53">
        <f>VLOOKUP(Table18[[#This Row],[Fecha]],TBL_CalcDarwin[],46,1)</f>
        <v>4.51</v>
      </c>
      <c r="I24" s="53">
        <f>VLOOKUP(Table18[[#This Row],[Fecha]],TBL_CalcDarwin[],47,1)</f>
        <v>3.798</v>
      </c>
      <c r="J24" s="73">
        <f>VLOOKUP(Table18[[#This Row],[Fecha]],TBL_CalcDarwin[],44,1)</f>
        <v>3</v>
      </c>
      <c r="K24" s="73">
        <f>VLOOKUP(Table18[[#This Row],[Fecha]],TBL_CalcDarwin[],45,1)</f>
        <v>3</v>
      </c>
      <c r="L24" s="53">
        <f>Table18[[#This Row],[MW Proyectada (Barra A)]]+Table18[[#This Row],[MW Proyectada (Barra B)]]</f>
        <v>8.3079999999999998</v>
      </c>
    </row>
    <row r="25" spans="1:12" x14ac:dyDescent="0.25">
      <c r="A25" s="106">
        <f t="shared" si="1"/>
        <v>45612.458333333387</v>
      </c>
      <c r="B25" s="51">
        <f t="shared" si="1"/>
        <v>0.45833333333333315</v>
      </c>
      <c r="C25" s="1">
        <f>'Plantilla Datos'!K31</f>
        <v>9.5</v>
      </c>
      <c r="F25" s="107">
        <f>(Table29[[#This Row],[Fecha]]+2)</f>
        <v>45614.458333333387</v>
      </c>
      <c r="G25" s="52">
        <f>Table29[[#This Row],[Hora]]</f>
        <v>0.45833333333333315</v>
      </c>
      <c r="H25" s="53">
        <f>VLOOKUP(Table18[[#This Row],[Fecha]],TBL_CalcDarwin[],46,1)</f>
        <v>4.9409999999999998</v>
      </c>
      <c r="I25" s="53">
        <f>VLOOKUP(Table18[[#This Row],[Fecha]],TBL_CalcDarwin[],47,1)</f>
        <v>3.798</v>
      </c>
      <c r="J25" s="73">
        <f>VLOOKUP(Table18[[#This Row],[Fecha]],TBL_CalcDarwin[],44,1)</f>
        <v>3</v>
      </c>
      <c r="K25" s="73">
        <f>VLOOKUP(Table18[[#This Row],[Fecha]],TBL_CalcDarwin[],45,1)</f>
        <v>3</v>
      </c>
      <c r="L25" s="53">
        <f>Table18[[#This Row],[MW Proyectada (Barra A)]]+Table18[[#This Row],[MW Proyectada (Barra B)]]</f>
        <v>8.7390000000000008</v>
      </c>
    </row>
    <row r="26" spans="1:12" x14ac:dyDescent="0.25">
      <c r="A26" s="106">
        <f t="shared" si="1"/>
        <v>45612.479166666722</v>
      </c>
      <c r="B26" s="51">
        <f t="shared" si="1"/>
        <v>0.47916666666666646</v>
      </c>
      <c r="C26" s="1">
        <f>'Plantilla Datos'!K32</f>
        <v>9</v>
      </c>
      <c r="F26" s="107">
        <f>(Table29[[#This Row],[Fecha]]+2)</f>
        <v>45614.479166666722</v>
      </c>
      <c r="G26" s="52">
        <f>Table29[[#This Row],[Hora]]</f>
        <v>0.47916666666666646</v>
      </c>
      <c r="H26" s="53">
        <f>VLOOKUP(Table18[[#This Row],[Fecha]],TBL_CalcDarwin[],46,1)</f>
        <v>4.9409999999999998</v>
      </c>
      <c r="I26" s="53">
        <f>VLOOKUP(Table18[[#This Row],[Fecha]],TBL_CalcDarwin[],47,1)</f>
        <v>3.798</v>
      </c>
      <c r="J26" s="73">
        <f>VLOOKUP(Table18[[#This Row],[Fecha]],TBL_CalcDarwin[],44,1)</f>
        <v>3</v>
      </c>
      <c r="K26" s="73">
        <f>VLOOKUP(Table18[[#This Row],[Fecha]],TBL_CalcDarwin[],45,1)</f>
        <v>3</v>
      </c>
      <c r="L26" s="53">
        <f>Table18[[#This Row],[MW Proyectada (Barra A)]]+Table18[[#This Row],[MW Proyectada (Barra B)]]</f>
        <v>8.7390000000000008</v>
      </c>
    </row>
    <row r="27" spans="1:12" x14ac:dyDescent="0.25">
      <c r="A27" s="106">
        <f t="shared" si="1"/>
        <v>45612.500000000058</v>
      </c>
      <c r="B27" s="51">
        <f t="shared" si="1"/>
        <v>0.49999999999999978</v>
      </c>
      <c r="C27" s="1">
        <f>'Plantilla Datos'!K33</f>
        <v>7.2</v>
      </c>
      <c r="F27" s="107">
        <f>(Table29[[#This Row],[Fecha]]+2)</f>
        <v>45614.500000000058</v>
      </c>
      <c r="G27" s="52">
        <f>Table29[[#This Row],[Hora]]</f>
        <v>0.49999999999999978</v>
      </c>
      <c r="H27" s="53">
        <f>VLOOKUP(Table18[[#This Row],[Fecha]],TBL_CalcDarwin[],46,1)</f>
        <v>5.6029999999999998</v>
      </c>
      <c r="I27" s="53">
        <f>VLOOKUP(Table18[[#This Row],[Fecha]],TBL_CalcDarwin[],47,1)</f>
        <v>4.7910000000000004</v>
      </c>
      <c r="J27" s="73">
        <f>VLOOKUP(Table18[[#This Row],[Fecha]],TBL_CalcDarwin[],44,1)</f>
        <v>3</v>
      </c>
      <c r="K27" s="73">
        <f>VLOOKUP(Table18[[#This Row],[Fecha]],TBL_CalcDarwin[],45,1)</f>
        <v>3</v>
      </c>
      <c r="L27" s="53">
        <f>Table18[[#This Row],[MW Proyectada (Barra A)]]+Table18[[#This Row],[MW Proyectada (Barra B)]]</f>
        <v>10.394</v>
      </c>
    </row>
    <row r="28" spans="1:12" x14ac:dyDescent="0.25">
      <c r="A28" s="106">
        <f t="shared" si="1"/>
        <v>45612.520833333394</v>
      </c>
      <c r="B28" s="51">
        <f t="shared" si="1"/>
        <v>0.52083333333333315</v>
      </c>
      <c r="C28" s="1">
        <f>'Plantilla Datos'!K34</f>
        <v>7.5</v>
      </c>
      <c r="F28" s="107">
        <f>(Table29[[#This Row],[Fecha]]+2)</f>
        <v>45614.520833333394</v>
      </c>
      <c r="G28" s="52">
        <f>Table29[[#This Row],[Hora]]</f>
        <v>0.52083333333333315</v>
      </c>
      <c r="H28" s="53">
        <f>VLOOKUP(Table18[[#This Row],[Fecha]],TBL_CalcDarwin[],46,1)</f>
        <v>5.6029999999999998</v>
      </c>
      <c r="I28" s="53">
        <f>VLOOKUP(Table18[[#This Row],[Fecha]],TBL_CalcDarwin[],47,1)</f>
        <v>4.7910000000000004</v>
      </c>
      <c r="J28" s="73">
        <f>VLOOKUP(Table18[[#This Row],[Fecha]],TBL_CalcDarwin[],44,1)</f>
        <v>3</v>
      </c>
      <c r="K28" s="73">
        <f>VLOOKUP(Table18[[#This Row],[Fecha]],TBL_CalcDarwin[],45,1)</f>
        <v>3</v>
      </c>
      <c r="L28" s="53">
        <f>Table18[[#This Row],[MW Proyectada (Barra A)]]+Table18[[#This Row],[MW Proyectada (Barra B)]]</f>
        <v>10.394</v>
      </c>
    </row>
    <row r="29" spans="1:12" x14ac:dyDescent="0.25">
      <c r="A29" s="106">
        <f t="shared" si="1"/>
        <v>45612.54166666673</v>
      </c>
      <c r="B29" s="51">
        <f t="shared" si="1"/>
        <v>0.54166666666666652</v>
      </c>
      <c r="C29" s="1">
        <f>'Plantilla Datos'!K35</f>
        <v>6.9</v>
      </c>
      <c r="F29" s="107">
        <f>(Table29[[#This Row],[Fecha]]+2)</f>
        <v>45614.54166666673</v>
      </c>
      <c r="G29" s="52">
        <f>Table29[[#This Row],[Hora]]</f>
        <v>0.54166666666666652</v>
      </c>
      <c r="H29" s="53">
        <f>VLOOKUP(Table18[[#This Row],[Fecha]],TBL_CalcDarwin[],46,1)</f>
        <v>6.0720000000000001</v>
      </c>
      <c r="I29" s="53">
        <f>VLOOKUP(Table18[[#This Row],[Fecha]],TBL_CalcDarwin[],47,1)</f>
        <v>4.7910000000000004</v>
      </c>
      <c r="J29" s="73">
        <f>VLOOKUP(Table18[[#This Row],[Fecha]],TBL_CalcDarwin[],44,1)</f>
        <v>3</v>
      </c>
      <c r="K29" s="73">
        <f>VLOOKUP(Table18[[#This Row],[Fecha]],TBL_CalcDarwin[],45,1)</f>
        <v>3</v>
      </c>
      <c r="L29" s="53">
        <f>Table18[[#This Row],[MW Proyectada (Barra A)]]+Table18[[#This Row],[MW Proyectada (Barra B)]]</f>
        <v>10.863</v>
      </c>
    </row>
    <row r="30" spans="1:12" x14ac:dyDescent="0.25">
      <c r="A30" s="106">
        <f t="shared" si="1"/>
        <v>45612.562500000065</v>
      </c>
      <c r="B30" s="51">
        <f t="shared" si="1"/>
        <v>0.56249999999999989</v>
      </c>
      <c r="C30" s="1">
        <f>'Plantilla Datos'!K36</f>
        <v>6.3</v>
      </c>
      <c r="F30" s="107">
        <f>(Table29[[#This Row],[Fecha]]+2)</f>
        <v>45614.562500000065</v>
      </c>
      <c r="G30" s="52">
        <f>Table29[[#This Row],[Hora]]</f>
        <v>0.56249999999999989</v>
      </c>
      <c r="H30" s="53">
        <f>VLOOKUP(Table18[[#This Row],[Fecha]],TBL_CalcDarwin[],46,1)</f>
        <v>6.0720000000000001</v>
      </c>
      <c r="I30" s="53">
        <f>VLOOKUP(Table18[[#This Row],[Fecha]],TBL_CalcDarwin[],47,1)</f>
        <v>4.7910000000000004</v>
      </c>
      <c r="J30" s="73">
        <f>VLOOKUP(Table18[[#This Row],[Fecha]],TBL_CalcDarwin[],44,1)</f>
        <v>3</v>
      </c>
      <c r="K30" s="73">
        <f>VLOOKUP(Table18[[#This Row],[Fecha]],TBL_CalcDarwin[],45,1)</f>
        <v>3</v>
      </c>
      <c r="L30" s="53">
        <f>Table18[[#This Row],[MW Proyectada (Barra A)]]+Table18[[#This Row],[MW Proyectada (Barra B)]]</f>
        <v>10.863</v>
      </c>
    </row>
    <row r="31" spans="1:12" x14ac:dyDescent="0.25">
      <c r="A31" s="106">
        <f t="shared" si="1"/>
        <v>45612.583333333401</v>
      </c>
      <c r="B31" s="51">
        <f t="shared" si="1"/>
        <v>0.58333333333333326</v>
      </c>
      <c r="C31" s="1">
        <f>'Plantilla Datos'!K37</f>
        <v>6.8</v>
      </c>
      <c r="F31" s="107">
        <f>(Table29[[#This Row],[Fecha]]+2)</f>
        <v>45614.583333333401</v>
      </c>
      <c r="G31" s="52">
        <f>Table29[[#This Row],[Hora]]</f>
        <v>0.58333333333333326</v>
      </c>
      <c r="H31" s="53">
        <f>VLOOKUP(Table18[[#This Row],[Fecha]],TBL_CalcDarwin[],46,1)</f>
        <v>7.3220000000000001</v>
      </c>
      <c r="I31" s="53">
        <f>VLOOKUP(Table18[[#This Row],[Fecha]],TBL_CalcDarwin[],47,1)</f>
        <v>5.9340000000000002</v>
      </c>
      <c r="J31" s="73">
        <f>VLOOKUP(Table18[[#This Row],[Fecha]],TBL_CalcDarwin[],44,1)</f>
        <v>3</v>
      </c>
      <c r="K31" s="73">
        <f>VLOOKUP(Table18[[#This Row],[Fecha]],TBL_CalcDarwin[],45,1)</f>
        <v>3</v>
      </c>
      <c r="L31" s="53">
        <f>Table18[[#This Row],[MW Proyectada (Barra A)]]+Table18[[#This Row],[MW Proyectada (Barra B)]]</f>
        <v>13.256</v>
      </c>
    </row>
    <row r="32" spans="1:12" x14ac:dyDescent="0.25">
      <c r="A32" s="106">
        <f t="shared" si="1"/>
        <v>45612.604166666737</v>
      </c>
      <c r="B32" s="51">
        <f t="shared" si="1"/>
        <v>0.60416666666666663</v>
      </c>
      <c r="C32" s="1">
        <f>'Plantilla Datos'!K38</f>
        <v>6.7</v>
      </c>
      <c r="F32" s="107">
        <f>(Table29[[#This Row],[Fecha]]+2)</f>
        <v>45614.604166666737</v>
      </c>
      <c r="G32" s="52">
        <f>Table29[[#This Row],[Hora]]</f>
        <v>0.60416666666666663</v>
      </c>
      <c r="H32" s="53">
        <f>VLOOKUP(Table18[[#This Row],[Fecha]],TBL_CalcDarwin[],46,1)</f>
        <v>7.3220000000000001</v>
      </c>
      <c r="I32" s="53">
        <f>VLOOKUP(Table18[[#This Row],[Fecha]],TBL_CalcDarwin[],47,1)</f>
        <v>5.9340000000000002</v>
      </c>
      <c r="J32" s="73">
        <f>VLOOKUP(Table18[[#This Row],[Fecha]],TBL_CalcDarwin[],44,1)</f>
        <v>3</v>
      </c>
      <c r="K32" s="73">
        <f>VLOOKUP(Table18[[#This Row],[Fecha]],TBL_CalcDarwin[],45,1)</f>
        <v>3</v>
      </c>
      <c r="L32" s="53">
        <f>Table18[[#This Row],[MW Proyectada (Barra A)]]+Table18[[#This Row],[MW Proyectada (Barra B)]]</f>
        <v>13.256</v>
      </c>
    </row>
    <row r="33" spans="1:12" x14ac:dyDescent="0.25">
      <c r="A33" s="106">
        <f t="shared" si="1"/>
        <v>45612.625000000073</v>
      </c>
      <c r="B33" s="51">
        <f t="shared" si="1"/>
        <v>0.625</v>
      </c>
      <c r="C33" s="1">
        <f>'Plantilla Datos'!K39</f>
        <v>7.1</v>
      </c>
      <c r="F33" s="107">
        <f>(Table29[[#This Row],[Fecha]]+2)</f>
        <v>45614.625000000073</v>
      </c>
      <c r="G33" s="52">
        <f>Table29[[#This Row],[Hora]]</f>
        <v>0.625</v>
      </c>
      <c r="H33" s="53">
        <f>VLOOKUP(Table18[[#This Row],[Fecha]],TBL_CalcDarwin[],46,1)</f>
        <v>7.3220000000000001</v>
      </c>
      <c r="I33" s="53">
        <f>VLOOKUP(Table18[[#This Row],[Fecha]],TBL_CalcDarwin[],47,1)</f>
        <v>5.9340000000000002</v>
      </c>
      <c r="J33" s="73">
        <f>VLOOKUP(Table18[[#This Row],[Fecha]],TBL_CalcDarwin[],44,1)</f>
        <v>3</v>
      </c>
      <c r="K33" s="73">
        <f>VLOOKUP(Table18[[#This Row],[Fecha]],TBL_CalcDarwin[],45,1)</f>
        <v>3</v>
      </c>
      <c r="L33" s="53">
        <f>Table18[[#This Row],[MW Proyectada (Barra A)]]+Table18[[#This Row],[MW Proyectada (Barra B)]]</f>
        <v>13.256</v>
      </c>
    </row>
    <row r="34" spans="1:12" x14ac:dyDescent="0.25">
      <c r="A34" s="106">
        <f t="shared" si="1"/>
        <v>45612.645833333409</v>
      </c>
      <c r="B34" s="51">
        <f t="shared" si="1"/>
        <v>0.64583333333333337</v>
      </c>
      <c r="C34" s="1">
        <f>'Plantilla Datos'!K40</f>
        <v>7.1</v>
      </c>
      <c r="F34" s="107">
        <f>(Table29[[#This Row],[Fecha]]+2)</f>
        <v>45614.645833333409</v>
      </c>
      <c r="G34" s="52">
        <f>Table29[[#This Row],[Hora]]</f>
        <v>0.64583333333333337</v>
      </c>
      <c r="H34" s="53">
        <f>VLOOKUP(Table18[[#This Row],[Fecha]],TBL_CalcDarwin[],46,1)</f>
        <v>7.3220000000000001</v>
      </c>
      <c r="I34" s="53">
        <f>VLOOKUP(Table18[[#This Row],[Fecha]],TBL_CalcDarwin[],47,1)</f>
        <v>5.9340000000000002</v>
      </c>
      <c r="J34" s="73">
        <f>VLOOKUP(Table18[[#This Row],[Fecha]],TBL_CalcDarwin[],44,1)</f>
        <v>3</v>
      </c>
      <c r="K34" s="73">
        <f>VLOOKUP(Table18[[#This Row],[Fecha]],TBL_CalcDarwin[],45,1)</f>
        <v>3</v>
      </c>
      <c r="L34" s="53">
        <f>Table18[[#This Row],[MW Proyectada (Barra A)]]+Table18[[#This Row],[MW Proyectada (Barra B)]]</f>
        <v>13.256</v>
      </c>
    </row>
    <row r="35" spans="1:12" x14ac:dyDescent="0.25">
      <c r="A35" s="106">
        <f t="shared" si="1"/>
        <v>45612.666666666744</v>
      </c>
      <c r="B35" s="51">
        <f t="shared" si="1"/>
        <v>0.66666666666666674</v>
      </c>
      <c r="C35" s="1">
        <f>'Plantilla Datos'!K41</f>
        <v>7.5</v>
      </c>
      <c r="F35" s="107">
        <f>(Table29[[#This Row],[Fecha]]+2)</f>
        <v>45614.666666666744</v>
      </c>
      <c r="G35" s="52">
        <f>Table29[[#This Row],[Hora]]</f>
        <v>0.66666666666666674</v>
      </c>
      <c r="H35" s="53">
        <f>VLOOKUP(Table18[[#This Row],[Fecha]],TBL_CalcDarwin[],46,1)</f>
        <v>8.66</v>
      </c>
      <c r="I35" s="53">
        <f>VLOOKUP(Table18[[#This Row],[Fecha]],TBL_CalcDarwin[],47,1)</f>
        <v>7.2269999999999994</v>
      </c>
      <c r="J35" s="73">
        <f>VLOOKUP(Table18[[#This Row],[Fecha]],TBL_CalcDarwin[],44,1)</f>
        <v>3</v>
      </c>
      <c r="K35" s="73">
        <f>VLOOKUP(Table18[[#This Row],[Fecha]],TBL_CalcDarwin[],45,1)</f>
        <v>3</v>
      </c>
      <c r="L35" s="53">
        <f>Table18[[#This Row],[MW Proyectada (Barra A)]]+Table18[[#This Row],[MW Proyectada (Barra B)]]</f>
        <v>15.887</v>
      </c>
    </row>
    <row r="36" spans="1:12" x14ac:dyDescent="0.25">
      <c r="A36" s="106">
        <f t="shared" si="1"/>
        <v>45612.68750000008</v>
      </c>
      <c r="B36" s="51">
        <f t="shared" si="1"/>
        <v>0.68750000000000011</v>
      </c>
      <c r="C36" s="1">
        <f>'Plantilla Datos'!K42</f>
        <v>5</v>
      </c>
      <c r="F36" s="107">
        <f>(Table29[[#This Row],[Fecha]]+2)</f>
        <v>45614.68750000008</v>
      </c>
      <c r="G36" s="52">
        <f>Table29[[#This Row],[Hora]]</f>
        <v>0.68750000000000011</v>
      </c>
      <c r="H36" s="53">
        <f>VLOOKUP(Table18[[#This Row],[Fecha]],TBL_CalcDarwin[],46,1)</f>
        <v>8.66</v>
      </c>
      <c r="I36" s="53">
        <f>VLOOKUP(Table18[[#This Row],[Fecha]],TBL_CalcDarwin[],47,1)</f>
        <v>7.2269999999999994</v>
      </c>
      <c r="J36" s="73">
        <f>VLOOKUP(Table18[[#This Row],[Fecha]],TBL_CalcDarwin[],44,1)</f>
        <v>3</v>
      </c>
      <c r="K36" s="73">
        <f>VLOOKUP(Table18[[#This Row],[Fecha]],TBL_CalcDarwin[],45,1)</f>
        <v>3</v>
      </c>
      <c r="L36" s="53">
        <f>Table18[[#This Row],[MW Proyectada (Barra A)]]+Table18[[#This Row],[MW Proyectada (Barra B)]]</f>
        <v>15.887</v>
      </c>
    </row>
    <row r="37" spans="1:12" x14ac:dyDescent="0.25">
      <c r="A37" s="106">
        <f t="shared" ref="A37:B50" si="2">A36+TIME(0,30,0)</f>
        <v>45612.708333333416</v>
      </c>
      <c r="B37" s="51">
        <f t="shared" si="2"/>
        <v>0.70833333333333348</v>
      </c>
      <c r="C37" s="1">
        <f>'Plantilla Datos'!K43</f>
        <v>5.3</v>
      </c>
      <c r="F37" s="107">
        <f>(Table29[[#This Row],[Fecha]]+2)</f>
        <v>45614.708333333416</v>
      </c>
      <c r="G37" s="52">
        <f>Table29[[#This Row],[Hora]]</f>
        <v>0.70833333333333348</v>
      </c>
      <c r="H37" s="53">
        <f>VLOOKUP(Table18[[#This Row],[Fecha]],TBL_CalcDarwin[],46,1)</f>
        <v>8.66</v>
      </c>
      <c r="I37" s="53">
        <f>VLOOKUP(Table18[[#This Row],[Fecha]],TBL_CalcDarwin[],47,1)</f>
        <v>7.2269999999999994</v>
      </c>
      <c r="J37" s="73">
        <f>VLOOKUP(Table18[[#This Row],[Fecha]],TBL_CalcDarwin[],44,1)</f>
        <v>3</v>
      </c>
      <c r="K37" s="73">
        <f>VLOOKUP(Table18[[#This Row],[Fecha]],TBL_CalcDarwin[],45,1)</f>
        <v>3</v>
      </c>
      <c r="L37" s="53">
        <f>Table18[[#This Row],[MW Proyectada (Barra A)]]+Table18[[#This Row],[MW Proyectada (Barra B)]]</f>
        <v>15.887</v>
      </c>
    </row>
    <row r="38" spans="1:12" x14ac:dyDescent="0.25">
      <c r="A38" s="106">
        <f t="shared" si="2"/>
        <v>45612.729166666752</v>
      </c>
      <c r="B38" s="51">
        <f t="shared" si="2"/>
        <v>0.72916666666666685</v>
      </c>
      <c r="C38" s="1">
        <f>'Plantilla Datos'!K44</f>
        <v>5.3</v>
      </c>
      <c r="F38" s="107">
        <f>(Table29[[#This Row],[Fecha]]+2)</f>
        <v>45614.729166666752</v>
      </c>
      <c r="G38" s="52">
        <f>Table29[[#This Row],[Hora]]</f>
        <v>0.72916666666666685</v>
      </c>
      <c r="H38" s="53">
        <f>VLOOKUP(Table18[[#This Row],[Fecha]],TBL_CalcDarwin[],46,1)</f>
        <v>8.66</v>
      </c>
      <c r="I38" s="53">
        <f>VLOOKUP(Table18[[#This Row],[Fecha]],TBL_CalcDarwin[],47,1)</f>
        <v>7.2269999999999994</v>
      </c>
      <c r="J38" s="73">
        <f>VLOOKUP(Table18[[#This Row],[Fecha]],TBL_CalcDarwin[],44,1)</f>
        <v>3</v>
      </c>
      <c r="K38" s="73">
        <f>VLOOKUP(Table18[[#This Row],[Fecha]],TBL_CalcDarwin[],45,1)</f>
        <v>3</v>
      </c>
      <c r="L38" s="53">
        <f>Table18[[#This Row],[MW Proyectada (Barra A)]]+Table18[[#This Row],[MW Proyectada (Barra B)]]</f>
        <v>15.887</v>
      </c>
    </row>
    <row r="39" spans="1:12" x14ac:dyDescent="0.25">
      <c r="A39" s="106">
        <f t="shared" si="2"/>
        <v>45612.750000000087</v>
      </c>
      <c r="B39" s="51">
        <f t="shared" si="2"/>
        <v>0.75000000000000022</v>
      </c>
      <c r="C39" s="1">
        <f>'Plantilla Datos'!K45</f>
        <v>5.6</v>
      </c>
      <c r="F39" s="107">
        <f>(Table29[[#This Row],[Fecha]]+2)</f>
        <v>45614.750000000087</v>
      </c>
      <c r="G39" s="52">
        <f>Table29[[#This Row],[Hora]]</f>
        <v>0.75000000000000022</v>
      </c>
      <c r="H39" s="53">
        <f>VLOOKUP(Table18[[#This Row],[Fecha]],TBL_CalcDarwin[],46,1)</f>
        <v>8.66</v>
      </c>
      <c r="I39" s="53">
        <f>VLOOKUP(Table18[[#This Row],[Fecha]],TBL_CalcDarwin[],47,1)</f>
        <v>7.2269999999999994</v>
      </c>
      <c r="J39" s="73">
        <f>VLOOKUP(Table18[[#This Row],[Fecha]],TBL_CalcDarwin[],44,1)</f>
        <v>3</v>
      </c>
      <c r="K39" s="73">
        <f>VLOOKUP(Table18[[#This Row],[Fecha]],TBL_CalcDarwin[],45,1)</f>
        <v>3</v>
      </c>
      <c r="L39" s="53">
        <f>Table18[[#This Row],[MW Proyectada (Barra A)]]+Table18[[#This Row],[MW Proyectada (Barra B)]]</f>
        <v>15.887</v>
      </c>
    </row>
    <row r="40" spans="1:12" x14ac:dyDescent="0.25">
      <c r="A40" s="106">
        <f t="shared" si="2"/>
        <v>45612.770833333423</v>
      </c>
      <c r="B40" s="51">
        <f t="shared" si="2"/>
        <v>0.77083333333333359</v>
      </c>
      <c r="C40" s="1">
        <f>'Plantilla Datos'!K46</f>
        <v>7.2</v>
      </c>
      <c r="F40" s="107">
        <f>(Table29[[#This Row],[Fecha]]+2)</f>
        <v>45614.770833333423</v>
      </c>
      <c r="G40" s="52">
        <f>Table29[[#This Row],[Hora]]</f>
        <v>0.77083333333333359</v>
      </c>
      <c r="H40" s="53">
        <f>VLOOKUP(Table18[[#This Row],[Fecha]],TBL_CalcDarwin[],46,1)</f>
        <v>8.66</v>
      </c>
      <c r="I40" s="53">
        <f>VLOOKUP(Table18[[#This Row],[Fecha]],TBL_CalcDarwin[],47,1)</f>
        <v>7.2269999999999994</v>
      </c>
      <c r="J40" s="73">
        <f>VLOOKUP(Table18[[#This Row],[Fecha]],TBL_CalcDarwin[],44,1)</f>
        <v>3</v>
      </c>
      <c r="K40" s="73">
        <f>VLOOKUP(Table18[[#This Row],[Fecha]],TBL_CalcDarwin[],45,1)</f>
        <v>3</v>
      </c>
      <c r="L40" s="53">
        <f>Table18[[#This Row],[MW Proyectada (Barra A)]]+Table18[[#This Row],[MW Proyectada (Barra B)]]</f>
        <v>15.887</v>
      </c>
    </row>
    <row r="41" spans="1:12" x14ac:dyDescent="0.25">
      <c r="A41" s="106">
        <f t="shared" si="2"/>
        <v>45612.791666666759</v>
      </c>
      <c r="B41" s="51">
        <f t="shared" si="2"/>
        <v>0.79166666666666696</v>
      </c>
      <c r="C41" s="1">
        <f>'Plantilla Datos'!K47</f>
        <v>7.2</v>
      </c>
      <c r="F41" s="107">
        <f>(Table29[[#This Row],[Fecha]]+2)</f>
        <v>45614.791666666759</v>
      </c>
      <c r="G41" s="52">
        <f>Table29[[#This Row],[Hora]]</f>
        <v>0.79166666666666696</v>
      </c>
      <c r="H41" s="53">
        <f>VLOOKUP(Table18[[#This Row],[Fecha]],TBL_CalcDarwin[],46,1)</f>
        <v>10.039999999999999</v>
      </c>
      <c r="I41" s="53">
        <f>VLOOKUP(Table18[[#This Row],[Fecha]],TBL_CalcDarwin[],47,1)</f>
        <v>8.6340000000000003</v>
      </c>
      <c r="J41" s="73">
        <f>VLOOKUP(Table18[[#This Row],[Fecha]],TBL_CalcDarwin[],44,1)</f>
        <v>3</v>
      </c>
      <c r="K41" s="73">
        <f>VLOOKUP(Table18[[#This Row],[Fecha]],TBL_CalcDarwin[],45,1)</f>
        <v>3</v>
      </c>
      <c r="L41" s="53">
        <f>Table18[[#This Row],[MW Proyectada (Barra A)]]+Table18[[#This Row],[MW Proyectada (Barra B)]]</f>
        <v>18.673999999999999</v>
      </c>
    </row>
    <row r="42" spans="1:12" x14ac:dyDescent="0.25">
      <c r="A42" s="106">
        <f t="shared" si="2"/>
        <v>45612.812500000095</v>
      </c>
      <c r="B42" s="51">
        <f t="shared" si="2"/>
        <v>0.81250000000000033</v>
      </c>
      <c r="C42" s="1">
        <f>'Plantilla Datos'!K48</f>
        <v>6.1</v>
      </c>
      <c r="F42" s="107">
        <f>(Table29[[#This Row],[Fecha]]+2)</f>
        <v>45614.812500000095</v>
      </c>
      <c r="G42" s="52">
        <f>Table29[[#This Row],[Hora]]</f>
        <v>0.81250000000000033</v>
      </c>
      <c r="H42" s="53">
        <f>VLOOKUP(Table18[[#This Row],[Fecha]],TBL_CalcDarwin[],46,1)</f>
        <v>10.039999999999999</v>
      </c>
      <c r="I42" s="53">
        <f>VLOOKUP(Table18[[#This Row],[Fecha]],TBL_CalcDarwin[],47,1)</f>
        <v>8.6340000000000003</v>
      </c>
      <c r="J42" s="73">
        <f>VLOOKUP(Table18[[#This Row],[Fecha]],TBL_CalcDarwin[],44,1)</f>
        <v>3</v>
      </c>
      <c r="K42" s="73">
        <f>VLOOKUP(Table18[[#This Row],[Fecha]],TBL_CalcDarwin[],45,1)</f>
        <v>3</v>
      </c>
      <c r="L42" s="53">
        <f>Table18[[#This Row],[MW Proyectada (Barra A)]]+Table18[[#This Row],[MW Proyectada (Barra B)]]</f>
        <v>18.673999999999999</v>
      </c>
    </row>
    <row r="43" spans="1:12" x14ac:dyDescent="0.25">
      <c r="A43" s="106">
        <f t="shared" si="2"/>
        <v>45612.83333333343</v>
      </c>
      <c r="B43" s="51">
        <f t="shared" si="2"/>
        <v>0.8333333333333337</v>
      </c>
      <c r="C43" s="1">
        <f>'Plantilla Datos'!K49</f>
        <v>7.1</v>
      </c>
      <c r="F43" s="107">
        <f>(Table29[[#This Row],[Fecha]]+2)</f>
        <v>45614.83333333343</v>
      </c>
      <c r="G43" s="52">
        <f>Table29[[#This Row],[Hora]]</f>
        <v>0.8333333333333337</v>
      </c>
      <c r="H43" s="53">
        <f>VLOOKUP(Table18[[#This Row],[Fecha]],TBL_CalcDarwin[],46,1)</f>
        <v>8.66</v>
      </c>
      <c r="I43" s="53">
        <f>VLOOKUP(Table18[[#This Row],[Fecha]],TBL_CalcDarwin[],47,1)</f>
        <v>7.2269999999999994</v>
      </c>
      <c r="J43" s="73">
        <f>VLOOKUP(Table18[[#This Row],[Fecha]],TBL_CalcDarwin[],44,1)</f>
        <v>3</v>
      </c>
      <c r="K43" s="73">
        <f>VLOOKUP(Table18[[#This Row],[Fecha]],TBL_CalcDarwin[],45,1)</f>
        <v>3</v>
      </c>
      <c r="L43" s="53">
        <f>Table18[[#This Row],[MW Proyectada (Barra A)]]+Table18[[#This Row],[MW Proyectada (Barra B)]]</f>
        <v>15.887</v>
      </c>
    </row>
    <row r="44" spans="1:12" x14ac:dyDescent="0.25">
      <c r="A44" s="106">
        <f t="shared" si="2"/>
        <v>45612.854166666766</v>
      </c>
      <c r="B44" s="51">
        <f t="shared" si="2"/>
        <v>0.85416666666666707</v>
      </c>
      <c r="C44" s="1">
        <f>'Plantilla Datos'!K50</f>
        <v>7.2</v>
      </c>
      <c r="F44" s="107">
        <f>(Table29[[#This Row],[Fecha]]+2)</f>
        <v>45614.854166666766</v>
      </c>
      <c r="G44" s="52">
        <f>Table29[[#This Row],[Hora]]</f>
        <v>0.85416666666666707</v>
      </c>
      <c r="H44" s="53">
        <f>VLOOKUP(Table18[[#This Row],[Fecha]],TBL_CalcDarwin[],46,1)</f>
        <v>8.66</v>
      </c>
      <c r="I44" s="53">
        <f>VLOOKUP(Table18[[#This Row],[Fecha]],TBL_CalcDarwin[],47,1)</f>
        <v>7.2269999999999994</v>
      </c>
      <c r="J44" s="73">
        <f>VLOOKUP(Table18[[#This Row],[Fecha]],TBL_CalcDarwin[],44,1)</f>
        <v>3</v>
      </c>
      <c r="K44" s="73">
        <f>VLOOKUP(Table18[[#This Row],[Fecha]],TBL_CalcDarwin[],45,1)</f>
        <v>3</v>
      </c>
      <c r="L44" s="53">
        <f>Table18[[#This Row],[MW Proyectada (Barra A)]]+Table18[[#This Row],[MW Proyectada (Barra B)]]</f>
        <v>15.887</v>
      </c>
    </row>
    <row r="45" spans="1:12" x14ac:dyDescent="0.25">
      <c r="A45" s="106">
        <f t="shared" si="2"/>
        <v>45612.875000000102</v>
      </c>
      <c r="B45" s="51">
        <f t="shared" si="2"/>
        <v>0.87500000000000044</v>
      </c>
      <c r="C45" s="1">
        <f>'Plantilla Datos'!K51</f>
        <v>7.8</v>
      </c>
      <c r="F45" s="107">
        <f>(Table29[[#This Row],[Fecha]]+2)</f>
        <v>45614.875000000102</v>
      </c>
      <c r="G45" s="52">
        <f>Table29[[#This Row],[Hora]]</f>
        <v>0.87500000000000044</v>
      </c>
      <c r="H45" s="53">
        <f>VLOOKUP(Table18[[#This Row],[Fecha]],TBL_CalcDarwin[],46,1)</f>
        <v>8.66</v>
      </c>
      <c r="I45" s="53">
        <f>VLOOKUP(Table18[[#This Row],[Fecha]],TBL_CalcDarwin[],47,1)</f>
        <v>7.2269999999999994</v>
      </c>
      <c r="J45" s="73">
        <f>VLOOKUP(Table18[[#This Row],[Fecha]],TBL_CalcDarwin[],44,1)</f>
        <v>3</v>
      </c>
      <c r="K45" s="73">
        <f>VLOOKUP(Table18[[#This Row],[Fecha]],TBL_CalcDarwin[],45,1)</f>
        <v>3</v>
      </c>
      <c r="L45" s="53">
        <f>Table18[[#This Row],[MW Proyectada (Barra A)]]+Table18[[#This Row],[MW Proyectada (Barra B)]]</f>
        <v>15.887</v>
      </c>
    </row>
    <row r="46" spans="1:12" x14ac:dyDescent="0.25">
      <c r="A46" s="106">
        <f t="shared" si="2"/>
        <v>45612.895833333438</v>
      </c>
      <c r="B46" s="51">
        <f t="shared" si="2"/>
        <v>0.89583333333333381</v>
      </c>
      <c r="C46" s="1">
        <f>'Plantilla Datos'!K52</f>
        <v>8.6</v>
      </c>
      <c r="F46" s="107">
        <f>(Table29[[#This Row],[Fecha]]+2)</f>
        <v>45614.895833333438</v>
      </c>
      <c r="G46" s="52">
        <f>Table29[[#This Row],[Hora]]</f>
        <v>0.89583333333333381</v>
      </c>
      <c r="H46" s="53">
        <f>VLOOKUP(Table18[[#This Row],[Fecha]],TBL_CalcDarwin[],46,1)</f>
        <v>8.66</v>
      </c>
      <c r="I46" s="53">
        <f>VLOOKUP(Table18[[#This Row],[Fecha]],TBL_CalcDarwin[],47,1)</f>
        <v>7.2269999999999994</v>
      </c>
      <c r="J46" s="73">
        <f>VLOOKUP(Table18[[#This Row],[Fecha]],TBL_CalcDarwin[],44,1)</f>
        <v>3</v>
      </c>
      <c r="K46" s="73">
        <f>VLOOKUP(Table18[[#This Row],[Fecha]],TBL_CalcDarwin[],45,1)</f>
        <v>3</v>
      </c>
      <c r="L46" s="53">
        <f>Table18[[#This Row],[MW Proyectada (Barra A)]]+Table18[[#This Row],[MW Proyectada (Barra B)]]</f>
        <v>15.887</v>
      </c>
    </row>
    <row r="47" spans="1:12" x14ac:dyDescent="0.25">
      <c r="A47" s="106">
        <f t="shared" si="2"/>
        <v>45612.916666666773</v>
      </c>
      <c r="B47" s="51">
        <f t="shared" si="2"/>
        <v>0.91666666666666718</v>
      </c>
      <c r="C47" s="1">
        <f>'Plantilla Datos'!K53</f>
        <v>8.5</v>
      </c>
      <c r="F47" s="107">
        <f>(Table29[[#This Row],[Fecha]]+2)</f>
        <v>45614.916666666773</v>
      </c>
      <c r="G47" s="52">
        <f>Table29[[#This Row],[Hora]]</f>
        <v>0.91666666666666718</v>
      </c>
      <c r="H47" s="53">
        <f>VLOOKUP(Table18[[#This Row],[Fecha]],TBL_CalcDarwin[],46,1)</f>
        <v>7.3220000000000001</v>
      </c>
      <c r="I47" s="53">
        <f>VLOOKUP(Table18[[#This Row],[Fecha]],TBL_CalcDarwin[],47,1)</f>
        <v>5.9340000000000002</v>
      </c>
      <c r="J47" s="73">
        <f>VLOOKUP(Table18[[#This Row],[Fecha]],TBL_CalcDarwin[],44,1)</f>
        <v>3</v>
      </c>
      <c r="K47" s="73">
        <f>VLOOKUP(Table18[[#This Row],[Fecha]],TBL_CalcDarwin[],45,1)</f>
        <v>3</v>
      </c>
      <c r="L47" s="53">
        <f>Table18[[#This Row],[MW Proyectada (Barra A)]]+Table18[[#This Row],[MW Proyectada (Barra B)]]</f>
        <v>13.256</v>
      </c>
    </row>
    <row r="48" spans="1:12" x14ac:dyDescent="0.25">
      <c r="A48" s="106">
        <f t="shared" si="2"/>
        <v>45612.937500000109</v>
      </c>
      <c r="B48" s="51">
        <f t="shared" si="2"/>
        <v>0.93750000000000056</v>
      </c>
      <c r="C48" s="1">
        <f>'Plantilla Datos'!K54</f>
        <v>7.3</v>
      </c>
      <c r="F48" s="107">
        <f>(Table29[[#This Row],[Fecha]]+2)</f>
        <v>45614.937500000109</v>
      </c>
      <c r="G48" s="52">
        <f>Table29[[#This Row],[Hora]]</f>
        <v>0.93750000000000056</v>
      </c>
      <c r="H48" s="53">
        <f>VLOOKUP(Table18[[#This Row],[Fecha]],TBL_CalcDarwin[],46,1)</f>
        <v>7.3220000000000001</v>
      </c>
      <c r="I48" s="53">
        <f>VLOOKUP(Table18[[#This Row],[Fecha]],TBL_CalcDarwin[],47,1)</f>
        <v>5.9340000000000002</v>
      </c>
      <c r="J48" s="73">
        <f>VLOOKUP(Table18[[#This Row],[Fecha]],TBL_CalcDarwin[],44,1)</f>
        <v>3</v>
      </c>
      <c r="K48" s="73">
        <f>VLOOKUP(Table18[[#This Row],[Fecha]],TBL_CalcDarwin[],45,1)</f>
        <v>3</v>
      </c>
      <c r="L48" s="53">
        <f>Table18[[#This Row],[MW Proyectada (Barra A)]]+Table18[[#This Row],[MW Proyectada (Barra B)]]</f>
        <v>13.256</v>
      </c>
    </row>
    <row r="49" spans="1:12" x14ac:dyDescent="0.25">
      <c r="A49" s="106">
        <f t="shared" si="2"/>
        <v>45612.958333333445</v>
      </c>
      <c r="B49" s="51">
        <f t="shared" si="2"/>
        <v>0.95833333333333393</v>
      </c>
      <c r="C49" s="1">
        <f>'Plantilla Datos'!K55</f>
        <v>8.9</v>
      </c>
      <c r="F49" s="107">
        <f>(Table29[[#This Row],[Fecha]]+2)</f>
        <v>45614.958333333445</v>
      </c>
      <c r="G49" s="52">
        <f>Table29[[#This Row],[Hora]]</f>
        <v>0.95833333333333393</v>
      </c>
      <c r="H49" s="53">
        <f>VLOOKUP(Table18[[#This Row],[Fecha]],TBL_CalcDarwin[],46,1)</f>
        <v>6.0720000000000001</v>
      </c>
      <c r="I49" s="53">
        <f>VLOOKUP(Table18[[#This Row],[Fecha]],TBL_CalcDarwin[],47,1)</f>
        <v>4.7910000000000004</v>
      </c>
      <c r="J49" s="73">
        <f>VLOOKUP(Table18[[#This Row],[Fecha]],TBL_CalcDarwin[],44,1)</f>
        <v>3</v>
      </c>
      <c r="K49" s="73">
        <f>VLOOKUP(Table18[[#This Row],[Fecha]],TBL_CalcDarwin[],45,1)</f>
        <v>3</v>
      </c>
      <c r="L49" s="53">
        <f>Table18[[#This Row],[MW Proyectada (Barra A)]]+Table18[[#This Row],[MW Proyectada (Barra B)]]</f>
        <v>10.863</v>
      </c>
    </row>
    <row r="50" spans="1:12" x14ac:dyDescent="0.25">
      <c r="A50" s="106">
        <f t="shared" si="2"/>
        <v>45612.979166666781</v>
      </c>
      <c r="B50" s="51">
        <f t="shared" si="2"/>
        <v>0.9791666666666673</v>
      </c>
      <c r="C50" s="1">
        <f>'Plantilla Datos'!K56</f>
        <v>7.9</v>
      </c>
      <c r="F50" s="107">
        <f>(Table29[[#This Row],[Fecha]]+2)</f>
        <v>45614.979166666781</v>
      </c>
      <c r="G50" s="52">
        <f>Table29[[#This Row],[Hora]]</f>
        <v>0.9791666666666673</v>
      </c>
      <c r="H50" s="53">
        <f>VLOOKUP(Table18[[#This Row],[Fecha]],TBL_CalcDarwin[],46,1)</f>
        <v>6.0720000000000001</v>
      </c>
      <c r="I50" s="53">
        <f>VLOOKUP(Table18[[#This Row],[Fecha]],TBL_CalcDarwin[],47,1)</f>
        <v>4.7910000000000004</v>
      </c>
      <c r="J50" s="73">
        <f>VLOOKUP(Table18[[#This Row],[Fecha]],TBL_CalcDarwin[],44,1)</f>
        <v>3</v>
      </c>
      <c r="K50" s="73">
        <f>VLOOKUP(Table18[[#This Row],[Fecha]],TBL_CalcDarwin[],45,1)</f>
        <v>3</v>
      </c>
      <c r="L50" s="53">
        <f>Table18[[#This Row],[MW Proyectada (Barra A)]]+Table18[[#This Row],[MW Proyectada (Barra B)]]</f>
        <v>10.863</v>
      </c>
    </row>
  </sheetData>
  <mergeCells count="2">
    <mergeCell ref="A1:C1"/>
    <mergeCell ref="F1:L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6A861-0D19-4B78-84F1-981933BF3340}">
  <sheetPr>
    <tabColor theme="1"/>
  </sheetPr>
  <dimension ref="B1:S228"/>
  <sheetViews>
    <sheetView zoomScale="80" zoomScaleNormal="80" workbookViewId="0">
      <pane ySplit="2" topLeftCell="A3" activePane="bottomLeft" state="frozen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9.5703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  <col min="12" max="12" width="10.5703125" bestFit="1" customWidth="1"/>
    <col min="13" max="13" width="11.7109375" customWidth="1"/>
    <col min="14" max="14" width="12" bestFit="1" customWidth="1"/>
  </cols>
  <sheetData>
    <row r="1" spans="2:19" ht="18.75" x14ac:dyDescent="0.3">
      <c r="B1" s="100" t="str">
        <f>"PROYECCIÓN DE GENERACIÓN PLOM "&amp;TEXT(B3,"DD MMM")&amp;" - "&amp;TEXT(B3+9,"DD MMM")</f>
        <v>PROYECCIÓN DE GENERACIÓN PLOM 16 Nov - 25 Nov</v>
      </c>
      <c r="C1" s="98"/>
      <c r="D1" s="98"/>
      <c r="E1" s="99"/>
      <c r="F1" s="101"/>
    </row>
    <row r="2" spans="2:19" ht="59.25" customHeight="1" x14ac:dyDescent="0.25">
      <c r="B2" s="15" t="s">
        <v>0</v>
      </c>
      <c r="C2" s="15" t="s">
        <v>1</v>
      </c>
      <c r="D2" s="15" t="s">
        <v>191</v>
      </c>
      <c r="E2" s="15" t="s">
        <v>174</v>
      </c>
      <c r="F2" s="13" t="s">
        <v>175</v>
      </c>
      <c r="G2" s="13" t="s">
        <v>176</v>
      </c>
      <c r="H2" s="13" t="s">
        <v>177</v>
      </c>
      <c r="I2" s="13" t="s">
        <v>178</v>
      </c>
      <c r="J2" s="15" t="s">
        <v>179</v>
      </c>
      <c r="L2" s="72" t="s">
        <v>188</v>
      </c>
      <c r="M2" s="72" t="s">
        <v>189</v>
      </c>
      <c r="N2" s="72" t="s">
        <v>190</v>
      </c>
    </row>
    <row r="3" spans="2:19" x14ac:dyDescent="0.25">
      <c r="B3" s="91">
        <f>'Plantilla Datos'!E3+'Plantilla Datos'!E4</f>
        <v>45612.083333333336</v>
      </c>
      <c r="C3" s="52">
        <f>'Plantilla Datos'!E4</f>
        <v>8.3333333333333329E-2</v>
      </c>
      <c r="D3" s="92">
        <f>Table110[[#This Row],[Fecha]]</f>
        <v>45612.083333333336</v>
      </c>
      <c r="E3" s="53" t="e">
        <f>VLOOKUP(Table110[[#This Row],[FECHA /HORA]],TBL_CalcDarwin[],7,0)</f>
        <v>#N/A</v>
      </c>
      <c r="F3" s="53" t="e">
        <f>VLOOKUP(Table110[[#This Row],[FECHA /HORA]],TBL_CalcDarwin[],42,0)</f>
        <v>#N/A</v>
      </c>
      <c r="G3" s="53" t="e">
        <f>VLOOKUP(Table110[[#This Row],[FECHA /HORA]],TBL_CalcDarwin[],43,0)</f>
        <v>#N/A</v>
      </c>
      <c r="H3" s="53" t="e">
        <f>VLOOKUP(Table110[[#This Row],[FECHA /HORA]],TBL_CalcDarwin[],40,0)</f>
        <v>#N/A</v>
      </c>
      <c r="I3" s="53" t="e">
        <f>VLOOKUP(Table110[[#This Row],[FECHA /HORA]],TBL_CalcDarwin[],41,0)</f>
        <v>#N/A</v>
      </c>
      <c r="J3" s="53" t="e">
        <f>Table110[[#This Row],[MW Proyectada (Barra A)]]+Table110[[#This Row],[MW Proyectada (Barra B)]]</f>
        <v>#N/A</v>
      </c>
      <c r="L3" s="53" t="e">
        <f>M3+N3</f>
        <v>#N/A</v>
      </c>
      <c r="M3" s="53" t="e">
        <f>IF(Table110[[#This Row],[TOTAL MW]]&lt;165,Table110[[#This Row],[MW Proyectada (Barra A)]],Table110[[#This Row],[MW Proyectada (Barra A)]]*165/Table110[[#This Row],[TOTAL MW]])</f>
        <v>#N/A</v>
      </c>
      <c r="N3" s="53" t="e">
        <f>IF(Table110[[#This Row],[TOTAL MW]]&lt;165,Table110[[#This Row],[MW Proyectada (Barra B)]],Table110[[#This Row],[MW Proyectada (Barra B)]]*165/Table110[[#This Row],[TOTAL MW]])</f>
        <v>#N/A</v>
      </c>
      <c r="P3" s="90"/>
      <c r="Q3" s="90"/>
    </row>
    <row r="4" spans="2:19" x14ac:dyDescent="0.25">
      <c r="B4" s="91">
        <f>B3+TIME(1,0,0)</f>
        <v>45612.125</v>
      </c>
      <c r="C4" s="52">
        <f>C3+TIME(1,0,0)</f>
        <v>0.125</v>
      </c>
      <c r="D4" s="92">
        <f>Table110[[#This Row],[Fecha]]</f>
        <v>45612.125</v>
      </c>
      <c r="E4" s="53" t="e">
        <f>VLOOKUP(Table110[[#This Row],[FECHA /HORA]],TBL_CalcDarwin[],7,0)</f>
        <v>#N/A</v>
      </c>
      <c r="F4" s="53" t="e">
        <f>VLOOKUP(Table110[[#This Row],[FECHA /HORA]],TBL_CalcDarwin[],42,0)</f>
        <v>#N/A</v>
      </c>
      <c r="G4" s="53" t="e">
        <f>VLOOKUP(Table110[[#This Row],[FECHA /HORA]],TBL_CalcDarwin[],43,0)</f>
        <v>#N/A</v>
      </c>
      <c r="H4" s="53" t="e">
        <f>VLOOKUP(Table110[[#This Row],[FECHA /HORA]],TBL_CalcDarwin[],40,0)</f>
        <v>#N/A</v>
      </c>
      <c r="I4" s="53" t="e">
        <f>VLOOKUP(Table110[[#This Row],[FECHA /HORA]],TBL_CalcDarwin[],41,0)</f>
        <v>#N/A</v>
      </c>
      <c r="J4" s="53" t="e">
        <f>Table110[[#This Row],[MW Proyectada (Barra A)]]+Table110[[#This Row],[MW Proyectada (Barra B)]]</f>
        <v>#N/A</v>
      </c>
      <c r="L4" s="53" t="e">
        <f t="shared" ref="L4:L67" si="0">M4+N4</f>
        <v>#N/A</v>
      </c>
      <c r="M4" s="53" t="e">
        <f>IF(Table110[[#This Row],[TOTAL MW]]&lt;165,Table110[[#This Row],[MW Proyectada (Barra A)]],Table110[[#This Row],[MW Proyectada (Barra A)]]*165/Table110[[#This Row],[TOTAL MW]])</f>
        <v>#N/A</v>
      </c>
      <c r="N4" s="53" t="e">
        <f>IF(Table110[[#This Row],[TOTAL MW]]&lt;165,Table110[[#This Row],[MW Proyectada (Barra B)]],Table110[[#This Row],[MW Proyectada (Barra B)]]*165/Table110[[#This Row],[TOTAL MW]])</f>
        <v>#N/A</v>
      </c>
      <c r="P4" s="90"/>
      <c r="Q4" s="90"/>
    </row>
    <row r="5" spans="2:19" x14ac:dyDescent="0.25">
      <c r="B5" s="91">
        <f t="shared" ref="B5:B68" si="1">B4+TIME(1,0,0)</f>
        <v>45612.166666666664</v>
      </c>
      <c r="C5" s="52">
        <f t="shared" ref="C5:C68" si="2">C4+TIME(1,0,0)</f>
        <v>0.16666666666666666</v>
      </c>
      <c r="D5" s="92">
        <f>Table110[[#This Row],[Fecha]]</f>
        <v>45612.166666666664</v>
      </c>
      <c r="E5" s="53" t="e">
        <f>VLOOKUP(Table110[[#This Row],[FECHA /HORA]],TBL_CalcDarwin[],7,0)</f>
        <v>#N/A</v>
      </c>
      <c r="F5" s="53" t="e">
        <f>VLOOKUP(Table110[[#This Row],[FECHA /HORA]],TBL_CalcDarwin[],42,0)</f>
        <v>#N/A</v>
      </c>
      <c r="G5" s="53" t="e">
        <f>VLOOKUP(Table110[[#This Row],[FECHA /HORA]],TBL_CalcDarwin[],43,0)</f>
        <v>#N/A</v>
      </c>
      <c r="H5" s="53" t="e">
        <f>VLOOKUP(Table110[[#This Row],[FECHA /HORA]],TBL_CalcDarwin[],40,0)</f>
        <v>#N/A</v>
      </c>
      <c r="I5" s="53" t="e">
        <f>VLOOKUP(Table110[[#This Row],[FECHA /HORA]],TBL_CalcDarwin[],41,0)</f>
        <v>#N/A</v>
      </c>
      <c r="J5" s="53" t="e">
        <f>Table110[[#This Row],[MW Proyectada (Barra A)]]+Table110[[#This Row],[MW Proyectada (Barra B)]]</f>
        <v>#N/A</v>
      </c>
      <c r="L5" s="53" t="e">
        <f t="shared" si="0"/>
        <v>#N/A</v>
      </c>
      <c r="M5" s="53" t="e">
        <f>IF(Table110[[#This Row],[TOTAL MW]]&lt;165,Table110[[#This Row],[MW Proyectada (Barra A)]],Table110[[#This Row],[MW Proyectada (Barra A)]]*165/Table110[[#This Row],[TOTAL MW]])</f>
        <v>#N/A</v>
      </c>
      <c r="N5" s="53" t="e">
        <f>IF(Table110[[#This Row],[TOTAL MW]]&lt;165,Table110[[#This Row],[MW Proyectada (Barra B)]],Table110[[#This Row],[MW Proyectada (Barra B)]]*165/Table110[[#This Row],[TOTAL MW]])</f>
        <v>#N/A</v>
      </c>
      <c r="P5" s="90"/>
      <c r="Q5" s="90"/>
    </row>
    <row r="6" spans="2:19" x14ac:dyDescent="0.25">
      <c r="B6" s="91">
        <f t="shared" si="1"/>
        <v>45612.208333333328</v>
      </c>
      <c r="C6" s="52">
        <f t="shared" si="2"/>
        <v>0.20833333333333331</v>
      </c>
      <c r="D6" s="92">
        <f>Table110[[#This Row],[Fecha]]</f>
        <v>45612.208333333328</v>
      </c>
      <c r="E6" s="53" t="e">
        <f>VLOOKUP(Table110[[#This Row],[FECHA /HORA]],TBL_CalcDarwin[],7,0)</f>
        <v>#N/A</v>
      </c>
      <c r="F6" s="53" t="e">
        <f>VLOOKUP(Table110[[#This Row],[FECHA /HORA]],TBL_CalcDarwin[],42,0)</f>
        <v>#N/A</v>
      </c>
      <c r="G6" s="53" t="e">
        <f>VLOOKUP(Table110[[#This Row],[FECHA /HORA]],TBL_CalcDarwin[],43,0)</f>
        <v>#N/A</v>
      </c>
      <c r="H6" s="53" t="e">
        <f>VLOOKUP(Table110[[#This Row],[FECHA /HORA]],TBL_CalcDarwin[],40,0)</f>
        <v>#N/A</v>
      </c>
      <c r="I6" s="53" t="e">
        <f>VLOOKUP(Table110[[#This Row],[FECHA /HORA]],TBL_CalcDarwin[],41,0)</f>
        <v>#N/A</v>
      </c>
      <c r="J6" s="53" t="e">
        <f>Table110[[#This Row],[MW Proyectada (Barra A)]]+Table110[[#This Row],[MW Proyectada (Barra B)]]</f>
        <v>#N/A</v>
      </c>
      <c r="L6" s="53" t="e">
        <f t="shared" si="0"/>
        <v>#N/A</v>
      </c>
      <c r="M6" s="53" t="e">
        <f>IF(Table110[[#This Row],[TOTAL MW]]&lt;165,Table110[[#This Row],[MW Proyectada (Barra A)]],Table110[[#This Row],[MW Proyectada (Barra A)]]*165/Table110[[#This Row],[TOTAL MW]])</f>
        <v>#N/A</v>
      </c>
      <c r="N6" s="53" t="e">
        <f>IF(Table110[[#This Row],[TOTAL MW]]&lt;165,Table110[[#This Row],[MW Proyectada (Barra B)]],Table110[[#This Row],[MW Proyectada (Barra B)]]*165/Table110[[#This Row],[TOTAL MW]])</f>
        <v>#N/A</v>
      </c>
      <c r="P6" s="90"/>
      <c r="Q6" s="90"/>
      <c r="R6" s="93"/>
      <c r="S6" s="93"/>
    </row>
    <row r="7" spans="2:19" x14ac:dyDescent="0.25">
      <c r="B7" s="91">
        <f t="shared" si="1"/>
        <v>45612.249999999993</v>
      </c>
      <c r="C7" s="52">
        <f t="shared" si="2"/>
        <v>0.24999999999999997</v>
      </c>
      <c r="D7" s="92">
        <f>Table110[[#This Row],[Fecha]]</f>
        <v>45612.249999999993</v>
      </c>
      <c r="E7" s="53" t="e">
        <f>VLOOKUP(Table110[[#This Row],[FECHA /HORA]],TBL_CalcDarwin[],7,0)</f>
        <v>#N/A</v>
      </c>
      <c r="F7" s="53" t="e">
        <f>VLOOKUP(Table110[[#This Row],[FECHA /HORA]],TBL_CalcDarwin[],42,0)</f>
        <v>#N/A</v>
      </c>
      <c r="G7" s="53" t="e">
        <f>VLOOKUP(Table110[[#This Row],[FECHA /HORA]],TBL_CalcDarwin[],43,0)</f>
        <v>#N/A</v>
      </c>
      <c r="H7" s="53" t="e">
        <f>VLOOKUP(Table110[[#This Row],[FECHA /HORA]],TBL_CalcDarwin[],40,0)</f>
        <v>#N/A</v>
      </c>
      <c r="I7" s="53" t="e">
        <f>VLOOKUP(Table110[[#This Row],[FECHA /HORA]],TBL_CalcDarwin[],41,0)</f>
        <v>#N/A</v>
      </c>
      <c r="J7" s="53" t="e">
        <f>Table110[[#This Row],[MW Proyectada (Barra A)]]+Table110[[#This Row],[MW Proyectada (Barra B)]]</f>
        <v>#N/A</v>
      </c>
      <c r="L7" s="53" t="e">
        <f t="shared" si="0"/>
        <v>#N/A</v>
      </c>
      <c r="M7" s="53" t="e">
        <f>IF(Table110[[#This Row],[TOTAL MW]]&lt;165,Table110[[#This Row],[MW Proyectada (Barra A)]],Table110[[#This Row],[MW Proyectada (Barra A)]]*165/Table110[[#This Row],[TOTAL MW]])</f>
        <v>#N/A</v>
      </c>
      <c r="N7" s="53" t="e">
        <f>IF(Table110[[#This Row],[TOTAL MW]]&lt;165,Table110[[#This Row],[MW Proyectada (Barra B)]],Table110[[#This Row],[MW Proyectada (Barra B)]]*165/Table110[[#This Row],[TOTAL MW]])</f>
        <v>#N/A</v>
      </c>
      <c r="P7" s="90"/>
      <c r="Q7" s="90"/>
      <c r="R7" s="93"/>
      <c r="S7" s="93"/>
    </row>
    <row r="8" spans="2:19" x14ac:dyDescent="0.25">
      <c r="B8" s="91">
        <f t="shared" si="1"/>
        <v>45612.291666666657</v>
      </c>
      <c r="C8" s="52">
        <f t="shared" si="2"/>
        <v>0.29166666666666663</v>
      </c>
      <c r="D8" s="92">
        <f>Table110[[#This Row],[Fecha]]</f>
        <v>45612.291666666657</v>
      </c>
      <c r="E8" s="53" t="e">
        <f>VLOOKUP(Table110[[#This Row],[FECHA /HORA]],TBL_CalcDarwin[],7,0)</f>
        <v>#N/A</v>
      </c>
      <c r="F8" s="53" t="e">
        <f>VLOOKUP(Table110[[#This Row],[FECHA /HORA]],TBL_CalcDarwin[],42,0)</f>
        <v>#N/A</v>
      </c>
      <c r="G8" s="53" t="e">
        <f>VLOOKUP(Table110[[#This Row],[FECHA /HORA]],TBL_CalcDarwin[],43,0)</f>
        <v>#N/A</v>
      </c>
      <c r="H8" s="53" t="e">
        <f>VLOOKUP(Table110[[#This Row],[FECHA /HORA]],TBL_CalcDarwin[],40,0)</f>
        <v>#N/A</v>
      </c>
      <c r="I8" s="53" t="e">
        <f>VLOOKUP(Table110[[#This Row],[FECHA /HORA]],TBL_CalcDarwin[],41,0)</f>
        <v>#N/A</v>
      </c>
      <c r="J8" s="53" t="e">
        <f>Table110[[#This Row],[MW Proyectada (Barra A)]]+Table110[[#This Row],[MW Proyectada (Barra B)]]</f>
        <v>#N/A</v>
      </c>
      <c r="L8" s="53" t="e">
        <f t="shared" si="0"/>
        <v>#N/A</v>
      </c>
      <c r="M8" s="53" t="e">
        <f>IF(Table110[[#This Row],[TOTAL MW]]&lt;165,Table110[[#This Row],[MW Proyectada (Barra A)]],Table110[[#This Row],[MW Proyectada (Barra A)]]*165/Table110[[#This Row],[TOTAL MW]])</f>
        <v>#N/A</v>
      </c>
      <c r="N8" s="53" t="e">
        <f>IF(Table110[[#This Row],[TOTAL MW]]&lt;165,Table110[[#This Row],[MW Proyectada (Barra B)]],Table110[[#This Row],[MW Proyectada (Barra B)]]*165/Table110[[#This Row],[TOTAL MW]])</f>
        <v>#N/A</v>
      </c>
      <c r="P8" s="90"/>
      <c r="Q8" s="90"/>
      <c r="R8" s="93"/>
      <c r="S8" s="93"/>
    </row>
    <row r="9" spans="2:19" x14ac:dyDescent="0.25">
      <c r="B9" s="91">
        <f t="shared" si="1"/>
        <v>45612.333333333321</v>
      </c>
      <c r="C9" s="52">
        <f t="shared" si="2"/>
        <v>0.33333333333333331</v>
      </c>
      <c r="D9" s="92">
        <f>Table110[[#This Row],[Fecha]]</f>
        <v>45612.333333333321</v>
      </c>
      <c r="E9" s="53" t="e">
        <f>VLOOKUP(Table110[[#This Row],[FECHA /HORA]],TBL_CalcDarwin[],7,0)</f>
        <v>#N/A</v>
      </c>
      <c r="F9" s="53" t="e">
        <f>VLOOKUP(Table110[[#This Row],[FECHA /HORA]],TBL_CalcDarwin[],42,0)</f>
        <v>#N/A</v>
      </c>
      <c r="G9" s="53" t="e">
        <f>VLOOKUP(Table110[[#This Row],[FECHA /HORA]],TBL_CalcDarwin[],43,0)</f>
        <v>#N/A</v>
      </c>
      <c r="H9" s="53" t="e">
        <f>VLOOKUP(Table110[[#This Row],[FECHA /HORA]],TBL_CalcDarwin[],40,0)</f>
        <v>#N/A</v>
      </c>
      <c r="I9" s="53" t="e">
        <f>VLOOKUP(Table110[[#This Row],[FECHA /HORA]],TBL_CalcDarwin[],41,0)</f>
        <v>#N/A</v>
      </c>
      <c r="J9" s="53" t="e">
        <f>Table110[[#This Row],[MW Proyectada (Barra A)]]+Table110[[#This Row],[MW Proyectada (Barra B)]]</f>
        <v>#N/A</v>
      </c>
      <c r="L9" s="53" t="e">
        <f t="shared" si="0"/>
        <v>#N/A</v>
      </c>
      <c r="M9" s="53" t="e">
        <f>IF(Table110[[#This Row],[TOTAL MW]]&lt;165,Table110[[#This Row],[MW Proyectada (Barra A)]],Table110[[#This Row],[MW Proyectada (Barra A)]]*165/Table110[[#This Row],[TOTAL MW]])</f>
        <v>#N/A</v>
      </c>
      <c r="N9" s="53" t="e">
        <f>IF(Table110[[#This Row],[TOTAL MW]]&lt;165,Table110[[#This Row],[MW Proyectada (Barra B)]],Table110[[#This Row],[MW Proyectada (Barra B)]]*165/Table110[[#This Row],[TOTAL MW]])</f>
        <v>#N/A</v>
      </c>
      <c r="P9" s="90"/>
      <c r="Q9" s="90"/>
      <c r="R9" s="93"/>
      <c r="S9" s="93"/>
    </row>
    <row r="10" spans="2:19" x14ac:dyDescent="0.25">
      <c r="B10" s="91">
        <f t="shared" si="1"/>
        <v>45612.374999999985</v>
      </c>
      <c r="C10" s="52">
        <f t="shared" si="2"/>
        <v>0.375</v>
      </c>
      <c r="D10" s="92">
        <f>Table110[[#This Row],[Fecha]]</f>
        <v>45612.374999999985</v>
      </c>
      <c r="E10" s="53" t="e">
        <f>VLOOKUP(Table110[[#This Row],[FECHA /HORA]],TBL_CalcDarwin[],7,0)</f>
        <v>#N/A</v>
      </c>
      <c r="F10" s="53" t="e">
        <f>VLOOKUP(Table110[[#This Row],[FECHA /HORA]],TBL_CalcDarwin[],42,0)</f>
        <v>#N/A</v>
      </c>
      <c r="G10" s="53" t="e">
        <f>VLOOKUP(Table110[[#This Row],[FECHA /HORA]],TBL_CalcDarwin[],43,0)</f>
        <v>#N/A</v>
      </c>
      <c r="H10" s="53" t="e">
        <f>VLOOKUP(Table110[[#This Row],[FECHA /HORA]],TBL_CalcDarwin[],40,0)</f>
        <v>#N/A</v>
      </c>
      <c r="I10" s="53" t="e">
        <f>VLOOKUP(Table110[[#This Row],[FECHA /HORA]],TBL_CalcDarwin[],41,0)</f>
        <v>#N/A</v>
      </c>
      <c r="J10" s="53" t="e">
        <f>Table110[[#This Row],[MW Proyectada (Barra A)]]+Table110[[#This Row],[MW Proyectada (Barra B)]]</f>
        <v>#N/A</v>
      </c>
      <c r="L10" s="53" t="e">
        <f t="shared" si="0"/>
        <v>#N/A</v>
      </c>
      <c r="M10" s="53" t="e">
        <f>IF(Table110[[#This Row],[TOTAL MW]]&lt;165,Table110[[#This Row],[MW Proyectada (Barra A)]],Table110[[#This Row],[MW Proyectada (Barra A)]]*165/Table110[[#This Row],[TOTAL MW]])</f>
        <v>#N/A</v>
      </c>
      <c r="N10" s="53" t="e">
        <f>IF(Table110[[#This Row],[TOTAL MW]]&lt;165,Table110[[#This Row],[MW Proyectada (Barra B)]],Table110[[#This Row],[MW Proyectada (Barra B)]]*165/Table110[[#This Row],[TOTAL MW]])</f>
        <v>#N/A</v>
      </c>
      <c r="P10" s="90"/>
      <c r="Q10" s="90"/>
      <c r="R10" s="93"/>
      <c r="S10" s="93"/>
    </row>
    <row r="11" spans="2:19" x14ac:dyDescent="0.25">
      <c r="B11" s="91">
        <f t="shared" si="1"/>
        <v>45612.41666666665</v>
      </c>
      <c r="C11" s="52">
        <f t="shared" si="2"/>
        <v>0.41666666666666669</v>
      </c>
      <c r="D11" s="92">
        <f>Table110[[#This Row],[Fecha]]</f>
        <v>45612.41666666665</v>
      </c>
      <c r="E11" s="53" t="e">
        <f>VLOOKUP(Table110[[#This Row],[FECHA /HORA]],TBL_CalcDarwin[],7,0)</f>
        <v>#N/A</v>
      </c>
      <c r="F11" s="53" t="e">
        <f>VLOOKUP(Table110[[#This Row],[FECHA /HORA]],TBL_CalcDarwin[],42,0)</f>
        <v>#N/A</v>
      </c>
      <c r="G11" s="53" t="e">
        <f>VLOOKUP(Table110[[#This Row],[FECHA /HORA]],TBL_CalcDarwin[],43,0)</f>
        <v>#N/A</v>
      </c>
      <c r="H11" s="53" t="e">
        <f>VLOOKUP(Table110[[#This Row],[FECHA /HORA]],TBL_CalcDarwin[],40,0)</f>
        <v>#N/A</v>
      </c>
      <c r="I11" s="53" t="e">
        <f>VLOOKUP(Table110[[#This Row],[FECHA /HORA]],TBL_CalcDarwin[],41,0)</f>
        <v>#N/A</v>
      </c>
      <c r="J11" s="53" t="e">
        <f>Table110[[#This Row],[MW Proyectada (Barra A)]]+Table110[[#This Row],[MW Proyectada (Barra B)]]</f>
        <v>#N/A</v>
      </c>
      <c r="L11" s="53" t="e">
        <f t="shared" si="0"/>
        <v>#N/A</v>
      </c>
      <c r="M11" s="53" t="e">
        <f>IF(Table110[[#This Row],[TOTAL MW]]&lt;165,Table110[[#This Row],[MW Proyectada (Barra A)]],Table110[[#This Row],[MW Proyectada (Barra A)]]*165/Table110[[#This Row],[TOTAL MW]])</f>
        <v>#N/A</v>
      </c>
      <c r="N11" s="53" t="e">
        <f>IF(Table110[[#This Row],[TOTAL MW]]&lt;165,Table110[[#This Row],[MW Proyectada (Barra B)]],Table110[[#This Row],[MW Proyectada (Barra B)]]*165/Table110[[#This Row],[TOTAL MW]])</f>
        <v>#N/A</v>
      </c>
      <c r="P11" s="90"/>
      <c r="Q11" s="90"/>
      <c r="R11" s="93"/>
      <c r="S11" s="93"/>
    </row>
    <row r="12" spans="2:19" x14ac:dyDescent="0.25">
      <c r="B12" s="91">
        <f t="shared" si="1"/>
        <v>45612.458333333314</v>
      </c>
      <c r="C12" s="52">
        <f t="shared" si="2"/>
        <v>0.45833333333333337</v>
      </c>
      <c r="D12" s="92">
        <f>Table110[[#This Row],[Fecha]]</f>
        <v>45612.458333333314</v>
      </c>
      <c r="E12" s="53" t="e">
        <f>VLOOKUP(Table110[[#This Row],[FECHA /HORA]],TBL_CalcDarwin[],7,0)</f>
        <v>#N/A</v>
      </c>
      <c r="F12" s="53" t="e">
        <f>VLOOKUP(Table110[[#This Row],[FECHA /HORA]],TBL_CalcDarwin[],42,0)</f>
        <v>#N/A</v>
      </c>
      <c r="G12" s="53" t="e">
        <f>VLOOKUP(Table110[[#This Row],[FECHA /HORA]],TBL_CalcDarwin[],43,0)</f>
        <v>#N/A</v>
      </c>
      <c r="H12" s="53" t="e">
        <f>VLOOKUP(Table110[[#This Row],[FECHA /HORA]],TBL_CalcDarwin[],40,0)</f>
        <v>#N/A</v>
      </c>
      <c r="I12" s="53" t="e">
        <f>VLOOKUP(Table110[[#This Row],[FECHA /HORA]],TBL_CalcDarwin[],41,0)</f>
        <v>#N/A</v>
      </c>
      <c r="J12" s="53" t="e">
        <f>Table110[[#This Row],[MW Proyectada (Barra A)]]+Table110[[#This Row],[MW Proyectada (Barra B)]]</f>
        <v>#N/A</v>
      </c>
      <c r="L12" s="53" t="e">
        <f t="shared" si="0"/>
        <v>#N/A</v>
      </c>
      <c r="M12" s="53" t="e">
        <f>IF(Table110[[#This Row],[TOTAL MW]]&lt;165,Table110[[#This Row],[MW Proyectada (Barra A)]],Table110[[#This Row],[MW Proyectada (Barra A)]]*165/Table110[[#This Row],[TOTAL MW]])</f>
        <v>#N/A</v>
      </c>
      <c r="N12" s="53" t="e">
        <f>IF(Table110[[#This Row],[TOTAL MW]]&lt;165,Table110[[#This Row],[MW Proyectada (Barra B)]],Table110[[#This Row],[MW Proyectada (Barra B)]]*165/Table110[[#This Row],[TOTAL MW]])</f>
        <v>#N/A</v>
      </c>
      <c r="P12" s="90"/>
      <c r="Q12" s="90"/>
      <c r="R12" s="93"/>
      <c r="S12" s="93"/>
    </row>
    <row r="13" spans="2:19" x14ac:dyDescent="0.25">
      <c r="B13" s="91">
        <f t="shared" si="1"/>
        <v>45612.499999999978</v>
      </c>
      <c r="C13" s="52">
        <f t="shared" si="2"/>
        <v>0.5</v>
      </c>
      <c r="D13" s="92">
        <f>Table110[[#This Row],[Fecha]]</f>
        <v>45612.499999999978</v>
      </c>
      <c r="E13" s="53" t="e">
        <f>VLOOKUP(Table110[[#This Row],[FECHA /HORA]],TBL_CalcDarwin[],7,0)</f>
        <v>#N/A</v>
      </c>
      <c r="F13" s="53" t="e">
        <f>VLOOKUP(Table110[[#This Row],[FECHA /HORA]],TBL_CalcDarwin[],42,0)</f>
        <v>#N/A</v>
      </c>
      <c r="G13" s="53" t="e">
        <f>VLOOKUP(Table110[[#This Row],[FECHA /HORA]],TBL_CalcDarwin[],43,0)</f>
        <v>#N/A</v>
      </c>
      <c r="H13" s="53" t="e">
        <f>VLOOKUP(Table110[[#This Row],[FECHA /HORA]],TBL_CalcDarwin[],40,0)</f>
        <v>#N/A</v>
      </c>
      <c r="I13" s="53" t="e">
        <f>VLOOKUP(Table110[[#This Row],[FECHA /HORA]],TBL_CalcDarwin[],41,0)</f>
        <v>#N/A</v>
      </c>
      <c r="J13" s="53" t="e">
        <f>Table110[[#This Row],[MW Proyectada (Barra A)]]+Table110[[#This Row],[MW Proyectada (Barra B)]]</f>
        <v>#N/A</v>
      </c>
      <c r="L13" s="53" t="e">
        <f t="shared" si="0"/>
        <v>#N/A</v>
      </c>
      <c r="M13" s="53" t="e">
        <f>IF(Table110[[#This Row],[TOTAL MW]]&lt;165,Table110[[#This Row],[MW Proyectada (Barra A)]],Table110[[#This Row],[MW Proyectada (Barra A)]]*165/Table110[[#This Row],[TOTAL MW]])</f>
        <v>#N/A</v>
      </c>
      <c r="N13" s="53" t="e">
        <f>IF(Table110[[#This Row],[TOTAL MW]]&lt;165,Table110[[#This Row],[MW Proyectada (Barra B)]],Table110[[#This Row],[MW Proyectada (Barra B)]]*165/Table110[[#This Row],[TOTAL MW]])</f>
        <v>#N/A</v>
      </c>
      <c r="P13" s="90"/>
      <c r="Q13" s="90"/>
      <c r="R13" s="93"/>
      <c r="S13" s="93"/>
    </row>
    <row r="14" spans="2:19" x14ac:dyDescent="0.25">
      <c r="B14" s="91">
        <f t="shared" si="1"/>
        <v>45612.541666666642</v>
      </c>
      <c r="C14" s="52">
        <f t="shared" si="2"/>
        <v>0.54166666666666663</v>
      </c>
      <c r="D14" s="92">
        <f>Table110[[#This Row],[Fecha]]</f>
        <v>45612.541666666642</v>
      </c>
      <c r="E14" s="53" t="e">
        <f>VLOOKUP(Table110[[#This Row],[FECHA /HORA]],TBL_CalcDarwin[],7,0)</f>
        <v>#N/A</v>
      </c>
      <c r="F14" s="53" t="e">
        <f>VLOOKUP(Table110[[#This Row],[FECHA /HORA]],TBL_CalcDarwin[],42,0)</f>
        <v>#N/A</v>
      </c>
      <c r="G14" s="53" t="e">
        <f>VLOOKUP(Table110[[#This Row],[FECHA /HORA]],TBL_CalcDarwin[],43,0)</f>
        <v>#N/A</v>
      </c>
      <c r="H14" s="53" t="e">
        <f>VLOOKUP(Table110[[#This Row],[FECHA /HORA]],TBL_CalcDarwin[],40,0)</f>
        <v>#N/A</v>
      </c>
      <c r="I14" s="53" t="e">
        <f>VLOOKUP(Table110[[#This Row],[FECHA /HORA]],TBL_CalcDarwin[],41,0)</f>
        <v>#N/A</v>
      </c>
      <c r="J14" s="53" t="e">
        <f>Table110[[#This Row],[MW Proyectada (Barra A)]]+Table110[[#This Row],[MW Proyectada (Barra B)]]</f>
        <v>#N/A</v>
      </c>
      <c r="L14" s="53" t="e">
        <f t="shared" si="0"/>
        <v>#N/A</v>
      </c>
      <c r="M14" s="53" t="e">
        <f>IF(Table110[[#This Row],[TOTAL MW]]&lt;165,Table110[[#This Row],[MW Proyectada (Barra A)]],Table110[[#This Row],[MW Proyectada (Barra A)]]*165/Table110[[#This Row],[TOTAL MW]])</f>
        <v>#N/A</v>
      </c>
      <c r="N14" s="53" t="e">
        <f>IF(Table110[[#This Row],[TOTAL MW]]&lt;165,Table110[[#This Row],[MW Proyectada (Barra B)]],Table110[[#This Row],[MW Proyectada (Barra B)]]*165/Table110[[#This Row],[TOTAL MW]])</f>
        <v>#N/A</v>
      </c>
      <c r="P14" s="90"/>
      <c r="Q14" s="90"/>
      <c r="R14" s="93"/>
      <c r="S14" s="93"/>
    </row>
    <row r="15" spans="2:19" x14ac:dyDescent="0.25">
      <c r="B15" s="91">
        <f t="shared" si="1"/>
        <v>45612.583333333307</v>
      </c>
      <c r="C15" s="52">
        <f t="shared" si="2"/>
        <v>0.58333333333333326</v>
      </c>
      <c r="D15" s="92">
        <f>Table110[[#This Row],[Fecha]]</f>
        <v>45612.583333333307</v>
      </c>
      <c r="E15" s="53" t="e">
        <f>VLOOKUP(Table110[[#This Row],[FECHA /HORA]],TBL_CalcDarwin[],7,0)</f>
        <v>#N/A</v>
      </c>
      <c r="F15" s="53" t="e">
        <f>VLOOKUP(Table110[[#This Row],[FECHA /HORA]],TBL_CalcDarwin[],42,0)</f>
        <v>#N/A</v>
      </c>
      <c r="G15" s="53" t="e">
        <f>VLOOKUP(Table110[[#This Row],[FECHA /HORA]],TBL_CalcDarwin[],43,0)</f>
        <v>#N/A</v>
      </c>
      <c r="H15" s="53" t="e">
        <f>VLOOKUP(Table110[[#This Row],[FECHA /HORA]],TBL_CalcDarwin[],40,0)</f>
        <v>#N/A</v>
      </c>
      <c r="I15" s="53" t="e">
        <f>VLOOKUP(Table110[[#This Row],[FECHA /HORA]],TBL_CalcDarwin[],41,0)</f>
        <v>#N/A</v>
      </c>
      <c r="J15" s="53" t="e">
        <f>Table110[[#This Row],[MW Proyectada (Barra A)]]+Table110[[#This Row],[MW Proyectada (Barra B)]]</f>
        <v>#N/A</v>
      </c>
      <c r="L15" s="53" t="e">
        <f t="shared" si="0"/>
        <v>#N/A</v>
      </c>
      <c r="M15" s="53" t="e">
        <f>IF(Table110[[#This Row],[TOTAL MW]]&lt;165,Table110[[#This Row],[MW Proyectada (Barra A)]],Table110[[#This Row],[MW Proyectada (Barra A)]]*165/Table110[[#This Row],[TOTAL MW]])</f>
        <v>#N/A</v>
      </c>
      <c r="N15" s="53" t="e">
        <f>IF(Table110[[#This Row],[TOTAL MW]]&lt;165,Table110[[#This Row],[MW Proyectada (Barra B)]],Table110[[#This Row],[MW Proyectada (Barra B)]]*165/Table110[[#This Row],[TOTAL MW]])</f>
        <v>#N/A</v>
      </c>
      <c r="P15" s="90"/>
      <c r="Q15" s="90"/>
      <c r="R15" s="93"/>
      <c r="S15" s="93"/>
    </row>
    <row r="16" spans="2:19" x14ac:dyDescent="0.25">
      <c r="B16" s="91">
        <f t="shared" si="1"/>
        <v>45612.624999999971</v>
      </c>
      <c r="C16" s="52">
        <f t="shared" si="2"/>
        <v>0.62499999999999989</v>
      </c>
      <c r="D16" s="92">
        <f>Table110[[#This Row],[Fecha]]</f>
        <v>45612.624999999971</v>
      </c>
      <c r="E16" s="53" t="e">
        <f>VLOOKUP(Table110[[#This Row],[FECHA /HORA]],TBL_CalcDarwin[],7,0)</f>
        <v>#N/A</v>
      </c>
      <c r="F16" s="53" t="e">
        <f>VLOOKUP(Table110[[#This Row],[FECHA /HORA]],TBL_CalcDarwin[],42,0)</f>
        <v>#N/A</v>
      </c>
      <c r="G16" s="53" t="e">
        <f>VLOOKUP(Table110[[#This Row],[FECHA /HORA]],TBL_CalcDarwin[],43,0)</f>
        <v>#N/A</v>
      </c>
      <c r="H16" s="53" t="e">
        <f>VLOOKUP(Table110[[#This Row],[FECHA /HORA]],TBL_CalcDarwin[],40,0)</f>
        <v>#N/A</v>
      </c>
      <c r="I16" s="53" t="e">
        <f>VLOOKUP(Table110[[#This Row],[FECHA /HORA]],TBL_CalcDarwin[],41,0)</f>
        <v>#N/A</v>
      </c>
      <c r="J16" s="53" t="e">
        <f>Table110[[#This Row],[MW Proyectada (Barra A)]]+Table110[[#This Row],[MW Proyectada (Barra B)]]</f>
        <v>#N/A</v>
      </c>
      <c r="L16" s="53" t="e">
        <f t="shared" si="0"/>
        <v>#N/A</v>
      </c>
      <c r="M16" s="53" t="e">
        <f>IF(Table110[[#This Row],[TOTAL MW]]&lt;165,Table110[[#This Row],[MW Proyectada (Barra A)]],Table110[[#This Row],[MW Proyectada (Barra A)]]*165/Table110[[#This Row],[TOTAL MW]])</f>
        <v>#N/A</v>
      </c>
      <c r="N16" s="53" t="e">
        <f>IF(Table110[[#This Row],[TOTAL MW]]&lt;165,Table110[[#This Row],[MW Proyectada (Barra B)]],Table110[[#This Row],[MW Proyectada (Barra B)]]*165/Table110[[#This Row],[TOTAL MW]])</f>
        <v>#N/A</v>
      </c>
      <c r="P16" s="90"/>
      <c r="Q16" s="90"/>
      <c r="R16" s="93"/>
      <c r="S16" s="93"/>
    </row>
    <row r="17" spans="2:19" x14ac:dyDescent="0.25">
      <c r="B17" s="91">
        <f t="shared" si="1"/>
        <v>45612.666666666635</v>
      </c>
      <c r="C17" s="52">
        <f t="shared" si="2"/>
        <v>0.66666666666666652</v>
      </c>
      <c r="D17" s="92">
        <f>Table110[[#This Row],[Fecha]]</f>
        <v>45612.666666666635</v>
      </c>
      <c r="E17" s="53" t="e">
        <f>VLOOKUP(Table110[[#This Row],[FECHA /HORA]],TBL_CalcDarwin[],7,0)</f>
        <v>#N/A</v>
      </c>
      <c r="F17" s="53" t="e">
        <f>VLOOKUP(Table110[[#This Row],[FECHA /HORA]],TBL_CalcDarwin[],42,0)</f>
        <v>#N/A</v>
      </c>
      <c r="G17" s="53" t="e">
        <f>VLOOKUP(Table110[[#This Row],[FECHA /HORA]],TBL_CalcDarwin[],43,0)</f>
        <v>#N/A</v>
      </c>
      <c r="H17" s="53" t="e">
        <f>VLOOKUP(Table110[[#This Row],[FECHA /HORA]],TBL_CalcDarwin[],40,0)</f>
        <v>#N/A</v>
      </c>
      <c r="I17" s="53" t="e">
        <f>VLOOKUP(Table110[[#This Row],[FECHA /HORA]],TBL_CalcDarwin[],41,0)</f>
        <v>#N/A</v>
      </c>
      <c r="J17" s="53" t="e">
        <f>Table110[[#This Row],[MW Proyectada (Barra A)]]+Table110[[#This Row],[MW Proyectada (Barra B)]]</f>
        <v>#N/A</v>
      </c>
      <c r="L17" s="53" t="e">
        <f t="shared" si="0"/>
        <v>#N/A</v>
      </c>
      <c r="M17" s="53" t="e">
        <f>IF(Table110[[#This Row],[TOTAL MW]]&lt;165,Table110[[#This Row],[MW Proyectada (Barra A)]],Table110[[#This Row],[MW Proyectada (Barra A)]]*165/Table110[[#This Row],[TOTAL MW]])</f>
        <v>#N/A</v>
      </c>
      <c r="N17" s="53" t="e">
        <f>IF(Table110[[#This Row],[TOTAL MW]]&lt;165,Table110[[#This Row],[MW Proyectada (Barra B)]],Table110[[#This Row],[MW Proyectada (Barra B)]]*165/Table110[[#This Row],[TOTAL MW]])</f>
        <v>#N/A</v>
      </c>
      <c r="P17" s="90"/>
      <c r="Q17" s="90"/>
      <c r="R17" s="93"/>
      <c r="S17" s="93"/>
    </row>
    <row r="18" spans="2:19" x14ac:dyDescent="0.25">
      <c r="B18" s="91">
        <f t="shared" si="1"/>
        <v>45612.708333333299</v>
      </c>
      <c r="C18" s="52">
        <f t="shared" si="2"/>
        <v>0.70833333333333315</v>
      </c>
      <c r="D18" s="92">
        <f>Table110[[#This Row],[Fecha]]</f>
        <v>45612.708333333299</v>
      </c>
      <c r="E18" s="53" t="e">
        <f>VLOOKUP(Table110[[#This Row],[FECHA /HORA]],TBL_CalcDarwin[],7,0)</f>
        <v>#N/A</v>
      </c>
      <c r="F18" s="53" t="e">
        <f>VLOOKUP(Table110[[#This Row],[FECHA /HORA]],TBL_CalcDarwin[],42,0)</f>
        <v>#N/A</v>
      </c>
      <c r="G18" s="53" t="e">
        <f>VLOOKUP(Table110[[#This Row],[FECHA /HORA]],TBL_CalcDarwin[],43,0)</f>
        <v>#N/A</v>
      </c>
      <c r="H18" s="53" t="e">
        <f>VLOOKUP(Table110[[#This Row],[FECHA /HORA]],TBL_CalcDarwin[],40,0)</f>
        <v>#N/A</v>
      </c>
      <c r="I18" s="53" t="e">
        <f>VLOOKUP(Table110[[#This Row],[FECHA /HORA]],TBL_CalcDarwin[],41,0)</f>
        <v>#N/A</v>
      </c>
      <c r="J18" s="53" t="e">
        <f>Table110[[#This Row],[MW Proyectada (Barra A)]]+Table110[[#This Row],[MW Proyectada (Barra B)]]</f>
        <v>#N/A</v>
      </c>
      <c r="L18" s="53" t="e">
        <f t="shared" si="0"/>
        <v>#N/A</v>
      </c>
      <c r="M18" s="53" t="e">
        <f>IF(Table110[[#This Row],[TOTAL MW]]&lt;165,Table110[[#This Row],[MW Proyectada (Barra A)]],Table110[[#This Row],[MW Proyectada (Barra A)]]*165/Table110[[#This Row],[TOTAL MW]])</f>
        <v>#N/A</v>
      </c>
      <c r="N18" s="53" t="e">
        <f>IF(Table110[[#This Row],[TOTAL MW]]&lt;165,Table110[[#This Row],[MW Proyectada (Barra B)]],Table110[[#This Row],[MW Proyectada (Barra B)]]*165/Table110[[#This Row],[TOTAL MW]])</f>
        <v>#N/A</v>
      </c>
      <c r="P18" s="90"/>
      <c r="Q18" s="90"/>
      <c r="R18" s="93"/>
      <c r="S18" s="93"/>
    </row>
    <row r="19" spans="2:19" x14ac:dyDescent="0.25">
      <c r="B19" s="91">
        <f t="shared" si="1"/>
        <v>45612.749999999964</v>
      </c>
      <c r="C19" s="52">
        <f t="shared" si="2"/>
        <v>0.74999999999999978</v>
      </c>
      <c r="D19" s="92">
        <f>Table110[[#This Row],[Fecha]]</f>
        <v>45612.749999999964</v>
      </c>
      <c r="E19" s="53" t="e">
        <f>VLOOKUP(Table110[[#This Row],[FECHA /HORA]],TBL_CalcDarwin[],7,0)</f>
        <v>#N/A</v>
      </c>
      <c r="F19" s="53" t="e">
        <f>VLOOKUP(Table110[[#This Row],[FECHA /HORA]],TBL_CalcDarwin[],42,0)</f>
        <v>#N/A</v>
      </c>
      <c r="G19" s="53" t="e">
        <f>VLOOKUP(Table110[[#This Row],[FECHA /HORA]],TBL_CalcDarwin[],43,0)</f>
        <v>#N/A</v>
      </c>
      <c r="H19" s="53" t="e">
        <f>VLOOKUP(Table110[[#This Row],[FECHA /HORA]],TBL_CalcDarwin[],40,0)</f>
        <v>#N/A</v>
      </c>
      <c r="I19" s="53" t="e">
        <f>VLOOKUP(Table110[[#This Row],[FECHA /HORA]],TBL_CalcDarwin[],41,0)</f>
        <v>#N/A</v>
      </c>
      <c r="J19" s="53" t="e">
        <f>Table110[[#This Row],[MW Proyectada (Barra A)]]+Table110[[#This Row],[MW Proyectada (Barra B)]]</f>
        <v>#N/A</v>
      </c>
      <c r="L19" s="53" t="e">
        <f t="shared" si="0"/>
        <v>#N/A</v>
      </c>
      <c r="M19" s="53" t="e">
        <f>IF(Table110[[#This Row],[TOTAL MW]]&lt;165,Table110[[#This Row],[MW Proyectada (Barra A)]],Table110[[#This Row],[MW Proyectada (Barra A)]]*165/Table110[[#This Row],[TOTAL MW]])</f>
        <v>#N/A</v>
      </c>
      <c r="N19" s="53" t="e">
        <f>IF(Table110[[#This Row],[TOTAL MW]]&lt;165,Table110[[#This Row],[MW Proyectada (Barra B)]],Table110[[#This Row],[MW Proyectada (Barra B)]]*165/Table110[[#This Row],[TOTAL MW]])</f>
        <v>#N/A</v>
      </c>
      <c r="P19" s="90"/>
      <c r="Q19" s="90"/>
      <c r="R19" s="93"/>
      <c r="S19" s="93"/>
    </row>
    <row r="20" spans="2:19" x14ac:dyDescent="0.25">
      <c r="B20" s="91">
        <f t="shared" si="1"/>
        <v>45612.791666666628</v>
      </c>
      <c r="C20" s="52">
        <f t="shared" si="2"/>
        <v>0.79166666666666641</v>
      </c>
      <c r="D20" s="92">
        <f>Table110[[#This Row],[Fecha]]</f>
        <v>45612.791666666628</v>
      </c>
      <c r="E20" s="53" t="e">
        <f>VLOOKUP(Table110[[#This Row],[FECHA /HORA]],TBL_CalcDarwin[],7,0)</f>
        <v>#N/A</v>
      </c>
      <c r="F20" s="53" t="e">
        <f>VLOOKUP(Table110[[#This Row],[FECHA /HORA]],TBL_CalcDarwin[],42,0)</f>
        <v>#N/A</v>
      </c>
      <c r="G20" s="53" t="e">
        <f>VLOOKUP(Table110[[#This Row],[FECHA /HORA]],TBL_CalcDarwin[],43,0)</f>
        <v>#N/A</v>
      </c>
      <c r="H20" s="53" t="e">
        <f>VLOOKUP(Table110[[#This Row],[FECHA /HORA]],TBL_CalcDarwin[],40,0)</f>
        <v>#N/A</v>
      </c>
      <c r="I20" s="53" t="e">
        <f>VLOOKUP(Table110[[#This Row],[FECHA /HORA]],TBL_CalcDarwin[],41,0)</f>
        <v>#N/A</v>
      </c>
      <c r="J20" s="53" t="e">
        <f>Table110[[#This Row],[MW Proyectada (Barra A)]]+Table110[[#This Row],[MW Proyectada (Barra B)]]</f>
        <v>#N/A</v>
      </c>
      <c r="L20" s="53" t="e">
        <f t="shared" si="0"/>
        <v>#N/A</v>
      </c>
      <c r="M20" s="53" t="e">
        <f>IF(Table110[[#This Row],[TOTAL MW]]&lt;165,Table110[[#This Row],[MW Proyectada (Barra A)]],Table110[[#This Row],[MW Proyectada (Barra A)]]*165/Table110[[#This Row],[TOTAL MW]])</f>
        <v>#N/A</v>
      </c>
      <c r="N20" s="53" t="e">
        <f>IF(Table110[[#This Row],[TOTAL MW]]&lt;165,Table110[[#This Row],[MW Proyectada (Barra B)]],Table110[[#This Row],[MW Proyectada (Barra B)]]*165/Table110[[#This Row],[TOTAL MW]])</f>
        <v>#N/A</v>
      </c>
      <c r="P20" s="90"/>
      <c r="Q20" s="90"/>
      <c r="R20" s="93"/>
      <c r="S20" s="93"/>
    </row>
    <row r="21" spans="2:19" x14ac:dyDescent="0.25">
      <c r="B21" s="91">
        <f t="shared" si="1"/>
        <v>45612.833333333292</v>
      </c>
      <c r="C21" s="52">
        <f t="shared" si="2"/>
        <v>0.83333333333333304</v>
      </c>
      <c r="D21" s="92">
        <f>Table110[[#This Row],[Fecha]]</f>
        <v>45612.833333333292</v>
      </c>
      <c r="E21" s="53" t="e">
        <f>VLOOKUP(Table110[[#This Row],[FECHA /HORA]],TBL_CalcDarwin[],7,0)</f>
        <v>#N/A</v>
      </c>
      <c r="F21" s="53" t="e">
        <f>VLOOKUP(Table110[[#This Row],[FECHA /HORA]],TBL_CalcDarwin[],42,0)</f>
        <v>#N/A</v>
      </c>
      <c r="G21" s="53" t="e">
        <f>VLOOKUP(Table110[[#This Row],[FECHA /HORA]],TBL_CalcDarwin[],43,0)</f>
        <v>#N/A</v>
      </c>
      <c r="H21" s="53" t="e">
        <f>VLOOKUP(Table110[[#This Row],[FECHA /HORA]],TBL_CalcDarwin[],40,0)</f>
        <v>#N/A</v>
      </c>
      <c r="I21" s="53" t="e">
        <f>VLOOKUP(Table110[[#This Row],[FECHA /HORA]],TBL_CalcDarwin[],41,0)</f>
        <v>#N/A</v>
      </c>
      <c r="J21" s="53" t="e">
        <f>Table110[[#This Row],[MW Proyectada (Barra A)]]+Table110[[#This Row],[MW Proyectada (Barra B)]]</f>
        <v>#N/A</v>
      </c>
      <c r="L21" s="53" t="e">
        <f t="shared" si="0"/>
        <v>#N/A</v>
      </c>
      <c r="M21" s="53" t="e">
        <f>IF(Table110[[#This Row],[TOTAL MW]]&lt;165,Table110[[#This Row],[MW Proyectada (Barra A)]],Table110[[#This Row],[MW Proyectada (Barra A)]]*165/Table110[[#This Row],[TOTAL MW]])</f>
        <v>#N/A</v>
      </c>
      <c r="N21" s="53" t="e">
        <f>IF(Table110[[#This Row],[TOTAL MW]]&lt;165,Table110[[#This Row],[MW Proyectada (Barra B)]],Table110[[#This Row],[MW Proyectada (Barra B)]]*165/Table110[[#This Row],[TOTAL MW]])</f>
        <v>#N/A</v>
      </c>
      <c r="P21" s="90"/>
      <c r="Q21" s="90"/>
      <c r="R21" s="93"/>
      <c r="S21" s="93"/>
    </row>
    <row r="22" spans="2:19" x14ac:dyDescent="0.25">
      <c r="B22" s="91">
        <f t="shared" si="1"/>
        <v>45612.874999999956</v>
      </c>
      <c r="C22" s="52">
        <f t="shared" si="2"/>
        <v>0.87499999999999967</v>
      </c>
      <c r="D22" s="92">
        <f>Table110[[#This Row],[Fecha]]</f>
        <v>45612.874999999956</v>
      </c>
      <c r="E22" s="53" t="e">
        <f>VLOOKUP(Table110[[#This Row],[FECHA /HORA]],TBL_CalcDarwin[],7,0)</f>
        <v>#N/A</v>
      </c>
      <c r="F22" s="53" t="e">
        <f>VLOOKUP(Table110[[#This Row],[FECHA /HORA]],TBL_CalcDarwin[],42,0)</f>
        <v>#N/A</v>
      </c>
      <c r="G22" s="53" t="e">
        <f>VLOOKUP(Table110[[#This Row],[FECHA /HORA]],TBL_CalcDarwin[],43,0)</f>
        <v>#N/A</v>
      </c>
      <c r="H22" s="53" t="e">
        <f>VLOOKUP(Table110[[#This Row],[FECHA /HORA]],TBL_CalcDarwin[],40,0)</f>
        <v>#N/A</v>
      </c>
      <c r="I22" s="53" t="e">
        <f>VLOOKUP(Table110[[#This Row],[FECHA /HORA]],TBL_CalcDarwin[],41,0)</f>
        <v>#N/A</v>
      </c>
      <c r="J22" s="53" t="e">
        <f>Table110[[#This Row],[MW Proyectada (Barra A)]]+Table110[[#This Row],[MW Proyectada (Barra B)]]</f>
        <v>#N/A</v>
      </c>
      <c r="L22" s="53" t="e">
        <f t="shared" si="0"/>
        <v>#N/A</v>
      </c>
      <c r="M22" s="53" t="e">
        <f>IF(Table110[[#This Row],[TOTAL MW]]&lt;165,Table110[[#This Row],[MW Proyectada (Barra A)]],Table110[[#This Row],[MW Proyectada (Barra A)]]*165/Table110[[#This Row],[TOTAL MW]])</f>
        <v>#N/A</v>
      </c>
      <c r="N22" s="53" t="e">
        <f>IF(Table110[[#This Row],[TOTAL MW]]&lt;165,Table110[[#This Row],[MW Proyectada (Barra B)]],Table110[[#This Row],[MW Proyectada (Barra B)]]*165/Table110[[#This Row],[TOTAL MW]])</f>
        <v>#N/A</v>
      </c>
      <c r="P22" s="90"/>
      <c r="Q22" s="90"/>
      <c r="R22" s="93"/>
      <c r="S22" s="93"/>
    </row>
    <row r="23" spans="2:19" x14ac:dyDescent="0.25">
      <c r="B23" s="91">
        <f t="shared" si="1"/>
        <v>45612.916666666621</v>
      </c>
      <c r="C23" s="52">
        <f t="shared" si="2"/>
        <v>0.9166666666666663</v>
      </c>
      <c r="D23" s="92">
        <f>Table110[[#This Row],[Fecha]]</f>
        <v>45612.916666666621</v>
      </c>
      <c r="E23" s="53" t="e">
        <f>VLOOKUP(Table110[[#This Row],[FECHA /HORA]],TBL_CalcDarwin[],7,0)</f>
        <v>#N/A</v>
      </c>
      <c r="F23" s="53" t="e">
        <f>VLOOKUP(Table110[[#This Row],[FECHA /HORA]],TBL_CalcDarwin[],42,0)</f>
        <v>#N/A</v>
      </c>
      <c r="G23" s="53" t="e">
        <f>VLOOKUP(Table110[[#This Row],[FECHA /HORA]],TBL_CalcDarwin[],43,0)</f>
        <v>#N/A</v>
      </c>
      <c r="H23" s="53" t="e">
        <f>VLOOKUP(Table110[[#This Row],[FECHA /HORA]],TBL_CalcDarwin[],40,0)</f>
        <v>#N/A</v>
      </c>
      <c r="I23" s="53" t="e">
        <f>VLOOKUP(Table110[[#This Row],[FECHA /HORA]],TBL_CalcDarwin[],41,0)</f>
        <v>#N/A</v>
      </c>
      <c r="J23" s="53" t="e">
        <f>Table110[[#This Row],[MW Proyectada (Barra A)]]+Table110[[#This Row],[MW Proyectada (Barra B)]]</f>
        <v>#N/A</v>
      </c>
      <c r="L23" s="53" t="e">
        <f t="shared" si="0"/>
        <v>#N/A</v>
      </c>
      <c r="M23" s="53" t="e">
        <f>IF(Table110[[#This Row],[TOTAL MW]]&lt;165,Table110[[#This Row],[MW Proyectada (Barra A)]],Table110[[#This Row],[MW Proyectada (Barra A)]]*165/Table110[[#This Row],[TOTAL MW]])</f>
        <v>#N/A</v>
      </c>
      <c r="N23" s="53" t="e">
        <f>IF(Table110[[#This Row],[TOTAL MW]]&lt;165,Table110[[#This Row],[MW Proyectada (Barra B)]],Table110[[#This Row],[MW Proyectada (Barra B)]]*165/Table110[[#This Row],[TOTAL MW]])</f>
        <v>#N/A</v>
      </c>
      <c r="P23" s="90"/>
      <c r="Q23" s="90"/>
      <c r="R23" s="93"/>
      <c r="S23" s="93"/>
    </row>
    <row r="24" spans="2:19" x14ac:dyDescent="0.25">
      <c r="B24" s="91">
        <f t="shared" si="1"/>
        <v>45612.958333333285</v>
      </c>
      <c r="C24" s="52">
        <f t="shared" si="2"/>
        <v>0.95833333333333293</v>
      </c>
      <c r="D24" s="92">
        <f>Table110[[#This Row],[Fecha]]</f>
        <v>45612.958333333285</v>
      </c>
      <c r="E24" s="53" t="e">
        <f>VLOOKUP(Table110[[#This Row],[FECHA /HORA]],TBL_CalcDarwin[],7,0)</f>
        <v>#N/A</v>
      </c>
      <c r="F24" s="53" t="e">
        <f>VLOOKUP(Table110[[#This Row],[FECHA /HORA]],TBL_CalcDarwin[],42,0)</f>
        <v>#N/A</v>
      </c>
      <c r="G24" s="53" t="e">
        <f>VLOOKUP(Table110[[#This Row],[FECHA /HORA]],TBL_CalcDarwin[],43,0)</f>
        <v>#N/A</v>
      </c>
      <c r="H24" s="53" t="e">
        <f>VLOOKUP(Table110[[#This Row],[FECHA /HORA]],TBL_CalcDarwin[],40,0)</f>
        <v>#N/A</v>
      </c>
      <c r="I24" s="53" t="e">
        <f>VLOOKUP(Table110[[#This Row],[FECHA /HORA]],TBL_CalcDarwin[],41,0)</f>
        <v>#N/A</v>
      </c>
      <c r="J24" s="53" t="e">
        <f>Table110[[#This Row],[MW Proyectada (Barra A)]]+Table110[[#This Row],[MW Proyectada (Barra B)]]</f>
        <v>#N/A</v>
      </c>
      <c r="L24" s="53" t="e">
        <f t="shared" si="0"/>
        <v>#N/A</v>
      </c>
      <c r="M24" s="53" t="e">
        <f>IF(Table110[[#This Row],[TOTAL MW]]&lt;165,Table110[[#This Row],[MW Proyectada (Barra A)]],Table110[[#This Row],[MW Proyectada (Barra A)]]*165/Table110[[#This Row],[TOTAL MW]])</f>
        <v>#N/A</v>
      </c>
      <c r="N24" s="53" t="e">
        <f>IF(Table110[[#This Row],[TOTAL MW]]&lt;165,Table110[[#This Row],[MW Proyectada (Barra B)]],Table110[[#This Row],[MW Proyectada (Barra B)]]*165/Table110[[#This Row],[TOTAL MW]])</f>
        <v>#N/A</v>
      </c>
      <c r="P24" s="90"/>
      <c r="Q24" s="90"/>
      <c r="R24" s="93"/>
      <c r="S24" s="93"/>
    </row>
    <row r="25" spans="2:19" x14ac:dyDescent="0.25">
      <c r="B25" s="91">
        <f t="shared" si="1"/>
        <v>45612.999999999949</v>
      </c>
      <c r="C25" s="52">
        <f t="shared" si="2"/>
        <v>0.99999999999999956</v>
      </c>
      <c r="D25" s="92">
        <f>Table110[[#This Row],[Fecha]]</f>
        <v>45612.999999999949</v>
      </c>
      <c r="E25" s="53" t="e">
        <f>VLOOKUP(Table110[[#This Row],[FECHA /HORA]],TBL_CalcDarwin[],7,0)</f>
        <v>#N/A</v>
      </c>
      <c r="F25" s="53" t="e">
        <f>VLOOKUP(Table110[[#This Row],[FECHA /HORA]],TBL_CalcDarwin[],42,0)</f>
        <v>#N/A</v>
      </c>
      <c r="G25" s="53" t="e">
        <f>VLOOKUP(Table110[[#This Row],[FECHA /HORA]],TBL_CalcDarwin[],43,0)</f>
        <v>#N/A</v>
      </c>
      <c r="H25" s="53" t="e">
        <f>VLOOKUP(Table110[[#This Row],[FECHA /HORA]],TBL_CalcDarwin[],40,0)</f>
        <v>#N/A</v>
      </c>
      <c r="I25" s="53" t="e">
        <f>VLOOKUP(Table110[[#This Row],[FECHA /HORA]],TBL_CalcDarwin[],41,0)</f>
        <v>#N/A</v>
      </c>
      <c r="J25" s="53" t="e">
        <f>Table110[[#This Row],[MW Proyectada (Barra A)]]+Table110[[#This Row],[MW Proyectada (Barra B)]]</f>
        <v>#N/A</v>
      </c>
      <c r="L25" s="53" t="e">
        <f t="shared" si="0"/>
        <v>#N/A</v>
      </c>
      <c r="M25" s="53" t="e">
        <f>IF(Table110[[#This Row],[TOTAL MW]]&lt;165,Table110[[#This Row],[MW Proyectada (Barra A)]],Table110[[#This Row],[MW Proyectada (Barra A)]]*165/Table110[[#This Row],[TOTAL MW]])</f>
        <v>#N/A</v>
      </c>
      <c r="N25" s="53" t="e">
        <f>IF(Table110[[#This Row],[TOTAL MW]]&lt;165,Table110[[#This Row],[MW Proyectada (Barra B)]],Table110[[#This Row],[MW Proyectada (Barra B)]]*165/Table110[[#This Row],[TOTAL MW]])</f>
        <v>#N/A</v>
      </c>
      <c r="P25" s="90"/>
      <c r="Q25" s="90"/>
      <c r="R25" s="93"/>
      <c r="S25" s="93"/>
    </row>
    <row r="26" spans="2:19" x14ac:dyDescent="0.25">
      <c r="B26" s="91">
        <f t="shared" si="1"/>
        <v>45613.041666666613</v>
      </c>
      <c r="C26" s="52">
        <f t="shared" si="2"/>
        <v>1.0416666666666663</v>
      </c>
      <c r="D26" s="92">
        <f>Table110[[#This Row],[Fecha]]</f>
        <v>45613.041666666613</v>
      </c>
      <c r="E26" s="53" t="e">
        <f>VLOOKUP(Table110[[#This Row],[FECHA /HORA]],TBL_CalcDarwin[],7,0)</f>
        <v>#N/A</v>
      </c>
      <c r="F26" s="53" t="e">
        <f>VLOOKUP(Table110[[#This Row],[FECHA /HORA]],TBL_CalcDarwin[],42,0)</f>
        <v>#N/A</v>
      </c>
      <c r="G26" s="53" t="e">
        <f>VLOOKUP(Table110[[#This Row],[FECHA /HORA]],TBL_CalcDarwin[],43,0)</f>
        <v>#N/A</v>
      </c>
      <c r="H26" s="53" t="e">
        <f>VLOOKUP(Table110[[#This Row],[FECHA /HORA]],TBL_CalcDarwin[],40,0)</f>
        <v>#N/A</v>
      </c>
      <c r="I26" s="53" t="e">
        <f>VLOOKUP(Table110[[#This Row],[FECHA /HORA]],TBL_CalcDarwin[],41,0)</f>
        <v>#N/A</v>
      </c>
      <c r="J26" s="53" t="e">
        <f>Table110[[#This Row],[MW Proyectada (Barra A)]]+Table110[[#This Row],[MW Proyectada (Barra B)]]</f>
        <v>#N/A</v>
      </c>
      <c r="L26" s="53" t="e">
        <f t="shared" si="0"/>
        <v>#N/A</v>
      </c>
      <c r="M26" s="53" t="e">
        <f>IF(Table110[[#This Row],[TOTAL MW]]&lt;165,Table110[[#This Row],[MW Proyectada (Barra A)]],Table110[[#This Row],[MW Proyectada (Barra A)]]*165/Table110[[#This Row],[TOTAL MW]])</f>
        <v>#N/A</v>
      </c>
      <c r="N26" s="53" t="e">
        <f>IF(Table110[[#This Row],[TOTAL MW]]&lt;165,Table110[[#This Row],[MW Proyectada (Barra B)]],Table110[[#This Row],[MW Proyectada (Barra B)]]*165/Table110[[#This Row],[TOTAL MW]])</f>
        <v>#N/A</v>
      </c>
      <c r="P26" s="90"/>
      <c r="Q26" s="90"/>
      <c r="R26" s="93"/>
      <c r="S26" s="93"/>
    </row>
    <row r="27" spans="2:19" x14ac:dyDescent="0.25">
      <c r="B27" s="91">
        <f t="shared" si="1"/>
        <v>45613.083333333278</v>
      </c>
      <c r="C27" s="52">
        <f t="shared" si="2"/>
        <v>1.083333333333333</v>
      </c>
      <c r="D27" s="92">
        <f>Table110[[#This Row],[Fecha]]</f>
        <v>45613.083333333278</v>
      </c>
      <c r="E27" s="53" t="e">
        <f>VLOOKUP(Table110[[#This Row],[FECHA /HORA]],TBL_CalcDarwin[],7,0)</f>
        <v>#N/A</v>
      </c>
      <c r="F27" s="53" t="e">
        <f>VLOOKUP(Table110[[#This Row],[FECHA /HORA]],TBL_CalcDarwin[],42,0)</f>
        <v>#N/A</v>
      </c>
      <c r="G27" s="53" t="e">
        <f>VLOOKUP(Table110[[#This Row],[FECHA /HORA]],TBL_CalcDarwin[],43,0)</f>
        <v>#N/A</v>
      </c>
      <c r="H27" s="53" t="e">
        <f>VLOOKUP(Table110[[#This Row],[FECHA /HORA]],TBL_CalcDarwin[],40,0)</f>
        <v>#N/A</v>
      </c>
      <c r="I27" s="53" t="e">
        <f>VLOOKUP(Table110[[#This Row],[FECHA /HORA]],TBL_CalcDarwin[],41,0)</f>
        <v>#N/A</v>
      </c>
      <c r="J27" s="53" t="e">
        <f>Table110[[#This Row],[MW Proyectada (Barra A)]]+Table110[[#This Row],[MW Proyectada (Barra B)]]</f>
        <v>#N/A</v>
      </c>
      <c r="L27" s="53" t="e">
        <f t="shared" si="0"/>
        <v>#N/A</v>
      </c>
      <c r="M27" s="53" t="e">
        <f>IF(Table110[[#This Row],[TOTAL MW]]&lt;165,Table110[[#This Row],[MW Proyectada (Barra A)]],Table110[[#This Row],[MW Proyectada (Barra A)]]*165/Table110[[#This Row],[TOTAL MW]])</f>
        <v>#N/A</v>
      </c>
      <c r="N27" s="53" t="e">
        <f>IF(Table110[[#This Row],[TOTAL MW]]&lt;165,Table110[[#This Row],[MW Proyectada (Barra B)]],Table110[[#This Row],[MW Proyectada (Barra B)]]*165/Table110[[#This Row],[TOTAL MW]])</f>
        <v>#N/A</v>
      </c>
      <c r="P27" s="90"/>
      <c r="Q27" s="90"/>
      <c r="R27" s="93"/>
      <c r="S27" s="93"/>
    </row>
    <row r="28" spans="2:19" x14ac:dyDescent="0.25">
      <c r="B28" s="91">
        <f t="shared" si="1"/>
        <v>45613.124999999942</v>
      </c>
      <c r="C28" s="52">
        <f t="shared" si="2"/>
        <v>1.1249999999999998</v>
      </c>
      <c r="D28" s="92">
        <f>Table110[[#This Row],[Fecha]]</f>
        <v>45613.124999999942</v>
      </c>
      <c r="E28" s="53" t="e">
        <f>VLOOKUP(Table110[[#This Row],[FECHA /HORA]],TBL_CalcDarwin[],7,0)</f>
        <v>#N/A</v>
      </c>
      <c r="F28" s="53" t="e">
        <f>VLOOKUP(Table110[[#This Row],[FECHA /HORA]],TBL_CalcDarwin[],42,0)</f>
        <v>#N/A</v>
      </c>
      <c r="G28" s="53" t="e">
        <f>VLOOKUP(Table110[[#This Row],[FECHA /HORA]],TBL_CalcDarwin[],43,0)</f>
        <v>#N/A</v>
      </c>
      <c r="H28" s="53" t="e">
        <f>VLOOKUP(Table110[[#This Row],[FECHA /HORA]],TBL_CalcDarwin[],40,0)</f>
        <v>#N/A</v>
      </c>
      <c r="I28" s="53" t="e">
        <f>VLOOKUP(Table110[[#This Row],[FECHA /HORA]],TBL_CalcDarwin[],41,0)</f>
        <v>#N/A</v>
      </c>
      <c r="J28" s="53" t="e">
        <f>Table110[[#This Row],[MW Proyectada (Barra A)]]+Table110[[#This Row],[MW Proyectada (Barra B)]]</f>
        <v>#N/A</v>
      </c>
      <c r="L28" s="53" t="e">
        <f t="shared" si="0"/>
        <v>#N/A</v>
      </c>
      <c r="M28" s="53" t="e">
        <f>IF(Table110[[#This Row],[TOTAL MW]]&lt;165,Table110[[#This Row],[MW Proyectada (Barra A)]],Table110[[#This Row],[MW Proyectada (Barra A)]]*165/Table110[[#This Row],[TOTAL MW]])</f>
        <v>#N/A</v>
      </c>
      <c r="N28" s="53" t="e">
        <f>IF(Table110[[#This Row],[TOTAL MW]]&lt;165,Table110[[#This Row],[MW Proyectada (Barra B)]],Table110[[#This Row],[MW Proyectada (Barra B)]]*165/Table110[[#This Row],[TOTAL MW]])</f>
        <v>#N/A</v>
      </c>
      <c r="P28" s="90"/>
      <c r="Q28" s="90"/>
      <c r="R28" s="93"/>
      <c r="S28" s="93"/>
    </row>
    <row r="29" spans="2:19" x14ac:dyDescent="0.25">
      <c r="B29" s="91">
        <f t="shared" si="1"/>
        <v>45613.166666666606</v>
      </c>
      <c r="C29" s="52">
        <f t="shared" si="2"/>
        <v>1.1666666666666665</v>
      </c>
      <c r="D29" s="92">
        <f>Table110[[#This Row],[Fecha]]</f>
        <v>45613.166666666606</v>
      </c>
      <c r="E29" s="53" t="e">
        <f>VLOOKUP(Table110[[#This Row],[FECHA /HORA]],TBL_CalcDarwin[],7,0)</f>
        <v>#N/A</v>
      </c>
      <c r="F29" s="53" t="e">
        <f>VLOOKUP(Table110[[#This Row],[FECHA /HORA]],TBL_CalcDarwin[],42,0)</f>
        <v>#N/A</v>
      </c>
      <c r="G29" s="53" t="e">
        <f>VLOOKUP(Table110[[#This Row],[FECHA /HORA]],TBL_CalcDarwin[],43,0)</f>
        <v>#N/A</v>
      </c>
      <c r="H29" s="53" t="e">
        <f>VLOOKUP(Table110[[#This Row],[FECHA /HORA]],TBL_CalcDarwin[],40,0)</f>
        <v>#N/A</v>
      </c>
      <c r="I29" s="53" t="e">
        <f>VLOOKUP(Table110[[#This Row],[FECHA /HORA]],TBL_CalcDarwin[],41,0)</f>
        <v>#N/A</v>
      </c>
      <c r="J29" s="53" t="e">
        <f>Table110[[#This Row],[MW Proyectada (Barra A)]]+Table110[[#This Row],[MW Proyectada (Barra B)]]</f>
        <v>#N/A</v>
      </c>
      <c r="L29" s="53" t="e">
        <f t="shared" si="0"/>
        <v>#N/A</v>
      </c>
      <c r="M29" s="53" t="e">
        <f>IF(Table110[[#This Row],[TOTAL MW]]&lt;165,Table110[[#This Row],[MW Proyectada (Barra A)]],Table110[[#This Row],[MW Proyectada (Barra A)]]*165/Table110[[#This Row],[TOTAL MW]])</f>
        <v>#N/A</v>
      </c>
      <c r="N29" s="53" t="e">
        <f>IF(Table110[[#This Row],[TOTAL MW]]&lt;165,Table110[[#This Row],[MW Proyectada (Barra B)]],Table110[[#This Row],[MW Proyectada (Barra B)]]*165/Table110[[#This Row],[TOTAL MW]])</f>
        <v>#N/A</v>
      </c>
      <c r="P29" s="90"/>
      <c r="Q29" s="90"/>
      <c r="R29" s="93"/>
      <c r="S29" s="93"/>
    </row>
    <row r="30" spans="2:19" x14ac:dyDescent="0.25">
      <c r="B30" s="91">
        <f t="shared" si="1"/>
        <v>45613.20833333327</v>
      </c>
      <c r="C30" s="52">
        <f t="shared" si="2"/>
        <v>1.2083333333333333</v>
      </c>
      <c r="D30" s="92">
        <f>Table110[[#This Row],[Fecha]]</f>
        <v>45613.20833333327</v>
      </c>
      <c r="E30" s="53" t="e">
        <f>VLOOKUP(Table110[[#This Row],[FECHA /HORA]],TBL_CalcDarwin[],7,0)</f>
        <v>#N/A</v>
      </c>
      <c r="F30" s="53" t="e">
        <f>VLOOKUP(Table110[[#This Row],[FECHA /HORA]],TBL_CalcDarwin[],42,0)</f>
        <v>#N/A</v>
      </c>
      <c r="G30" s="53" t="e">
        <f>VLOOKUP(Table110[[#This Row],[FECHA /HORA]],TBL_CalcDarwin[],43,0)</f>
        <v>#N/A</v>
      </c>
      <c r="H30" s="53" t="e">
        <f>VLOOKUP(Table110[[#This Row],[FECHA /HORA]],TBL_CalcDarwin[],40,0)</f>
        <v>#N/A</v>
      </c>
      <c r="I30" s="53" t="e">
        <f>VLOOKUP(Table110[[#This Row],[FECHA /HORA]],TBL_CalcDarwin[],41,0)</f>
        <v>#N/A</v>
      </c>
      <c r="J30" s="53" t="e">
        <f>Table110[[#This Row],[MW Proyectada (Barra A)]]+Table110[[#This Row],[MW Proyectada (Barra B)]]</f>
        <v>#N/A</v>
      </c>
      <c r="L30" s="53" t="e">
        <f t="shared" si="0"/>
        <v>#N/A</v>
      </c>
      <c r="M30" s="53" t="e">
        <f>IF(Table110[[#This Row],[TOTAL MW]]&lt;165,Table110[[#This Row],[MW Proyectada (Barra A)]],Table110[[#This Row],[MW Proyectada (Barra A)]]*165/Table110[[#This Row],[TOTAL MW]])</f>
        <v>#N/A</v>
      </c>
      <c r="N30" s="53" t="e">
        <f>IF(Table110[[#This Row],[TOTAL MW]]&lt;165,Table110[[#This Row],[MW Proyectada (Barra B)]],Table110[[#This Row],[MW Proyectada (Barra B)]]*165/Table110[[#This Row],[TOTAL MW]])</f>
        <v>#N/A</v>
      </c>
      <c r="P30" s="90"/>
      <c r="Q30" s="90"/>
      <c r="R30" s="93"/>
      <c r="S30" s="93"/>
    </row>
    <row r="31" spans="2:19" x14ac:dyDescent="0.25">
      <c r="B31" s="91">
        <f t="shared" si="1"/>
        <v>45613.249999999935</v>
      </c>
      <c r="C31" s="52">
        <f t="shared" si="2"/>
        <v>1.25</v>
      </c>
      <c r="D31" s="92">
        <f>Table110[[#This Row],[Fecha]]</f>
        <v>45613.249999999935</v>
      </c>
      <c r="E31" s="53" t="e">
        <f>VLOOKUP(Table110[[#This Row],[FECHA /HORA]],TBL_CalcDarwin[],7,0)</f>
        <v>#N/A</v>
      </c>
      <c r="F31" s="53" t="e">
        <f>VLOOKUP(Table110[[#This Row],[FECHA /HORA]],TBL_CalcDarwin[],42,0)</f>
        <v>#N/A</v>
      </c>
      <c r="G31" s="53" t="e">
        <f>VLOOKUP(Table110[[#This Row],[FECHA /HORA]],TBL_CalcDarwin[],43,0)</f>
        <v>#N/A</v>
      </c>
      <c r="H31" s="53" t="e">
        <f>VLOOKUP(Table110[[#This Row],[FECHA /HORA]],TBL_CalcDarwin[],40,0)</f>
        <v>#N/A</v>
      </c>
      <c r="I31" s="53" t="e">
        <f>VLOOKUP(Table110[[#This Row],[FECHA /HORA]],TBL_CalcDarwin[],41,0)</f>
        <v>#N/A</v>
      </c>
      <c r="J31" s="53" t="e">
        <f>Table110[[#This Row],[MW Proyectada (Barra A)]]+Table110[[#This Row],[MW Proyectada (Barra B)]]</f>
        <v>#N/A</v>
      </c>
      <c r="L31" s="53" t="e">
        <f t="shared" si="0"/>
        <v>#N/A</v>
      </c>
      <c r="M31" s="53" t="e">
        <f>IF(Table110[[#This Row],[TOTAL MW]]&lt;165,Table110[[#This Row],[MW Proyectada (Barra A)]],Table110[[#This Row],[MW Proyectada (Barra A)]]*165/Table110[[#This Row],[TOTAL MW]])</f>
        <v>#N/A</v>
      </c>
      <c r="N31" s="53" t="e">
        <f>IF(Table110[[#This Row],[TOTAL MW]]&lt;165,Table110[[#This Row],[MW Proyectada (Barra B)]],Table110[[#This Row],[MW Proyectada (Barra B)]]*165/Table110[[#This Row],[TOTAL MW]])</f>
        <v>#N/A</v>
      </c>
      <c r="P31" s="90"/>
      <c r="Q31" s="90"/>
      <c r="R31" s="93"/>
      <c r="S31" s="93"/>
    </row>
    <row r="32" spans="2:19" x14ac:dyDescent="0.25">
      <c r="B32" s="91">
        <f t="shared" si="1"/>
        <v>45613.291666666599</v>
      </c>
      <c r="C32" s="52">
        <f t="shared" si="2"/>
        <v>1.2916666666666667</v>
      </c>
      <c r="D32" s="92">
        <f>Table110[[#This Row],[Fecha]]</f>
        <v>45613.291666666599</v>
      </c>
      <c r="E32" s="53" t="e">
        <f>VLOOKUP(Table110[[#This Row],[FECHA /HORA]],TBL_CalcDarwin[],7,0)</f>
        <v>#N/A</v>
      </c>
      <c r="F32" s="53" t="e">
        <f>VLOOKUP(Table110[[#This Row],[FECHA /HORA]],TBL_CalcDarwin[],42,0)</f>
        <v>#N/A</v>
      </c>
      <c r="G32" s="53" t="e">
        <f>VLOOKUP(Table110[[#This Row],[FECHA /HORA]],TBL_CalcDarwin[],43,0)</f>
        <v>#N/A</v>
      </c>
      <c r="H32" s="53" t="e">
        <f>VLOOKUP(Table110[[#This Row],[FECHA /HORA]],TBL_CalcDarwin[],40,0)</f>
        <v>#N/A</v>
      </c>
      <c r="I32" s="53" t="e">
        <f>VLOOKUP(Table110[[#This Row],[FECHA /HORA]],TBL_CalcDarwin[],41,0)</f>
        <v>#N/A</v>
      </c>
      <c r="J32" s="53" t="e">
        <f>Table110[[#This Row],[MW Proyectada (Barra A)]]+Table110[[#This Row],[MW Proyectada (Barra B)]]</f>
        <v>#N/A</v>
      </c>
      <c r="L32" s="53" t="e">
        <f t="shared" si="0"/>
        <v>#N/A</v>
      </c>
      <c r="M32" s="53" t="e">
        <f>IF(Table110[[#This Row],[TOTAL MW]]&lt;165,Table110[[#This Row],[MW Proyectada (Barra A)]],Table110[[#This Row],[MW Proyectada (Barra A)]]*165/Table110[[#This Row],[TOTAL MW]])</f>
        <v>#N/A</v>
      </c>
      <c r="N32" s="53" t="e">
        <f>IF(Table110[[#This Row],[TOTAL MW]]&lt;165,Table110[[#This Row],[MW Proyectada (Barra B)]],Table110[[#This Row],[MW Proyectada (Barra B)]]*165/Table110[[#This Row],[TOTAL MW]])</f>
        <v>#N/A</v>
      </c>
      <c r="P32" s="90"/>
      <c r="Q32" s="90"/>
      <c r="R32" s="93"/>
      <c r="S32" s="93"/>
    </row>
    <row r="33" spans="2:19" x14ac:dyDescent="0.25">
      <c r="B33" s="91">
        <f t="shared" si="1"/>
        <v>45613.333333333263</v>
      </c>
      <c r="C33" s="52">
        <f t="shared" si="2"/>
        <v>1.3333333333333335</v>
      </c>
      <c r="D33" s="92">
        <f>Table110[[#This Row],[Fecha]]</f>
        <v>45613.333333333263</v>
      </c>
      <c r="E33" s="53" t="e">
        <f>VLOOKUP(Table110[[#This Row],[FECHA /HORA]],TBL_CalcDarwin[],7,0)</f>
        <v>#N/A</v>
      </c>
      <c r="F33" s="53" t="e">
        <f>VLOOKUP(Table110[[#This Row],[FECHA /HORA]],TBL_CalcDarwin[],42,0)</f>
        <v>#N/A</v>
      </c>
      <c r="G33" s="53" t="e">
        <f>VLOOKUP(Table110[[#This Row],[FECHA /HORA]],TBL_CalcDarwin[],43,0)</f>
        <v>#N/A</v>
      </c>
      <c r="H33" s="53" t="e">
        <f>VLOOKUP(Table110[[#This Row],[FECHA /HORA]],TBL_CalcDarwin[],40,0)</f>
        <v>#N/A</v>
      </c>
      <c r="I33" s="53" t="e">
        <f>VLOOKUP(Table110[[#This Row],[FECHA /HORA]],TBL_CalcDarwin[],41,0)</f>
        <v>#N/A</v>
      </c>
      <c r="J33" s="53" t="e">
        <f>Table110[[#This Row],[MW Proyectada (Barra A)]]+Table110[[#This Row],[MW Proyectada (Barra B)]]</f>
        <v>#N/A</v>
      </c>
      <c r="L33" s="53" t="e">
        <f t="shared" si="0"/>
        <v>#N/A</v>
      </c>
      <c r="M33" s="53" t="e">
        <f>IF(Table110[[#This Row],[TOTAL MW]]&lt;165,Table110[[#This Row],[MW Proyectada (Barra A)]],Table110[[#This Row],[MW Proyectada (Barra A)]]*165/Table110[[#This Row],[TOTAL MW]])</f>
        <v>#N/A</v>
      </c>
      <c r="N33" s="53" t="e">
        <f>IF(Table110[[#This Row],[TOTAL MW]]&lt;165,Table110[[#This Row],[MW Proyectada (Barra B)]],Table110[[#This Row],[MW Proyectada (Barra B)]]*165/Table110[[#This Row],[TOTAL MW]])</f>
        <v>#N/A</v>
      </c>
      <c r="P33" s="90"/>
      <c r="Q33" s="90"/>
      <c r="R33" s="93"/>
      <c r="S33" s="93"/>
    </row>
    <row r="34" spans="2:19" x14ac:dyDescent="0.25">
      <c r="B34" s="91">
        <f t="shared" si="1"/>
        <v>45613.374999999927</v>
      </c>
      <c r="C34" s="52">
        <f t="shared" si="2"/>
        <v>1.3750000000000002</v>
      </c>
      <c r="D34" s="92">
        <f>Table110[[#This Row],[Fecha]]</f>
        <v>45613.374999999927</v>
      </c>
      <c r="E34" s="53" t="e">
        <f>VLOOKUP(Table110[[#This Row],[FECHA /HORA]],TBL_CalcDarwin[],7,0)</f>
        <v>#N/A</v>
      </c>
      <c r="F34" s="53" t="e">
        <f>VLOOKUP(Table110[[#This Row],[FECHA /HORA]],TBL_CalcDarwin[],42,0)</f>
        <v>#N/A</v>
      </c>
      <c r="G34" s="53" t="e">
        <f>VLOOKUP(Table110[[#This Row],[FECHA /HORA]],TBL_CalcDarwin[],43,0)</f>
        <v>#N/A</v>
      </c>
      <c r="H34" s="53" t="e">
        <f>VLOOKUP(Table110[[#This Row],[FECHA /HORA]],TBL_CalcDarwin[],40,0)</f>
        <v>#N/A</v>
      </c>
      <c r="I34" s="53" t="e">
        <f>VLOOKUP(Table110[[#This Row],[FECHA /HORA]],TBL_CalcDarwin[],41,0)</f>
        <v>#N/A</v>
      </c>
      <c r="J34" s="53" t="e">
        <f>Table110[[#This Row],[MW Proyectada (Barra A)]]+Table110[[#This Row],[MW Proyectada (Barra B)]]</f>
        <v>#N/A</v>
      </c>
      <c r="L34" s="53" t="e">
        <f t="shared" si="0"/>
        <v>#N/A</v>
      </c>
      <c r="M34" s="53" t="e">
        <f>IF(Table110[[#This Row],[TOTAL MW]]&lt;165,Table110[[#This Row],[MW Proyectada (Barra A)]],Table110[[#This Row],[MW Proyectada (Barra A)]]*165/Table110[[#This Row],[TOTAL MW]])</f>
        <v>#N/A</v>
      </c>
      <c r="N34" s="53" t="e">
        <f>IF(Table110[[#This Row],[TOTAL MW]]&lt;165,Table110[[#This Row],[MW Proyectada (Barra B)]],Table110[[#This Row],[MW Proyectada (Barra B)]]*165/Table110[[#This Row],[TOTAL MW]])</f>
        <v>#N/A</v>
      </c>
      <c r="P34" s="90"/>
      <c r="Q34" s="90"/>
      <c r="R34" s="93"/>
      <c r="S34" s="93"/>
    </row>
    <row r="35" spans="2:19" x14ac:dyDescent="0.25">
      <c r="B35" s="91">
        <f t="shared" si="1"/>
        <v>45613.416666666591</v>
      </c>
      <c r="C35" s="52">
        <f t="shared" si="2"/>
        <v>1.416666666666667</v>
      </c>
      <c r="D35" s="92">
        <f>Table110[[#This Row],[Fecha]]</f>
        <v>45613.416666666591</v>
      </c>
      <c r="E35" s="53" t="e">
        <f>VLOOKUP(Table110[[#This Row],[FECHA /HORA]],TBL_CalcDarwin[],7,0)</f>
        <v>#N/A</v>
      </c>
      <c r="F35" s="53" t="e">
        <f>VLOOKUP(Table110[[#This Row],[FECHA /HORA]],TBL_CalcDarwin[],42,0)</f>
        <v>#N/A</v>
      </c>
      <c r="G35" s="53" t="e">
        <f>VLOOKUP(Table110[[#This Row],[FECHA /HORA]],TBL_CalcDarwin[],43,0)</f>
        <v>#N/A</v>
      </c>
      <c r="H35" s="53" t="e">
        <f>VLOOKUP(Table110[[#This Row],[FECHA /HORA]],TBL_CalcDarwin[],40,0)</f>
        <v>#N/A</v>
      </c>
      <c r="I35" s="53" t="e">
        <f>VLOOKUP(Table110[[#This Row],[FECHA /HORA]],TBL_CalcDarwin[],41,0)</f>
        <v>#N/A</v>
      </c>
      <c r="J35" s="53" t="e">
        <f>Table110[[#This Row],[MW Proyectada (Barra A)]]+Table110[[#This Row],[MW Proyectada (Barra B)]]</f>
        <v>#N/A</v>
      </c>
      <c r="L35" s="53" t="e">
        <f t="shared" si="0"/>
        <v>#N/A</v>
      </c>
      <c r="M35" s="53" t="e">
        <f>IF(Table110[[#This Row],[TOTAL MW]]&lt;165,Table110[[#This Row],[MW Proyectada (Barra A)]],Table110[[#This Row],[MW Proyectada (Barra A)]]*165/Table110[[#This Row],[TOTAL MW]])</f>
        <v>#N/A</v>
      </c>
      <c r="N35" s="53" t="e">
        <f>IF(Table110[[#This Row],[TOTAL MW]]&lt;165,Table110[[#This Row],[MW Proyectada (Barra B)]],Table110[[#This Row],[MW Proyectada (Barra B)]]*165/Table110[[#This Row],[TOTAL MW]])</f>
        <v>#N/A</v>
      </c>
      <c r="P35" s="90"/>
      <c r="Q35" s="90"/>
      <c r="R35" s="93"/>
      <c r="S35" s="93"/>
    </row>
    <row r="36" spans="2:19" x14ac:dyDescent="0.25">
      <c r="B36" s="91">
        <f t="shared" si="1"/>
        <v>45613.458333333256</v>
      </c>
      <c r="C36" s="52">
        <f t="shared" si="2"/>
        <v>1.4583333333333337</v>
      </c>
      <c r="D36" s="92">
        <f>Table110[[#This Row],[Fecha]]</f>
        <v>45613.458333333256</v>
      </c>
      <c r="E36" s="53" t="e">
        <f>VLOOKUP(Table110[[#This Row],[FECHA /HORA]],TBL_CalcDarwin[],7,0)</f>
        <v>#N/A</v>
      </c>
      <c r="F36" s="53" t="e">
        <f>VLOOKUP(Table110[[#This Row],[FECHA /HORA]],TBL_CalcDarwin[],42,0)</f>
        <v>#N/A</v>
      </c>
      <c r="G36" s="53" t="e">
        <f>VLOOKUP(Table110[[#This Row],[FECHA /HORA]],TBL_CalcDarwin[],43,0)</f>
        <v>#N/A</v>
      </c>
      <c r="H36" s="53" t="e">
        <f>VLOOKUP(Table110[[#This Row],[FECHA /HORA]],TBL_CalcDarwin[],40,0)</f>
        <v>#N/A</v>
      </c>
      <c r="I36" s="53" t="e">
        <f>VLOOKUP(Table110[[#This Row],[FECHA /HORA]],TBL_CalcDarwin[],41,0)</f>
        <v>#N/A</v>
      </c>
      <c r="J36" s="53" t="e">
        <f>Table110[[#This Row],[MW Proyectada (Barra A)]]+Table110[[#This Row],[MW Proyectada (Barra B)]]</f>
        <v>#N/A</v>
      </c>
      <c r="L36" s="53" t="e">
        <f t="shared" si="0"/>
        <v>#N/A</v>
      </c>
      <c r="M36" s="53" t="e">
        <f>IF(Table110[[#This Row],[TOTAL MW]]&lt;165,Table110[[#This Row],[MW Proyectada (Barra A)]],Table110[[#This Row],[MW Proyectada (Barra A)]]*165/Table110[[#This Row],[TOTAL MW]])</f>
        <v>#N/A</v>
      </c>
      <c r="N36" s="53" t="e">
        <f>IF(Table110[[#This Row],[TOTAL MW]]&lt;165,Table110[[#This Row],[MW Proyectada (Barra B)]],Table110[[#This Row],[MW Proyectada (Barra B)]]*165/Table110[[#This Row],[TOTAL MW]])</f>
        <v>#N/A</v>
      </c>
      <c r="P36" s="90"/>
      <c r="Q36" s="90"/>
      <c r="R36" s="93"/>
      <c r="S36" s="93"/>
    </row>
    <row r="37" spans="2:19" x14ac:dyDescent="0.25">
      <c r="B37" s="91">
        <f t="shared" si="1"/>
        <v>45613.49999999992</v>
      </c>
      <c r="C37" s="52">
        <f t="shared" si="2"/>
        <v>1.5000000000000004</v>
      </c>
      <c r="D37" s="92">
        <f>Table110[[#This Row],[Fecha]]</f>
        <v>45613.49999999992</v>
      </c>
      <c r="E37" s="53" t="e">
        <f>VLOOKUP(Table110[[#This Row],[FECHA /HORA]],TBL_CalcDarwin[],7,0)</f>
        <v>#N/A</v>
      </c>
      <c r="F37" s="53" t="e">
        <f>VLOOKUP(Table110[[#This Row],[FECHA /HORA]],TBL_CalcDarwin[],42,0)</f>
        <v>#N/A</v>
      </c>
      <c r="G37" s="53" t="e">
        <f>VLOOKUP(Table110[[#This Row],[FECHA /HORA]],TBL_CalcDarwin[],43,0)</f>
        <v>#N/A</v>
      </c>
      <c r="H37" s="53" t="e">
        <f>VLOOKUP(Table110[[#This Row],[FECHA /HORA]],TBL_CalcDarwin[],40,0)</f>
        <v>#N/A</v>
      </c>
      <c r="I37" s="53" t="e">
        <f>VLOOKUP(Table110[[#This Row],[FECHA /HORA]],TBL_CalcDarwin[],41,0)</f>
        <v>#N/A</v>
      </c>
      <c r="J37" s="53" t="e">
        <f>Table110[[#This Row],[MW Proyectada (Barra A)]]+Table110[[#This Row],[MW Proyectada (Barra B)]]</f>
        <v>#N/A</v>
      </c>
      <c r="L37" s="53" t="e">
        <f t="shared" si="0"/>
        <v>#N/A</v>
      </c>
      <c r="M37" s="53" t="e">
        <f>IF(Table110[[#This Row],[TOTAL MW]]&lt;165,Table110[[#This Row],[MW Proyectada (Barra A)]],Table110[[#This Row],[MW Proyectada (Barra A)]]*165/Table110[[#This Row],[TOTAL MW]])</f>
        <v>#N/A</v>
      </c>
      <c r="N37" s="53" t="e">
        <f>IF(Table110[[#This Row],[TOTAL MW]]&lt;165,Table110[[#This Row],[MW Proyectada (Barra B)]],Table110[[#This Row],[MW Proyectada (Barra B)]]*165/Table110[[#This Row],[TOTAL MW]])</f>
        <v>#N/A</v>
      </c>
      <c r="P37" s="90"/>
      <c r="Q37" s="90"/>
      <c r="R37" s="93"/>
      <c r="S37" s="93"/>
    </row>
    <row r="38" spans="2:19" x14ac:dyDescent="0.25">
      <c r="B38" s="91">
        <f t="shared" si="1"/>
        <v>45613.541666666584</v>
      </c>
      <c r="C38" s="52">
        <f t="shared" si="2"/>
        <v>1.5416666666666672</v>
      </c>
      <c r="D38" s="92">
        <f>Table110[[#This Row],[Fecha]]</f>
        <v>45613.541666666584</v>
      </c>
      <c r="E38" s="53" t="e">
        <f>VLOOKUP(Table110[[#This Row],[FECHA /HORA]],TBL_CalcDarwin[],7,0)</f>
        <v>#N/A</v>
      </c>
      <c r="F38" s="53" t="e">
        <f>VLOOKUP(Table110[[#This Row],[FECHA /HORA]],TBL_CalcDarwin[],42,0)</f>
        <v>#N/A</v>
      </c>
      <c r="G38" s="53" t="e">
        <f>VLOOKUP(Table110[[#This Row],[FECHA /HORA]],TBL_CalcDarwin[],43,0)</f>
        <v>#N/A</v>
      </c>
      <c r="H38" s="53" t="e">
        <f>VLOOKUP(Table110[[#This Row],[FECHA /HORA]],TBL_CalcDarwin[],40,0)</f>
        <v>#N/A</v>
      </c>
      <c r="I38" s="53" t="e">
        <f>VLOOKUP(Table110[[#This Row],[FECHA /HORA]],TBL_CalcDarwin[],41,0)</f>
        <v>#N/A</v>
      </c>
      <c r="J38" s="53" t="e">
        <f>Table110[[#This Row],[MW Proyectada (Barra A)]]+Table110[[#This Row],[MW Proyectada (Barra B)]]</f>
        <v>#N/A</v>
      </c>
      <c r="L38" s="53" t="e">
        <f t="shared" si="0"/>
        <v>#N/A</v>
      </c>
      <c r="M38" s="53" t="e">
        <f>IF(Table110[[#This Row],[TOTAL MW]]&lt;165,Table110[[#This Row],[MW Proyectada (Barra A)]],Table110[[#This Row],[MW Proyectada (Barra A)]]*165/Table110[[#This Row],[TOTAL MW]])</f>
        <v>#N/A</v>
      </c>
      <c r="N38" s="53" t="e">
        <f>IF(Table110[[#This Row],[TOTAL MW]]&lt;165,Table110[[#This Row],[MW Proyectada (Barra B)]],Table110[[#This Row],[MW Proyectada (Barra B)]]*165/Table110[[#This Row],[TOTAL MW]])</f>
        <v>#N/A</v>
      </c>
      <c r="P38" s="90"/>
      <c r="Q38" s="90"/>
      <c r="R38" s="93"/>
      <c r="S38" s="93"/>
    </row>
    <row r="39" spans="2:19" x14ac:dyDescent="0.25">
      <c r="B39" s="91">
        <f t="shared" si="1"/>
        <v>45613.583333333248</v>
      </c>
      <c r="C39" s="52">
        <f t="shared" si="2"/>
        <v>1.5833333333333339</v>
      </c>
      <c r="D39" s="92">
        <f>Table110[[#This Row],[Fecha]]</f>
        <v>45613.583333333248</v>
      </c>
      <c r="E39" s="53" t="e">
        <f>VLOOKUP(Table110[[#This Row],[FECHA /HORA]],TBL_CalcDarwin[],7,0)</f>
        <v>#N/A</v>
      </c>
      <c r="F39" s="53" t="e">
        <f>VLOOKUP(Table110[[#This Row],[FECHA /HORA]],TBL_CalcDarwin[],42,0)</f>
        <v>#N/A</v>
      </c>
      <c r="G39" s="53" t="e">
        <f>VLOOKUP(Table110[[#This Row],[FECHA /HORA]],TBL_CalcDarwin[],43,0)</f>
        <v>#N/A</v>
      </c>
      <c r="H39" s="53" t="e">
        <f>VLOOKUP(Table110[[#This Row],[FECHA /HORA]],TBL_CalcDarwin[],40,0)</f>
        <v>#N/A</v>
      </c>
      <c r="I39" s="53" t="e">
        <f>VLOOKUP(Table110[[#This Row],[FECHA /HORA]],TBL_CalcDarwin[],41,0)</f>
        <v>#N/A</v>
      </c>
      <c r="J39" s="53" t="e">
        <f>Table110[[#This Row],[MW Proyectada (Barra A)]]+Table110[[#This Row],[MW Proyectada (Barra B)]]</f>
        <v>#N/A</v>
      </c>
      <c r="L39" s="53" t="e">
        <f t="shared" si="0"/>
        <v>#N/A</v>
      </c>
      <c r="M39" s="53" t="e">
        <f>IF(Table110[[#This Row],[TOTAL MW]]&lt;165,Table110[[#This Row],[MW Proyectada (Barra A)]],Table110[[#This Row],[MW Proyectada (Barra A)]]*165/Table110[[#This Row],[TOTAL MW]])</f>
        <v>#N/A</v>
      </c>
      <c r="N39" s="53" t="e">
        <f>IF(Table110[[#This Row],[TOTAL MW]]&lt;165,Table110[[#This Row],[MW Proyectada (Barra B)]],Table110[[#This Row],[MW Proyectada (Barra B)]]*165/Table110[[#This Row],[TOTAL MW]])</f>
        <v>#N/A</v>
      </c>
      <c r="P39" s="90"/>
      <c r="Q39" s="90"/>
      <c r="R39" s="93"/>
      <c r="S39" s="93"/>
    </row>
    <row r="40" spans="2:19" x14ac:dyDescent="0.25">
      <c r="B40" s="91">
        <f t="shared" si="1"/>
        <v>45613.624999999913</v>
      </c>
      <c r="C40" s="52">
        <f t="shared" si="2"/>
        <v>1.6250000000000007</v>
      </c>
      <c r="D40" s="92">
        <f>Table110[[#This Row],[Fecha]]</f>
        <v>45613.624999999913</v>
      </c>
      <c r="E40" s="53" t="e">
        <f>VLOOKUP(Table110[[#This Row],[FECHA /HORA]],TBL_CalcDarwin[],7,0)</f>
        <v>#N/A</v>
      </c>
      <c r="F40" s="53" t="e">
        <f>VLOOKUP(Table110[[#This Row],[FECHA /HORA]],TBL_CalcDarwin[],42,0)</f>
        <v>#N/A</v>
      </c>
      <c r="G40" s="53" t="e">
        <f>VLOOKUP(Table110[[#This Row],[FECHA /HORA]],TBL_CalcDarwin[],43,0)</f>
        <v>#N/A</v>
      </c>
      <c r="H40" s="53" t="e">
        <f>VLOOKUP(Table110[[#This Row],[FECHA /HORA]],TBL_CalcDarwin[],40,0)</f>
        <v>#N/A</v>
      </c>
      <c r="I40" s="53" t="e">
        <f>VLOOKUP(Table110[[#This Row],[FECHA /HORA]],TBL_CalcDarwin[],41,0)</f>
        <v>#N/A</v>
      </c>
      <c r="J40" s="53" t="e">
        <f>Table110[[#This Row],[MW Proyectada (Barra A)]]+Table110[[#This Row],[MW Proyectada (Barra B)]]</f>
        <v>#N/A</v>
      </c>
      <c r="L40" s="53" t="e">
        <f t="shared" si="0"/>
        <v>#N/A</v>
      </c>
      <c r="M40" s="53" t="e">
        <f>IF(Table110[[#This Row],[TOTAL MW]]&lt;165,Table110[[#This Row],[MW Proyectada (Barra A)]],Table110[[#This Row],[MW Proyectada (Barra A)]]*165/Table110[[#This Row],[TOTAL MW]])</f>
        <v>#N/A</v>
      </c>
      <c r="N40" s="53" t="e">
        <f>IF(Table110[[#This Row],[TOTAL MW]]&lt;165,Table110[[#This Row],[MW Proyectada (Barra B)]],Table110[[#This Row],[MW Proyectada (Barra B)]]*165/Table110[[#This Row],[TOTAL MW]])</f>
        <v>#N/A</v>
      </c>
      <c r="P40" s="90"/>
      <c r="Q40" s="90"/>
      <c r="R40" s="93"/>
      <c r="S40" s="93"/>
    </row>
    <row r="41" spans="2:19" x14ac:dyDescent="0.25">
      <c r="B41" s="91">
        <f t="shared" si="1"/>
        <v>45613.666666666577</v>
      </c>
      <c r="C41" s="52">
        <f t="shared" si="2"/>
        <v>1.6666666666666674</v>
      </c>
      <c r="D41" s="92">
        <f>Table110[[#This Row],[Fecha]]</f>
        <v>45613.666666666577</v>
      </c>
      <c r="E41" s="53" t="e">
        <f>VLOOKUP(Table110[[#This Row],[FECHA /HORA]],TBL_CalcDarwin[],7,0)</f>
        <v>#N/A</v>
      </c>
      <c r="F41" s="53" t="e">
        <f>VLOOKUP(Table110[[#This Row],[FECHA /HORA]],TBL_CalcDarwin[],42,0)</f>
        <v>#N/A</v>
      </c>
      <c r="G41" s="53" t="e">
        <f>VLOOKUP(Table110[[#This Row],[FECHA /HORA]],TBL_CalcDarwin[],43,0)</f>
        <v>#N/A</v>
      </c>
      <c r="H41" s="53" t="e">
        <f>VLOOKUP(Table110[[#This Row],[FECHA /HORA]],TBL_CalcDarwin[],40,0)</f>
        <v>#N/A</v>
      </c>
      <c r="I41" s="53" t="e">
        <f>VLOOKUP(Table110[[#This Row],[FECHA /HORA]],TBL_CalcDarwin[],41,0)</f>
        <v>#N/A</v>
      </c>
      <c r="J41" s="53" t="e">
        <f>Table110[[#This Row],[MW Proyectada (Barra A)]]+Table110[[#This Row],[MW Proyectada (Barra B)]]</f>
        <v>#N/A</v>
      </c>
      <c r="L41" s="53" t="e">
        <f t="shared" si="0"/>
        <v>#N/A</v>
      </c>
      <c r="M41" s="53" t="e">
        <f>IF(Table110[[#This Row],[TOTAL MW]]&lt;165,Table110[[#This Row],[MW Proyectada (Barra A)]],Table110[[#This Row],[MW Proyectada (Barra A)]]*165/Table110[[#This Row],[TOTAL MW]])</f>
        <v>#N/A</v>
      </c>
      <c r="N41" s="53" t="e">
        <f>IF(Table110[[#This Row],[TOTAL MW]]&lt;165,Table110[[#This Row],[MW Proyectada (Barra B)]],Table110[[#This Row],[MW Proyectada (Barra B)]]*165/Table110[[#This Row],[TOTAL MW]])</f>
        <v>#N/A</v>
      </c>
      <c r="P41" s="90"/>
      <c r="Q41" s="90"/>
      <c r="R41" s="93"/>
      <c r="S41" s="93"/>
    </row>
    <row r="42" spans="2:19" x14ac:dyDescent="0.25">
      <c r="B42" s="91">
        <f t="shared" si="1"/>
        <v>45613.708333333241</v>
      </c>
      <c r="C42" s="52">
        <f t="shared" si="2"/>
        <v>1.7083333333333341</v>
      </c>
      <c r="D42" s="92">
        <f>Table110[[#This Row],[Fecha]]</f>
        <v>45613.708333333241</v>
      </c>
      <c r="E42" s="53" t="e">
        <f>VLOOKUP(Table110[[#This Row],[FECHA /HORA]],TBL_CalcDarwin[],7,0)</f>
        <v>#N/A</v>
      </c>
      <c r="F42" s="53" t="e">
        <f>VLOOKUP(Table110[[#This Row],[FECHA /HORA]],TBL_CalcDarwin[],42,0)</f>
        <v>#N/A</v>
      </c>
      <c r="G42" s="53" t="e">
        <f>VLOOKUP(Table110[[#This Row],[FECHA /HORA]],TBL_CalcDarwin[],43,0)</f>
        <v>#N/A</v>
      </c>
      <c r="H42" s="53" t="e">
        <f>VLOOKUP(Table110[[#This Row],[FECHA /HORA]],TBL_CalcDarwin[],40,0)</f>
        <v>#N/A</v>
      </c>
      <c r="I42" s="53" t="e">
        <f>VLOOKUP(Table110[[#This Row],[FECHA /HORA]],TBL_CalcDarwin[],41,0)</f>
        <v>#N/A</v>
      </c>
      <c r="J42" s="53" t="e">
        <f>Table110[[#This Row],[MW Proyectada (Barra A)]]+Table110[[#This Row],[MW Proyectada (Barra B)]]</f>
        <v>#N/A</v>
      </c>
      <c r="L42" s="53" t="e">
        <f t="shared" si="0"/>
        <v>#N/A</v>
      </c>
      <c r="M42" s="53" t="e">
        <f>IF(Table110[[#This Row],[TOTAL MW]]&lt;165,Table110[[#This Row],[MW Proyectada (Barra A)]],Table110[[#This Row],[MW Proyectada (Barra A)]]*165/Table110[[#This Row],[TOTAL MW]])</f>
        <v>#N/A</v>
      </c>
      <c r="N42" s="53" t="e">
        <f>IF(Table110[[#This Row],[TOTAL MW]]&lt;165,Table110[[#This Row],[MW Proyectada (Barra B)]],Table110[[#This Row],[MW Proyectada (Barra B)]]*165/Table110[[#This Row],[TOTAL MW]])</f>
        <v>#N/A</v>
      </c>
      <c r="P42" s="90"/>
      <c r="Q42" s="90"/>
      <c r="R42" s="93"/>
      <c r="S42" s="93"/>
    </row>
    <row r="43" spans="2:19" x14ac:dyDescent="0.25">
      <c r="B43" s="91">
        <f t="shared" si="1"/>
        <v>45613.749999999905</v>
      </c>
      <c r="C43" s="52">
        <f t="shared" si="2"/>
        <v>1.7500000000000009</v>
      </c>
      <c r="D43" s="92">
        <f>Table110[[#This Row],[Fecha]]</f>
        <v>45613.749999999905</v>
      </c>
      <c r="E43" s="53" t="e">
        <f>VLOOKUP(Table110[[#This Row],[FECHA /HORA]],TBL_CalcDarwin[],7,0)</f>
        <v>#N/A</v>
      </c>
      <c r="F43" s="53" t="e">
        <f>VLOOKUP(Table110[[#This Row],[FECHA /HORA]],TBL_CalcDarwin[],42,0)</f>
        <v>#N/A</v>
      </c>
      <c r="G43" s="53" t="e">
        <f>VLOOKUP(Table110[[#This Row],[FECHA /HORA]],TBL_CalcDarwin[],43,0)</f>
        <v>#N/A</v>
      </c>
      <c r="H43" s="53" t="e">
        <f>VLOOKUP(Table110[[#This Row],[FECHA /HORA]],TBL_CalcDarwin[],40,0)</f>
        <v>#N/A</v>
      </c>
      <c r="I43" s="53" t="e">
        <f>VLOOKUP(Table110[[#This Row],[FECHA /HORA]],TBL_CalcDarwin[],41,0)</f>
        <v>#N/A</v>
      </c>
      <c r="J43" s="53" t="e">
        <f>Table110[[#This Row],[MW Proyectada (Barra A)]]+Table110[[#This Row],[MW Proyectada (Barra B)]]</f>
        <v>#N/A</v>
      </c>
      <c r="L43" s="53" t="e">
        <f t="shared" si="0"/>
        <v>#N/A</v>
      </c>
      <c r="M43" s="53" t="e">
        <f>IF(Table110[[#This Row],[TOTAL MW]]&lt;165,Table110[[#This Row],[MW Proyectada (Barra A)]],Table110[[#This Row],[MW Proyectada (Barra A)]]*165/Table110[[#This Row],[TOTAL MW]])</f>
        <v>#N/A</v>
      </c>
      <c r="N43" s="53" t="e">
        <f>IF(Table110[[#This Row],[TOTAL MW]]&lt;165,Table110[[#This Row],[MW Proyectada (Barra B)]],Table110[[#This Row],[MW Proyectada (Barra B)]]*165/Table110[[#This Row],[TOTAL MW]])</f>
        <v>#N/A</v>
      </c>
      <c r="P43" s="90"/>
      <c r="Q43" s="90"/>
      <c r="R43" s="93"/>
      <c r="S43" s="93"/>
    </row>
    <row r="44" spans="2:19" x14ac:dyDescent="0.25">
      <c r="B44" s="91">
        <f t="shared" si="1"/>
        <v>45613.79166666657</v>
      </c>
      <c r="C44" s="52">
        <f t="shared" si="2"/>
        <v>1.7916666666666676</v>
      </c>
      <c r="D44" s="92">
        <f>Table110[[#This Row],[Fecha]]</f>
        <v>45613.79166666657</v>
      </c>
      <c r="E44" s="53" t="e">
        <f>VLOOKUP(Table110[[#This Row],[FECHA /HORA]],TBL_CalcDarwin[],7,0)</f>
        <v>#N/A</v>
      </c>
      <c r="F44" s="53" t="e">
        <f>VLOOKUP(Table110[[#This Row],[FECHA /HORA]],TBL_CalcDarwin[],42,0)</f>
        <v>#N/A</v>
      </c>
      <c r="G44" s="53" t="e">
        <f>VLOOKUP(Table110[[#This Row],[FECHA /HORA]],TBL_CalcDarwin[],43,0)</f>
        <v>#N/A</v>
      </c>
      <c r="H44" s="53" t="e">
        <f>VLOOKUP(Table110[[#This Row],[FECHA /HORA]],TBL_CalcDarwin[],40,0)</f>
        <v>#N/A</v>
      </c>
      <c r="I44" s="53" t="e">
        <f>VLOOKUP(Table110[[#This Row],[FECHA /HORA]],TBL_CalcDarwin[],41,0)</f>
        <v>#N/A</v>
      </c>
      <c r="J44" s="53" t="e">
        <f>Table110[[#This Row],[MW Proyectada (Barra A)]]+Table110[[#This Row],[MW Proyectada (Barra B)]]</f>
        <v>#N/A</v>
      </c>
      <c r="L44" s="53" t="e">
        <f t="shared" si="0"/>
        <v>#N/A</v>
      </c>
      <c r="M44" s="53" t="e">
        <f>IF(Table110[[#This Row],[TOTAL MW]]&lt;165,Table110[[#This Row],[MW Proyectada (Barra A)]],Table110[[#This Row],[MW Proyectada (Barra A)]]*165/Table110[[#This Row],[TOTAL MW]])</f>
        <v>#N/A</v>
      </c>
      <c r="N44" s="53" t="e">
        <f>IF(Table110[[#This Row],[TOTAL MW]]&lt;165,Table110[[#This Row],[MW Proyectada (Barra B)]],Table110[[#This Row],[MW Proyectada (Barra B)]]*165/Table110[[#This Row],[TOTAL MW]])</f>
        <v>#N/A</v>
      </c>
      <c r="P44" s="90"/>
      <c r="Q44" s="90"/>
      <c r="R44" s="93"/>
      <c r="S44" s="93"/>
    </row>
    <row r="45" spans="2:19" x14ac:dyDescent="0.25">
      <c r="B45" s="91">
        <f t="shared" si="1"/>
        <v>45613.833333333234</v>
      </c>
      <c r="C45" s="52">
        <f t="shared" si="2"/>
        <v>1.8333333333333344</v>
      </c>
      <c r="D45" s="92">
        <f>Table110[[#This Row],[Fecha]]</f>
        <v>45613.833333333234</v>
      </c>
      <c r="E45" s="53" t="e">
        <f>VLOOKUP(Table110[[#This Row],[FECHA /HORA]],TBL_CalcDarwin[],7,0)</f>
        <v>#N/A</v>
      </c>
      <c r="F45" s="53" t="e">
        <f>VLOOKUP(Table110[[#This Row],[FECHA /HORA]],TBL_CalcDarwin[],42,0)</f>
        <v>#N/A</v>
      </c>
      <c r="G45" s="53" t="e">
        <f>VLOOKUP(Table110[[#This Row],[FECHA /HORA]],TBL_CalcDarwin[],43,0)</f>
        <v>#N/A</v>
      </c>
      <c r="H45" s="53" t="e">
        <f>VLOOKUP(Table110[[#This Row],[FECHA /HORA]],TBL_CalcDarwin[],40,0)</f>
        <v>#N/A</v>
      </c>
      <c r="I45" s="53" t="e">
        <f>VLOOKUP(Table110[[#This Row],[FECHA /HORA]],TBL_CalcDarwin[],41,0)</f>
        <v>#N/A</v>
      </c>
      <c r="J45" s="53" t="e">
        <f>Table110[[#This Row],[MW Proyectada (Barra A)]]+Table110[[#This Row],[MW Proyectada (Barra B)]]</f>
        <v>#N/A</v>
      </c>
      <c r="L45" s="53" t="e">
        <f t="shared" si="0"/>
        <v>#N/A</v>
      </c>
      <c r="M45" s="53" t="e">
        <f>IF(Table110[[#This Row],[TOTAL MW]]&lt;165,Table110[[#This Row],[MW Proyectada (Barra A)]],Table110[[#This Row],[MW Proyectada (Barra A)]]*165/Table110[[#This Row],[TOTAL MW]])</f>
        <v>#N/A</v>
      </c>
      <c r="N45" s="53" t="e">
        <f>IF(Table110[[#This Row],[TOTAL MW]]&lt;165,Table110[[#This Row],[MW Proyectada (Barra B)]],Table110[[#This Row],[MW Proyectada (Barra B)]]*165/Table110[[#This Row],[TOTAL MW]])</f>
        <v>#N/A</v>
      </c>
      <c r="P45" s="90"/>
      <c r="Q45" s="90"/>
      <c r="R45" s="93"/>
      <c r="S45" s="93"/>
    </row>
    <row r="46" spans="2:19" x14ac:dyDescent="0.25">
      <c r="B46" s="91">
        <f t="shared" si="1"/>
        <v>45613.874999999898</v>
      </c>
      <c r="C46" s="52">
        <f t="shared" si="2"/>
        <v>1.8750000000000011</v>
      </c>
      <c r="D46" s="92">
        <f>Table110[[#This Row],[Fecha]]</f>
        <v>45613.874999999898</v>
      </c>
      <c r="E46" s="53" t="e">
        <f>VLOOKUP(Table110[[#This Row],[FECHA /HORA]],TBL_CalcDarwin[],7,0)</f>
        <v>#N/A</v>
      </c>
      <c r="F46" s="53" t="e">
        <f>VLOOKUP(Table110[[#This Row],[FECHA /HORA]],TBL_CalcDarwin[],42,0)</f>
        <v>#N/A</v>
      </c>
      <c r="G46" s="53" t="e">
        <f>VLOOKUP(Table110[[#This Row],[FECHA /HORA]],TBL_CalcDarwin[],43,0)</f>
        <v>#N/A</v>
      </c>
      <c r="H46" s="53" t="e">
        <f>VLOOKUP(Table110[[#This Row],[FECHA /HORA]],TBL_CalcDarwin[],40,0)</f>
        <v>#N/A</v>
      </c>
      <c r="I46" s="53" t="e">
        <f>VLOOKUP(Table110[[#This Row],[FECHA /HORA]],TBL_CalcDarwin[],41,0)</f>
        <v>#N/A</v>
      </c>
      <c r="J46" s="53" t="e">
        <f>Table110[[#This Row],[MW Proyectada (Barra A)]]+Table110[[#This Row],[MW Proyectada (Barra B)]]</f>
        <v>#N/A</v>
      </c>
      <c r="L46" s="53" t="e">
        <f t="shared" si="0"/>
        <v>#N/A</v>
      </c>
      <c r="M46" s="53" t="e">
        <f>IF(Table110[[#This Row],[TOTAL MW]]&lt;165,Table110[[#This Row],[MW Proyectada (Barra A)]],Table110[[#This Row],[MW Proyectada (Barra A)]]*165/Table110[[#This Row],[TOTAL MW]])</f>
        <v>#N/A</v>
      </c>
      <c r="N46" s="53" t="e">
        <f>IF(Table110[[#This Row],[TOTAL MW]]&lt;165,Table110[[#This Row],[MW Proyectada (Barra B)]],Table110[[#This Row],[MW Proyectada (Barra B)]]*165/Table110[[#This Row],[TOTAL MW]])</f>
        <v>#N/A</v>
      </c>
      <c r="P46" s="90"/>
      <c r="Q46" s="90"/>
      <c r="R46" s="93"/>
      <c r="S46" s="93"/>
    </row>
    <row r="47" spans="2:19" x14ac:dyDescent="0.25">
      <c r="B47" s="91">
        <f t="shared" si="1"/>
        <v>45613.916666666562</v>
      </c>
      <c r="C47" s="52">
        <f t="shared" si="2"/>
        <v>1.9166666666666679</v>
      </c>
      <c r="D47" s="92">
        <f>Table110[[#This Row],[Fecha]]</f>
        <v>45613.916666666562</v>
      </c>
      <c r="E47" s="53" t="e">
        <f>VLOOKUP(Table110[[#This Row],[FECHA /HORA]],TBL_CalcDarwin[],7,0)</f>
        <v>#N/A</v>
      </c>
      <c r="F47" s="53" t="e">
        <f>VLOOKUP(Table110[[#This Row],[FECHA /HORA]],TBL_CalcDarwin[],42,0)</f>
        <v>#N/A</v>
      </c>
      <c r="G47" s="53" t="e">
        <f>VLOOKUP(Table110[[#This Row],[FECHA /HORA]],TBL_CalcDarwin[],43,0)</f>
        <v>#N/A</v>
      </c>
      <c r="H47" s="53" t="e">
        <f>VLOOKUP(Table110[[#This Row],[FECHA /HORA]],TBL_CalcDarwin[],40,0)</f>
        <v>#N/A</v>
      </c>
      <c r="I47" s="53" t="e">
        <f>VLOOKUP(Table110[[#This Row],[FECHA /HORA]],TBL_CalcDarwin[],41,0)</f>
        <v>#N/A</v>
      </c>
      <c r="J47" s="53" t="e">
        <f>Table110[[#This Row],[MW Proyectada (Barra A)]]+Table110[[#This Row],[MW Proyectada (Barra B)]]</f>
        <v>#N/A</v>
      </c>
      <c r="L47" s="53" t="e">
        <f t="shared" si="0"/>
        <v>#N/A</v>
      </c>
      <c r="M47" s="53" t="e">
        <f>IF(Table110[[#This Row],[TOTAL MW]]&lt;165,Table110[[#This Row],[MW Proyectada (Barra A)]],Table110[[#This Row],[MW Proyectada (Barra A)]]*165/Table110[[#This Row],[TOTAL MW]])</f>
        <v>#N/A</v>
      </c>
      <c r="N47" s="53" t="e">
        <f>IF(Table110[[#This Row],[TOTAL MW]]&lt;165,Table110[[#This Row],[MW Proyectada (Barra B)]],Table110[[#This Row],[MW Proyectada (Barra B)]]*165/Table110[[#This Row],[TOTAL MW]])</f>
        <v>#N/A</v>
      </c>
      <c r="P47" s="90"/>
      <c r="Q47" s="90"/>
      <c r="R47" s="93"/>
      <c r="S47" s="93"/>
    </row>
    <row r="48" spans="2:19" x14ac:dyDescent="0.25">
      <c r="B48" s="91">
        <f t="shared" si="1"/>
        <v>45613.958333333227</v>
      </c>
      <c r="C48" s="52">
        <f t="shared" si="2"/>
        <v>1.9583333333333346</v>
      </c>
      <c r="D48" s="92">
        <f>Table110[[#This Row],[Fecha]]</f>
        <v>45613.958333333227</v>
      </c>
      <c r="E48" s="53" t="e">
        <f>VLOOKUP(Table110[[#This Row],[FECHA /HORA]],TBL_CalcDarwin[],7,0)</f>
        <v>#N/A</v>
      </c>
      <c r="F48" s="53" t="e">
        <f>VLOOKUP(Table110[[#This Row],[FECHA /HORA]],TBL_CalcDarwin[],42,0)</f>
        <v>#N/A</v>
      </c>
      <c r="G48" s="53" t="e">
        <f>VLOOKUP(Table110[[#This Row],[FECHA /HORA]],TBL_CalcDarwin[],43,0)</f>
        <v>#N/A</v>
      </c>
      <c r="H48" s="53" t="e">
        <f>VLOOKUP(Table110[[#This Row],[FECHA /HORA]],TBL_CalcDarwin[],40,0)</f>
        <v>#N/A</v>
      </c>
      <c r="I48" s="53" t="e">
        <f>VLOOKUP(Table110[[#This Row],[FECHA /HORA]],TBL_CalcDarwin[],41,0)</f>
        <v>#N/A</v>
      </c>
      <c r="J48" s="53" t="e">
        <f>Table110[[#This Row],[MW Proyectada (Barra A)]]+Table110[[#This Row],[MW Proyectada (Barra B)]]</f>
        <v>#N/A</v>
      </c>
      <c r="L48" s="53" t="e">
        <f t="shared" si="0"/>
        <v>#N/A</v>
      </c>
      <c r="M48" s="53" t="e">
        <f>IF(Table110[[#This Row],[TOTAL MW]]&lt;165,Table110[[#This Row],[MW Proyectada (Barra A)]],Table110[[#This Row],[MW Proyectada (Barra A)]]*165/Table110[[#This Row],[TOTAL MW]])</f>
        <v>#N/A</v>
      </c>
      <c r="N48" s="53" t="e">
        <f>IF(Table110[[#This Row],[TOTAL MW]]&lt;165,Table110[[#This Row],[MW Proyectada (Barra B)]],Table110[[#This Row],[MW Proyectada (Barra B)]]*165/Table110[[#This Row],[TOTAL MW]])</f>
        <v>#N/A</v>
      </c>
      <c r="P48" s="90"/>
      <c r="Q48" s="90"/>
      <c r="R48" s="93"/>
      <c r="S48" s="93"/>
    </row>
    <row r="49" spans="2:19" x14ac:dyDescent="0.25">
      <c r="B49" s="91">
        <f t="shared" si="1"/>
        <v>45613.999999999891</v>
      </c>
      <c r="C49" s="52">
        <f t="shared" si="2"/>
        <v>2.0000000000000013</v>
      </c>
      <c r="D49" s="92">
        <f>Table110[[#This Row],[Fecha]]</f>
        <v>45613.999999999891</v>
      </c>
      <c r="E49" s="53" t="e">
        <f>VLOOKUP(Table110[[#This Row],[FECHA /HORA]],TBL_CalcDarwin[],7,0)</f>
        <v>#N/A</v>
      </c>
      <c r="F49" s="53" t="e">
        <f>VLOOKUP(Table110[[#This Row],[FECHA /HORA]],TBL_CalcDarwin[],42,0)</f>
        <v>#N/A</v>
      </c>
      <c r="G49" s="53" t="e">
        <f>VLOOKUP(Table110[[#This Row],[FECHA /HORA]],TBL_CalcDarwin[],43,0)</f>
        <v>#N/A</v>
      </c>
      <c r="H49" s="53" t="e">
        <f>VLOOKUP(Table110[[#This Row],[FECHA /HORA]],TBL_CalcDarwin[],40,0)</f>
        <v>#N/A</v>
      </c>
      <c r="I49" s="53" t="e">
        <f>VLOOKUP(Table110[[#This Row],[FECHA /HORA]],TBL_CalcDarwin[],41,0)</f>
        <v>#N/A</v>
      </c>
      <c r="J49" s="53" t="e">
        <f>Table110[[#This Row],[MW Proyectada (Barra A)]]+Table110[[#This Row],[MW Proyectada (Barra B)]]</f>
        <v>#N/A</v>
      </c>
      <c r="L49" s="53" t="e">
        <f t="shared" si="0"/>
        <v>#N/A</v>
      </c>
      <c r="M49" s="53" t="e">
        <f>IF(Table110[[#This Row],[TOTAL MW]]&lt;165,Table110[[#This Row],[MW Proyectada (Barra A)]],Table110[[#This Row],[MW Proyectada (Barra A)]]*165/Table110[[#This Row],[TOTAL MW]])</f>
        <v>#N/A</v>
      </c>
      <c r="N49" s="53" t="e">
        <f>IF(Table110[[#This Row],[TOTAL MW]]&lt;165,Table110[[#This Row],[MW Proyectada (Barra B)]],Table110[[#This Row],[MW Proyectada (Barra B)]]*165/Table110[[#This Row],[TOTAL MW]])</f>
        <v>#N/A</v>
      </c>
      <c r="P49" s="90"/>
      <c r="Q49" s="90"/>
      <c r="R49" s="93"/>
      <c r="S49" s="93"/>
    </row>
    <row r="50" spans="2:19" x14ac:dyDescent="0.25">
      <c r="B50" s="91">
        <f t="shared" si="1"/>
        <v>45614.041666666555</v>
      </c>
      <c r="C50" s="52">
        <f t="shared" si="2"/>
        <v>2.0416666666666679</v>
      </c>
      <c r="D50" s="92">
        <f>Table110[[#This Row],[Fecha]]</f>
        <v>45614.041666666555</v>
      </c>
      <c r="E50" s="53" t="e">
        <f>VLOOKUP(Table110[[#This Row],[FECHA /HORA]],TBL_CalcDarwin[],7,0)</f>
        <v>#N/A</v>
      </c>
      <c r="F50" s="53" t="e">
        <f>VLOOKUP(Table110[[#This Row],[FECHA /HORA]],TBL_CalcDarwin[],42,0)</f>
        <v>#N/A</v>
      </c>
      <c r="G50" s="53" t="e">
        <f>VLOOKUP(Table110[[#This Row],[FECHA /HORA]],TBL_CalcDarwin[],43,0)</f>
        <v>#N/A</v>
      </c>
      <c r="H50" s="53" t="e">
        <f>VLOOKUP(Table110[[#This Row],[FECHA /HORA]],TBL_CalcDarwin[],40,0)</f>
        <v>#N/A</v>
      </c>
      <c r="I50" s="53" t="e">
        <f>VLOOKUP(Table110[[#This Row],[FECHA /HORA]],TBL_CalcDarwin[],41,0)</f>
        <v>#N/A</v>
      </c>
      <c r="J50" s="53" t="e">
        <f>Table110[[#This Row],[MW Proyectada (Barra A)]]+Table110[[#This Row],[MW Proyectada (Barra B)]]</f>
        <v>#N/A</v>
      </c>
      <c r="L50" s="53" t="e">
        <f t="shared" si="0"/>
        <v>#N/A</v>
      </c>
      <c r="M50" s="53" t="e">
        <f>IF(Table110[[#This Row],[TOTAL MW]]&lt;165,Table110[[#This Row],[MW Proyectada (Barra A)]],Table110[[#This Row],[MW Proyectada (Barra A)]]*165/Table110[[#This Row],[TOTAL MW]])</f>
        <v>#N/A</v>
      </c>
      <c r="N50" s="53" t="e">
        <f>IF(Table110[[#This Row],[TOTAL MW]]&lt;165,Table110[[#This Row],[MW Proyectada (Barra B)]],Table110[[#This Row],[MW Proyectada (Barra B)]]*165/Table110[[#This Row],[TOTAL MW]])</f>
        <v>#N/A</v>
      </c>
      <c r="P50" s="90"/>
      <c r="Q50" s="90"/>
      <c r="R50" s="93"/>
      <c r="S50" s="93"/>
    </row>
    <row r="51" spans="2:19" x14ac:dyDescent="0.25">
      <c r="B51" s="91">
        <f t="shared" si="1"/>
        <v>45614.083333333219</v>
      </c>
      <c r="C51" s="52">
        <f t="shared" si="2"/>
        <v>2.0833333333333344</v>
      </c>
      <c r="D51" s="92">
        <f>Table110[[#This Row],[Fecha]]</f>
        <v>45614.083333333219</v>
      </c>
      <c r="E51" s="53" t="e">
        <f>VLOOKUP(Table110[[#This Row],[FECHA /HORA]],TBL_CalcDarwin[],7,0)</f>
        <v>#N/A</v>
      </c>
      <c r="F51" s="53" t="e">
        <f>VLOOKUP(Table110[[#This Row],[FECHA /HORA]],TBL_CalcDarwin[],42,0)</f>
        <v>#N/A</v>
      </c>
      <c r="G51" s="53" t="e">
        <f>VLOOKUP(Table110[[#This Row],[FECHA /HORA]],TBL_CalcDarwin[],43,0)</f>
        <v>#N/A</v>
      </c>
      <c r="H51" s="53" t="e">
        <f>VLOOKUP(Table110[[#This Row],[FECHA /HORA]],TBL_CalcDarwin[],40,0)</f>
        <v>#N/A</v>
      </c>
      <c r="I51" s="53" t="e">
        <f>VLOOKUP(Table110[[#This Row],[FECHA /HORA]],TBL_CalcDarwin[],41,0)</f>
        <v>#N/A</v>
      </c>
      <c r="J51" s="53" t="e">
        <f>Table110[[#This Row],[MW Proyectada (Barra A)]]+Table110[[#This Row],[MW Proyectada (Barra B)]]</f>
        <v>#N/A</v>
      </c>
      <c r="L51" s="53" t="e">
        <f t="shared" si="0"/>
        <v>#N/A</v>
      </c>
      <c r="M51" s="53" t="e">
        <f>IF(Table110[[#This Row],[TOTAL MW]]&lt;165,Table110[[#This Row],[MW Proyectada (Barra A)]],Table110[[#This Row],[MW Proyectada (Barra A)]]*165/Table110[[#This Row],[TOTAL MW]])</f>
        <v>#N/A</v>
      </c>
      <c r="N51" s="53" t="e">
        <f>IF(Table110[[#This Row],[TOTAL MW]]&lt;165,Table110[[#This Row],[MW Proyectada (Barra B)]],Table110[[#This Row],[MW Proyectada (Barra B)]]*165/Table110[[#This Row],[TOTAL MW]])</f>
        <v>#N/A</v>
      </c>
      <c r="P51" s="90"/>
      <c r="Q51" s="90"/>
      <c r="R51" s="93"/>
      <c r="S51" s="93"/>
    </row>
    <row r="52" spans="2:19" x14ac:dyDescent="0.25">
      <c r="B52" s="91">
        <f t="shared" si="1"/>
        <v>45614.124999999884</v>
      </c>
      <c r="C52" s="52">
        <f t="shared" si="2"/>
        <v>2.1250000000000009</v>
      </c>
      <c r="D52" s="92">
        <f>Table110[[#This Row],[Fecha]]</f>
        <v>45614.124999999884</v>
      </c>
      <c r="E52" s="53" t="e">
        <f>VLOOKUP(Table110[[#This Row],[FECHA /HORA]],TBL_CalcDarwin[],7,0)</f>
        <v>#N/A</v>
      </c>
      <c r="F52" s="53" t="e">
        <f>VLOOKUP(Table110[[#This Row],[FECHA /HORA]],TBL_CalcDarwin[],42,0)</f>
        <v>#N/A</v>
      </c>
      <c r="G52" s="53" t="e">
        <f>VLOOKUP(Table110[[#This Row],[FECHA /HORA]],TBL_CalcDarwin[],43,0)</f>
        <v>#N/A</v>
      </c>
      <c r="H52" s="53" t="e">
        <f>VLOOKUP(Table110[[#This Row],[FECHA /HORA]],TBL_CalcDarwin[],40,0)</f>
        <v>#N/A</v>
      </c>
      <c r="I52" s="53" t="e">
        <f>VLOOKUP(Table110[[#This Row],[FECHA /HORA]],TBL_CalcDarwin[],41,0)</f>
        <v>#N/A</v>
      </c>
      <c r="J52" s="53" t="e">
        <f>Table110[[#This Row],[MW Proyectada (Barra A)]]+Table110[[#This Row],[MW Proyectada (Barra B)]]</f>
        <v>#N/A</v>
      </c>
      <c r="L52" s="53" t="e">
        <f t="shared" si="0"/>
        <v>#N/A</v>
      </c>
      <c r="M52" s="53" t="e">
        <f>IF(Table110[[#This Row],[TOTAL MW]]&lt;165,Table110[[#This Row],[MW Proyectada (Barra A)]],Table110[[#This Row],[MW Proyectada (Barra A)]]*165/Table110[[#This Row],[TOTAL MW]])</f>
        <v>#N/A</v>
      </c>
      <c r="N52" s="53" t="e">
        <f>IF(Table110[[#This Row],[TOTAL MW]]&lt;165,Table110[[#This Row],[MW Proyectada (Barra B)]],Table110[[#This Row],[MW Proyectada (Barra B)]]*165/Table110[[#This Row],[TOTAL MW]])</f>
        <v>#N/A</v>
      </c>
      <c r="P52" s="90"/>
      <c r="Q52" s="90"/>
      <c r="R52" s="93"/>
      <c r="S52" s="93"/>
    </row>
    <row r="53" spans="2:19" x14ac:dyDescent="0.25">
      <c r="B53" s="91">
        <f t="shared" si="1"/>
        <v>45614.166666666548</v>
      </c>
      <c r="C53" s="52">
        <f t="shared" si="2"/>
        <v>2.1666666666666674</v>
      </c>
      <c r="D53" s="92">
        <f>Table110[[#This Row],[Fecha]]</f>
        <v>45614.166666666548</v>
      </c>
      <c r="E53" s="53" t="e">
        <f>VLOOKUP(Table110[[#This Row],[FECHA /HORA]],TBL_CalcDarwin[],7,0)</f>
        <v>#N/A</v>
      </c>
      <c r="F53" s="53" t="e">
        <f>VLOOKUP(Table110[[#This Row],[FECHA /HORA]],TBL_CalcDarwin[],42,0)</f>
        <v>#N/A</v>
      </c>
      <c r="G53" s="53" t="e">
        <f>VLOOKUP(Table110[[#This Row],[FECHA /HORA]],TBL_CalcDarwin[],43,0)</f>
        <v>#N/A</v>
      </c>
      <c r="H53" s="53" t="e">
        <f>VLOOKUP(Table110[[#This Row],[FECHA /HORA]],TBL_CalcDarwin[],40,0)</f>
        <v>#N/A</v>
      </c>
      <c r="I53" s="53" t="e">
        <f>VLOOKUP(Table110[[#This Row],[FECHA /HORA]],TBL_CalcDarwin[],41,0)</f>
        <v>#N/A</v>
      </c>
      <c r="J53" s="53" t="e">
        <f>Table110[[#This Row],[MW Proyectada (Barra A)]]+Table110[[#This Row],[MW Proyectada (Barra B)]]</f>
        <v>#N/A</v>
      </c>
      <c r="L53" s="53" t="e">
        <f t="shared" si="0"/>
        <v>#N/A</v>
      </c>
      <c r="M53" s="53" t="e">
        <f>IF(Table110[[#This Row],[TOTAL MW]]&lt;165,Table110[[#This Row],[MW Proyectada (Barra A)]],Table110[[#This Row],[MW Proyectada (Barra A)]]*165/Table110[[#This Row],[TOTAL MW]])</f>
        <v>#N/A</v>
      </c>
      <c r="N53" s="53" t="e">
        <f>IF(Table110[[#This Row],[TOTAL MW]]&lt;165,Table110[[#This Row],[MW Proyectada (Barra B)]],Table110[[#This Row],[MW Proyectada (Barra B)]]*165/Table110[[#This Row],[TOTAL MW]])</f>
        <v>#N/A</v>
      </c>
      <c r="P53" s="90"/>
      <c r="Q53" s="90"/>
      <c r="R53" s="93"/>
      <c r="S53" s="93"/>
    </row>
    <row r="54" spans="2:19" x14ac:dyDescent="0.25">
      <c r="B54" s="91">
        <f t="shared" si="1"/>
        <v>45614.208333333212</v>
      </c>
      <c r="C54" s="52">
        <f t="shared" si="2"/>
        <v>2.2083333333333339</v>
      </c>
      <c r="D54" s="92">
        <f>Table110[[#This Row],[Fecha]]</f>
        <v>45614.208333333212</v>
      </c>
      <c r="E54" s="53" t="e">
        <f>VLOOKUP(Table110[[#This Row],[FECHA /HORA]],TBL_CalcDarwin[],7,0)</f>
        <v>#N/A</v>
      </c>
      <c r="F54" s="53" t="e">
        <f>VLOOKUP(Table110[[#This Row],[FECHA /HORA]],TBL_CalcDarwin[],42,0)</f>
        <v>#N/A</v>
      </c>
      <c r="G54" s="53" t="e">
        <f>VLOOKUP(Table110[[#This Row],[FECHA /HORA]],TBL_CalcDarwin[],43,0)</f>
        <v>#N/A</v>
      </c>
      <c r="H54" s="53" t="e">
        <f>VLOOKUP(Table110[[#This Row],[FECHA /HORA]],TBL_CalcDarwin[],40,0)</f>
        <v>#N/A</v>
      </c>
      <c r="I54" s="53" t="e">
        <f>VLOOKUP(Table110[[#This Row],[FECHA /HORA]],TBL_CalcDarwin[],41,0)</f>
        <v>#N/A</v>
      </c>
      <c r="J54" s="53" t="e">
        <f>Table110[[#This Row],[MW Proyectada (Barra A)]]+Table110[[#This Row],[MW Proyectada (Barra B)]]</f>
        <v>#N/A</v>
      </c>
      <c r="L54" s="53" t="e">
        <f t="shared" si="0"/>
        <v>#N/A</v>
      </c>
      <c r="M54" s="53" t="e">
        <f>IF(Table110[[#This Row],[TOTAL MW]]&lt;165,Table110[[#This Row],[MW Proyectada (Barra A)]],Table110[[#This Row],[MW Proyectada (Barra A)]]*165/Table110[[#This Row],[TOTAL MW]])</f>
        <v>#N/A</v>
      </c>
      <c r="N54" s="53" t="e">
        <f>IF(Table110[[#This Row],[TOTAL MW]]&lt;165,Table110[[#This Row],[MW Proyectada (Barra B)]],Table110[[#This Row],[MW Proyectada (Barra B)]]*165/Table110[[#This Row],[TOTAL MW]])</f>
        <v>#N/A</v>
      </c>
      <c r="P54" s="90"/>
      <c r="Q54" s="90"/>
      <c r="R54" s="93"/>
      <c r="S54" s="93"/>
    </row>
    <row r="55" spans="2:19" x14ac:dyDescent="0.25">
      <c r="B55" s="91">
        <f t="shared" si="1"/>
        <v>45614.249999999876</v>
      </c>
      <c r="C55" s="52">
        <f t="shared" si="2"/>
        <v>2.2500000000000004</v>
      </c>
      <c r="D55" s="92">
        <f>Table110[[#This Row],[Fecha]]</f>
        <v>45614.249999999876</v>
      </c>
      <c r="E55" s="53" t="e">
        <f>VLOOKUP(Table110[[#This Row],[FECHA /HORA]],TBL_CalcDarwin[],7,0)</f>
        <v>#N/A</v>
      </c>
      <c r="F55" s="53" t="e">
        <f>VLOOKUP(Table110[[#This Row],[FECHA /HORA]],TBL_CalcDarwin[],42,0)</f>
        <v>#N/A</v>
      </c>
      <c r="G55" s="53" t="e">
        <f>VLOOKUP(Table110[[#This Row],[FECHA /HORA]],TBL_CalcDarwin[],43,0)</f>
        <v>#N/A</v>
      </c>
      <c r="H55" s="53" t="e">
        <f>VLOOKUP(Table110[[#This Row],[FECHA /HORA]],TBL_CalcDarwin[],40,0)</f>
        <v>#N/A</v>
      </c>
      <c r="I55" s="53" t="e">
        <f>VLOOKUP(Table110[[#This Row],[FECHA /HORA]],TBL_CalcDarwin[],41,0)</f>
        <v>#N/A</v>
      </c>
      <c r="J55" s="53" t="e">
        <f>Table110[[#This Row],[MW Proyectada (Barra A)]]+Table110[[#This Row],[MW Proyectada (Barra B)]]</f>
        <v>#N/A</v>
      </c>
      <c r="L55" s="53" t="e">
        <f t="shared" si="0"/>
        <v>#N/A</v>
      </c>
      <c r="M55" s="53" t="e">
        <f>IF(Table110[[#This Row],[TOTAL MW]]&lt;165,Table110[[#This Row],[MW Proyectada (Barra A)]],Table110[[#This Row],[MW Proyectada (Barra A)]]*165/Table110[[#This Row],[TOTAL MW]])</f>
        <v>#N/A</v>
      </c>
      <c r="N55" s="53" t="e">
        <f>IF(Table110[[#This Row],[TOTAL MW]]&lt;165,Table110[[#This Row],[MW Proyectada (Barra B)]],Table110[[#This Row],[MW Proyectada (Barra B)]]*165/Table110[[#This Row],[TOTAL MW]])</f>
        <v>#N/A</v>
      </c>
      <c r="P55" s="90"/>
      <c r="Q55" s="90"/>
      <c r="R55" s="93"/>
      <c r="S55" s="93"/>
    </row>
    <row r="56" spans="2:19" x14ac:dyDescent="0.25">
      <c r="B56" s="91">
        <f t="shared" si="1"/>
        <v>45614.291666666541</v>
      </c>
      <c r="C56" s="52">
        <f t="shared" si="2"/>
        <v>2.291666666666667</v>
      </c>
      <c r="D56" s="92">
        <f>Table110[[#This Row],[Fecha]]</f>
        <v>45614.291666666541</v>
      </c>
      <c r="E56" s="53" t="e">
        <f>VLOOKUP(Table110[[#This Row],[FECHA /HORA]],TBL_CalcDarwin[],7,0)</f>
        <v>#N/A</v>
      </c>
      <c r="F56" s="53" t="e">
        <f>VLOOKUP(Table110[[#This Row],[FECHA /HORA]],TBL_CalcDarwin[],42,0)</f>
        <v>#N/A</v>
      </c>
      <c r="G56" s="53" t="e">
        <f>VLOOKUP(Table110[[#This Row],[FECHA /HORA]],TBL_CalcDarwin[],43,0)</f>
        <v>#N/A</v>
      </c>
      <c r="H56" s="53" t="e">
        <f>VLOOKUP(Table110[[#This Row],[FECHA /HORA]],TBL_CalcDarwin[],40,0)</f>
        <v>#N/A</v>
      </c>
      <c r="I56" s="53" t="e">
        <f>VLOOKUP(Table110[[#This Row],[FECHA /HORA]],TBL_CalcDarwin[],41,0)</f>
        <v>#N/A</v>
      </c>
      <c r="J56" s="53" t="e">
        <f>Table110[[#This Row],[MW Proyectada (Barra A)]]+Table110[[#This Row],[MW Proyectada (Barra B)]]</f>
        <v>#N/A</v>
      </c>
      <c r="L56" s="53" t="e">
        <f t="shared" si="0"/>
        <v>#N/A</v>
      </c>
      <c r="M56" s="53" t="e">
        <f>IF(Table110[[#This Row],[TOTAL MW]]&lt;165,Table110[[#This Row],[MW Proyectada (Barra A)]],Table110[[#This Row],[MW Proyectada (Barra A)]]*165/Table110[[#This Row],[TOTAL MW]])</f>
        <v>#N/A</v>
      </c>
      <c r="N56" s="53" t="e">
        <f>IF(Table110[[#This Row],[TOTAL MW]]&lt;165,Table110[[#This Row],[MW Proyectada (Barra B)]],Table110[[#This Row],[MW Proyectada (Barra B)]]*165/Table110[[#This Row],[TOTAL MW]])</f>
        <v>#N/A</v>
      </c>
      <c r="P56" s="90"/>
      <c r="Q56" s="90"/>
      <c r="R56" s="93"/>
      <c r="S56" s="93"/>
    </row>
    <row r="57" spans="2:19" x14ac:dyDescent="0.25">
      <c r="B57" s="91">
        <f t="shared" si="1"/>
        <v>45614.333333333205</v>
      </c>
      <c r="C57" s="52">
        <f t="shared" si="2"/>
        <v>2.3333333333333335</v>
      </c>
      <c r="D57" s="92">
        <f>Table110[[#This Row],[Fecha]]</f>
        <v>45614.333333333205</v>
      </c>
      <c r="E57" s="53" t="e">
        <f>VLOOKUP(Table110[[#This Row],[FECHA /HORA]],TBL_CalcDarwin[],7,0)</f>
        <v>#N/A</v>
      </c>
      <c r="F57" s="53" t="e">
        <f>VLOOKUP(Table110[[#This Row],[FECHA /HORA]],TBL_CalcDarwin[],42,0)</f>
        <v>#N/A</v>
      </c>
      <c r="G57" s="53" t="e">
        <f>VLOOKUP(Table110[[#This Row],[FECHA /HORA]],TBL_CalcDarwin[],43,0)</f>
        <v>#N/A</v>
      </c>
      <c r="H57" s="53" t="e">
        <f>VLOOKUP(Table110[[#This Row],[FECHA /HORA]],TBL_CalcDarwin[],40,0)</f>
        <v>#N/A</v>
      </c>
      <c r="I57" s="53" t="e">
        <f>VLOOKUP(Table110[[#This Row],[FECHA /HORA]],TBL_CalcDarwin[],41,0)</f>
        <v>#N/A</v>
      </c>
      <c r="J57" s="53" t="e">
        <f>Table110[[#This Row],[MW Proyectada (Barra A)]]+Table110[[#This Row],[MW Proyectada (Barra B)]]</f>
        <v>#N/A</v>
      </c>
      <c r="L57" s="53" t="e">
        <f t="shared" si="0"/>
        <v>#N/A</v>
      </c>
      <c r="M57" s="53" t="e">
        <f>IF(Table110[[#This Row],[TOTAL MW]]&lt;165,Table110[[#This Row],[MW Proyectada (Barra A)]],Table110[[#This Row],[MW Proyectada (Barra A)]]*165/Table110[[#This Row],[TOTAL MW]])</f>
        <v>#N/A</v>
      </c>
      <c r="N57" s="53" t="e">
        <f>IF(Table110[[#This Row],[TOTAL MW]]&lt;165,Table110[[#This Row],[MW Proyectada (Barra B)]],Table110[[#This Row],[MW Proyectada (Barra B)]]*165/Table110[[#This Row],[TOTAL MW]])</f>
        <v>#N/A</v>
      </c>
      <c r="P57" s="90"/>
      <c r="Q57" s="90"/>
      <c r="R57" s="93"/>
      <c r="S57" s="93"/>
    </row>
    <row r="58" spans="2:19" x14ac:dyDescent="0.25">
      <c r="B58" s="91">
        <f t="shared" si="1"/>
        <v>45614.374999999869</v>
      </c>
      <c r="C58" s="52">
        <f t="shared" si="2"/>
        <v>2.375</v>
      </c>
      <c r="D58" s="92">
        <f>Table110[[#This Row],[Fecha]]</f>
        <v>45614.374999999869</v>
      </c>
      <c r="E58" s="53" t="e">
        <f>VLOOKUP(Table110[[#This Row],[FECHA /HORA]],TBL_CalcDarwin[],7,0)</f>
        <v>#N/A</v>
      </c>
      <c r="F58" s="53" t="e">
        <f>VLOOKUP(Table110[[#This Row],[FECHA /HORA]],TBL_CalcDarwin[],42,0)</f>
        <v>#N/A</v>
      </c>
      <c r="G58" s="53" t="e">
        <f>VLOOKUP(Table110[[#This Row],[FECHA /HORA]],TBL_CalcDarwin[],43,0)</f>
        <v>#N/A</v>
      </c>
      <c r="H58" s="53" t="e">
        <f>VLOOKUP(Table110[[#This Row],[FECHA /HORA]],TBL_CalcDarwin[],40,0)</f>
        <v>#N/A</v>
      </c>
      <c r="I58" s="53" t="e">
        <f>VLOOKUP(Table110[[#This Row],[FECHA /HORA]],TBL_CalcDarwin[],41,0)</f>
        <v>#N/A</v>
      </c>
      <c r="J58" s="53" t="e">
        <f>Table110[[#This Row],[MW Proyectada (Barra A)]]+Table110[[#This Row],[MW Proyectada (Barra B)]]</f>
        <v>#N/A</v>
      </c>
      <c r="L58" s="53" t="e">
        <f t="shared" si="0"/>
        <v>#N/A</v>
      </c>
      <c r="M58" s="53" t="e">
        <f>IF(Table110[[#This Row],[TOTAL MW]]&lt;165,Table110[[#This Row],[MW Proyectada (Barra A)]],Table110[[#This Row],[MW Proyectada (Barra A)]]*165/Table110[[#This Row],[TOTAL MW]])</f>
        <v>#N/A</v>
      </c>
      <c r="N58" s="53" t="e">
        <f>IF(Table110[[#This Row],[TOTAL MW]]&lt;165,Table110[[#This Row],[MW Proyectada (Barra B)]],Table110[[#This Row],[MW Proyectada (Barra B)]]*165/Table110[[#This Row],[TOTAL MW]])</f>
        <v>#N/A</v>
      </c>
      <c r="P58" s="90"/>
      <c r="Q58" s="90"/>
      <c r="R58" s="93"/>
      <c r="S58" s="93"/>
    </row>
    <row r="59" spans="2:19" x14ac:dyDescent="0.25">
      <c r="B59" s="91">
        <f t="shared" si="1"/>
        <v>45614.416666666533</v>
      </c>
      <c r="C59" s="52">
        <f t="shared" si="2"/>
        <v>2.4166666666666665</v>
      </c>
      <c r="D59" s="92">
        <f>Table110[[#This Row],[Fecha]]</f>
        <v>45614.416666666533</v>
      </c>
      <c r="E59" s="53" t="e">
        <f>VLOOKUP(Table110[[#This Row],[FECHA /HORA]],TBL_CalcDarwin[],7,0)</f>
        <v>#N/A</v>
      </c>
      <c r="F59" s="53" t="e">
        <f>VLOOKUP(Table110[[#This Row],[FECHA /HORA]],TBL_CalcDarwin[],42,0)</f>
        <v>#N/A</v>
      </c>
      <c r="G59" s="53" t="e">
        <f>VLOOKUP(Table110[[#This Row],[FECHA /HORA]],TBL_CalcDarwin[],43,0)</f>
        <v>#N/A</v>
      </c>
      <c r="H59" s="53" t="e">
        <f>VLOOKUP(Table110[[#This Row],[FECHA /HORA]],TBL_CalcDarwin[],40,0)</f>
        <v>#N/A</v>
      </c>
      <c r="I59" s="53" t="e">
        <f>VLOOKUP(Table110[[#This Row],[FECHA /HORA]],TBL_CalcDarwin[],41,0)</f>
        <v>#N/A</v>
      </c>
      <c r="J59" s="53" t="e">
        <f>Table110[[#This Row],[MW Proyectada (Barra A)]]+Table110[[#This Row],[MW Proyectada (Barra B)]]</f>
        <v>#N/A</v>
      </c>
      <c r="L59" s="53" t="e">
        <f t="shared" si="0"/>
        <v>#N/A</v>
      </c>
      <c r="M59" s="53" t="e">
        <f>IF(Table110[[#This Row],[TOTAL MW]]&lt;165,Table110[[#This Row],[MW Proyectada (Barra A)]],Table110[[#This Row],[MW Proyectada (Barra A)]]*165/Table110[[#This Row],[TOTAL MW]])</f>
        <v>#N/A</v>
      </c>
      <c r="N59" s="53" t="e">
        <f>IF(Table110[[#This Row],[TOTAL MW]]&lt;165,Table110[[#This Row],[MW Proyectada (Barra B)]],Table110[[#This Row],[MW Proyectada (Barra B)]]*165/Table110[[#This Row],[TOTAL MW]])</f>
        <v>#N/A</v>
      </c>
      <c r="P59" s="90"/>
      <c r="Q59" s="90"/>
      <c r="R59" s="93"/>
      <c r="S59" s="93"/>
    </row>
    <row r="60" spans="2:19" x14ac:dyDescent="0.25">
      <c r="B60" s="91">
        <f t="shared" si="1"/>
        <v>45614.458333333198</v>
      </c>
      <c r="C60" s="52">
        <f t="shared" si="2"/>
        <v>2.458333333333333</v>
      </c>
      <c r="D60" s="92">
        <f>Table110[[#This Row],[Fecha]]</f>
        <v>45614.458333333198</v>
      </c>
      <c r="E60" s="53" t="e">
        <f>VLOOKUP(Table110[[#This Row],[FECHA /HORA]],TBL_CalcDarwin[],7,0)</f>
        <v>#N/A</v>
      </c>
      <c r="F60" s="53" t="e">
        <f>VLOOKUP(Table110[[#This Row],[FECHA /HORA]],TBL_CalcDarwin[],42,0)</f>
        <v>#N/A</v>
      </c>
      <c r="G60" s="53" t="e">
        <f>VLOOKUP(Table110[[#This Row],[FECHA /HORA]],TBL_CalcDarwin[],43,0)</f>
        <v>#N/A</v>
      </c>
      <c r="H60" s="53" t="e">
        <f>VLOOKUP(Table110[[#This Row],[FECHA /HORA]],TBL_CalcDarwin[],40,0)</f>
        <v>#N/A</v>
      </c>
      <c r="I60" s="53" t="e">
        <f>VLOOKUP(Table110[[#This Row],[FECHA /HORA]],TBL_CalcDarwin[],41,0)</f>
        <v>#N/A</v>
      </c>
      <c r="J60" s="53" t="e">
        <f>Table110[[#This Row],[MW Proyectada (Barra A)]]+Table110[[#This Row],[MW Proyectada (Barra B)]]</f>
        <v>#N/A</v>
      </c>
      <c r="L60" s="53" t="e">
        <f t="shared" si="0"/>
        <v>#N/A</v>
      </c>
      <c r="M60" s="53" t="e">
        <f>IF(Table110[[#This Row],[TOTAL MW]]&lt;165,Table110[[#This Row],[MW Proyectada (Barra A)]],Table110[[#This Row],[MW Proyectada (Barra A)]]*165/Table110[[#This Row],[TOTAL MW]])</f>
        <v>#N/A</v>
      </c>
      <c r="N60" s="53" t="e">
        <f>IF(Table110[[#This Row],[TOTAL MW]]&lt;165,Table110[[#This Row],[MW Proyectada (Barra B)]],Table110[[#This Row],[MW Proyectada (Barra B)]]*165/Table110[[#This Row],[TOTAL MW]])</f>
        <v>#N/A</v>
      </c>
      <c r="P60" s="90"/>
      <c r="Q60" s="90"/>
      <c r="R60" s="93"/>
      <c r="S60" s="93"/>
    </row>
    <row r="61" spans="2:19" x14ac:dyDescent="0.25">
      <c r="B61" s="91">
        <f t="shared" si="1"/>
        <v>45614.499999999862</v>
      </c>
      <c r="C61" s="52">
        <f t="shared" si="2"/>
        <v>2.4999999999999996</v>
      </c>
      <c r="D61" s="92">
        <f>Table110[[#This Row],[Fecha]]</f>
        <v>45614.499999999862</v>
      </c>
      <c r="E61" s="53" t="e">
        <f>VLOOKUP(Table110[[#This Row],[FECHA /HORA]],TBL_CalcDarwin[],7,0)</f>
        <v>#N/A</v>
      </c>
      <c r="F61" s="53" t="e">
        <f>VLOOKUP(Table110[[#This Row],[FECHA /HORA]],TBL_CalcDarwin[],42,0)</f>
        <v>#N/A</v>
      </c>
      <c r="G61" s="53" t="e">
        <f>VLOOKUP(Table110[[#This Row],[FECHA /HORA]],TBL_CalcDarwin[],43,0)</f>
        <v>#N/A</v>
      </c>
      <c r="H61" s="53" t="e">
        <f>VLOOKUP(Table110[[#This Row],[FECHA /HORA]],TBL_CalcDarwin[],40,0)</f>
        <v>#N/A</v>
      </c>
      <c r="I61" s="53" t="e">
        <f>VLOOKUP(Table110[[#This Row],[FECHA /HORA]],TBL_CalcDarwin[],41,0)</f>
        <v>#N/A</v>
      </c>
      <c r="J61" s="53" t="e">
        <f>Table110[[#This Row],[MW Proyectada (Barra A)]]+Table110[[#This Row],[MW Proyectada (Barra B)]]</f>
        <v>#N/A</v>
      </c>
      <c r="L61" s="53" t="e">
        <f t="shared" si="0"/>
        <v>#N/A</v>
      </c>
      <c r="M61" s="53" t="e">
        <f>IF(Table110[[#This Row],[TOTAL MW]]&lt;165,Table110[[#This Row],[MW Proyectada (Barra A)]],Table110[[#This Row],[MW Proyectada (Barra A)]]*165/Table110[[#This Row],[TOTAL MW]])</f>
        <v>#N/A</v>
      </c>
      <c r="N61" s="53" t="e">
        <f>IF(Table110[[#This Row],[TOTAL MW]]&lt;165,Table110[[#This Row],[MW Proyectada (Barra B)]],Table110[[#This Row],[MW Proyectada (Barra B)]]*165/Table110[[#This Row],[TOTAL MW]])</f>
        <v>#N/A</v>
      </c>
      <c r="P61" s="90"/>
      <c r="Q61" s="90"/>
      <c r="R61" s="93"/>
      <c r="S61" s="93"/>
    </row>
    <row r="62" spans="2:19" x14ac:dyDescent="0.25">
      <c r="B62" s="91">
        <f t="shared" si="1"/>
        <v>45614.541666666526</v>
      </c>
      <c r="C62" s="52">
        <f t="shared" si="2"/>
        <v>2.5416666666666661</v>
      </c>
      <c r="D62" s="92">
        <f>Table110[[#This Row],[Fecha]]</f>
        <v>45614.541666666526</v>
      </c>
      <c r="E62" s="53" t="e">
        <f>VLOOKUP(Table110[[#This Row],[FECHA /HORA]],TBL_CalcDarwin[],7,0)</f>
        <v>#N/A</v>
      </c>
      <c r="F62" s="53" t="e">
        <f>VLOOKUP(Table110[[#This Row],[FECHA /HORA]],TBL_CalcDarwin[],42,0)</f>
        <v>#N/A</v>
      </c>
      <c r="G62" s="53" t="e">
        <f>VLOOKUP(Table110[[#This Row],[FECHA /HORA]],TBL_CalcDarwin[],43,0)</f>
        <v>#N/A</v>
      </c>
      <c r="H62" s="53" t="e">
        <f>VLOOKUP(Table110[[#This Row],[FECHA /HORA]],TBL_CalcDarwin[],40,0)</f>
        <v>#N/A</v>
      </c>
      <c r="I62" s="53" t="e">
        <f>VLOOKUP(Table110[[#This Row],[FECHA /HORA]],TBL_CalcDarwin[],41,0)</f>
        <v>#N/A</v>
      </c>
      <c r="J62" s="53" t="e">
        <f>Table110[[#This Row],[MW Proyectada (Barra A)]]+Table110[[#This Row],[MW Proyectada (Barra B)]]</f>
        <v>#N/A</v>
      </c>
      <c r="L62" s="53" t="e">
        <f t="shared" si="0"/>
        <v>#N/A</v>
      </c>
      <c r="M62" s="53" t="e">
        <f>IF(Table110[[#This Row],[TOTAL MW]]&lt;165,Table110[[#This Row],[MW Proyectada (Barra A)]],Table110[[#This Row],[MW Proyectada (Barra A)]]*165/Table110[[#This Row],[TOTAL MW]])</f>
        <v>#N/A</v>
      </c>
      <c r="N62" s="53" t="e">
        <f>IF(Table110[[#This Row],[TOTAL MW]]&lt;165,Table110[[#This Row],[MW Proyectada (Barra B)]],Table110[[#This Row],[MW Proyectada (Barra B)]]*165/Table110[[#This Row],[TOTAL MW]])</f>
        <v>#N/A</v>
      </c>
      <c r="P62" s="90"/>
      <c r="Q62" s="90"/>
      <c r="R62" s="93"/>
      <c r="S62" s="93"/>
    </row>
    <row r="63" spans="2:19" x14ac:dyDescent="0.25">
      <c r="B63" s="91">
        <f t="shared" si="1"/>
        <v>45614.58333333319</v>
      </c>
      <c r="C63" s="52">
        <f t="shared" si="2"/>
        <v>2.5833333333333326</v>
      </c>
      <c r="D63" s="92">
        <f>Table110[[#This Row],[Fecha]]</f>
        <v>45614.58333333319</v>
      </c>
      <c r="E63" s="53" t="e">
        <f>VLOOKUP(Table110[[#This Row],[FECHA /HORA]],TBL_CalcDarwin[],7,0)</f>
        <v>#N/A</v>
      </c>
      <c r="F63" s="53" t="e">
        <f>VLOOKUP(Table110[[#This Row],[FECHA /HORA]],TBL_CalcDarwin[],42,0)</f>
        <v>#N/A</v>
      </c>
      <c r="G63" s="53" t="e">
        <f>VLOOKUP(Table110[[#This Row],[FECHA /HORA]],TBL_CalcDarwin[],43,0)</f>
        <v>#N/A</v>
      </c>
      <c r="H63" s="53" t="e">
        <f>VLOOKUP(Table110[[#This Row],[FECHA /HORA]],TBL_CalcDarwin[],40,0)</f>
        <v>#N/A</v>
      </c>
      <c r="I63" s="53" t="e">
        <f>VLOOKUP(Table110[[#This Row],[FECHA /HORA]],TBL_CalcDarwin[],41,0)</f>
        <v>#N/A</v>
      </c>
      <c r="J63" s="53" t="e">
        <f>Table110[[#This Row],[MW Proyectada (Barra A)]]+Table110[[#This Row],[MW Proyectada (Barra B)]]</f>
        <v>#N/A</v>
      </c>
      <c r="L63" s="53" t="e">
        <f t="shared" si="0"/>
        <v>#N/A</v>
      </c>
      <c r="M63" s="53" t="e">
        <f>IF(Table110[[#This Row],[TOTAL MW]]&lt;165,Table110[[#This Row],[MW Proyectada (Barra A)]],Table110[[#This Row],[MW Proyectada (Barra A)]]*165/Table110[[#This Row],[TOTAL MW]])</f>
        <v>#N/A</v>
      </c>
      <c r="N63" s="53" t="e">
        <f>IF(Table110[[#This Row],[TOTAL MW]]&lt;165,Table110[[#This Row],[MW Proyectada (Barra B)]],Table110[[#This Row],[MW Proyectada (Barra B)]]*165/Table110[[#This Row],[TOTAL MW]])</f>
        <v>#N/A</v>
      </c>
      <c r="P63" s="90"/>
      <c r="Q63" s="90"/>
      <c r="R63" s="93"/>
      <c r="S63" s="93"/>
    </row>
    <row r="64" spans="2:19" x14ac:dyDescent="0.25">
      <c r="B64" s="91">
        <f t="shared" si="1"/>
        <v>45614.624999999854</v>
      </c>
      <c r="C64" s="52">
        <f t="shared" si="2"/>
        <v>2.6249999999999991</v>
      </c>
      <c r="D64" s="92">
        <f>Table110[[#This Row],[Fecha]]</f>
        <v>45614.624999999854</v>
      </c>
      <c r="E64" s="53" t="e">
        <f>VLOOKUP(Table110[[#This Row],[FECHA /HORA]],TBL_CalcDarwin[],7,0)</f>
        <v>#N/A</v>
      </c>
      <c r="F64" s="53" t="e">
        <f>VLOOKUP(Table110[[#This Row],[FECHA /HORA]],TBL_CalcDarwin[],42,0)</f>
        <v>#N/A</v>
      </c>
      <c r="G64" s="53" t="e">
        <f>VLOOKUP(Table110[[#This Row],[FECHA /HORA]],TBL_CalcDarwin[],43,0)</f>
        <v>#N/A</v>
      </c>
      <c r="H64" s="53" t="e">
        <f>VLOOKUP(Table110[[#This Row],[FECHA /HORA]],TBL_CalcDarwin[],40,0)</f>
        <v>#N/A</v>
      </c>
      <c r="I64" s="53" t="e">
        <f>VLOOKUP(Table110[[#This Row],[FECHA /HORA]],TBL_CalcDarwin[],41,0)</f>
        <v>#N/A</v>
      </c>
      <c r="J64" s="53" t="e">
        <f>Table110[[#This Row],[MW Proyectada (Barra A)]]+Table110[[#This Row],[MW Proyectada (Barra B)]]</f>
        <v>#N/A</v>
      </c>
      <c r="L64" s="53" t="e">
        <f t="shared" si="0"/>
        <v>#N/A</v>
      </c>
      <c r="M64" s="53" t="e">
        <f>IF(Table110[[#This Row],[TOTAL MW]]&lt;165,Table110[[#This Row],[MW Proyectada (Barra A)]],Table110[[#This Row],[MW Proyectada (Barra A)]]*165/Table110[[#This Row],[TOTAL MW]])</f>
        <v>#N/A</v>
      </c>
      <c r="N64" s="53" t="e">
        <f>IF(Table110[[#This Row],[TOTAL MW]]&lt;165,Table110[[#This Row],[MW Proyectada (Barra B)]],Table110[[#This Row],[MW Proyectada (Barra B)]]*165/Table110[[#This Row],[TOTAL MW]])</f>
        <v>#N/A</v>
      </c>
      <c r="P64" s="90"/>
      <c r="Q64" s="90"/>
      <c r="R64" s="93"/>
      <c r="S64" s="93"/>
    </row>
    <row r="65" spans="2:19" x14ac:dyDescent="0.25">
      <c r="B65" s="91">
        <f t="shared" si="1"/>
        <v>45614.666666666519</v>
      </c>
      <c r="C65" s="52">
        <f t="shared" si="2"/>
        <v>2.6666666666666656</v>
      </c>
      <c r="D65" s="92">
        <f>Table110[[#This Row],[Fecha]]</f>
        <v>45614.666666666519</v>
      </c>
      <c r="E65" s="53" t="e">
        <f>VLOOKUP(Table110[[#This Row],[FECHA /HORA]],TBL_CalcDarwin[],7,0)</f>
        <v>#N/A</v>
      </c>
      <c r="F65" s="53" t="e">
        <f>VLOOKUP(Table110[[#This Row],[FECHA /HORA]],TBL_CalcDarwin[],42,0)</f>
        <v>#N/A</v>
      </c>
      <c r="G65" s="53" t="e">
        <f>VLOOKUP(Table110[[#This Row],[FECHA /HORA]],TBL_CalcDarwin[],43,0)</f>
        <v>#N/A</v>
      </c>
      <c r="H65" s="53" t="e">
        <f>VLOOKUP(Table110[[#This Row],[FECHA /HORA]],TBL_CalcDarwin[],40,0)</f>
        <v>#N/A</v>
      </c>
      <c r="I65" s="53" t="e">
        <f>VLOOKUP(Table110[[#This Row],[FECHA /HORA]],TBL_CalcDarwin[],41,0)</f>
        <v>#N/A</v>
      </c>
      <c r="J65" s="53" t="e">
        <f>Table110[[#This Row],[MW Proyectada (Barra A)]]+Table110[[#This Row],[MW Proyectada (Barra B)]]</f>
        <v>#N/A</v>
      </c>
      <c r="L65" s="53" t="e">
        <f t="shared" si="0"/>
        <v>#N/A</v>
      </c>
      <c r="M65" s="53" t="e">
        <f>IF(Table110[[#This Row],[TOTAL MW]]&lt;165,Table110[[#This Row],[MW Proyectada (Barra A)]],Table110[[#This Row],[MW Proyectada (Barra A)]]*165/Table110[[#This Row],[TOTAL MW]])</f>
        <v>#N/A</v>
      </c>
      <c r="N65" s="53" t="e">
        <f>IF(Table110[[#This Row],[TOTAL MW]]&lt;165,Table110[[#This Row],[MW Proyectada (Barra B)]],Table110[[#This Row],[MW Proyectada (Barra B)]]*165/Table110[[#This Row],[TOTAL MW]])</f>
        <v>#N/A</v>
      </c>
      <c r="P65" s="90"/>
      <c r="Q65" s="90"/>
      <c r="R65" s="93"/>
      <c r="S65" s="93"/>
    </row>
    <row r="66" spans="2:19" x14ac:dyDescent="0.25">
      <c r="B66" s="91">
        <f t="shared" si="1"/>
        <v>45614.708333333183</v>
      </c>
      <c r="C66" s="52">
        <f t="shared" si="2"/>
        <v>2.7083333333333321</v>
      </c>
      <c r="D66" s="92">
        <f>Table110[[#This Row],[Fecha]]</f>
        <v>45614.708333333183</v>
      </c>
      <c r="E66" s="53" t="e">
        <f>VLOOKUP(Table110[[#This Row],[FECHA /HORA]],TBL_CalcDarwin[],7,0)</f>
        <v>#N/A</v>
      </c>
      <c r="F66" s="53" t="e">
        <f>VLOOKUP(Table110[[#This Row],[FECHA /HORA]],TBL_CalcDarwin[],42,0)</f>
        <v>#N/A</v>
      </c>
      <c r="G66" s="53" t="e">
        <f>VLOOKUP(Table110[[#This Row],[FECHA /HORA]],TBL_CalcDarwin[],43,0)</f>
        <v>#N/A</v>
      </c>
      <c r="H66" s="53" t="e">
        <f>VLOOKUP(Table110[[#This Row],[FECHA /HORA]],TBL_CalcDarwin[],40,0)</f>
        <v>#N/A</v>
      </c>
      <c r="I66" s="53" t="e">
        <f>VLOOKUP(Table110[[#This Row],[FECHA /HORA]],TBL_CalcDarwin[],41,0)</f>
        <v>#N/A</v>
      </c>
      <c r="J66" s="53" t="e">
        <f>Table110[[#This Row],[MW Proyectada (Barra A)]]+Table110[[#This Row],[MW Proyectada (Barra B)]]</f>
        <v>#N/A</v>
      </c>
      <c r="L66" s="53" t="e">
        <f t="shared" si="0"/>
        <v>#N/A</v>
      </c>
      <c r="M66" s="53" t="e">
        <f>IF(Table110[[#This Row],[TOTAL MW]]&lt;165,Table110[[#This Row],[MW Proyectada (Barra A)]],Table110[[#This Row],[MW Proyectada (Barra A)]]*165/Table110[[#This Row],[TOTAL MW]])</f>
        <v>#N/A</v>
      </c>
      <c r="N66" s="53" t="e">
        <f>IF(Table110[[#This Row],[TOTAL MW]]&lt;165,Table110[[#This Row],[MW Proyectada (Barra B)]],Table110[[#This Row],[MW Proyectada (Barra B)]]*165/Table110[[#This Row],[TOTAL MW]])</f>
        <v>#N/A</v>
      </c>
      <c r="P66" s="90"/>
      <c r="Q66" s="90"/>
      <c r="R66" s="93"/>
      <c r="S66" s="93"/>
    </row>
    <row r="67" spans="2:19" x14ac:dyDescent="0.25">
      <c r="B67" s="91">
        <f t="shared" si="1"/>
        <v>45614.749999999847</v>
      </c>
      <c r="C67" s="52">
        <f t="shared" si="2"/>
        <v>2.7499999999999987</v>
      </c>
      <c r="D67" s="92">
        <f>Table110[[#This Row],[Fecha]]</f>
        <v>45614.749999999847</v>
      </c>
      <c r="E67" s="53" t="e">
        <f>VLOOKUP(Table110[[#This Row],[FECHA /HORA]],TBL_CalcDarwin[],7,0)</f>
        <v>#N/A</v>
      </c>
      <c r="F67" s="53" t="e">
        <f>VLOOKUP(Table110[[#This Row],[FECHA /HORA]],TBL_CalcDarwin[],42,0)</f>
        <v>#N/A</v>
      </c>
      <c r="G67" s="53" t="e">
        <f>VLOOKUP(Table110[[#This Row],[FECHA /HORA]],TBL_CalcDarwin[],43,0)</f>
        <v>#N/A</v>
      </c>
      <c r="H67" s="53" t="e">
        <f>VLOOKUP(Table110[[#This Row],[FECHA /HORA]],TBL_CalcDarwin[],40,0)</f>
        <v>#N/A</v>
      </c>
      <c r="I67" s="53" t="e">
        <f>VLOOKUP(Table110[[#This Row],[FECHA /HORA]],TBL_CalcDarwin[],41,0)</f>
        <v>#N/A</v>
      </c>
      <c r="J67" s="53" t="e">
        <f>Table110[[#This Row],[MW Proyectada (Barra A)]]+Table110[[#This Row],[MW Proyectada (Barra B)]]</f>
        <v>#N/A</v>
      </c>
      <c r="L67" s="53" t="e">
        <f t="shared" si="0"/>
        <v>#N/A</v>
      </c>
      <c r="M67" s="53" t="e">
        <f>IF(Table110[[#This Row],[TOTAL MW]]&lt;165,Table110[[#This Row],[MW Proyectada (Barra A)]],Table110[[#This Row],[MW Proyectada (Barra A)]]*165/Table110[[#This Row],[TOTAL MW]])</f>
        <v>#N/A</v>
      </c>
      <c r="N67" s="53" t="e">
        <f>IF(Table110[[#This Row],[TOTAL MW]]&lt;165,Table110[[#This Row],[MW Proyectada (Barra B)]],Table110[[#This Row],[MW Proyectada (Barra B)]]*165/Table110[[#This Row],[TOTAL MW]])</f>
        <v>#N/A</v>
      </c>
      <c r="P67" s="90"/>
      <c r="Q67" s="90"/>
      <c r="R67" s="93"/>
      <c r="S67" s="93"/>
    </row>
    <row r="68" spans="2:19" x14ac:dyDescent="0.25">
      <c r="B68" s="91">
        <f t="shared" si="1"/>
        <v>45614.791666666511</v>
      </c>
      <c r="C68" s="52">
        <f t="shared" si="2"/>
        <v>2.7916666666666652</v>
      </c>
      <c r="D68" s="92">
        <f>Table110[[#This Row],[Fecha]]</f>
        <v>45614.791666666511</v>
      </c>
      <c r="E68" s="53" t="e">
        <f>VLOOKUP(Table110[[#This Row],[FECHA /HORA]],TBL_CalcDarwin[],7,0)</f>
        <v>#N/A</v>
      </c>
      <c r="F68" s="53" t="e">
        <f>VLOOKUP(Table110[[#This Row],[FECHA /HORA]],TBL_CalcDarwin[],42,0)</f>
        <v>#N/A</v>
      </c>
      <c r="G68" s="53" t="e">
        <f>VLOOKUP(Table110[[#This Row],[FECHA /HORA]],TBL_CalcDarwin[],43,0)</f>
        <v>#N/A</v>
      </c>
      <c r="H68" s="53" t="e">
        <f>VLOOKUP(Table110[[#This Row],[FECHA /HORA]],TBL_CalcDarwin[],40,0)</f>
        <v>#N/A</v>
      </c>
      <c r="I68" s="53" t="e">
        <f>VLOOKUP(Table110[[#This Row],[FECHA /HORA]],TBL_CalcDarwin[],41,0)</f>
        <v>#N/A</v>
      </c>
      <c r="J68" s="53" t="e">
        <f>Table110[[#This Row],[MW Proyectada (Barra A)]]+Table110[[#This Row],[MW Proyectada (Barra B)]]</f>
        <v>#N/A</v>
      </c>
      <c r="L68" s="53" t="e">
        <f t="shared" ref="L68:L131" si="3">M68+N68</f>
        <v>#N/A</v>
      </c>
      <c r="M68" s="53" t="e">
        <f>IF(Table110[[#This Row],[TOTAL MW]]&lt;165,Table110[[#This Row],[MW Proyectada (Barra A)]],Table110[[#This Row],[MW Proyectada (Barra A)]]*165/Table110[[#This Row],[TOTAL MW]])</f>
        <v>#N/A</v>
      </c>
      <c r="N68" s="53" t="e">
        <f>IF(Table110[[#This Row],[TOTAL MW]]&lt;165,Table110[[#This Row],[MW Proyectada (Barra B)]],Table110[[#This Row],[MW Proyectada (Barra B)]]*165/Table110[[#This Row],[TOTAL MW]])</f>
        <v>#N/A</v>
      </c>
      <c r="P68" s="90"/>
      <c r="Q68" s="90"/>
      <c r="R68" s="93"/>
      <c r="S68" s="93"/>
    </row>
    <row r="69" spans="2:19" x14ac:dyDescent="0.25">
      <c r="B69" s="91">
        <f t="shared" ref="B69:B132" si="4">B68+TIME(1,0,0)</f>
        <v>45614.833333333176</v>
      </c>
      <c r="C69" s="52">
        <f t="shared" ref="C69:C132" si="5">C68+TIME(1,0,0)</f>
        <v>2.8333333333333317</v>
      </c>
      <c r="D69" s="92">
        <f>Table110[[#This Row],[Fecha]]</f>
        <v>45614.833333333176</v>
      </c>
      <c r="E69" s="53" t="e">
        <f>VLOOKUP(Table110[[#This Row],[FECHA /HORA]],TBL_CalcDarwin[],7,0)</f>
        <v>#N/A</v>
      </c>
      <c r="F69" s="53" t="e">
        <f>VLOOKUP(Table110[[#This Row],[FECHA /HORA]],TBL_CalcDarwin[],42,0)</f>
        <v>#N/A</v>
      </c>
      <c r="G69" s="53" t="e">
        <f>VLOOKUP(Table110[[#This Row],[FECHA /HORA]],TBL_CalcDarwin[],43,0)</f>
        <v>#N/A</v>
      </c>
      <c r="H69" s="53" t="e">
        <f>VLOOKUP(Table110[[#This Row],[FECHA /HORA]],TBL_CalcDarwin[],40,0)</f>
        <v>#N/A</v>
      </c>
      <c r="I69" s="53" t="e">
        <f>VLOOKUP(Table110[[#This Row],[FECHA /HORA]],TBL_CalcDarwin[],41,0)</f>
        <v>#N/A</v>
      </c>
      <c r="J69" s="53" t="e">
        <f>Table110[[#This Row],[MW Proyectada (Barra A)]]+Table110[[#This Row],[MW Proyectada (Barra B)]]</f>
        <v>#N/A</v>
      </c>
      <c r="L69" s="53" t="e">
        <f t="shared" si="3"/>
        <v>#N/A</v>
      </c>
      <c r="M69" s="53" t="e">
        <f>IF(Table110[[#This Row],[TOTAL MW]]&lt;165,Table110[[#This Row],[MW Proyectada (Barra A)]],Table110[[#This Row],[MW Proyectada (Barra A)]]*165/Table110[[#This Row],[TOTAL MW]])</f>
        <v>#N/A</v>
      </c>
      <c r="N69" s="53" t="e">
        <f>IF(Table110[[#This Row],[TOTAL MW]]&lt;165,Table110[[#This Row],[MW Proyectada (Barra B)]],Table110[[#This Row],[MW Proyectada (Barra B)]]*165/Table110[[#This Row],[TOTAL MW]])</f>
        <v>#N/A</v>
      </c>
      <c r="P69" s="90"/>
      <c r="Q69" s="90"/>
      <c r="R69" s="93"/>
      <c r="S69" s="93"/>
    </row>
    <row r="70" spans="2:19" x14ac:dyDescent="0.25">
      <c r="B70" s="91">
        <f t="shared" si="4"/>
        <v>45614.87499999984</v>
      </c>
      <c r="C70" s="52">
        <f t="shared" si="5"/>
        <v>2.8749999999999982</v>
      </c>
      <c r="D70" s="92">
        <f>Table110[[#This Row],[Fecha]]</f>
        <v>45614.87499999984</v>
      </c>
      <c r="E70" s="53" t="e">
        <f>VLOOKUP(Table110[[#This Row],[FECHA /HORA]],TBL_CalcDarwin[],7,0)</f>
        <v>#N/A</v>
      </c>
      <c r="F70" s="53" t="e">
        <f>VLOOKUP(Table110[[#This Row],[FECHA /HORA]],TBL_CalcDarwin[],42,0)</f>
        <v>#N/A</v>
      </c>
      <c r="G70" s="53" t="e">
        <f>VLOOKUP(Table110[[#This Row],[FECHA /HORA]],TBL_CalcDarwin[],43,0)</f>
        <v>#N/A</v>
      </c>
      <c r="H70" s="53" t="e">
        <f>VLOOKUP(Table110[[#This Row],[FECHA /HORA]],TBL_CalcDarwin[],40,0)</f>
        <v>#N/A</v>
      </c>
      <c r="I70" s="53" t="e">
        <f>VLOOKUP(Table110[[#This Row],[FECHA /HORA]],TBL_CalcDarwin[],41,0)</f>
        <v>#N/A</v>
      </c>
      <c r="J70" s="53" t="e">
        <f>Table110[[#This Row],[MW Proyectada (Barra A)]]+Table110[[#This Row],[MW Proyectada (Barra B)]]</f>
        <v>#N/A</v>
      </c>
      <c r="L70" s="53" t="e">
        <f t="shared" si="3"/>
        <v>#N/A</v>
      </c>
      <c r="M70" s="53" t="e">
        <f>IF(Table110[[#This Row],[TOTAL MW]]&lt;165,Table110[[#This Row],[MW Proyectada (Barra A)]],Table110[[#This Row],[MW Proyectada (Barra A)]]*165/Table110[[#This Row],[TOTAL MW]])</f>
        <v>#N/A</v>
      </c>
      <c r="N70" s="53" t="e">
        <f>IF(Table110[[#This Row],[TOTAL MW]]&lt;165,Table110[[#This Row],[MW Proyectada (Barra B)]],Table110[[#This Row],[MW Proyectada (Barra B)]]*165/Table110[[#This Row],[TOTAL MW]])</f>
        <v>#N/A</v>
      </c>
      <c r="P70" s="90"/>
      <c r="Q70" s="90"/>
      <c r="R70" s="93"/>
      <c r="S70" s="93"/>
    </row>
    <row r="71" spans="2:19" x14ac:dyDescent="0.25">
      <c r="B71" s="91">
        <f t="shared" si="4"/>
        <v>45614.916666666504</v>
      </c>
      <c r="C71" s="52">
        <f t="shared" si="5"/>
        <v>2.9166666666666647</v>
      </c>
      <c r="D71" s="92">
        <f>Table110[[#This Row],[Fecha]]</f>
        <v>45614.916666666504</v>
      </c>
      <c r="E71" s="53" t="e">
        <f>VLOOKUP(Table110[[#This Row],[FECHA /HORA]],TBL_CalcDarwin[],7,0)</f>
        <v>#N/A</v>
      </c>
      <c r="F71" s="53" t="e">
        <f>VLOOKUP(Table110[[#This Row],[FECHA /HORA]],TBL_CalcDarwin[],42,0)</f>
        <v>#N/A</v>
      </c>
      <c r="G71" s="53" t="e">
        <f>VLOOKUP(Table110[[#This Row],[FECHA /HORA]],TBL_CalcDarwin[],43,0)</f>
        <v>#N/A</v>
      </c>
      <c r="H71" s="53" t="e">
        <f>VLOOKUP(Table110[[#This Row],[FECHA /HORA]],TBL_CalcDarwin[],40,0)</f>
        <v>#N/A</v>
      </c>
      <c r="I71" s="53" t="e">
        <f>VLOOKUP(Table110[[#This Row],[FECHA /HORA]],TBL_CalcDarwin[],41,0)</f>
        <v>#N/A</v>
      </c>
      <c r="J71" s="53" t="e">
        <f>Table110[[#This Row],[MW Proyectada (Barra A)]]+Table110[[#This Row],[MW Proyectada (Barra B)]]</f>
        <v>#N/A</v>
      </c>
      <c r="L71" s="53" t="e">
        <f t="shared" si="3"/>
        <v>#N/A</v>
      </c>
      <c r="M71" s="53" t="e">
        <f>IF(Table110[[#This Row],[TOTAL MW]]&lt;165,Table110[[#This Row],[MW Proyectada (Barra A)]],Table110[[#This Row],[MW Proyectada (Barra A)]]*165/Table110[[#This Row],[TOTAL MW]])</f>
        <v>#N/A</v>
      </c>
      <c r="N71" s="53" t="e">
        <f>IF(Table110[[#This Row],[TOTAL MW]]&lt;165,Table110[[#This Row],[MW Proyectada (Barra B)]],Table110[[#This Row],[MW Proyectada (Barra B)]]*165/Table110[[#This Row],[TOTAL MW]])</f>
        <v>#N/A</v>
      </c>
      <c r="P71" s="90"/>
      <c r="Q71" s="90"/>
      <c r="R71" s="93"/>
      <c r="S71" s="93"/>
    </row>
    <row r="72" spans="2:19" x14ac:dyDescent="0.25">
      <c r="B72" s="91">
        <f t="shared" si="4"/>
        <v>45614.958333333168</v>
      </c>
      <c r="C72" s="52">
        <f t="shared" si="5"/>
        <v>2.9583333333333313</v>
      </c>
      <c r="D72" s="92">
        <f>Table110[[#This Row],[Fecha]]</f>
        <v>45614.958333333168</v>
      </c>
      <c r="E72" s="53" t="e">
        <f>VLOOKUP(Table110[[#This Row],[FECHA /HORA]],TBL_CalcDarwin[],7,0)</f>
        <v>#N/A</v>
      </c>
      <c r="F72" s="53" t="e">
        <f>VLOOKUP(Table110[[#This Row],[FECHA /HORA]],TBL_CalcDarwin[],42,0)</f>
        <v>#N/A</v>
      </c>
      <c r="G72" s="53" t="e">
        <f>VLOOKUP(Table110[[#This Row],[FECHA /HORA]],TBL_CalcDarwin[],43,0)</f>
        <v>#N/A</v>
      </c>
      <c r="H72" s="53" t="e">
        <f>VLOOKUP(Table110[[#This Row],[FECHA /HORA]],TBL_CalcDarwin[],40,0)</f>
        <v>#N/A</v>
      </c>
      <c r="I72" s="53" t="e">
        <f>VLOOKUP(Table110[[#This Row],[FECHA /HORA]],TBL_CalcDarwin[],41,0)</f>
        <v>#N/A</v>
      </c>
      <c r="J72" s="53" t="e">
        <f>Table110[[#This Row],[MW Proyectada (Barra A)]]+Table110[[#This Row],[MW Proyectada (Barra B)]]</f>
        <v>#N/A</v>
      </c>
      <c r="L72" s="53" t="e">
        <f t="shared" si="3"/>
        <v>#N/A</v>
      </c>
      <c r="M72" s="53" t="e">
        <f>IF(Table110[[#This Row],[TOTAL MW]]&lt;165,Table110[[#This Row],[MW Proyectada (Barra A)]],Table110[[#This Row],[MW Proyectada (Barra A)]]*165/Table110[[#This Row],[TOTAL MW]])</f>
        <v>#N/A</v>
      </c>
      <c r="N72" s="53" t="e">
        <f>IF(Table110[[#This Row],[TOTAL MW]]&lt;165,Table110[[#This Row],[MW Proyectada (Barra B)]],Table110[[#This Row],[MW Proyectada (Barra B)]]*165/Table110[[#This Row],[TOTAL MW]])</f>
        <v>#N/A</v>
      </c>
      <c r="P72" s="90"/>
      <c r="Q72" s="90"/>
      <c r="R72" s="93"/>
      <c r="S72" s="93"/>
    </row>
    <row r="73" spans="2:19" x14ac:dyDescent="0.25">
      <c r="B73" s="91">
        <f t="shared" si="4"/>
        <v>45614.999999999833</v>
      </c>
      <c r="C73" s="52">
        <f t="shared" si="5"/>
        <v>2.9999999999999978</v>
      </c>
      <c r="D73" s="92">
        <f>Table110[[#This Row],[Fecha]]</f>
        <v>45614.999999999833</v>
      </c>
      <c r="E73" s="53" t="e">
        <f>VLOOKUP(Table110[[#This Row],[FECHA /HORA]],TBL_CalcDarwin[],7,0)</f>
        <v>#N/A</v>
      </c>
      <c r="F73" s="53" t="e">
        <f>VLOOKUP(Table110[[#This Row],[FECHA /HORA]],TBL_CalcDarwin[],42,0)</f>
        <v>#N/A</v>
      </c>
      <c r="G73" s="53" t="e">
        <f>VLOOKUP(Table110[[#This Row],[FECHA /HORA]],TBL_CalcDarwin[],43,0)</f>
        <v>#N/A</v>
      </c>
      <c r="H73" s="53" t="e">
        <f>VLOOKUP(Table110[[#This Row],[FECHA /HORA]],TBL_CalcDarwin[],40,0)</f>
        <v>#N/A</v>
      </c>
      <c r="I73" s="53" t="e">
        <f>VLOOKUP(Table110[[#This Row],[FECHA /HORA]],TBL_CalcDarwin[],41,0)</f>
        <v>#N/A</v>
      </c>
      <c r="J73" s="53" t="e">
        <f>Table110[[#This Row],[MW Proyectada (Barra A)]]+Table110[[#This Row],[MW Proyectada (Barra B)]]</f>
        <v>#N/A</v>
      </c>
      <c r="L73" s="53" t="e">
        <f t="shared" si="3"/>
        <v>#N/A</v>
      </c>
      <c r="M73" s="53" t="e">
        <f>IF(Table110[[#This Row],[TOTAL MW]]&lt;165,Table110[[#This Row],[MW Proyectada (Barra A)]],Table110[[#This Row],[MW Proyectada (Barra A)]]*165/Table110[[#This Row],[TOTAL MW]])</f>
        <v>#N/A</v>
      </c>
      <c r="N73" s="53" t="e">
        <f>IF(Table110[[#This Row],[TOTAL MW]]&lt;165,Table110[[#This Row],[MW Proyectada (Barra B)]],Table110[[#This Row],[MW Proyectada (Barra B)]]*165/Table110[[#This Row],[TOTAL MW]])</f>
        <v>#N/A</v>
      </c>
      <c r="P73" s="90"/>
      <c r="Q73" s="90"/>
      <c r="R73" s="93"/>
      <c r="S73" s="93"/>
    </row>
    <row r="74" spans="2:19" x14ac:dyDescent="0.25">
      <c r="B74" s="91">
        <f t="shared" si="4"/>
        <v>45615.041666666497</v>
      </c>
      <c r="C74" s="52">
        <f t="shared" si="5"/>
        <v>3.0416666666666643</v>
      </c>
      <c r="D74" s="92">
        <f>Table110[[#This Row],[Fecha]]</f>
        <v>45615.041666666497</v>
      </c>
      <c r="E74" s="53" t="e">
        <f>VLOOKUP(Table110[[#This Row],[FECHA /HORA]],TBL_CalcDarwin[],7,0)</f>
        <v>#N/A</v>
      </c>
      <c r="F74" s="53" t="e">
        <f>VLOOKUP(Table110[[#This Row],[FECHA /HORA]],TBL_CalcDarwin[],42,0)</f>
        <v>#N/A</v>
      </c>
      <c r="G74" s="53" t="e">
        <f>VLOOKUP(Table110[[#This Row],[FECHA /HORA]],TBL_CalcDarwin[],43,0)</f>
        <v>#N/A</v>
      </c>
      <c r="H74" s="53" t="e">
        <f>VLOOKUP(Table110[[#This Row],[FECHA /HORA]],TBL_CalcDarwin[],40,0)</f>
        <v>#N/A</v>
      </c>
      <c r="I74" s="53" t="e">
        <f>VLOOKUP(Table110[[#This Row],[FECHA /HORA]],TBL_CalcDarwin[],41,0)</f>
        <v>#N/A</v>
      </c>
      <c r="J74" s="53" t="e">
        <f>Table110[[#This Row],[MW Proyectada (Barra A)]]+Table110[[#This Row],[MW Proyectada (Barra B)]]</f>
        <v>#N/A</v>
      </c>
      <c r="L74" s="53" t="e">
        <f t="shared" si="3"/>
        <v>#N/A</v>
      </c>
      <c r="M74" s="53" t="e">
        <f>IF(Table110[[#This Row],[TOTAL MW]]&lt;165,Table110[[#This Row],[MW Proyectada (Barra A)]],Table110[[#This Row],[MW Proyectada (Barra A)]]*165/Table110[[#This Row],[TOTAL MW]])</f>
        <v>#N/A</v>
      </c>
      <c r="N74" s="53" t="e">
        <f>IF(Table110[[#This Row],[TOTAL MW]]&lt;165,Table110[[#This Row],[MW Proyectada (Barra B)]],Table110[[#This Row],[MW Proyectada (Barra B)]]*165/Table110[[#This Row],[TOTAL MW]])</f>
        <v>#N/A</v>
      </c>
      <c r="P74" s="90"/>
      <c r="Q74" s="90"/>
      <c r="R74" s="93"/>
      <c r="S74" s="93"/>
    </row>
    <row r="75" spans="2:19" x14ac:dyDescent="0.25">
      <c r="B75" s="91">
        <f t="shared" si="4"/>
        <v>45615.083333333161</v>
      </c>
      <c r="C75" s="52">
        <f t="shared" si="5"/>
        <v>3.0833333333333308</v>
      </c>
      <c r="D75" s="92">
        <f>Table110[[#This Row],[Fecha]]</f>
        <v>45615.083333333161</v>
      </c>
      <c r="E75" s="53" t="e">
        <f>VLOOKUP(Table110[[#This Row],[FECHA /HORA]],TBL_CalcDarwin[],7,0)</f>
        <v>#N/A</v>
      </c>
      <c r="F75" s="53" t="e">
        <f>VLOOKUP(Table110[[#This Row],[FECHA /HORA]],TBL_CalcDarwin[],42,0)</f>
        <v>#N/A</v>
      </c>
      <c r="G75" s="53" t="e">
        <f>VLOOKUP(Table110[[#This Row],[FECHA /HORA]],TBL_CalcDarwin[],43,0)</f>
        <v>#N/A</v>
      </c>
      <c r="H75" s="53" t="e">
        <f>VLOOKUP(Table110[[#This Row],[FECHA /HORA]],TBL_CalcDarwin[],40,0)</f>
        <v>#N/A</v>
      </c>
      <c r="I75" s="53" t="e">
        <f>VLOOKUP(Table110[[#This Row],[FECHA /HORA]],TBL_CalcDarwin[],41,0)</f>
        <v>#N/A</v>
      </c>
      <c r="J75" s="53" t="e">
        <f>Table110[[#This Row],[MW Proyectada (Barra A)]]+Table110[[#This Row],[MW Proyectada (Barra B)]]</f>
        <v>#N/A</v>
      </c>
      <c r="L75" s="53" t="e">
        <f t="shared" si="3"/>
        <v>#N/A</v>
      </c>
      <c r="M75" s="53" t="e">
        <f>IF(Table110[[#This Row],[TOTAL MW]]&lt;165,Table110[[#This Row],[MW Proyectada (Barra A)]],Table110[[#This Row],[MW Proyectada (Barra A)]]*165/Table110[[#This Row],[TOTAL MW]])</f>
        <v>#N/A</v>
      </c>
      <c r="N75" s="53" t="e">
        <f>IF(Table110[[#This Row],[TOTAL MW]]&lt;165,Table110[[#This Row],[MW Proyectada (Barra B)]],Table110[[#This Row],[MW Proyectada (Barra B)]]*165/Table110[[#This Row],[TOTAL MW]])</f>
        <v>#N/A</v>
      </c>
      <c r="P75" s="90"/>
      <c r="Q75" s="90"/>
      <c r="R75" s="93"/>
      <c r="S75" s="93"/>
    </row>
    <row r="76" spans="2:19" x14ac:dyDescent="0.25">
      <c r="B76" s="91">
        <f t="shared" si="4"/>
        <v>45615.124999999825</v>
      </c>
      <c r="C76" s="52">
        <f t="shared" si="5"/>
        <v>3.1249999999999973</v>
      </c>
      <c r="D76" s="92">
        <f>Table110[[#This Row],[Fecha]]</f>
        <v>45615.124999999825</v>
      </c>
      <c r="E76" s="53" t="e">
        <f>VLOOKUP(Table110[[#This Row],[FECHA /HORA]],TBL_CalcDarwin[],7,0)</f>
        <v>#N/A</v>
      </c>
      <c r="F76" s="53" t="e">
        <f>VLOOKUP(Table110[[#This Row],[FECHA /HORA]],TBL_CalcDarwin[],42,0)</f>
        <v>#N/A</v>
      </c>
      <c r="G76" s="53" t="e">
        <f>VLOOKUP(Table110[[#This Row],[FECHA /HORA]],TBL_CalcDarwin[],43,0)</f>
        <v>#N/A</v>
      </c>
      <c r="H76" s="53" t="e">
        <f>VLOOKUP(Table110[[#This Row],[FECHA /HORA]],TBL_CalcDarwin[],40,0)</f>
        <v>#N/A</v>
      </c>
      <c r="I76" s="53" t="e">
        <f>VLOOKUP(Table110[[#This Row],[FECHA /HORA]],TBL_CalcDarwin[],41,0)</f>
        <v>#N/A</v>
      </c>
      <c r="J76" s="53" t="e">
        <f>Table110[[#This Row],[MW Proyectada (Barra A)]]+Table110[[#This Row],[MW Proyectada (Barra B)]]</f>
        <v>#N/A</v>
      </c>
      <c r="L76" s="53" t="e">
        <f t="shared" si="3"/>
        <v>#N/A</v>
      </c>
      <c r="M76" s="53" t="e">
        <f>IF(Table110[[#This Row],[TOTAL MW]]&lt;165,Table110[[#This Row],[MW Proyectada (Barra A)]],Table110[[#This Row],[MW Proyectada (Barra A)]]*165/Table110[[#This Row],[TOTAL MW]])</f>
        <v>#N/A</v>
      </c>
      <c r="N76" s="53" t="e">
        <f>IF(Table110[[#This Row],[TOTAL MW]]&lt;165,Table110[[#This Row],[MW Proyectada (Barra B)]],Table110[[#This Row],[MW Proyectada (Barra B)]]*165/Table110[[#This Row],[TOTAL MW]])</f>
        <v>#N/A</v>
      </c>
      <c r="P76" s="90"/>
      <c r="Q76" s="90"/>
      <c r="R76" s="93"/>
      <c r="S76" s="93"/>
    </row>
    <row r="77" spans="2:19" x14ac:dyDescent="0.25">
      <c r="B77" s="91">
        <f t="shared" si="4"/>
        <v>45615.16666666649</v>
      </c>
      <c r="C77" s="52">
        <f t="shared" si="5"/>
        <v>3.1666666666666639</v>
      </c>
      <c r="D77" s="92">
        <f>Table110[[#This Row],[Fecha]]</f>
        <v>45615.16666666649</v>
      </c>
      <c r="E77" s="53" t="e">
        <f>VLOOKUP(Table110[[#This Row],[FECHA /HORA]],TBL_CalcDarwin[],7,0)</f>
        <v>#N/A</v>
      </c>
      <c r="F77" s="53" t="e">
        <f>VLOOKUP(Table110[[#This Row],[FECHA /HORA]],TBL_CalcDarwin[],42,0)</f>
        <v>#N/A</v>
      </c>
      <c r="G77" s="53" t="e">
        <f>VLOOKUP(Table110[[#This Row],[FECHA /HORA]],TBL_CalcDarwin[],43,0)</f>
        <v>#N/A</v>
      </c>
      <c r="H77" s="53" t="e">
        <f>VLOOKUP(Table110[[#This Row],[FECHA /HORA]],TBL_CalcDarwin[],40,0)</f>
        <v>#N/A</v>
      </c>
      <c r="I77" s="53" t="e">
        <f>VLOOKUP(Table110[[#This Row],[FECHA /HORA]],TBL_CalcDarwin[],41,0)</f>
        <v>#N/A</v>
      </c>
      <c r="J77" s="53" t="e">
        <f>Table110[[#This Row],[MW Proyectada (Barra A)]]+Table110[[#This Row],[MW Proyectada (Barra B)]]</f>
        <v>#N/A</v>
      </c>
      <c r="L77" s="53" t="e">
        <f t="shared" si="3"/>
        <v>#N/A</v>
      </c>
      <c r="M77" s="53" t="e">
        <f>IF(Table110[[#This Row],[TOTAL MW]]&lt;165,Table110[[#This Row],[MW Proyectada (Barra A)]],Table110[[#This Row],[MW Proyectada (Barra A)]]*165/Table110[[#This Row],[TOTAL MW]])</f>
        <v>#N/A</v>
      </c>
      <c r="N77" s="53" t="e">
        <f>IF(Table110[[#This Row],[TOTAL MW]]&lt;165,Table110[[#This Row],[MW Proyectada (Barra B)]],Table110[[#This Row],[MW Proyectada (Barra B)]]*165/Table110[[#This Row],[TOTAL MW]])</f>
        <v>#N/A</v>
      </c>
      <c r="P77" s="90"/>
      <c r="Q77" s="90"/>
      <c r="R77" s="93"/>
      <c r="S77" s="93"/>
    </row>
    <row r="78" spans="2:19" x14ac:dyDescent="0.25">
      <c r="B78" s="91">
        <f t="shared" si="4"/>
        <v>45615.208333333154</v>
      </c>
      <c r="C78" s="52">
        <f t="shared" si="5"/>
        <v>3.2083333333333304</v>
      </c>
      <c r="D78" s="92">
        <f>Table110[[#This Row],[Fecha]]</f>
        <v>45615.208333333154</v>
      </c>
      <c r="E78" s="53" t="e">
        <f>VLOOKUP(Table110[[#This Row],[FECHA /HORA]],TBL_CalcDarwin[],7,0)</f>
        <v>#N/A</v>
      </c>
      <c r="F78" s="53" t="e">
        <f>VLOOKUP(Table110[[#This Row],[FECHA /HORA]],TBL_CalcDarwin[],42,0)</f>
        <v>#N/A</v>
      </c>
      <c r="G78" s="53" t="e">
        <f>VLOOKUP(Table110[[#This Row],[FECHA /HORA]],TBL_CalcDarwin[],43,0)</f>
        <v>#N/A</v>
      </c>
      <c r="H78" s="53" t="e">
        <f>VLOOKUP(Table110[[#This Row],[FECHA /HORA]],TBL_CalcDarwin[],40,0)</f>
        <v>#N/A</v>
      </c>
      <c r="I78" s="53" t="e">
        <f>VLOOKUP(Table110[[#This Row],[FECHA /HORA]],TBL_CalcDarwin[],41,0)</f>
        <v>#N/A</v>
      </c>
      <c r="J78" s="53" t="e">
        <f>Table110[[#This Row],[MW Proyectada (Barra A)]]+Table110[[#This Row],[MW Proyectada (Barra B)]]</f>
        <v>#N/A</v>
      </c>
      <c r="L78" s="53" t="e">
        <f t="shared" si="3"/>
        <v>#N/A</v>
      </c>
      <c r="M78" s="53" t="e">
        <f>IF(Table110[[#This Row],[TOTAL MW]]&lt;165,Table110[[#This Row],[MW Proyectada (Barra A)]],Table110[[#This Row],[MW Proyectada (Barra A)]]*165/Table110[[#This Row],[TOTAL MW]])</f>
        <v>#N/A</v>
      </c>
      <c r="N78" s="53" t="e">
        <f>IF(Table110[[#This Row],[TOTAL MW]]&lt;165,Table110[[#This Row],[MW Proyectada (Barra B)]],Table110[[#This Row],[MW Proyectada (Barra B)]]*165/Table110[[#This Row],[TOTAL MW]])</f>
        <v>#N/A</v>
      </c>
      <c r="P78" s="90"/>
      <c r="Q78" s="90"/>
      <c r="R78" s="93"/>
      <c r="S78" s="93"/>
    </row>
    <row r="79" spans="2:19" x14ac:dyDescent="0.25">
      <c r="B79" s="91">
        <f t="shared" si="4"/>
        <v>45615.249999999818</v>
      </c>
      <c r="C79" s="52">
        <f t="shared" si="5"/>
        <v>3.2499999999999969</v>
      </c>
      <c r="D79" s="92">
        <f>Table110[[#This Row],[Fecha]]</f>
        <v>45615.249999999818</v>
      </c>
      <c r="E79" s="53" t="e">
        <f>VLOOKUP(Table110[[#This Row],[FECHA /HORA]],TBL_CalcDarwin[],7,0)</f>
        <v>#N/A</v>
      </c>
      <c r="F79" s="53" t="e">
        <f>VLOOKUP(Table110[[#This Row],[FECHA /HORA]],TBL_CalcDarwin[],42,0)</f>
        <v>#N/A</v>
      </c>
      <c r="G79" s="53" t="e">
        <f>VLOOKUP(Table110[[#This Row],[FECHA /HORA]],TBL_CalcDarwin[],43,0)</f>
        <v>#N/A</v>
      </c>
      <c r="H79" s="53" t="e">
        <f>VLOOKUP(Table110[[#This Row],[FECHA /HORA]],TBL_CalcDarwin[],40,0)</f>
        <v>#N/A</v>
      </c>
      <c r="I79" s="53" t="e">
        <f>VLOOKUP(Table110[[#This Row],[FECHA /HORA]],TBL_CalcDarwin[],41,0)</f>
        <v>#N/A</v>
      </c>
      <c r="J79" s="53" t="e">
        <f>Table110[[#This Row],[MW Proyectada (Barra A)]]+Table110[[#This Row],[MW Proyectada (Barra B)]]</f>
        <v>#N/A</v>
      </c>
      <c r="L79" s="53" t="e">
        <f t="shared" si="3"/>
        <v>#N/A</v>
      </c>
      <c r="M79" s="53" t="e">
        <f>IF(Table110[[#This Row],[TOTAL MW]]&lt;165,Table110[[#This Row],[MW Proyectada (Barra A)]],Table110[[#This Row],[MW Proyectada (Barra A)]]*165/Table110[[#This Row],[TOTAL MW]])</f>
        <v>#N/A</v>
      </c>
      <c r="N79" s="53" t="e">
        <f>IF(Table110[[#This Row],[TOTAL MW]]&lt;165,Table110[[#This Row],[MW Proyectada (Barra B)]],Table110[[#This Row],[MW Proyectada (Barra B)]]*165/Table110[[#This Row],[TOTAL MW]])</f>
        <v>#N/A</v>
      </c>
      <c r="P79" s="90"/>
      <c r="Q79" s="90"/>
      <c r="R79" s="93"/>
      <c r="S79" s="93"/>
    </row>
    <row r="80" spans="2:19" x14ac:dyDescent="0.25">
      <c r="B80" s="91">
        <f t="shared" si="4"/>
        <v>45615.291666666482</v>
      </c>
      <c r="C80" s="52">
        <f t="shared" si="5"/>
        <v>3.2916666666666634</v>
      </c>
      <c r="D80" s="92">
        <f>Table110[[#This Row],[Fecha]]</f>
        <v>45615.291666666482</v>
      </c>
      <c r="E80" s="53" t="e">
        <f>VLOOKUP(Table110[[#This Row],[FECHA /HORA]],TBL_CalcDarwin[],7,0)</f>
        <v>#N/A</v>
      </c>
      <c r="F80" s="53" t="e">
        <f>VLOOKUP(Table110[[#This Row],[FECHA /HORA]],TBL_CalcDarwin[],42,0)</f>
        <v>#N/A</v>
      </c>
      <c r="G80" s="53" t="e">
        <f>VLOOKUP(Table110[[#This Row],[FECHA /HORA]],TBL_CalcDarwin[],43,0)</f>
        <v>#N/A</v>
      </c>
      <c r="H80" s="53" t="e">
        <f>VLOOKUP(Table110[[#This Row],[FECHA /HORA]],TBL_CalcDarwin[],40,0)</f>
        <v>#N/A</v>
      </c>
      <c r="I80" s="53" t="e">
        <f>VLOOKUP(Table110[[#This Row],[FECHA /HORA]],TBL_CalcDarwin[],41,0)</f>
        <v>#N/A</v>
      </c>
      <c r="J80" s="53" t="e">
        <f>Table110[[#This Row],[MW Proyectada (Barra A)]]+Table110[[#This Row],[MW Proyectada (Barra B)]]</f>
        <v>#N/A</v>
      </c>
      <c r="L80" s="53" t="e">
        <f t="shared" si="3"/>
        <v>#N/A</v>
      </c>
      <c r="M80" s="53" t="e">
        <f>IF(Table110[[#This Row],[TOTAL MW]]&lt;165,Table110[[#This Row],[MW Proyectada (Barra A)]],Table110[[#This Row],[MW Proyectada (Barra A)]]*165/Table110[[#This Row],[TOTAL MW]])</f>
        <v>#N/A</v>
      </c>
      <c r="N80" s="53" t="e">
        <f>IF(Table110[[#This Row],[TOTAL MW]]&lt;165,Table110[[#This Row],[MW Proyectada (Barra B)]],Table110[[#This Row],[MW Proyectada (Barra B)]]*165/Table110[[#This Row],[TOTAL MW]])</f>
        <v>#N/A</v>
      </c>
      <c r="P80" s="90"/>
      <c r="Q80" s="90"/>
      <c r="R80" s="93"/>
      <c r="S80" s="93"/>
    </row>
    <row r="81" spans="2:19" x14ac:dyDescent="0.25">
      <c r="B81" s="91">
        <f t="shared" si="4"/>
        <v>45615.333333333147</v>
      </c>
      <c r="C81" s="52">
        <f t="shared" si="5"/>
        <v>3.3333333333333299</v>
      </c>
      <c r="D81" s="92">
        <f>Table110[[#This Row],[Fecha]]</f>
        <v>45615.333333333147</v>
      </c>
      <c r="E81" s="53" t="e">
        <f>VLOOKUP(Table110[[#This Row],[FECHA /HORA]],TBL_CalcDarwin[],7,0)</f>
        <v>#N/A</v>
      </c>
      <c r="F81" s="53" t="e">
        <f>VLOOKUP(Table110[[#This Row],[FECHA /HORA]],TBL_CalcDarwin[],42,0)</f>
        <v>#N/A</v>
      </c>
      <c r="G81" s="53" t="e">
        <f>VLOOKUP(Table110[[#This Row],[FECHA /HORA]],TBL_CalcDarwin[],43,0)</f>
        <v>#N/A</v>
      </c>
      <c r="H81" s="53" t="e">
        <f>VLOOKUP(Table110[[#This Row],[FECHA /HORA]],TBL_CalcDarwin[],40,0)</f>
        <v>#N/A</v>
      </c>
      <c r="I81" s="53" t="e">
        <f>VLOOKUP(Table110[[#This Row],[FECHA /HORA]],TBL_CalcDarwin[],41,0)</f>
        <v>#N/A</v>
      </c>
      <c r="J81" s="53" t="e">
        <f>Table110[[#This Row],[MW Proyectada (Barra A)]]+Table110[[#This Row],[MW Proyectada (Barra B)]]</f>
        <v>#N/A</v>
      </c>
      <c r="L81" s="53" t="e">
        <f t="shared" si="3"/>
        <v>#N/A</v>
      </c>
      <c r="M81" s="53" t="e">
        <f>IF(Table110[[#This Row],[TOTAL MW]]&lt;165,Table110[[#This Row],[MW Proyectada (Barra A)]],Table110[[#This Row],[MW Proyectada (Barra A)]]*165/Table110[[#This Row],[TOTAL MW]])</f>
        <v>#N/A</v>
      </c>
      <c r="N81" s="53" t="e">
        <f>IF(Table110[[#This Row],[TOTAL MW]]&lt;165,Table110[[#This Row],[MW Proyectada (Barra B)]],Table110[[#This Row],[MW Proyectada (Barra B)]]*165/Table110[[#This Row],[TOTAL MW]])</f>
        <v>#N/A</v>
      </c>
      <c r="P81" s="90"/>
      <c r="Q81" s="90"/>
      <c r="R81" s="93"/>
      <c r="S81" s="93"/>
    </row>
    <row r="82" spans="2:19" x14ac:dyDescent="0.25">
      <c r="B82" s="91">
        <f t="shared" si="4"/>
        <v>45615.374999999811</v>
      </c>
      <c r="C82" s="52">
        <f t="shared" si="5"/>
        <v>3.3749999999999964</v>
      </c>
      <c r="D82" s="92">
        <f>Table110[[#This Row],[Fecha]]</f>
        <v>45615.374999999811</v>
      </c>
      <c r="E82" s="53" t="e">
        <f>VLOOKUP(Table110[[#This Row],[FECHA /HORA]],TBL_CalcDarwin[],7,0)</f>
        <v>#N/A</v>
      </c>
      <c r="F82" s="53" t="e">
        <f>VLOOKUP(Table110[[#This Row],[FECHA /HORA]],TBL_CalcDarwin[],42,0)</f>
        <v>#N/A</v>
      </c>
      <c r="G82" s="53" t="e">
        <f>VLOOKUP(Table110[[#This Row],[FECHA /HORA]],TBL_CalcDarwin[],43,0)</f>
        <v>#N/A</v>
      </c>
      <c r="H82" s="53" t="e">
        <f>VLOOKUP(Table110[[#This Row],[FECHA /HORA]],TBL_CalcDarwin[],40,0)</f>
        <v>#N/A</v>
      </c>
      <c r="I82" s="53" t="e">
        <f>VLOOKUP(Table110[[#This Row],[FECHA /HORA]],TBL_CalcDarwin[],41,0)</f>
        <v>#N/A</v>
      </c>
      <c r="J82" s="53" t="e">
        <f>Table110[[#This Row],[MW Proyectada (Barra A)]]+Table110[[#This Row],[MW Proyectada (Barra B)]]</f>
        <v>#N/A</v>
      </c>
      <c r="L82" s="53" t="e">
        <f t="shared" si="3"/>
        <v>#N/A</v>
      </c>
      <c r="M82" s="53" t="e">
        <f>IF(Table110[[#This Row],[TOTAL MW]]&lt;165,Table110[[#This Row],[MW Proyectada (Barra A)]],Table110[[#This Row],[MW Proyectada (Barra A)]]*165/Table110[[#This Row],[TOTAL MW]])</f>
        <v>#N/A</v>
      </c>
      <c r="N82" s="53" t="e">
        <f>IF(Table110[[#This Row],[TOTAL MW]]&lt;165,Table110[[#This Row],[MW Proyectada (Barra B)]],Table110[[#This Row],[MW Proyectada (Barra B)]]*165/Table110[[#This Row],[TOTAL MW]])</f>
        <v>#N/A</v>
      </c>
      <c r="P82" s="90"/>
      <c r="Q82" s="90"/>
      <c r="R82" s="93"/>
      <c r="S82" s="93"/>
    </row>
    <row r="83" spans="2:19" x14ac:dyDescent="0.25">
      <c r="B83" s="91">
        <f t="shared" si="4"/>
        <v>45615.416666666475</v>
      </c>
      <c r="C83" s="52">
        <f t="shared" si="5"/>
        <v>3.416666666666663</v>
      </c>
      <c r="D83" s="92">
        <f>Table110[[#This Row],[Fecha]]</f>
        <v>45615.416666666475</v>
      </c>
      <c r="E83" s="53" t="e">
        <f>VLOOKUP(Table110[[#This Row],[FECHA /HORA]],TBL_CalcDarwin[],7,0)</f>
        <v>#N/A</v>
      </c>
      <c r="F83" s="53" t="e">
        <f>VLOOKUP(Table110[[#This Row],[FECHA /HORA]],TBL_CalcDarwin[],42,0)</f>
        <v>#N/A</v>
      </c>
      <c r="G83" s="53" t="e">
        <f>VLOOKUP(Table110[[#This Row],[FECHA /HORA]],TBL_CalcDarwin[],43,0)</f>
        <v>#N/A</v>
      </c>
      <c r="H83" s="53" t="e">
        <f>VLOOKUP(Table110[[#This Row],[FECHA /HORA]],TBL_CalcDarwin[],40,0)</f>
        <v>#N/A</v>
      </c>
      <c r="I83" s="53" t="e">
        <f>VLOOKUP(Table110[[#This Row],[FECHA /HORA]],TBL_CalcDarwin[],41,0)</f>
        <v>#N/A</v>
      </c>
      <c r="J83" s="53" t="e">
        <f>Table110[[#This Row],[MW Proyectada (Barra A)]]+Table110[[#This Row],[MW Proyectada (Barra B)]]</f>
        <v>#N/A</v>
      </c>
      <c r="L83" s="53" t="e">
        <f t="shared" si="3"/>
        <v>#N/A</v>
      </c>
      <c r="M83" s="53" t="e">
        <f>IF(Table110[[#This Row],[TOTAL MW]]&lt;165,Table110[[#This Row],[MW Proyectada (Barra A)]],Table110[[#This Row],[MW Proyectada (Barra A)]]*165/Table110[[#This Row],[TOTAL MW]])</f>
        <v>#N/A</v>
      </c>
      <c r="N83" s="53" t="e">
        <f>IF(Table110[[#This Row],[TOTAL MW]]&lt;165,Table110[[#This Row],[MW Proyectada (Barra B)]],Table110[[#This Row],[MW Proyectada (Barra B)]]*165/Table110[[#This Row],[TOTAL MW]])</f>
        <v>#N/A</v>
      </c>
      <c r="P83" s="90"/>
      <c r="Q83" s="90"/>
      <c r="R83" s="93"/>
      <c r="S83" s="93"/>
    </row>
    <row r="84" spans="2:19" x14ac:dyDescent="0.25">
      <c r="B84" s="91">
        <f t="shared" si="4"/>
        <v>45615.458333333139</v>
      </c>
      <c r="C84" s="52">
        <f t="shared" si="5"/>
        <v>3.4583333333333295</v>
      </c>
      <c r="D84" s="92">
        <f>Table110[[#This Row],[Fecha]]</f>
        <v>45615.458333333139</v>
      </c>
      <c r="E84" s="53" t="e">
        <f>VLOOKUP(Table110[[#This Row],[FECHA /HORA]],TBL_CalcDarwin[],7,0)</f>
        <v>#N/A</v>
      </c>
      <c r="F84" s="53" t="e">
        <f>VLOOKUP(Table110[[#This Row],[FECHA /HORA]],TBL_CalcDarwin[],42,0)</f>
        <v>#N/A</v>
      </c>
      <c r="G84" s="53" t="e">
        <f>VLOOKUP(Table110[[#This Row],[FECHA /HORA]],TBL_CalcDarwin[],43,0)</f>
        <v>#N/A</v>
      </c>
      <c r="H84" s="53" t="e">
        <f>VLOOKUP(Table110[[#This Row],[FECHA /HORA]],TBL_CalcDarwin[],40,0)</f>
        <v>#N/A</v>
      </c>
      <c r="I84" s="53" t="e">
        <f>VLOOKUP(Table110[[#This Row],[FECHA /HORA]],TBL_CalcDarwin[],41,0)</f>
        <v>#N/A</v>
      </c>
      <c r="J84" s="53" t="e">
        <f>Table110[[#This Row],[MW Proyectada (Barra A)]]+Table110[[#This Row],[MW Proyectada (Barra B)]]</f>
        <v>#N/A</v>
      </c>
      <c r="L84" s="53" t="e">
        <f t="shared" si="3"/>
        <v>#N/A</v>
      </c>
      <c r="M84" s="53" t="e">
        <f>IF(Table110[[#This Row],[TOTAL MW]]&lt;165,Table110[[#This Row],[MW Proyectada (Barra A)]],Table110[[#This Row],[MW Proyectada (Barra A)]]*165/Table110[[#This Row],[TOTAL MW]])</f>
        <v>#N/A</v>
      </c>
      <c r="N84" s="53" t="e">
        <f>IF(Table110[[#This Row],[TOTAL MW]]&lt;165,Table110[[#This Row],[MW Proyectada (Barra B)]],Table110[[#This Row],[MW Proyectada (Barra B)]]*165/Table110[[#This Row],[TOTAL MW]])</f>
        <v>#N/A</v>
      </c>
      <c r="P84" s="90"/>
      <c r="Q84" s="90"/>
      <c r="R84" s="93"/>
      <c r="S84" s="93"/>
    </row>
    <row r="85" spans="2:19" x14ac:dyDescent="0.25">
      <c r="B85" s="91">
        <f t="shared" si="4"/>
        <v>45615.499999999804</v>
      </c>
      <c r="C85" s="52">
        <f t="shared" si="5"/>
        <v>3.499999999999996</v>
      </c>
      <c r="D85" s="92">
        <f>Table110[[#This Row],[Fecha]]</f>
        <v>45615.499999999804</v>
      </c>
      <c r="E85" s="53" t="e">
        <f>VLOOKUP(Table110[[#This Row],[FECHA /HORA]],TBL_CalcDarwin[],7,0)</f>
        <v>#N/A</v>
      </c>
      <c r="F85" s="53" t="e">
        <f>VLOOKUP(Table110[[#This Row],[FECHA /HORA]],TBL_CalcDarwin[],42,0)</f>
        <v>#N/A</v>
      </c>
      <c r="G85" s="53" t="e">
        <f>VLOOKUP(Table110[[#This Row],[FECHA /HORA]],TBL_CalcDarwin[],43,0)</f>
        <v>#N/A</v>
      </c>
      <c r="H85" s="53" t="e">
        <f>VLOOKUP(Table110[[#This Row],[FECHA /HORA]],TBL_CalcDarwin[],40,0)</f>
        <v>#N/A</v>
      </c>
      <c r="I85" s="53" t="e">
        <f>VLOOKUP(Table110[[#This Row],[FECHA /HORA]],TBL_CalcDarwin[],41,0)</f>
        <v>#N/A</v>
      </c>
      <c r="J85" s="53" t="e">
        <f>Table110[[#This Row],[MW Proyectada (Barra A)]]+Table110[[#This Row],[MW Proyectada (Barra B)]]</f>
        <v>#N/A</v>
      </c>
      <c r="L85" s="53" t="e">
        <f t="shared" si="3"/>
        <v>#N/A</v>
      </c>
      <c r="M85" s="53" t="e">
        <f>IF(Table110[[#This Row],[TOTAL MW]]&lt;165,Table110[[#This Row],[MW Proyectada (Barra A)]],Table110[[#This Row],[MW Proyectada (Barra A)]]*165/Table110[[#This Row],[TOTAL MW]])</f>
        <v>#N/A</v>
      </c>
      <c r="N85" s="53" t="e">
        <f>IF(Table110[[#This Row],[TOTAL MW]]&lt;165,Table110[[#This Row],[MW Proyectada (Barra B)]],Table110[[#This Row],[MW Proyectada (Barra B)]]*165/Table110[[#This Row],[TOTAL MW]])</f>
        <v>#N/A</v>
      </c>
      <c r="P85" s="90"/>
      <c r="Q85" s="90"/>
      <c r="R85" s="93"/>
      <c r="S85" s="93"/>
    </row>
    <row r="86" spans="2:19" x14ac:dyDescent="0.25">
      <c r="B86" s="91">
        <f t="shared" si="4"/>
        <v>45615.541666666468</v>
      </c>
      <c r="C86" s="52">
        <f t="shared" si="5"/>
        <v>3.5416666666666625</v>
      </c>
      <c r="D86" s="92">
        <f>Table110[[#This Row],[Fecha]]</f>
        <v>45615.541666666468</v>
      </c>
      <c r="E86" s="53" t="e">
        <f>VLOOKUP(Table110[[#This Row],[FECHA /HORA]],TBL_CalcDarwin[],7,0)</f>
        <v>#N/A</v>
      </c>
      <c r="F86" s="53" t="e">
        <f>VLOOKUP(Table110[[#This Row],[FECHA /HORA]],TBL_CalcDarwin[],42,0)</f>
        <v>#N/A</v>
      </c>
      <c r="G86" s="53" t="e">
        <f>VLOOKUP(Table110[[#This Row],[FECHA /HORA]],TBL_CalcDarwin[],43,0)</f>
        <v>#N/A</v>
      </c>
      <c r="H86" s="53" t="e">
        <f>VLOOKUP(Table110[[#This Row],[FECHA /HORA]],TBL_CalcDarwin[],40,0)</f>
        <v>#N/A</v>
      </c>
      <c r="I86" s="53" t="e">
        <f>VLOOKUP(Table110[[#This Row],[FECHA /HORA]],TBL_CalcDarwin[],41,0)</f>
        <v>#N/A</v>
      </c>
      <c r="J86" s="53" t="e">
        <f>Table110[[#This Row],[MW Proyectada (Barra A)]]+Table110[[#This Row],[MW Proyectada (Barra B)]]</f>
        <v>#N/A</v>
      </c>
      <c r="L86" s="53" t="e">
        <f t="shared" si="3"/>
        <v>#N/A</v>
      </c>
      <c r="M86" s="53" t="e">
        <f>IF(Table110[[#This Row],[TOTAL MW]]&lt;165,Table110[[#This Row],[MW Proyectada (Barra A)]],Table110[[#This Row],[MW Proyectada (Barra A)]]*165/Table110[[#This Row],[TOTAL MW]])</f>
        <v>#N/A</v>
      </c>
      <c r="N86" s="53" t="e">
        <f>IF(Table110[[#This Row],[TOTAL MW]]&lt;165,Table110[[#This Row],[MW Proyectada (Barra B)]],Table110[[#This Row],[MW Proyectada (Barra B)]]*165/Table110[[#This Row],[TOTAL MW]])</f>
        <v>#N/A</v>
      </c>
      <c r="P86" s="90"/>
      <c r="Q86" s="90"/>
      <c r="R86" s="93"/>
      <c r="S86" s="93"/>
    </row>
    <row r="87" spans="2:19" x14ac:dyDescent="0.25">
      <c r="B87" s="91">
        <f t="shared" si="4"/>
        <v>45615.583333333132</v>
      </c>
      <c r="C87" s="52">
        <f t="shared" si="5"/>
        <v>3.583333333333329</v>
      </c>
      <c r="D87" s="92">
        <f>Table110[[#This Row],[Fecha]]</f>
        <v>45615.583333333132</v>
      </c>
      <c r="E87" s="53" t="e">
        <f>VLOOKUP(Table110[[#This Row],[FECHA /HORA]],TBL_CalcDarwin[],7,0)</f>
        <v>#N/A</v>
      </c>
      <c r="F87" s="53" t="e">
        <f>VLOOKUP(Table110[[#This Row],[FECHA /HORA]],TBL_CalcDarwin[],42,0)</f>
        <v>#N/A</v>
      </c>
      <c r="G87" s="53" t="e">
        <f>VLOOKUP(Table110[[#This Row],[FECHA /HORA]],TBL_CalcDarwin[],43,0)</f>
        <v>#N/A</v>
      </c>
      <c r="H87" s="53" t="e">
        <f>VLOOKUP(Table110[[#This Row],[FECHA /HORA]],TBL_CalcDarwin[],40,0)</f>
        <v>#N/A</v>
      </c>
      <c r="I87" s="53" t="e">
        <f>VLOOKUP(Table110[[#This Row],[FECHA /HORA]],TBL_CalcDarwin[],41,0)</f>
        <v>#N/A</v>
      </c>
      <c r="J87" s="53" t="e">
        <f>Table110[[#This Row],[MW Proyectada (Barra A)]]+Table110[[#This Row],[MW Proyectada (Barra B)]]</f>
        <v>#N/A</v>
      </c>
      <c r="L87" s="53" t="e">
        <f t="shared" si="3"/>
        <v>#N/A</v>
      </c>
      <c r="M87" s="53" t="e">
        <f>IF(Table110[[#This Row],[TOTAL MW]]&lt;165,Table110[[#This Row],[MW Proyectada (Barra A)]],Table110[[#This Row],[MW Proyectada (Barra A)]]*165/Table110[[#This Row],[TOTAL MW]])</f>
        <v>#N/A</v>
      </c>
      <c r="N87" s="53" t="e">
        <f>IF(Table110[[#This Row],[TOTAL MW]]&lt;165,Table110[[#This Row],[MW Proyectada (Barra B)]],Table110[[#This Row],[MW Proyectada (Barra B)]]*165/Table110[[#This Row],[TOTAL MW]])</f>
        <v>#N/A</v>
      </c>
      <c r="P87" s="90"/>
      <c r="Q87" s="90"/>
      <c r="R87" s="93"/>
      <c r="S87" s="93"/>
    </row>
    <row r="88" spans="2:19" x14ac:dyDescent="0.25">
      <c r="B88" s="91">
        <f t="shared" si="4"/>
        <v>45615.624999999796</v>
      </c>
      <c r="C88" s="52">
        <f t="shared" si="5"/>
        <v>3.6249999999999956</v>
      </c>
      <c r="D88" s="92">
        <f>Table110[[#This Row],[Fecha]]</f>
        <v>45615.624999999796</v>
      </c>
      <c r="E88" s="53" t="e">
        <f>VLOOKUP(Table110[[#This Row],[FECHA /HORA]],TBL_CalcDarwin[],7,0)</f>
        <v>#N/A</v>
      </c>
      <c r="F88" s="53" t="e">
        <f>VLOOKUP(Table110[[#This Row],[FECHA /HORA]],TBL_CalcDarwin[],42,0)</f>
        <v>#N/A</v>
      </c>
      <c r="G88" s="53" t="e">
        <f>VLOOKUP(Table110[[#This Row],[FECHA /HORA]],TBL_CalcDarwin[],43,0)</f>
        <v>#N/A</v>
      </c>
      <c r="H88" s="53" t="e">
        <f>VLOOKUP(Table110[[#This Row],[FECHA /HORA]],TBL_CalcDarwin[],40,0)</f>
        <v>#N/A</v>
      </c>
      <c r="I88" s="53" t="e">
        <f>VLOOKUP(Table110[[#This Row],[FECHA /HORA]],TBL_CalcDarwin[],41,0)</f>
        <v>#N/A</v>
      </c>
      <c r="J88" s="53" t="e">
        <f>Table110[[#This Row],[MW Proyectada (Barra A)]]+Table110[[#This Row],[MW Proyectada (Barra B)]]</f>
        <v>#N/A</v>
      </c>
      <c r="L88" s="53" t="e">
        <f t="shared" si="3"/>
        <v>#N/A</v>
      </c>
      <c r="M88" s="53" t="e">
        <f>IF(Table110[[#This Row],[TOTAL MW]]&lt;165,Table110[[#This Row],[MW Proyectada (Barra A)]],Table110[[#This Row],[MW Proyectada (Barra A)]]*165/Table110[[#This Row],[TOTAL MW]])</f>
        <v>#N/A</v>
      </c>
      <c r="N88" s="53" t="e">
        <f>IF(Table110[[#This Row],[TOTAL MW]]&lt;165,Table110[[#This Row],[MW Proyectada (Barra B)]],Table110[[#This Row],[MW Proyectada (Barra B)]]*165/Table110[[#This Row],[TOTAL MW]])</f>
        <v>#N/A</v>
      </c>
      <c r="P88" s="90"/>
      <c r="Q88" s="90"/>
      <c r="R88" s="93"/>
      <c r="S88" s="93"/>
    </row>
    <row r="89" spans="2:19" x14ac:dyDescent="0.25">
      <c r="B89" s="91">
        <f t="shared" si="4"/>
        <v>45615.666666666461</v>
      </c>
      <c r="C89" s="52">
        <f t="shared" si="5"/>
        <v>3.6666666666666621</v>
      </c>
      <c r="D89" s="92">
        <f>Table110[[#This Row],[Fecha]]</f>
        <v>45615.666666666461</v>
      </c>
      <c r="E89" s="53" t="e">
        <f>VLOOKUP(Table110[[#This Row],[FECHA /HORA]],TBL_CalcDarwin[],7,0)</f>
        <v>#N/A</v>
      </c>
      <c r="F89" s="53" t="e">
        <f>VLOOKUP(Table110[[#This Row],[FECHA /HORA]],TBL_CalcDarwin[],42,0)</f>
        <v>#N/A</v>
      </c>
      <c r="G89" s="53" t="e">
        <f>VLOOKUP(Table110[[#This Row],[FECHA /HORA]],TBL_CalcDarwin[],43,0)</f>
        <v>#N/A</v>
      </c>
      <c r="H89" s="53" t="e">
        <f>VLOOKUP(Table110[[#This Row],[FECHA /HORA]],TBL_CalcDarwin[],40,0)</f>
        <v>#N/A</v>
      </c>
      <c r="I89" s="53" t="e">
        <f>VLOOKUP(Table110[[#This Row],[FECHA /HORA]],TBL_CalcDarwin[],41,0)</f>
        <v>#N/A</v>
      </c>
      <c r="J89" s="53" t="e">
        <f>Table110[[#This Row],[MW Proyectada (Barra A)]]+Table110[[#This Row],[MW Proyectada (Barra B)]]</f>
        <v>#N/A</v>
      </c>
      <c r="L89" s="53" t="e">
        <f t="shared" si="3"/>
        <v>#N/A</v>
      </c>
      <c r="M89" s="53" t="e">
        <f>IF(Table110[[#This Row],[TOTAL MW]]&lt;165,Table110[[#This Row],[MW Proyectada (Barra A)]],Table110[[#This Row],[MW Proyectada (Barra A)]]*165/Table110[[#This Row],[TOTAL MW]])</f>
        <v>#N/A</v>
      </c>
      <c r="N89" s="53" t="e">
        <f>IF(Table110[[#This Row],[TOTAL MW]]&lt;165,Table110[[#This Row],[MW Proyectada (Barra B)]],Table110[[#This Row],[MW Proyectada (Barra B)]]*165/Table110[[#This Row],[TOTAL MW]])</f>
        <v>#N/A</v>
      </c>
      <c r="P89" s="90"/>
      <c r="Q89" s="90"/>
      <c r="R89" s="93"/>
      <c r="S89" s="93"/>
    </row>
    <row r="90" spans="2:19" x14ac:dyDescent="0.25">
      <c r="B90" s="91">
        <f t="shared" si="4"/>
        <v>45615.708333333125</v>
      </c>
      <c r="C90" s="52">
        <f t="shared" si="5"/>
        <v>3.7083333333333286</v>
      </c>
      <c r="D90" s="92">
        <f>Table110[[#This Row],[Fecha]]</f>
        <v>45615.708333333125</v>
      </c>
      <c r="E90" s="53" t="e">
        <f>VLOOKUP(Table110[[#This Row],[FECHA /HORA]],TBL_CalcDarwin[],7,0)</f>
        <v>#N/A</v>
      </c>
      <c r="F90" s="53" t="e">
        <f>VLOOKUP(Table110[[#This Row],[FECHA /HORA]],TBL_CalcDarwin[],42,0)</f>
        <v>#N/A</v>
      </c>
      <c r="G90" s="53" t="e">
        <f>VLOOKUP(Table110[[#This Row],[FECHA /HORA]],TBL_CalcDarwin[],43,0)</f>
        <v>#N/A</v>
      </c>
      <c r="H90" s="53" t="e">
        <f>VLOOKUP(Table110[[#This Row],[FECHA /HORA]],TBL_CalcDarwin[],40,0)</f>
        <v>#N/A</v>
      </c>
      <c r="I90" s="53" t="e">
        <f>VLOOKUP(Table110[[#This Row],[FECHA /HORA]],TBL_CalcDarwin[],41,0)</f>
        <v>#N/A</v>
      </c>
      <c r="J90" s="53" t="e">
        <f>Table110[[#This Row],[MW Proyectada (Barra A)]]+Table110[[#This Row],[MW Proyectada (Barra B)]]</f>
        <v>#N/A</v>
      </c>
      <c r="L90" s="53" t="e">
        <f t="shared" si="3"/>
        <v>#N/A</v>
      </c>
      <c r="M90" s="53" t="e">
        <f>IF(Table110[[#This Row],[TOTAL MW]]&lt;165,Table110[[#This Row],[MW Proyectada (Barra A)]],Table110[[#This Row],[MW Proyectada (Barra A)]]*165/Table110[[#This Row],[TOTAL MW]])</f>
        <v>#N/A</v>
      </c>
      <c r="N90" s="53" t="e">
        <f>IF(Table110[[#This Row],[TOTAL MW]]&lt;165,Table110[[#This Row],[MW Proyectada (Barra B)]],Table110[[#This Row],[MW Proyectada (Barra B)]]*165/Table110[[#This Row],[TOTAL MW]])</f>
        <v>#N/A</v>
      </c>
      <c r="P90" s="90"/>
      <c r="Q90" s="90"/>
      <c r="R90" s="93"/>
      <c r="S90" s="93"/>
    </row>
    <row r="91" spans="2:19" x14ac:dyDescent="0.25">
      <c r="B91" s="91">
        <f t="shared" si="4"/>
        <v>45615.749999999789</v>
      </c>
      <c r="C91" s="52">
        <f t="shared" si="5"/>
        <v>3.7499999999999951</v>
      </c>
      <c r="D91" s="92">
        <f>Table110[[#This Row],[Fecha]]</f>
        <v>45615.749999999789</v>
      </c>
      <c r="E91" s="53" t="e">
        <f>VLOOKUP(Table110[[#This Row],[FECHA /HORA]],TBL_CalcDarwin[],7,0)</f>
        <v>#N/A</v>
      </c>
      <c r="F91" s="53" t="e">
        <f>VLOOKUP(Table110[[#This Row],[FECHA /HORA]],TBL_CalcDarwin[],42,0)</f>
        <v>#N/A</v>
      </c>
      <c r="G91" s="53" t="e">
        <f>VLOOKUP(Table110[[#This Row],[FECHA /HORA]],TBL_CalcDarwin[],43,0)</f>
        <v>#N/A</v>
      </c>
      <c r="H91" s="53" t="e">
        <f>VLOOKUP(Table110[[#This Row],[FECHA /HORA]],TBL_CalcDarwin[],40,0)</f>
        <v>#N/A</v>
      </c>
      <c r="I91" s="53" t="e">
        <f>VLOOKUP(Table110[[#This Row],[FECHA /HORA]],TBL_CalcDarwin[],41,0)</f>
        <v>#N/A</v>
      </c>
      <c r="J91" s="53" t="e">
        <f>Table110[[#This Row],[MW Proyectada (Barra A)]]+Table110[[#This Row],[MW Proyectada (Barra B)]]</f>
        <v>#N/A</v>
      </c>
      <c r="L91" s="53" t="e">
        <f t="shared" si="3"/>
        <v>#N/A</v>
      </c>
      <c r="M91" s="53" t="e">
        <f>IF(Table110[[#This Row],[TOTAL MW]]&lt;165,Table110[[#This Row],[MW Proyectada (Barra A)]],Table110[[#This Row],[MW Proyectada (Barra A)]]*165/Table110[[#This Row],[TOTAL MW]])</f>
        <v>#N/A</v>
      </c>
      <c r="N91" s="53" t="e">
        <f>IF(Table110[[#This Row],[TOTAL MW]]&lt;165,Table110[[#This Row],[MW Proyectada (Barra B)]],Table110[[#This Row],[MW Proyectada (Barra B)]]*165/Table110[[#This Row],[TOTAL MW]])</f>
        <v>#N/A</v>
      </c>
      <c r="P91" s="90"/>
      <c r="Q91" s="90"/>
      <c r="R91" s="93"/>
      <c r="S91" s="93"/>
    </row>
    <row r="92" spans="2:19" x14ac:dyDescent="0.25">
      <c r="B92" s="91">
        <f t="shared" si="4"/>
        <v>45615.791666666453</v>
      </c>
      <c r="C92" s="52">
        <f t="shared" si="5"/>
        <v>3.7916666666666616</v>
      </c>
      <c r="D92" s="92">
        <f>Table110[[#This Row],[Fecha]]</f>
        <v>45615.791666666453</v>
      </c>
      <c r="E92" s="53" t="e">
        <f>VLOOKUP(Table110[[#This Row],[FECHA /HORA]],TBL_CalcDarwin[],7,0)</f>
        <v>#N/A</v>
      </c>
      <c r="F92" s="53" t="e">
        <f>VLOOKUP(Table110[[#This Row],[FECHA /HORA]],TBL_CalcDarwin[],42,0)</f>
        <v>#N/A</v>
      </c>
      <c r="G92" s="53" t="e">
        <f>VLOOKUP(Table110[[#This Row],[FECHA /HORA]],TBL_CalcDarwin[],43,0)</f>
        <v>#N/A</v>
      </c>
      <c r="H92" s="53" t="e">
        <f>VLOOKUP(Table110[[#This Row],[FECHA /HORA]],TBL_CalcDarwin[],40,0)</f>
        <v>#N/A</v>
      </c>
      <c r="I92" s="53" t="e">
        <f>VLOOKUP(Table110[[#This Row],[FECHA /HORA]],TBL_CalcDarwin[],41,0)</f>
        <v>#N/A</v>
      </c>
      <c r="J92" s="53" t="e">
        <f>Table110[[#This Row],[MW Proyectada (Barra A)]]+Table110[[#This Row],[MW Proyectada (Barra B)]]</f>
        <v>#N/A</v>
      </c>
      <c r="L92" s="53" t="e">
        <f t="shared" si="3"/>
        <v>#N/A</v>
      </c>
      <c r="M92" s="53" t="e">
        <f>IF(Table110[[#This Row],[TOTAL MW]]&lt;165,Table110[[#This Row],[MW Proyectada (Barra A)]],Table110[[#This Row],[MW Proyectada (Barra A)]]*165/Table110[[#This Row],[TOTAL MW]])</f>
        <v>#N/A</v>
      </c>
      <c r="N92" s="53" t="e">
        <f>IF(Table110[[#This Row],[TOTAL MW]]&lt;165,Table110[[#This Row],[MW Proyectada (Barra B)]],Table110[[#This Row],[MW Proyectada (Barra B)]]*165/Table110[[#This Row],[TOTAL MW]])</f>
        <v>#N/A</v>
      </c>
      <c r="P92" s="90"/>
      <c r="Q92" s="90"/>
      <c r="R92" s="93"/>
      <c r="S92" s="93"/>
    </row>
    <row r="93" spans="2:19" x14ac:dyDescent="0.25">
      <c r="B93" s="91">
        <f t="shared" si="4"/>
        <v>45615.833333333117</v>
      </c>
      <c r="C93" s="52">
        <f t="shared" si="5"/>
        <v>3.8333333333333282</v>
      </c>
      <c r="D93" s="92">
        <f>Table110[[#This Row],[Fecha]]</f>
        <v>45615.833333333117</v>
      </c>
      <c r="E93" s="53" t="e">
        <f>VLOOKUP(Table110[[#This Row],[FECHA /HORA]],TBL_CalcDarwin[],7,0)</f>
        <v>#N/A</v>
      </c>
      <c r="F93" s="53" t="e">
        <f>VLOOKUP(Table110[[#This Row],[FECHA /HORA]],TBL_CalcDarwin[],42,0)</f>
        <v>#N/A</v>
      </c>
      <c r="G93" s="53" t="e">
        <f>VLOOKUP(Table110[[#This Row],[FECHA /HORA]],TBL_CalcDarwin[],43,0)</f>
        <v>#N/A</v>
      </c>
      <c r="H93" s="53" t="e">
        <f>VLOOKUP(Table110[[#This Row],[FECHA /HORA]],TBL_CalcDarwin[],40,0)</f>
        <v>#N/A</v>
      </c>
      <c r="I93" s="53" t="e">
        <f>VLOOKUP(Table110[[#This Row],[FECHA /HORA]],TBL_CalcDarwin[],41,0)</f>
        <v>#N/A</v>
      </c>
      <c r="J93" s="53" t="e">
        <f>Table110[[#This Row],[MW Proyectada (Barra A)]]+Table110[[#This Row],[MW Proyectada (Barra B)]]</f>
        <v>#N/A</v>
      </c>
      <c r="L93" s="53" t="e">
        <f t="shared" si="3"/>
        <v>#N/A</v>
      </c>
      <c r="M93" s="53" t="e">
        <f>IF(Table110[[#This Row],[TOTAL MW]]&lt;165,Table110[[#This Row],[MW Proyectada (Barra A)]],Table110[[#This Row],[MW Proyectada (Barra A)]]*165/Table110[[#This Row],[TOTAL MW]])</f>
        <v>#N/A</v>
      </c>
      <c r="N93" s="53" t="e">
        <f>IF(Table110[[#This Row],[TOTAL MW]]&lt;165,Table110[[#This Row],[MW Proyectada (Barra B)]],Table110[[#This Row],[MW Proyectada (Barra B)]]*165/Table110[[#This Row],[TOTAL MW]])</f>
        <v>#N/A</v>
      </c>
      <c r="P93" s="90"/>
      <c r="Q93" s="90"/>
      <c r="R93" s="93"/>
      <c r="S93" s="93"/>
    </row>
    <row r="94" spans="2:19" x14ac:dyDescent="0.25">
      <c r="B94" s="91">
        <f t="shared" si="4"/>
        <v>45615.874999999782</v>
      </c>
      <c r="C94" s="52">
        <f t="shared" si="5"/>
        <v>3.8749999999999947</v>
      </c>
      <c r="D94" s="92">
        <f>Table110[[#This Row],[Fecha]]</f>
        <v>45615.874999999782</v>
      </c>
      <c r="E94" s="53" t="e">
        <f>VLOOKUP(Table110[[#This Row],[FECHA /HORA]],TBL_CalcDarwin[],7,0)</f>
        <v>#N/A</v>
      </c>
      <c r="F94" s="53" t="e">
        <f>VLOOKUP(Table110[[#This Row],[FECHA /HORA]],TBL_CalcDarwin[],42,0)</f>
        <v>#N/A</v>
      </c>
      <c r="G94" s="53" t="e">
        <f>VLOOKUP(Table110[[#This Row],[FECHA /HORA]],TBL_CalcDarwin[],43,0)</f>
        <v>#N/A</v>
      </c>
      <c r="H94" s="53" t="e">
        <f>VLOOKUP(Table110[[#This Row],[FECHA /HORA]],TBL_CalcDarwin[],40,0)</f>
        <v>#N/A</v>
      </c>
      <c r="I94" s="53" t="e">
        <f>VLOOKUP(Table110[[#This Row],[FECHA /HORA]],TBL_CalcDarwin[],41,0)</f>
        <v>#N/A</v>
      </c>
      <c r="J94" s="53" t="e">
        <f>Table110[[#This Row],[MW Proyectada (Barra A)]]+Table110[[#This Row],[MW Proyectada (Barra B)]]</f>
        <v>#N/A</v>
      </c>
      <c r="L94" s="53" t="e">
        <f t="shared" si="3"/>
        <v>#N/A</v>
      </c>
      <c r="M94" s="53" t="e">
        <f>IF(Table110[[#This Row],[TOTAL MW]]&lt;165,Table110[[#This Row],[MW Proyectada (Barra A)]],Table110[[#This Row],[MW Proyectada (Barra A)]]*165/Table110[[#This Row],[TOTAL MW]])</f>
        <v>#N/A</v>
      </c>
      <c r="N94" s="53" t="e">
        <f>IF(Table110[[#This Row],[TOTAL MW]]&lt;165,Table110[[#This Row],[MW Proyectada (Barra B)]],Table110[[#This Row],[MW Proyectada (Barra B)]]*165/Table110[[#This Row],[TOTAL MW]])</f>
        <v>#N/A</v>
      </c>
      <c r="P94" s="90"/>
      <c r="Q94" s="90"/>
      <c r="R94" s="93"/>
      <c r="S94" s="93"/>
    </row>
    <row r="95" spans="2:19" x14ac:dyDescent="0.25">
      <c r="B95" s="91">
        <f t="shared" si="4"/>
        <v>45615.916666666446</v>
      </c>
      <c r="C95" s="52">
        <f t="shared" si="5"/>
        <v>3.9166666666666612</v>
      </c>
      <c r="D95" s="92">
        <f>Table110[[#This Row],[Fecha]]</f>
        <v>45615.916666666446</v>
      </c>
      <c r="E95" s="53" t="e">
        <f>VLOOKUP(Table110[[#This Row],[FECHA /HORA]],TBL_CalcDarwin[],7,0)</f>
        <v>#N/A</v>
      </c>
      <c r="F95" s="53" t="e">
        <f>VLOOKUP(Table110[[#This Row],[FECHA /HORA]],TBL_CalcDarwin[],42,0)</f>
        <v>#N/A</v>
      </c>
      <c r="G95" s="53" t="e">
        <f>VLOOKUP(Table110[[#This Row],[FECHA /HORA]],TBL_CalcDarwin[],43,0)</f>
        <v>#N/A</v>
      </c>
      <c r="H95" s="53" t="e">
        <f>VLOOKUP(Table110[[#This Row],[FECHA /HORA]],TBL_CalcDarwin[],40,0)</f>
        <v>#N/A</v>
      </c>
      <c r="I95" s="53" t="e">
        <f>VLOOKUP(Table110[[#This Row],[FECHA /HORA]],TBL_CalcDarwin[],41,0)</f>
        <v>#N/A</v>
      </c>
      <c r="J95" s="53" t="e">
        <f>Table110[[#This Row],[MW Proyectada (Barra A)]]+Table110[[#This Row],[MW Proyectada (Barra B)]]</f>
        <v>#N/A</v>
      </c>
      <c r="L95" s="53" t="e">
        <f t="shared" si="3"/>
        <v>#N/A</v>
      </c>
      <c r="M95" s="53" t="e">
        <f>IF(Table110[[#This Row],[TOTAL MW]]&lt;165,Table110[[#This Row],[MW Proyectada (Barra A)]],Table110[[#This Row],[MW Proyectada (Barra A)]]*165/Table110[[#This Row],[TOTAL MW]])</f>
        <v>#N/A</v>
      </c>
      <c r="N95" s="53" t="e">
        <f>IF(Table110[[#This Row],[TOTAL MW]]&lt;165,Table110[[#This Row],[MW Proyectada (Barra B)]],Table110[[#This Row],[MW Proyectada (Barra B)]]*165/Table110[[#This Row],[TOTAL MW]])</f>
        <v>#N/A</v>
      </c>
      <c r="P95" s="90"/>
      <c r="Q95" s="90"/>
      <c r="R95" s="93"/>
      <c r="S95" s="93"/>
    </row>
    <row r="96" spans="2:19" x14ac:dyDescent="0.25">
      <c r="B96" s="91">
        <f t="shared" si="4"/>
        <v>45615.95833333311</v>
      </c>
      <c r="C96" s="52">
        <f t="shared" si="5"/>
        <v>3.9583333333333277</v>
      </c>
      <c r="D96" s="92">
        <f>Table110[[#This Row],[Fecha]]</f>
        <v>45615.95833333311</v>
      </c>
      <c r="E96" s="53" t="e">
        <f>VLOOKUP(Table110[[#This Row],[FECHA /HORA]],TBL_CalcDarwin[],7,0)</f>
        <v>#N/A</v>
      </c>
      <c r="F96" s="53" t="e">
        <f>VLOOKUP(Table110[[#This Row],[FECHA /HORA]],TBL_CalcDarwin[],42,0)</f>
        <v>#N/A</v>
      </c>
      <c r="G96" s="53" t="e">
        <f>VLOOKUP(Table110[[#This Row],[FECHA /HORA]],TBL_CalcDarwin[],43,0)</f>
        <v>#N/A</v>
      </c>
      <c r="H96" s="53" t="e">
        <f>VLOOKUP(Table110[[#This Row],[FECHA /HORA]],TBL_CalcDarwin[],40,0)</f>
        <v>#N/A</v>
      </c>
      <c r="I96" s="53" t="e">
        <f>VLOOKUP(Table110[[#This Row],[FECHA /HORA]],TBL_CalcDarwin[],41,0)</f>
        <v>#N/A</v>
      </c>
      <c r="J96" s="53" t="e">
        <f>Table110[[#This Row],[MW Proyectada (Barra A)]]+Table110[[#This Row],[MW Proyectada (Barra B)]]</f>
        <v>#N/A</v>
      </c>
      <c r="L96" s="53" t="e">
        <f t="shared" si="3"/>
        <v>#N/A</v>
      </c>
      <c r="M96" s="53" t="e">
        <f>IF(Table110[[#This Row],[TOTAL MW]]&lt;165,Table110[[#This Row],[MW Proyectada (Barra A)]],Table110[[#This Row],[MW Proyectada (Barra A)]]*165/Table110[[#This Row],[TOTAL MW]])</f>
        <v>#N/A</v>
      </c>
      <c r="N96" s="53" t="e">
        <f>IF(Table110[[#This Row],[TOTAL MW]]&lt;165,Table110[[#This Row],[MW Proyectada (Barra B)]],Table110[[#This Row],[MW Proyectada (Barra B)]]*165/Table110[[#This Row],[TOTAL MW]])</f>
        <v>#N/A</v>
      </c>
      <c r="P96" s="90"/>
      <c r="Q96" s="90"/>
      <c r="R96" s="93"/>
      <c r="S96" s="93"/>
    </row>
    <row r="97" spans="2:19" x14ac:dyDescent="0.25">
      <c r="B97" s="91">
        <f t="shared" si="4"/>
        <v>45615.999999999774</v>
      </c>
      <c r="C97" s="52">
        <f t="shared" si="5"/>
        <v>3.9999999999999942</v>
      </c>
      <c r="D97" s="92">
        <f>Table110[[#This Row],[Fecha]]</f>
        <v>45615.999999999774</v>
      </c>
      <c r="E97" s="53" t="e">
        <f>VLOOKUP(Table110[[#This Row],[FECHA /HORA]],TBL_CalcDarwin[],7,0)</f>
        <v>#N/A</v>
      </c>
      <c r="F97" s="53" t="e">
        <f>VLOOKUP(Table110[[#This Row],[FECHA /HORA]],TBL_CalcDarwin[],42,0)</f>
        <v>#N/A</v>
      </c>
      <c r="G97" s="53" t="e">
        <f>VLOOKUP(Table110[[#This Row],[FECHA /HORA]],TBL_CalcDarwin[],43,0)</f>
        <v>#N/A</v>
      </c>
      <c r="H97" s="53" t="e">
        <f>VLOOKUP(Table110[[#This Row],[FECHA /HORA]],TBL_CalcDarwin[],40,0)</f>
        <v>#N/A</v>
      </c>
      <c r="I97" s="53" t="e">
        <f>VLOOKUP(Table110[[#This Row],[FECHA /HORA]],TBL_CalcDarwin[],41,0)</f>
        <v>#N/A</v>
      </c>
      <c r="J97" s="53" t="e">
        <f>Table110[[#This Row],[MW Proyectada (Barra A)]]+Table110[[#This Row],[MW Proyectada (Barra B)]]</f>
        <v>#N/A</v>
      </c>
      <c r="L97" s="53" t="e">
        <f t="shared" si="3"/>
        <v>#N/A</v>
      </c>
      <c r="M97" s="53" t="e">
        <f>IF(Table110[[#This Row],[TOTAL MW]]&lt;165,Table110[[#This Row],[MW Proyectada (Barra A)]],Table110[[#This Row],[MW Proyectada (Barra A)]]*165/Table110[[#This Row],[TOTAL MW]])</f>
        <v>#N/A</v>
      </c>
      <c r="N97" s="53" t="e">
        <f>IF(Table110[[#This Row],[TOTAL MW]]&lt;165,Table110[[#This Row],[MW Proyectada (Barra B)]],Table110[[#This Row],[MW Proyectada (Barra B)]]*165/Table110[[#This Row],[TOTAL MW]])</f>
        <v>#N/A</v>
      </c>
      <c r="P97" s="90"/>
      <c r="Q97" s="90"/>
      <c r="R97" s="93"/>
      <c r="S97" s="93"/>
    </row>
    <row r="98" spans="2:19" x14ac:dyDescent="0.25">
      <c r="B98" s="91">
        <f t="shared" si="4"/>
        <v>45616.041666666439</v>
      </c>
      <c r="C98" s="52">
        <f t="shared" si="5"/>
        <v>4.0416666666666607</v>
      </c>
      <c r="D98" s="92">
        <f>Table110[[#This Row],[Fecha]]</f>
        <v>45616.041666666439</v>
      </c>
      <c r="E98" s="53" t="e">
        <f>VLOOKUP(Table110[[#This Row],[FECHA /HORA]],TBL_CalcDarwin[],7,0)</f>
        <v>#N/A</v>
      </c>
      <c r="F98" s="53" t="e">
        <f>VLOOKUP(Table110[[#This Row],[FECHA /HORA]],TBL_CalcDarwin[],42,0)</f>
        <v>#N/A</v>
      </c>
      <c r="G98" s="53" t="e">
        <f>VLOOKUP(Table110[[#This Row],[FECHA /HORA]],TBL_CalcDarwin[],43,0)</f>
        <v>#N/A</v>
      </c>
      <c r="H98" s="53" t="e">
        <f>VLOOKUP(Table110[[#This Row],[FECHA /HORA]],TBL_CalcDarwin[],40,0)</f>
        <v>#N/A</v>
      </c>
      <c r="I98" s="53" t="e">
        <f>VLOOKUP(Table110[[#This Row],[FECHA /HORA]],TBL_CalcDarwin[],41,0)</f>
        <v>#N/A</v>
      </c>
      <c r="J98" s="53" t="e">
        <f>Table110[[#This Row],[MW Proyectada (Barra A)]]+Table110[[#This Row],[MW Proyectada (Barra B)]]</f>
        <v>#N/A</v>
      </c>
      <c r="L98" s="53" t="e">
        <f t="shared" si="3"/>
        <v>#N/A</v>
      </c>
      <c r="M98" s="53" t="e">
        <f>IF(Table110[[#This Row],[TOTAL MW]]&lt;165,Table110[[#This Row],[MW Proyectada (Barra A)]],Table110[[#This Row],[MW Proyectada (Barra A)]]*165/Table110[[#This Row],[TOTAL MW]])</f>
        <v>#N/A</v>
      </c>
      <c r="N98" s="53" t="e">
        <f>IF(Table110[[#This Row],[TOTAL MW]]&lt;165,Table110[[#This Row],[MW Proyectada (Barra B)]],Table110[[#This Row],[MW Proyectada (Barra B)]]*165/Table110[[#This Row],[TOTAL MW]])</f>
        <v>#N/A</v>
      </c>
      <c r="P98" s="90"/>
      <c r="Q98" s="90"/>
      <c r="R98" s="93"/>
      <c r="S98" s="93"/>
    </row>
    <row r="99" spans="2:19" x14ac:dyDescent="0.25">
      <c r="B99" s="91">
        <f t="shared" si="4"/>
        <v>45616.083333333103</v>
      </c>
      <c r="C99" s="52">
        <f t="shared" si="5"/>
        <v>4.0833333333333277</v>
      </c>
      <c r="D99" s="92">
        <f>Table110[[#This Row],[Fecha]]</f>
        <v>45616.083333333103</v>
      </c>
      <c r="E99" s="53" t="e">
        <f>VLOOKUP(Table110[[#This Row],[FECHA /HORA]],TBL_CalcDarwin[],7,0)</f>
        <v>#N/A</v>
      </c>
      <c r="F99" s="53" t="e">
        <f>VLOOKUP(Table110[[#This Row],[FECHA /HORA]],TBL_CalcDarwin[],42,0)</f>
        <v>#N/A</v>
      </c>
      <c r="G99" s="53" t="e">
        <f>VLOOKUP(Table110[[#This Row],[FECHA /HORA]],TBL_CalcDarwin[],43,0)</f>
        <v>#N/A</v>
      </c>
      <c r="H99" s="53" t="e">
        <f>VLOOKUP(Table110[[#This Row],[FECHA /HORA]],TBL_CalcDarwin[],40,0)</f>
        <v>#N/A</v>
      </c>
      <c r="I99" s="53" t="e">
        <f>VLOOKUP(Table110[[#This Row],[FECHA /HORA]],TBL_CalcDarwin[],41,0)</f>
        <v>#N/A</v>
      </c>
      <c r="J99" s="53" t="e">
        <f>Table110[[#This Row],[MW Proyectada (Barra A)]]+Table110[[#This Row],[MW Proyectada (Barra B)]]</f>
        <v>#N/A</v>
      </c>
      <c r="L99" s="53" t="e">
        <f t="shared" si="3"/>
        <v>#N/A</v>
      </c>
      <c r="M99" s="53" t="e">
        <f>IF(Table110[[#This Row],[TOTAL MW]]&lt;165,Table110[[#This Row],[MW Proyectada (Barra A)]],Table110[[#This Row],[MW Proyectada (Barra A)]]*165/Table110[[#This Row],[TOTAL MW]])</f>
        <v>#N/A</v>
      </c>
      <c r="N99" s="53" t="e">
        <f>IF(Table110[[#This Row],[TOTAL MW]]&lt;165,Table110[[#This Row],[MW Proyectada (Barra B)]],Table110[[#This Row],[MW Proyectada (Barra B)]]*165/Table110[[#This Row],[TOTAL MW]])</f>
        <v>#N/A</v>
      </c>
      <c r="P99" s="90"/>
      <c r="Q99" s="90"/>
      <c r="R99" s="93"/>
      <c r="S99" s="93"/>
    </row>
    <row r="100" spans="2:19" x14ac:dyDescent="0.25">
      <c r="B100" s="91">
        <f t="shared" si="4"/>
        <v>45616.124999999767</v>
      </c>
      <c r="C100" s="52">
        <f t="shared" si="5"/>
        <v>4.1249999999999947</v>
      </c>
      <c r="D100" s="92">
        <f>Table110[[#This Row],[Fecha]]</f>
        <v>45616.124999999767</v>
      </c>
      <c r="E100" s="53" t="e">
        <f>VLOOKUP(Table110[[#This Row],[FECHA /HORA]],TBL_CalcDarwin[],7,0)</f>
        <v>#N/A</v>
      </c>
      <c r="F100" s="53" t="e">
        <f>VLOOKUP(Table110[[#This Row],[FECHA /HORA]],TBL_CalcDarwin[],42,0)</f>
        <v>#N/A</v>
      </c>
      <c r="G100" s="53" t="e">
        <f>VLOOKUP(Table110[[#This Row],[FECHA /HORA]],TBL_CalcDarwin[],43,0)</f>
        <v>#N/A</v>
      </c>
      <c r="H100" s="53" t="e">
        <f>VLOOKUP(Table110[[#This Row],[FECHA /HORA]],TBL_CalcDarwin[],40,0)</f>
        <v>#N/A</v>
      </c>
      <c r="I100" s="53" t="e">
        <f>VLOOKUP(Table110[[#This Row],[FECHA /HORA]],TBL_CalcDarwin[],41,0)</f>
        <v>#N/A</v>
      </c>
      <c r="J100" s="53" t="e">
        <f>Table110[[#This Row],[MW Proyectada (Barra A)]]+Table110[[#This Row],[MW Proyectada (Barra B)]]</f>
        <v>#N/A</v>
      </c>
      <c r="L100" s="53" t="e">
        <f t="shared" si="3"/>
        <v>#N/A</v>
      </c>
      <c r="M100" s="53" t="e">
        <f>IF(Table110[[#This Row],[TOTAL MW]]&lt;165,Table110[[#This Row],[MW Proyectada (Barra A)]],Table110[[#This Row],[MW Proyectada (Barra A)]]*165/Table110[[#This Row],[TOTAL MW]])</f>
        <v>#N/A</v>
      </c>
      <c r="N100" s="53" t="e">
        <f>IF(Table110[[#This Row],[TOTAL MW]]&lt;165,Table110[[#This Row],[MW Proyectada (Barra B)]],Table110[[#This Row],[MW Proyectada (Barra B)]]*165/Table110[[#This Row],[TOTAL MW]])</f>
        <v>#N/A</v>
      </c>
      <c r="P100" s="90"/>
      <c r="Q100" s="90"/>
      <c r="R100" s="93"/>
      <c r="S100" s="93"/>
    </row>
    <row r="101" spans="2:19" x14ac:dyDescent="0.25">
      <c r="B101" s="91">
        <f t="shared" si="4"/>
        <v>45616.166666666431</v>
      </c>
      <c r="C101" s="52">
        <f t="shared" si="5"/>
        <v>4.1666666666666616</v>
      </c>
      <c r="D101" s="92">
        <f>Table110[[#This Row],[Fecha]]</f>
        <v>45616.166666666431</v>
      </c>
      <c r="E101" s="53" t="e">
        <f>VLOOKUP(Table110[[#This Row],[FECHA /HORA]],TBL_CalcDarwin[],7,0)</f>
        <v>#N/A</v>
      </c>
      <c r="F101" s="53" t="e">
        <f>VLOOKUP(Table110[[#This Row],[FECHA /HORA]],TBL_CalcDarwin[],42,0)</f>
        <v>#N/A</v>
      </c>
      <c r="G101" s="53" t="e">
        <f>VLOOKUP(Table110[[#This Row],[FECHA /HORA]],TBL_CalcDarwin[],43,0)</f>
        <v>#N/A</v>
      </c>
      <c r="H101" s="53" t="e">
        <f>VLOOKUP(Table110[[#This Row],[FECHA /HORA]],TBL_CalcDarwin[],40,0)</f>
        <v>#N/A</v>
      </c>
      <c r="I101" s="53" t="e">
        <f>VLOOKUP(Table110[[#This Row],[FECHA /HORA]],TBL_CalcDarwin[],41,0)</f>
        <v>#N/A</v>
      </c>
      <c r="J101" s="53" t="e">
        <f>Table110[[#This Row],[MW Proyectada (Barra A)]]+Table110[[#This Row],[MW Proyectada (Barra B)]]</f>
        <v>#N/A</v>
      </c>
      <c r="L101" s="53" t="e">
        <f t="shared" si="3"/>
        <v>#N/A</v>
      </c>
      <c r="M101" s="53" t="e">
        <f>IF(Table110[[#This Row],[TOTAL MW]]&lt;165,Table110[[#This Row],[MW Proyectada (Barra A)]],Table110[[#This Row],[MW Proyectada (Barra A)]]*165/Table110[[#This Row],[TOTAL MW]])</f>
        <v>#N/A</v>
      </c>
      <c r="N101" s="53" t="e">
        <f>IF(Table110[[#This Row],[TOTAL MW]]&lt;165,Table110[[#This Row],[MW Proyectada (Barra B)]],Table110[[#This Row],[MW Proyectada (Barra B)]]*165/Table110[[#This Row],[TOTAL MW]])</f>
        <v>#N/A</v>
      </c>
      <c r="P101" s="90"/>
      <c r="Q101" s="90"/>
      <c r="R101" s="93"/>
      <c r="S101" s="93"/>
    </row>
    <row r="102" spans="2:19" x14ac:dyDescent="0.25">
      <c r="B102" s="91">
        <f t="shared" si="4"/>
        <v>45616.208333333096</v>
      </c>
      <c r="C102" s="52">
        <f t="shared" si="5"/>
        <v>4.2083333333333286</v>
      </c>
      <c r="D102" s="92">
        <f>Table110[[#This Row],[Fecha]]</f>
        <v>45616.208333333096</v>
      </c>
      <c r="E102" s="53" t="e">
        <f>VLOOKUP(Table110[[#This Row],[FECHA /HORA]],TBL_CalcDarwin[],7,0)</f>
        <v>#N/A</v>
      </c>
      <c r="F102" s="53" t="e">
        <f>VLOOKUP(Table110[[#This Row],[FECHA /HORA]],TBL_CalcDarwin[],42,0)</f>
        <v>#N/A</v>
      </c>
      <c r="G102" s="53" t="e">
        <f>VLOOKUP(Table110[[#This Row],[FECHA /HORA]],TBL_CalcDarwin[],43,0)</f>
        <v>#N/A</v>
      </c>
      <c r="H102" s="53" t="e">
        <f>VLOOKUP(Table110[[#This Row],[FECHA /HORA]],TBL_CalcDarwin[],40,0)</f>
        <v>#N/A</v>
      </c>
      <c r="I102" s="53" t="e">
        <f>VLOOKUP(Table110[[#This Row],[FECHA /HORA]],TBL_CalcDarwin[],41,0)</f>
        <v>#N/A</v>
      </c>
      <c r="J102" s="53" t="e">
        <f>Table110[[#This Row],[MW Proyectada (Barra A)]]+Table110[[#This Row],[MW Proyectada (Barra B)]]</f>
        <v>#N/A</v>
      </c>
      <c r="L102" s="53" t="e">
        <f t="shared" si="3"/>
        <v>#N/A</v>
      </c>
      <c r="M102" s="53" t="e">
        <f>IF(Table110[[#This Row],[TOTAL MW]]&lt;165,Table110[[#This Row],[MW Proyectada (Barra A)]],Table110[[#This Row],[MW Proyectada (Barra A)]]*165/Table110[[#This Row],[TOTAL MW]])</f>
        <v>#N/A</v>
      </c>
      <c r="N102" s="53" t="e">
        <f>IF(Table110[[#This Row],[TOTAL MW]]&lt;165,Table110[[#This Row],[MW Proyectada (Barra B)]],Table110[[#This Row],[MW Proyectada (Barra B)]]*165/Table110[[#This Row],[TOTAL MW]])</f>
        <v>#N/A</v>
      </c>
      <c r="P102" s="90"/>
      <c r="Q102" s="90"/>
      <c r="R102" s="93"/>
      <c r="S102" s="93"/>
    </row>
    <row r="103" spans="2:19" x14ac:dyDescent="0.25">
      <c r="B103" s="91">
        <f t="shared" si="4"/>
        <v>45616.24999999976</v>
      </c>
      <c r="C103" s="52">
        <f t="shared" si="5"/>
        <v>4.2499999999999956</v>
      </c>
      <c r="D103" s="92">
        <f>Table110[[#This Row],[Fecha]]</f>
        <v>45616.24999999976</v>
      </c>
      <c r="E103" s="53" t="e">
        <f>VLOOKUP(Table110[[#This Row],[FECHA /HORA]],TBL_CalcDarwin[],7,0)</f>
        <v>#N/A</v>
      </c>
      <c r="F103" s="53" t="e">
        <f>VLOOKUP(Table110[[#This Row],[FECHA /HORA]],TBL_CalcDarwin[],42,0)</f>
        <v>#N/A</v>
      </c>
      <c r="G103" s="53" t="e">
        <f>VLOOKUP(Table110[[#This Row],[FECHA /HORA]],TBL_CalcDarwin[],43,0)</f>
        <v>#N/A</v>
      </c>
      <c r="H103" s="53" t="e">
        <f>VLOOKUP(Table110[[#This Row],[FECHA /HORA]],TBL_CalcDarwin[],40,0)</f>
        <v>#N/A</v>
      </c>
      <c r="I103" s="53" t="e">
        <f>VLOOKUP(Table110[[#This Row],[FECHA /HORA]],TBL_CalcDarwin[],41,0)</f>
        <v>#N/A</v>
      </c>
      <c r="J103" s="53" t="e">
        <f>Table110[[#This Row],[MW Proyectada (Barra A)]]+Table110[[#This Row],[MW Proyectada (Barra B)]]</f>
        <v>#N/A</v>
      </c>
      <c r="L103" s="53" t="e">
        <f t="shared" si="3"/>
        <v>#N/A</v>
      </c>
      <c r="M103" s="53" t="e">
        <f>IF(Table110[[#This Row],[TOTAL MW]]&lt;165,Table110[[#This Row],[MW Proyectada (Barra A)]],Table110[[#This Row],[MW Proyectada (Barra A)]]*165/Table110[[#This Row],[TOTAL MW]])</f>
        <v>#N/A</v>
      </c>
      <c r="N103" s="53" t="e">
        <f>IF(Table110[[#This Row],[TOTAL MW]]&lt;165,Table110[[#This Row],[MW Proyectada (Barra B)]],Table110[[#This Row],[MW Proyectada (Barra B)]]*165/Table110[[#This Row],[TOTAL MW]])</f>
        <v>#N/A</v>
      </c>
      <c r="P103" s="90"/>
      <c r="Q103" s="90"/>
      <c r="R103" s="93"/>
      <c r="S103" s="93"/>
    </row>
    <row r="104" spans="2:19" x14ac:dyDescent="0.25">
      <c r="B104" s="91">
        <f t="shared" si="4"/>
        <v>45616.291666666424</v>
      </c>
      <c r="C104" s="52">
        <f t="shared" si="5"/>
        <v>4.2916666666666625</v>
      </c>
      <c r="D104" s="92">
        <f>Table110[[#This Row],[Fecha]]</f>
        <v>45616.291666666424</v>
      </c>
      <c r="E104" s="53" t="e">
        <f>VLOOKUP(Table110[[#This Row],[FECHA /HORA]],TBL_CalcDarwin[],7,0)</f>
        <v>#N/A</v>
      </c>
      <c r="F104" s="53" t="e">
        <f>VLOOKUP(Table110[[#This Row],[FECHA /HORA]],TBL_CalcDarwin[],42,0)</f>
        <v>#N/A</v>
      </c>
      <c r="G104" s="53" t="e">
        <f>VLOOKUP(Table110[[#This Row],[FECHA /HORA]],TBL_CalcDarwin[],43,0)</f>
        <v>#N/A</v>
      </c>
      <c r="H104" s="53" t="e">
        <f>VLOOKUP(Table110[[#This Row],[FECHA /HORA]],TBL_CalcDarwin[],40,0)</f>
        <v>#N/A</v>
      </c>
      <c r="I104" s="53" t="e">
        <f>VLOOKUP(Table110[[#This Row],[FECHA /HORA]],TBL_CalcDarwin[],41,0)</f>
        <v>#N/A</v>
      </c>
      <c r="J104" s="53" t="e">
        <f>Table110[[#This Row],[MW Proyectada (Barra A)]]+Table110[[#This Row],[MW Proyectada (Barra B)]]</f>
        <v>#N/A</v>
      </c>
      <c r="L104" s="53" t="e">
        <f t="shared" si="3"/>
        <v>#N/A</v>
      </c>
      <c r="M104" s="53" t="e">
        <f>IF(Table110[[#This Row],[TOTAL MW]]&lt;165,Table110[[#This Row],[MW Proyectada (Barra A)]],Table110[[#This Row],[MW Proyectada (Barra A)]]*165/Table110[[#This Row],[TOTAL MW]])</f>
        <v>#N/A</v>
      </c>
      <c r="N104" s="53" t="e">
        <f>IF(Table110[[#This Row],[TOTAL MW]]&lt;165,Table110[[#This Row],[MW Proyectada (Barra B)]],Table110[[#This Row],[MW Proyectada (Barra B)]]*165/Table110[[#This Row],[TOTAL MW]])</f>
        <v>#N/A</v>
      </c>
      <c r="P104" s="90"/>
      <c r="Q104" s="90"/>
      <c r="R104" s="93"/>
      <c r="S104" s="93"/>
    </row>
    <row r="105" spans="2:19" x14ac:dyDescent="0.25">
      <c r="B105" s="91">
        <f t="shared" si="4"/>
        <v>45616.333333333088</v>
      </c>
      <c r="C105" s="52">
        <f t="shared" si="5"/>
        <v>4.3333333333333295</v>
      </c>
      <c r="D105" s="92">
        <f>Table110[[#This Row],[Fecha]]</f>
        <v>45616.333333333088</v>
      </c>
      <c r="E105" s="53" t="e">
        <f>VLOOKUP(Table110[[#This Row],[FECHA /HORA]],TBL_CalcDarwin[],7,0)</f>
        <v>#N/A</v>
      </c>
      <c r="F105" s="53" t="e">
        <f>VLOOKUP(Table110[[#This Row],[FECHA /HORA]],TBL_CalcDarwin[],42,0)</f>
        <v>#N/A</v>
      </c>
      <c r="G105" s="53" t="e">
        <f>VLOOKUP(Table110[[#This Row],[FECHA /HORA]],TBL_CalcDarwin[],43,0)</f>
        <v>#N/A</v>
      </c>
      <c r="H105" s="53" t="e">
        <f>VLOOKUP(Table110[[#This Row],[FECHA /HORA]],TBL_CalcDarwin[],40,0)</f>
        <v>#N/A</v>
      </c>
      <c r="I105" s="53" t="e">
        <f>VLOOKUP(Table110[[#This Row],[FECHA /HORA]],TBL_CalcDarwin[],41,0)</f>
        <v>#N/A</v>
      </c>
      <c r="J105" s="53" t="e">
        <f>Table110[[#This Row],[MW Proyectada (Barra A)]]+Table110[[#This Row],[MW Proyectada (Barra B)]]</f>
        <v>#N/A</v>
      </c>
      <c r="L105" s="53" t="e">
        <f t="shared" si="3"/>
        <v>#N/A</v>
      </c>
      <c r="M105" s="53" t="e">
        <f>IF(Table110[[#This Row],[TOTAL MW]]&lt;165,Table110[[#This Row],[MW Proyectada (Barra A)]],Table110[[#This Row],[MW Proyectada (Barra A)]]*165/Table110[[#This Row],[TOTAL MW]])</f>
        <v>#N/A</v>
      </c>
      <c r="N105" s="53" t="e">
        <f>IF(Table110[[#This Row],[TOTAL MW]]&lt;165,Table110[[#This Row],[MW Proyectada (Barra B)]],Table110[[#This Row],[MW Proyectada (Barra B)]]*165/Table110[[#This Row],[TOTAL MW]])</f>
        <v>#N/A</v>
      </c>
      <c r="P105" s="90"/>
      <c r="Q105" s="90"/>
      <c r="R105" s="93"/>
      <c r="S105" s="93"/>
    </row>
    <row r="106" spans="2:19" x14ac:dyDescent="0.25">
      <c r="B106" s="91">
        <f t="shared" si="4"/>
        <v>45616.374999999753</v>
      </c>
      <c r="C106" s="52">
        <f t="shared" si="5"/>
        <v>4.3749999999999964</v>
      </c>
      <c r="D106" s="92">
        <f>Table110[[#This Row],[Fecha]]</f>
        <v>45616.374999999753</v>
      </c>
      <c r="E106" s="53" t="e">
        <f>VLOOKUP(Table110[[#This Row],[FECHA /HORA]],TBL_CalcDarwin[],7,0)</f>
        <v>#N/A</v>
      </c>
      <c r="F106" s="53" t="e">
        <f>VLOOKUP(Table110[[#This Row],[FECHA /HORA]],TBL_CalcDarwin[],42,0)</f>
        <v>#N/A</v>
      </c>
      <c r="G106" s="53" t="e">
        <f>VLOOKUP(Table110[[#This Row],[FECHA /HORA]],TBL_CalcDarwin[],43,0)</f>
        <v>#N/A</v>
      </c>
      <c r="H106" s="53" t="e">
        <f>VLOOKUP(Table110[[#This Row],[FECHA /HORA]],TBL_CalcDarwin[],40,0)</f>
        <v>#N/A</v>
      </c>
      <c r="I106" s="53" t="e">
        <f>VLOOKUP(Table110[[#This Row],[FECHA /HORA]],TBL_CalcDarwin[],41,0)</f>
        <v>#N/A</v>
      </c>
      <c r="J106" s="53" t="e">
        <f>Table110[[#This Row],[MW Proyectada (Barra A)]]+Table110[[#This Row],[MW Proyectada (Barra B)]]</f>
        <v>#N/A</v>
      </c>
      <c r="L106" s="53" t="e">
        <f t="shared" si="3"/>
        <v>#N/A</v>
      </c>
      <c r="M106" s="53" t="e">
        <f>IF(Table110[[#This Row],[TOTAL MW]]&lt;165,Table110[[#This Row],[MW Proyectada (Barra A)]],Table110[[#This Row],[MW Proyectada (Barra A)]]*165/Table110[[#This Row],[TOTAL MW]])</f>
        <v>#N/A</v>
      </c>
      <c r="N106" s="53" t="e">
        <f>IF(Table110[[#This Row],[TOTAL MW]]&lt;165,Table110[[#This Row],[MW Proyectada (Barra B)]],Table110[[#This Row],[MW Proyectada (Barra B)]]*165/Table110[[#This Row],[TOTAL MW]])</f>
        <v>#N/A</v>
      </c>
      <c r="P106" s="90"/>
      <c r="Q106" s="90"/>
      <c r="R106" s="93"/>
      <c r="S106" s="93"/>
    </row>
    <row r="107" spans="2:19" x14ac:dyDescent="0.25">
      <c r="B107" s="91">
        <f t="shared" si="4"/>
        <v>45616.416666666417</v>
      </c>
      <c r="C107" s="52">
        <f t="shared" si="5"/>
        <v>4.4166666666666634</v>
      </c>
      <c r="D107" s="92">
        <f>Table110[[#This Row],[Fecha]]</f>
        <v>45616.416666666417</v>
      </c>
      <c r="E107" s="53" t="e">
        <f>VLOOKUP(Table110[[#This Row],[FECHA /HORA]],TBL_CalcDarwin[],7,0)</f>
        <v>#N/A</v>
      </c>
      <c r="F107" s="53" t="e">
        <f>VLOOKUP(Table110[[#This Row],[FECHA /HORA]],TBL_CalcDarwin[],42,0)</f>
        <v>#N/A</v>
      </c>
      <c r="G107" s="53" t="e">
        <f>VLOOKUP(Table110[[#This Row],[FECHA /HORA]],TBL_CalcDarwin[],43,0)</f>
        <v>#N/A</v>
      </c>
      <c r="H107" s="53" t="e">
        <f>VLOOKUP(Table110[[#This Row],[FECHA /HORA]],TBL_CalcDarwin[],40,0)</f>
        <v>#N/A</v>
      </c>
      <c r="I107" s="53" t="e">
        <f>VLOOKUP(Table110[[#This Row],[FECHA /HORA]],TBL_CalcDarwin[],41,0)</f>
        <v>#N/A</v>
      </c>
      <c r="J107" s="53" t="e">
        <f>Table110[[#This Row],[MW Proyectada (Barra A)]]+Table110[[#This Row],[MW Proyectada (Barra B)]]</f>
        <v>#N/A</v>
      </c>
      <c r="L107" s="53" t="e">
        <f t="shared" si="3"/>
        <v>#N/A</v>
      </c>
      <c r="M107" s="53" t="e">
        <f>IF(Table110[[#This Row],[TOTAL MW]]&lt;165,Table110[[#This Row],[MW Proyectada (Barra A)]],Table110[[#This Row],[MW Proyectada (Barra A)]]*165/Table110[[#This Row],[TOTAL MW]])</f>
        <v>#N/A</v>
      </c>
      <c r="N107" s="53" t="e">
        <f>IF(Table110[[#This Row],[TOTAL MW]]&lt;165,Table110[[#This Row],[MW Proyectada (Barra B)]],Table110[[#This Row],[MW Proyectada (Barra B)]]*165/Table110[[#This Row],[TOTAL MW]])</f>
        <v>#N/A</v>
      </c>
      <c r="P107" s="90"/>
      <c r="Q107" s="90"/>
      <c r="R107" s="93"/>
      <c r="S107" s="93"/>
    </row>
    <row r="108" spans="2:19" x14ac:dyDescent="0.25">
      <c r="B108" s="91">
        <f t="shared" si="4"/>
        <v>45616.458333333081</v>
      </c>
      <c r="C108" s="52">
        <f t="shared" si="5"/>
        <v>4.4583333333333304</v>
      </c>
      <c r="D108" s="92">
        <f>Table110[[#This Row],[Fecha]]</f>
        <v>45616.458333333081</v>
      </c>
      <c r="E108" s="53" t="e">
        <f>VLOOKUP(Table110[[#This Row],[FECHA /HORA]],TBL_CalcDarwin[],7,0)</f>
        <v>#N/A</v>
      </c>
      <c r="F108" s="53" t="e">
        <f>VLOOKUP(Table110[[#This Row],[FECHA /HORA]],TBL_CalcDarwin[],42,0)</f>
        <v>#N/A</v>
      </c>
      <c r="G108" s="53" t="e">
        <f>VLOOKUP(Table110[[#This Row],[FECHA /HORA]],TBL_CalcDarwin[],43,0)</f>
        <v>#N/A</v>
      </c>
      <c r="H108" s="53" t="e">
        <f>VLOOKUP(Table110[[#This Row],[FECHA /HORA]],TBL_CalcDarwin[],40,0)</f>
        <v>#N/A</v>
      </c>
      <c r="I108" s="53" t="e">
        <f>VLOOKUP(Table110[[#This Row],[FECHA /HORA]],TBL_CalcDarwin[],41,0)</f>
        <v>#N/A</v>
      </c>
      <c r="J108" s="53" t="e">
        <f>Table110[[#This Row],[MW Proyectada (Barra A)]]+Table110[[#This Row],[MW Proyectada (Barra B)]]</f>
        <v>#N/A</v>
      </c>
      <c r="L108" s="53" t="e">
        <f t="shared" si="3"/>
        <v>#N/A</v>
      </c>
      <c r="M108" s="53" t="e">
        <f>IF(Table110[[#This Row],[TOTAL MW]]&lt;165,Table110[[#This Row],[MW Proyectada (Barra A)]],Table110[[#This Row],[MW Proyectada (Barra A)]]*165/Table110[[#This Row],[TOTAL MW]])</f>
        <v>#N/A</v>
      </c>
      <c r="N108" s="53" t="e">
        <f>IF(Table110[[#This Row],[TOTAL MW]]&lt;165,Table110[[#This Row],[MW Proyectada (Barra B)]],Table110[[#This Row],[MW Proyectada (Barra B)]]*165/Table110[[#This Row],[TOTAL MW]])</f>
        <v>#N/A</v>
      </c>
      <c r="P108" s="90"/>
      <c r="Q108" s="90"/>
      <c r="R108" s="93"/>
      <c r="S108" s="93"/>
    </row>
    <row r="109" spans="2:19" x14ac:dyDescent="0.25">
      <c r="B109" s="91">
        <f t="shared" si="4"/>
        <v>45616.499999999745</v>
      </c>
      <c r="C109" s="52">
        <f t="shared" si="5"/>
        <v>4.4999999999999973</v>
      </c>
      <c r="D109" s="92">
        <f>Table110[[#This Row],[Fecha]]</f>
        <v>45616.499999999745</v>
      </c>
      <c r="E109" s="53" t="e">
        <f>VLOOKUP(Table110[[#This Row],[FECHA /HORA]],TBL_CalcDarwin[],7,0)</f>
        <v>#N/A</v>
      </c>
      <c r="F109" s="53" t="e">
        <f>VLOOKUP(Table110[[#This Row],[FECHA /HORA]],TBL_CalcDarwin[],42,0)</f>
        <v>#N/A</v>
      </c>
      <c r="G109" s="53" t="e">
        <f>VLOOKUP(Table110[[#This Row],[FECHA /HORA]],TBL_CalcDarwin[],43,0)</f>
        <v>#N/A</v>
      </c>
      <c r="H109" s="53" t="e">
        <f>VLOOKUP(Table110[[#This Row],[FECHA /HORA]],TBL_CalcDarwin[],40,0)</f>
        <v>#N/A</v>
      </c>
      <c r="I109" s="53" t="e">
        <f>VLOOKUP(Table110[[#This Row],[FECHA /HORA]],TBL_CalcDarwin[],41,0)</f>
        <v>#N/A</v>
      </c>
      <c r="J109" s="53" t="e">
        <f>Table110[[#This Row],[MW Proyectada (Barra A)]]+Table110[[#This Row],[MW Proyectada (Barra B)]]</f>
        <v>#N/A</v>
      </c>
      <c r="L109" s="53" t="e">
        <f t="shared" si="3"/>
        <v>#N/A</v>
      </c>
      <c r="M109" s="53" t="e">
        <f>IF(Table110[[#This Row],[TOTAL MW]]&lt;165,Table110[[#This Row],[MW Proyectada (Barra A)]],Table110[[#This Row],[MW Proyectada (Barra A)]]*165/Table110[[#This Row],[TOTAL MW]])</f>
        <v>#N/A</v>
      </c>
      <c r="N109" s="53" t="e">
        <f>IF(Table110[[#This Row],[TOTAL MW]]&lt;165,Table110[[#This Row],[MW Proyectada (Barra B)]],Table110[[#This Row],[MW Proyectada (Barra B)]]*165/Table110[[#This Row],[TOTAL MW]])</f>
        <v>#N/A</v>
      </c>
      <c r="P109" s="90"/>
      <c r="Q109" s="90"/>
      <c r="R109" s="93"/>
      <c r="S109" s="93"/>
    </row>
    <row r="110" spans="2:19" x14ac:dyDescent="0.25">
      <c r="B110" s="91">
        <f t="shared" si="4"/>
        <v>45616.54166666641</v>
      </c>
      <c r="C110" s="52">
        <f t="shared" si="5"/>
        <v>4.5416666666666643</v>
      </c>
      <c r="D110" s="92">
        <f>Table110[[#This Row],[Fecha]]</f>
        <v>45616.54166666641</v>
      </c>
      <c r="E110" s="53" t="e">
        <f>VLOOKUP(Table110[[#This Row],[FECHA /HORA]],TBL_CalcDarwin[],7,0)</f>
        <v>#N/A</v>
      </c>
      <c r="F110" s="53" t="e">
        <f>VLOOKUP(Table110[[#This Row],[FECHA /HORA]],TBL_CalcDarwin[],42,0)</f>
        <v>#N/A</v>
      </c>
      <c r="G110" s="53" t="e">
        <f>VLOOKUP(Table110[[#This Row],[FECHA /HORA]],TBL_CalcDarwin[],43,0)</f>
        <v>#N/A</v>
      </c>
      <c r="H110" s="53" t="e">
        <f>VLOOKUP(Table110[[#This Row],[FECHA /HORA]],TBL_CalcDarwin[],40,0)</f>
        <v>#N/A</v>
      </c>
      <c r="I110" s="53" t="e">
        <f>VLOOKUP(Table110[[#This Row],[FECHA /HORA]],TBL_CalcDarwin[],41,0)</f>
        <v>#N/A</v>
      </c>
      <c r="J110" s="53" t="e">
        <f>Table110[[#This Row],[MW Proyectada (Barra A)]]+Table110[[#This Row],[MW Proyectada (Barra B)]]</f>
        <v>#N/A</v>
      </c>
      <c r="L110" s="53" t="e">
        <f t="shared" si="3"/>
        <v>#N/A</v>
      </c>
      <c r="M110" s="53" t="e">
        <f>IF(Table110[[#This Row],[TOTAL MW]]&lt;165,Table110[[#This Row],[MW Proyectada (Barra A)]],Table110[[#This Row],[MW Proyectada (Barra A)]]*165/Table110[[#This Row],[TOTAL MW]])</f>
        <v>#N/A</v>
      </c>
      <c r="N110" s="53" t="e">
        <f>IF(Table110[[#This Row],[TOTAL MW]]&lt;165,Table110[[#This Row],[MW Proyectada (Barra B)]],Table110[[#This Row],[MW Proyectada (Barra B)]]*165/Table110[[#This Row],[TOTAL MW]])</f>
        <v>#N/A</v>
      </c>
      <c r="P110" s="90"/>
      <c r="Q110" s="90"/>
      <c r="R110" s="93"/>
      <c r="S110" s="93"/>
    </row>
    <row r="111" spans="2:19" x14ac:dyDescent="0.25">
      <c r="B111" s="91">
        <f t="shared" si="4"/>
        <v>45616.583333333074</v>
      </c>
      <c r="C111" s="52">
        <f t="shared" si="5"/>
        <v>4.5833333333333313</v>
      </c>
      <c r="D111" s="92">
        <f>Table110[[#This Row],[Fecha]]</f>
        <v>45616.583333333074</v>
      </c>
      <c r="E111" s="53" t="e">
        <f>VLOOKUP(Table110[[#This Row],[FECHA /HORA]],TBL_CalcDarwin[],7,0)</f>
        <v>#N/A</v>
      </c>
      <c r="F111" s="53" t="e">
        <f>VLOOKUP(Table110[[#This Row],[FECHA /HORA]],TBL_CalcDarwin[],42,0)</f>
        <v>#N/A</v>
      </c>
      <c r="G111" s="53" t="e">
        <f>VLOOKUP(Table110[[#This Row],[FECHA /HORA]],TBL_CalcDarwin[],43,0)</f>
        <v>#N/A</v>
      </c>
      <c r="H111" s="53" t="e">
        <f>VLOOKUP(Table110[[#This Row],[FECHA /HORA]],TBL_CalcDarwin[],40,0)</f>
        <v>#N/A</v>
      </c>
      <c r="I111" s="53" t="e">
        <f>VLOOKUP(Table110[[#This Row],[FECHA /HORA]],TBL_CalcDarwin[],41,0)</f>
        <v>#N/A</v>
      </c>
      <c r="J111" s="53" t="e">
        <f>Table110[[#This Row],[MW Proyectada (Barra A)]]+Table110[[#This Row],[MW Proyectada (Barra B)]]</f>
        <v>#N/A</v>
      </c>
      <c r="L111" s="53" t="e">
        <f t="shared" si="3"/>
        <v>#N/A</v>
      </c>
      <c r="M111" s="53" t="e">
        <f>IF(Table110[[#This Row],[TOTAL MW]]&lt;165,Table110[[#This Row],[MW Proyectada (Barra A)]],Table110[[#This Row],[MW Proyectada (Barra A)]]*165/Table110[[#This Row],[TOTAL MW]])</f>
        <v>#N/A</v>
      </c>
      <c r="N111" s="53" t="e">
        <f>IF(Table110[[#This Row],[TOTAL MW]]&lt;165,Table110[[#This Row],[MW Proyectada (Barra B)]],Table110[[#This Row],[MW Proyectada (Barra B)]]*165/Table110[[#This Row],[TOTAL MW]])</f>
        <v>#N/A</v>
      </c>
      <c r="P111" s="90"/>
      <c r="Q111" s="90"/>
      <c r="R111" s="93"/>
      <c r="S111" s="93"/>
    </row>
    <row r="112" spans="2:19" x14ac:dyDescent="0.25">
      <c r="B112" s="91">
        <f t="shared" si="4"/>
        <v>45616.624999999738</v>
      </c>
      <c r="C112" s="52">
        <f t="shared" si="5"/>
        <v>4.6249999999999982</v>
      </c>
      <c r="D112" s="92">
        <f>Table110[[#This Row],[Fecha]]</f>
        <v>45616.624999999738</v>
      </c>
      <c r="E112" s="53" t="e">
        <f>VLOOKUP(Table110[[#This Row],[FECHA /HORA]],TBL_CalcDarwin[],7,0)</f>
        <v>#N/A</v>
      </c>
      <c r="F112" s="53" t="e">
        <f>VLOOKUP(Table110[[#This Row],[FECHA /HORA]],TBL_CalcDarwin[],42,0)</f>
        <v>#N/A</v>
      </c>
      <c r="G112" s="53" t="e">
        <f>VLOOKUP(Table110[[#This Row],[FECHA /HORA]],TBL_CalcDarwin[],43,0)</f>
        <v>#N/A</v>
      </c>
      <c r="H112" s="53" t="e">
        <f>VLOOKUP(Table110[[#This Row],[FECHA /HORA]],TBL_CalcDarwin[],40,0)</f>
        <v>#N/A</v>
      </c>
      <c r="I112" s="53" t="e">
        <f>VLOOKUP(Table110[[#This Row],[FECHA /HORA]],TBL_CalcDarwin[],41,0)</f>
        <v>#N/A</v>
      </c>
      <c r="J112" s="53" t="e">
        <f>Table110[[#This Row],[MW Proyectada (Barra A)]]+Table110[[#This Row],[MW Proyectada (Barra B)]]</f>
        <v>#N/A</v>
      </c>
      <c r="L112" s="53" t="e">
        <f t="shared" si="3"/>
        <v>#N/A</v>
      </c>
      <c r="M112" s="53" t="e">
        <f>IF(Table110[[#This Row],[TOTAL MW]]&lt;165,Table110[[#This Row],[MW Proyectada (Barra A)]],Table110[[#This Row],[MW Proyectada (Barra A)]]*165/Table110[[#This Row],[TOTAL MW]])</f>
        <v>#N/A</v>
      </c>
      <c r="N112" s="53" t="e">
        <f>IF(Table110[[#This Row],[TOTAL MW]]&lt;165,Table110[[#This Row],[MW Proyectada (Barra B)]],Table110[[#This Row],[MW Proyectada (Barra B)]]*165/Table110[[#This Row],[TOTAL MW]])</f>
        <v>#N/A</v>
      </c>
      <c r="P112" s="90"/>
      <c r="Q112" s="90"/>
      <c r="R112" s="93"/>
      <c r="S112" s="93"/>
    </row>
    <row r="113" spans="2:19" x14ac:dyDescent="0.25">
      <c r="B113" s="91">
        <f t="shared" si="4"/>
        <v>45616.666666666402</v>
      </c>
      <c r="C113" s="52">
        <f t="shared" si="5"/>
        <v>4.6666666666666652</v>
      </c>
      <c r="D113" s="92">
        <f>Table110[[#This Row],[Fecha]]</f>
        <v>45616.666666666402</v>
      </c>
      <c r="E113" s="53" t="e">
        <f>VLOOKUP(Table110[[#This Row],[FECHA /HORA]],TBL_CalcDarwin[],7,0)</f>
        <v>#N/A</v>
      </c>
      <c r="F113" s="53" t="e">
        <f>VLOOKUP(Table110[[#This Row],[FECHA /HORA]],TBL_CalcDarwin[],42,0)</f>
        <v>#N/A</v>
      </c>
      <c r="G113" s="53" t="e">
        <f>VLOOKUP(Table110[[#This Row],[FECHA /HORA]],TBL_CalcDarwin[],43,0)</f>
        <v>#N/A</v>
      </c>
      <c r="H113" s="53" t="e">
        <f>VLOOKUP(Table110[[#This Row],[FECHA /HORA]],TBL_CalcDarwin[],40,0)</f>
        <v>#N/A</v>
      </c>
      <c r="I113" s="53" t="e">
        <f>VLOOKUP(Table110[[#This Row],[FECHA /HORA]],TBL_CalcDarwin[],41,0)</f>
        <v>#N/A</v>
      </c>
      <c r="J113" s="53" t="e">
        <f>Table110[[#This Row],[MW Proyectada (Barra A)]]+Table110[[#This Row],[MW Proyectada (Barra B)]]</f>
        <v>#N/A</v>
      </c>
      <c r="L113" s="53" t="e">
        <f t="shared" si="3"/>
        <v>#N/A</v>
      </c>
      <c r="M113" s="53" t="e">
        <f>IF(Table110[[#This Row],[TOTAL MW]]&lt;165,Table110[[#This Row],[MW Proyectada (Barra A)]],Table110[[#This Row],[MW Proyectada (Barra A)]]*165/Table110[[#This Row],[TOTAL MW]])</f>
        <v>#N/A</v>
      </c>
      <c r="N113" s="53" t="e">
        <f>IF(Table110[[#This Row],[TOTAL MW]]&lt;165,Table110[[#This Row],[MW Proyectada (Barra B)]],Table110[[#This Row],[MW Proyectada (Barra B)]]*165/Table110[[#This Row],[TOTAL MW]])</f>
        <v>#N/A</v>
      </c>
      <c r="P113" s="90"/>
      <c r="Q113" s="90"/>
      <c r="R113" s="93"/>
      <c r="S113" s="93"/>
    </row>
    <row r="114" spans="2:19" x14ac:dyDescent="0.25">
      <c r="B114" s="91">
        <f t="shared" si="4"/>
        <v>45616.708333333067</v>
      </c>
      <c r="C114" s="52">
        <f t="shared" si="5"/>
        <v>4.7083333333333321</v>
      </c>
      <c r="D114" s="92">
        <f>Table110[[#This Row],[Fecha]]</f>
        <v>45616.708333333067</v>
      </c>
      <c r="E114" s="53" t="e">
        <f>VLOOKUP(Table110[[#This Row],[FECHA /HORA]],TBL_CalcDarwin[],7,0)</f>
        <v>#N/A</v>
      </c>
      <c r="F114" s="53" t="e">
        <f>VLOOKUP(Table110[[#This Row],[FECHA /HORA]],TBL_CalcDarwin[],42,0)</f>
        <v>#N/A</v>
      </c>
      <c r="G114" s="53" t="e">
        <f>VLOOKUP(Table110[[#This Row],[FECHA /HORA]],TBL_CalcDarwin[],43,0)</f>
        <v>#N/A</v>
      </c>
      <c r="H114" s="53" t="e">
        <f>VLOOKUP(Table110[[#This Row],[FECHA /HORA]],TBL_CalcDarwin[],40,0)</f>
        <v>#N/A</v>
      </c>
      <c r="I114" s="53" t="e">
        <f>VLOOKUP(Table110[[#This Row],[FECHA /HORA]],TBL_CalcDarwin[],41,0)</f>
        <v>#N/A</v>
      </c>
      <c r="J114" s="53" t="e">
        <f>Table110[[#This Row],[MW Proyectada (Barra A)]]+Table110[[#This Row],[MW Proyectada (Barra B)]]</f>
        <v>#N/A</v>
      </c>
      <c r="L114" s="53" t="e">
        <f t="shared" si="3"/>
        <v>#N/A</v>
      </c>
      <c r="M114" s="53" t="e">
        <f>IF(Table110[[#This Row],[TOTAL MW]]&lt;165,Table110[[#This Row],[MW Proyectada (Barra A)]],Table110[[#This Row],[MW Proyectada (Barra A)]]*165/Table110[[#This Row],[TOTAL MW]])</f>
        <v>#N/A</v>
      </c>
      <c r="N114" s="53" t="e">
        <f>IF(Table110[[#This Row],[TOTAL MW]]&lt;165,Table110[[#This Row],[MW Proyectada (Barra B)]],Table110[[#This Row],[MW Proyectada (Barra B)]]*165/Table110[[#This Row],[TOTAL MW]])</f>
        <v>#N/A</v>
      </c>
      <c r="P114" s="90"/>
      <c r="Q114" s="90"/>
      <c r="R114" s="93"/>
      <c r="S114" s="93"/>
    </row>
    <row r="115" spans="2:19" x14ac:dyDescent="0.25">
      <c r="B115" s="91">
        <f t="shared" si="4"/>
        <v>45616.749999999731</v>
      </c>
      <c r="C115" s="52">
        <f t="shared" si="5"/>
        <v>4.7499999999999991</v>
      </c>
      <c r="D115" s="92">
        <f>Table110[[#This Row],[Fecha]]</f>
        <v>45616.749999999731</v>
      </c>
      <c r="E115" s="53" t="e">
        <f>VLOOKUP(Table110[[#This Row],[FECHA /HORA]],TBL_CalcDarwin[],7,0)</f>
        <v>#N/A</v>
      </c>
      <c r="F115" s="53" t="e">
        <f>VLOOKUP(Table110[[#This Row],[FECHA /HORA]],TBL_CalcDarwin[],42,0)</f>
        <v>#N/A</v>
      </c>
      <c r="G115" s="53" t="e">
        <f>VLOOKUP(Table110[[#This Row],[FECHA /HORA]],TBL_CalcDarwin[],43,0)</f>
        <v>#N/A</v>
      </c>
      <c r="H115" s="53" t="e">
        <f>VLOOKUP(Table110[[#This Row],[FECHA /HORA]],TBL_CalcDarwin[],40,0)</f>
        <v>#N/A</v>
      </c>
      <c r="I115" s="53" t="e">
        <f>VLOOKUP(Table110[[#This Row],[FECHA /HORA]],TBL_CalcDarwin[],41,0)</f>
        <v>#N/A</v>
      </c>
      <c r="J115" s="53" t="e">
        <f>Table110[[#This Row],[MW Proyectada (Barra A)]]+Table110[[#This Row],[MW Proyectada (Barra B)]]</f>
        <v>#N/A</v>
      </c>
      <c r="L115" s="53" t="e">
        <f t="shared" si="3"/>
        <v>#N/A</v>
      </c>
      <c r="M115" s="53" t="e">
        <f>IF(Table110[[#This Row],[TOTAL MW]]&lt;165,Table110[[#This Row],[MW Proyectada (Barra A)]],Table110[[#This Row],[MW Proyectada (Barra A)]]*165/Table110[[#This Row],[TOTAL MW]])</f>
        <v>#N/A</v>
      </c>
      <c r="N115" s="53" t="e">
        <f>IF(Table110[[#This Row],[TOTAL MW]]&lt;165,Table110[[#This Row],[MW Proyectada (Barra B)]],Table110[[#This Row],[MW Proyectada (Barra B)]]*165/Table110[[#This Row],[TOTAL MW]])</f>
        <v>#N/A</v>
      </c>
      <c r="P115" s="90"/>
      <c r="Q115" s="90"/>
      <c r="R115" s="93"/>
      <c r="S115" s="93"/>
    </row>
    <row r="116" spans="2:19" x14ac:dyDescent="0.25">
      <c r="B116" s="91">
        <f t="shared" si="4"/>
        <v>45616.791666666395</v>
      </c>
      <c r="C116" s="52">
        <f t="shared" si="5"/>
        <v>4.7916666666666661</v>
      </c>
      <c r="D116" s="92">
        <f>Table110[[#This Row],[Fecha]]</f>
        <v>45616.791666666395</v>
      </c>
      <c r="E116" s="53" t="e">
        <f>VLOOKUP(Table110[[#This Row],[FECHA /HORA]],TBL_CalcDarwin[],7,0)</f>
        <v>#N/A</v>
      </c>
      <c r="F116" s="53" t="e">
        <f>VLOOKUP(Table110[[#This Row],[FECHA /HORA]],TBL_CalcDarwin[],42,0)</f>
        <v>#N/A</v>
      </c>
      <c r="G116" s="53" t="e">
        <f>VLOOKUP(Table110[[#This Row],[FECHA /HORA]],TBL_CalcDarwin[],43,0)</f>
        <v>#N/A</v>
      </c>
      <c r="H116" s="53" t="e">
        <f>VLOOKUP(Table110[[#This Row],[FECHA /HORA]],TBL_CalcDarwin[],40,0)</f>
        <v>#N/A</v>
      </c>
      <c r="I116" s="53" t="e">
        <f>VLOOKUP(Table110[[#This Row],[FECHA /HORA]],TBL_CalcDarwin[],41,0)</f>
        <v>#N/A</v>
      </c>
      <c r="J116" s="53" t="e">
        <f>Table110[[#This Row],[MW Proyectada (Barra A)]]+Table110[[#This Row],[MW Proyectada (Barra B)]]</f>
        <v>#N/A</v>
      </c>
      <c r="L116" s="53" t="e">
        <f t="shared" si="3"/>
        <v>#N/A</v>
      </c>
      <c r="M116" s="53" t="e">
        <f>IF(Table110[[#This Row],[TOTAL MW]]&lt;165,Table110[[#This Row],[MW Proyectada (Barra A)]],Table110[[#This Row],[MW Proyectada (Barra A)]]*165/Table110[[#This Row],[TOTAL MW]])</f>
        <v>#N/A</v>
      </c>
      <c r="N116" s="53" t="e">
        <f>IF(Table110[[#This Row],[TOTAL MW]]&lt;165,Table110[[#This Row],[MW Proyectada (Barra B)]],Table110[[#This Row],[MW Proyectada (Barra B)]]*165/Table110[[#This Row],[TOTAL MW]])</f>
        <v>#N/A</v>
      </c>
      <c r="P116" s="90"/>
      <c r="Q116" s="90"/>
      <c r="R116" s="93"/>
      <c r="S116" s="93"/>
    </row>
    <row r="117" spans="2:19" x14ac:dyDescent="0.25">
      <c r="B117" s="91">
        <f t="shared" si="4"/>
        <v>45616.833333333059</v>
      </c>
      <c r="C117" s="52">
        <f t="shared" si="5"/>
        <v>4.833333333333333</v>
      </c>
      <c r="D117" s="92">
        <f>Table110[[#This Row],[Fecha]]</f>
        <v>45616.833333333059</v>
      </c>
      <c r="E117" s="53" t="e">
        <f>VLOOKUP(Table110[[#This Row],[FECHA /HORA]],TBL_CalcDarwin[],7,0)</f>
        <v>#N/A</v>
      </c>
      <c r="F117" s="53" t="e">
        <f>VLOOKUP(Table110[[#This Row],[FECHA /HORA]],TBL_CalcDarwin[],42,0)</f>
        <v>#N/A</v>
      </c>
      <c r="G117" s="53" t="e">
        <f>VLOOKUP(Table110[[#This Row],[FECHA /HORA]],TBL_CalcDarwin[],43,0)</f>
        <v>#N/A</v>
      </c>
      <c r="H117" s="53" t="e">
        <f>VLOOKUP(Table110[[#This Row],[FECHA /HORA]],TBL_CalcDarwin[],40,0)</f>
        <v>#N/A</v>
      </c>
      <c r="I117" s="53" t="e">
        <f>VLOOKUP(Table110[[#This Row],[FECHA /HORA]],TBL_CalcDarwin[],41,0)</f>
        <v>#N/A</v>
      </c>
      <c r="J117" s="53" t="e">
        <f>Table110[[#This Row],[MW Proyectada (Barra A)]]+Table110[[#This Row],[MW Proyectada (Barra B)]]</f>
        <v>#N/A</v>
      </c>
      <c r="L117" s="53" t="e">
        <f t="shared" si="3"/>
        <v>#N/A</v>
      </c>
      <c r="M117" s="53" t="e">
        <f>IF(Table110[[#This Row],[TOTAL MW]]&lt;165,Table110[[#This Row],[MW Proyectada (Barra A)]],Table110[[#This Row],[MW Proyectada (Barra A)]]*165/Table110[[#This Row],[TOTAL MW]])</f>
        <v>#N/A</v>
      </c>
      <c r="N117" s="53" t="e">
        <f>IF(Table110[[#This Row],[TOTAL MW]]&lt;165,Table110[[#This Row],[MW Proyectada (Barra B)]],Table110[[#This Row],[MW Proyectada (Barra B)]]*165/Table110[[#This Row],[TOTAL MW]])</f>
        <v>#N/A</v>
      </c>
      <c r="P117" s="90"/>
      <c r="Q117" s="90"/>
      <c r="R117" s="93"/>
      <c r="S117" s="93"/>
    </row>
    <row r="118" spans="2:19" x14ac:dyDescent="0.25">
      <c r="B118" s="91">
        <f t="shared" si="4"/>
        <v>45616.874999999724</v>
      </c>
      <c r="C118" s="52">
        <f t="shared" si="5"/>
        <v>4.875</v>
      </c>
      <c r="D118" s="92">
        <f>Table110[[#This Row],[Fecha]]</f>
        <v>45616.874999999724</v>
      </c>
      <c r="E118" s="53" t="e">
        <f>VLOOKUP(Table110[[#This Row],[FECHA /HORA]],TBL_CalcDarwin[],7,0)</f>
        <v>#N/A</v>
      </c>
      <c r="F118" s="53" t="e">
        <f>VLOOKUP(Table110[[#This Row],[FECHA /HORA]],TBL_CalcDarwin[],42,0)</f>
        <v>#N/A</v>
      </c>
      <c r="G118" s="53" t="e">
        <f>VLOOKUP(Table110[[#This Row],[FECHA /HORA]],TBL_CalcDarwin[],43,0)</f>
        <v>#N/A</v>
      </c>
      <c r="H118" s="53" t="e">
        <f>VLOOKUP(Table110[[#This Row],[FECHA /HORA]],TBL_CalcDarwin[],40,0)</f>
        <v>#N/A</v>
      </c>
      <c r="I118" s="53" t="e">
        <f>VLOOKUP(Table110[[#This Row],[FECHA /HORA]],TBL_CalcDarwin[],41,0)</f>
        <v>#N/A</v>
      </c>
      <c r="J118" s="53" t="e">
        <f>Table110[[#This Row],[MW Proyectada (Barra A)]]+Table110[[#This Row],[MW Proyectada (Barra B)]]</f>
        <v>#N/A</v>
      </c>
      <c r="L118" s="53" t="e">
        <f t="shared" si="3"/>
        <v>#N/A</v>
      </c>
      <c r="M118" s="53" t="e">
        <f>IF(Table110[[#This Row],[TOTAL MW]]&lt;165,Table110[[#This Row],[MW Proyectada (Barra A)]],Table110[[#This Row],[MW Proyectada (Barra A)]]*165/Table110[[#This Row],[TOTAL MW]])</f>
        <v>#N/A</v>
      </c>
      <c r="N118" s="53" t="e">
        <f>IF(Table110[[#This Row],[TOTAL MW]]&lt;165,Table110[[#This Row],[MW Proyectada (Barra B)]],Table110[[#This Row],[MW Proyectada (Barra B)]]*165/Table110[[#This Row],[TOTAL MW]])</f>
        <v>#N/A</v>
      </c>
      <c r="P118" s="90"/>
      <c r="Q118" s="90"/>
      <c r="R118" s="93"/>
      <c r="S118" s="93"/>
    </row>
    <row r="119" spans="2:19" x14ac:dyDescent="0.25">
      <c r="B119" s="91">
        <f t="shared" si="4"/>
        <v>45616.916666666388</v>
      </c>
      <c r="C119" s="52">
        <f t="shared" si="5"/>
        <v>4.916666666666667</v>
      </c>
      <c r="D119" s="92">
        <f>Table110[[#This Row],[Fecha]]</f>
        <v>45616.916666666388</v>
      </c>
      <c r="E119" s="53" t="e">
        <f>VLOOKUP(Table110[[#This Row],[FECHA /HORA]],TBL_CalcDarwin[],7,0)</f>
        <v>#N/A</v>
      </c>
      <c r="F119" s="53" t="e">
        <f>VLOOKUP(Table110[[#This Row],[FECHA /HORA]],TBL_CalcDarwin[],42,0)</f>
        <v>#N/A</v>
      </c>
      <c r="G119" s="53" t="e">
        <f>VLOOKUP(Table110[[#This Row],[FECHA /HORA]],TBL_CalcDarwin[],43,0)</f>
        <v>#N/A</v>
      </c>
      <c r="H119" s="53" t="e">
        <f>VLOOKUP(Table110[[#This Row],[FECHA /HORA]],TBL_CalcDarwin[],40,0)</f>
        <v>#N/A</v>
      </c>
      <c r="I119" s="53" t="e">
        <f>VLOOKUP(Table110[[#This Row],[FECHA /HORA]],TBL_CalcDarwin[],41,0)</f>
        <v>#N/A</v>
      </c>
      <c r="J119" s="53" t="e">
        <f>Table110[[#This Row],[MW Proyectada (Barra A)]]+Table110[[#This Row],[MW Proyectada (Barra B)]]</f>
        <v>#N/A</v>
      </c>
      <c r="L119" s="53" t="e">
        <f t="shared" si="3"/>
        <v>#N/A</v>
      </c>
      <c r="M119" s="53" t="e">
        <f>IF(Table110[[#This Row],[TOTAL MW]]&lt;165,Table110[[#This Row],[MW Proyectada (Barra A)]],Table110[[#This Row],[MW Proyectada (Barra A)]]*165/Table110[[#This Row],[TOTAL MW]])</f>
        <v>#N/A</v>
      </c>
      <c r="N119" s="53" t="e">
        <f>IF(Table110[[#This Row],[TOTAL MW]]&lt;165,Table110[[#This Row],[MW Proyectada (Barra B)]],Table110[[#This Row],[MW Proyectada (Barra B)]]*165/Table110[[#This Row],[TOTAL MW]])</f>
        <v>#N/A</v>
      </c>
      <c r="P119" s="90"/>
      <c r="Q119" s="90"/>
      <c r="R119" s="93"/>
      <c r="S119" s="93"/>
    </row>
    <row r="120" spans="2:19" x14ac:dyDescent="0.25">
      <c r="B120" s="91">
        <f t="shared" si="4"/>
        <v>45616.958333333052</v>
      </c>
      <c r="C120" s="52">
        <f t="shared" si="5"/>
        <v>4.9583333333333339</v>
      </c>
      <c r="D120" s="92">
        <f>Table110[[#This Row],[Fecha]]</f>
        <v>45616.958333333052</v>
      </c>
      <c r="E120" s="53" t="e">
        <f>VLOOKUP(Table110[[#This Row],[FECHA /HORA]],TBL_CalcDarwin[],7,0)</f>
        <v>#N/A</v>
      </c>
      <c r="F120" s="53" t="e">
        <f>VLOOKUP(Table110[[#This Row],[FECHA /HORA]],TBL_CalcDarwin[],42,0)</f>
        <v>#N/A</v>
      </c>
      <c r="G120" s="53" t="e">
        <f>VLOOKUP(Table110[[#This Row],[FECHA /HORA]],TBL_CalcDarwin[],43,0)</f>
        <v>#N/A</v>
      </c>
      <c r="H120" s="53" t="e">
        <f>VLOOKUP(Table110[[#This Row],[FECHA /HORA]],TBL_CalcDarwin[],40,0)</f>
        <v>#N/A</v>
      </c>
      <c r="I120" s="53" t="e">
        <f>VLOOKUP(Table110[[#This Row],[FECHA /HORA]],TBL_CalcDarwin[],41,0)</f>
        <v>#N/A</v>
      </c>
      <c r="J120" s="53" t="e">
        <f>Table110[[#This Row],[MW Proyectada (Barra A)]]+Table110[[#This Row],[MW Proyectada (Barra B)]]</f>
        <v>#N/A</v>
      </c>
      <c r="L120" s="53" t="e">
        <f t="shared" si="3"/>
        <v>#N/A</v>
      </c>
      <c r="M120" s="53" t="e">
        <f>IF(Table110[[#This Row],[TOTAL MW]]&lt;165,Table110[[#This Row],[MW Proyectada (Barra A)]],Table110[[#This Row],[MW Proyectada (Barra A)]]*165/Table110[[#This Row],[TOTAL MW]])</f>
        <v>#N/A</v>
      </c>
      <c r="N120" s="53" t="e">
        <f>IF(Table110[[#This Row],[TOTAL MW]]&lt;165,Table110[[#This Row],[MW Proyectada (Barra B)]],Table110[[#This Row],[MW Proyectada (Barra B)]]*165/Table110[[#This Row],[TOTAL MW]])</f>
        <v>#N/A</v>
      </c>
      <c r="P120" s="90"/>
      <c r="Q120" s="90"/>
      <c r="R120" s="93"/>
      <c r="S120" s="93"/>
    </row>
    <row r="121" spans="2:19" x14ac:dyDescent="0.25">
      <c r="B121" s="91">
        <f t="shared" si="4"/>
        <v>45616.999999999716</v>
      </c>
      <c r="C121" s="52">
        <f t="shared" si="5"/>
        <v>5.0000000000000009</v>
      </c>
      <c r="D121" s="92">
        <f>Table110[[#This Row],[Fecha]]</f>
        <v>45616.999999999716</v>
      </c>
      <c r="E121" s="53" t="e">
        <f>VLOOKUP(Table110[[#This Row],[FECHA /HORA]],TBL_CalcDarwin[],7,0)</f>
        <v>#N/A</v>
      </c>
      <c r="F121" s="53" t="e">
        <f>VLOOKUP(Table110[[#This Row],[FECHA /HORA]],TBL_CalcDarwin[],42,0)</f>
        <v>#N/A</v>
      </c>
      <c r="G121" s="53" t="e">
        <f>VLOOKUP(Table110[[#This Row],[FECHA /HORA]],TBL_CalcDarwin[],43,0)</f>
        <v>#N/A</v>
      </c>
      <c r="H121" s="53" t="e">
        <f>VLOOKUP(Table110[[#This Row],[FECHA /HORA]],TBL_CalcDarwin[],40,0)</f>
        <v>#N/A</v>
      </c>
      <c r="I121" s="53" t="e">
        <f>VLOOKUP(Table110[[#This Row],[FECHA /HORA]],TBL_CalcDarwin[],41,0)</f>
        <v>#N/A</v>
      </c>
      <c r="J121" s="53" t="e">
        <f>Table110[[#This Row],[MW Proyectada (Barra A)]]+Table110[[#This Row],[MW Proyectada (Barra B)]]</f>
        <v>#N/A</v>
      </c>
      <c r="L121" s="53" t="e">
        <f t="shared" si="3"/>
        <v>#N/A</v>
      </c>
      <c r="M121" s="53" t="e">
        <f>IF(Table110[[#This Row],[TOTAL MW]]&lt;165,Table110[[#This Row],[MW Proyectada (Barra A)]],Table110[[#This Row],[MW Proyectada (Barra A)]]*165/Table110[[#This Row],[TOTAL MW]])</f>
        <v>#N/A</v>
      </c>
      <c r="N121" s="53" t="e">
        <f>IF(Table110[[#This Row],[TOTAL MW]]&lt;165,Table110[[#This Row],[MW Proyectada (Barra B)]],Table110[[#This Row],[MW Proyectada (Barra B)]]*165/Table110[[#This Row],[TOTAL MW]])</f>
        <v>#N/A</v>
      </c>
      <c r="P121" s="90"/>
      <c r="Q121" s="90"/>
      <c r="R121" s="93"/>
      <c r="S121" s="93"/>
    </row>
    <row r="122" spans="2:19" x14ac:dyDescent="0.25">
      <c r="B122" s="91">
        <f t="shared" si="4"/>
        <v>45617.04166666638</v>
      </c>
      <c r="C122" s="52">
        <f t="shared" si="5"/>
        <v>5.0416666666666679</v>
      </c>
      <c r="D122" s="92">
        <f>Table110[[#This Row],[Fecha]]</f>
        <v>45617.04166666638</v>
      </c>
      <c r="E122" s="53" t="e">
        <f>VLOOKUP(Table110[[#This Row],[FECHA /HORA]],TBL_CalcDarwin[],7,0)</f>
        <v>#N/A</v>
      </c>
      <c r="F122" s="53" t="e">
        <f>VLOOKUP(Table110[[#This Row],[FECHA /HORA]],TBL_CalcDarwin[],42,0)</f>
        <v>#N/A</v>
      </c>
      <c r="G122" s="53" t="e">
        <f>VLOOKUP(Table110[[#This Row],[FECHA /HORA]],TBL_CalcDarwin[],43,0)</f>
        <v>#N/A</v>
      </c>
      <c r="H122" s="53" t="e">
        <f>VLOOKUP(Table110[[#This Row],[FECHA /HORA]],TBL_CalcDarwin[],40,0)</f>
        <v>#N/A</v>
      </c>
      <c r="I122" s="53" t="e">
        <f>VLOOKUP(Table110[[#This Row],[FECHA /HORA]],TBL_CalcDarwin[],41,0)</f>
        <v>#N/A</v>
      </c>
      <c r="J122" s="53" t="e">
        <f>Table110[[#This Row],[MW Proyectada (Barra A)]]+Table110[[#This Row],[MW Proyectada (Barra B)]]</f>
        <v>#N/A</v>
      </c>
      <c r="L122" s="53" t="e">
        <f t="shared" si="3"/>
        <v>#N/A</v>
      </c>
      <c r="M122" s="53" t="e">
        <f>IF(Table110[[#This Row],[TOTAL MW]]&lt;165,Table110[[#This Row],[MW Proyectada (Barra A)]],Table110[[#This Row],[MW Proyectada (Barra A)]]*165/Table110[[#This Row],[TOTAL MW]])</f>
        <v>#N/A</v>
      </c>
      <c r="N122" s="53" t="e">
        <f>IF(Table110[[#This Row],[TOTAL MW]]&lt;165,Table110[[#This Row],[MW Proyectada (Barra B)]],Table110[[#This Row],[MW Proyectada (Barra B)]]*165/Table110[[#This Row],[TOTAL MW]])</f>
        <v>#N/A</v>
      </c>
      <c r="P122" s="90"/>
      <c r="Q122" s="90"/>
      <c r="R122" s="93"/>
      <c r="S122" s="93"/>
    </row>
    <row r="123" spans="2:19" x14ac:dyDescent="0.25">
      <c r="B123" s="91">
        <f t="shared" si="4"/>
        <v>45617.083333333045</v>
      </c>
      <c r="C123" s="52">
        <f t="shared" si="5"/>
        <v>5.0833333333333348</v>
      </c>
      <c r="D123" s="92">
        <f>Table110[[#This Row],[Fecha]]</f>
        <v>45617.083333333045</v>
      </c>
      <c r="E123" s="53" t="e">
        <f>VLOOKUP(Table110[[#This Row],[FECHA /HORA]],TBL_CalcDarwin[],7,0)</f>
        <v>#N/A</v>
      </c>
      <c r="F123" s="53" t="e">
        <f>VLOOKUP(Table110[[#This Row],[FECHA /HORA]],TBL_CalcDarwin[],42,0)</f>
        <v>#N/A</v>
      </c>
      <c r="G123" s="53" t="e">
        <f>VLOOKUP(Table110[[#This Row],[FECHA /HORA]],TBL_CalcDarwin[],43,0)</f>
        <v>#N/A</v>
      </c>
      <c r="H123" s="53" t="e">
        <f>VLOOKUP(Table110[[#This Row],[FECHA /HORA]],TBL_CalcDarwin[],40,0)</f>
        <v>#N/A</v>
      </c>
      <c r="I123" s="53" t="e">
        <f>VLOOKUP(Table110[[#This Row],[FECHA /HORA]],TBL_CalcDarwin[],41,0)</f>
        <v>#N/A</v>
      </c>
      <c r="J123" s="53" t="e">
        <f>Table110[[#This Row],[MW Proyectada (Barra A)]]+Table110[[#This Row],[MW Proyectada (Barra B)]]</f>
        <v>#N/A</v>
      </c>
      <c r="L123" s="53" t="e">
        <f t="shared" si="3"/>
        <v>#N/A</v>
      </c>
      <c r="M123" s="53" t="e">
        <f>IF(Table110[[#This Row],[TOTAL MW]]&lt;165,Table110[[#This Row],[MW Proyectada (Barra A)]],Table110[[#This Row],[MW Proyectada (Barra A)]]*165/Table110[[#This Row],[TOTAL MW]])</f>
        <v>#N/A</v>
      </c>
      <c r="N123" s="53" t="e">
        <f>IF(Table110[[#This Row],[TOTAL MW]]&lt;165,Table110[[#This Row],[MW Proyectada (Barra B)]],Table110[[#This Row],[MW Proyectada (Barra B)]]*165/Table110[[#This Row],[TOTAL MW]])</f>
        <v>#N/A</v>
      </c>
      <c r="P123" s="90"/>
      <c r="Q123" s="90"/>
      <c r="R123" s="93"/>
      <c r="S123" s="93"/>
    </row>
    <row r="124" spans="2:19" x14ac:dyDescent="0.25">
      <c r="B124" s="91">
        <f t="shared" si="4"/>
        <v>45617.124999999709</v>
      </c>
      <c r="C124" s="52">
        <f t="shared" si="5"/>
        <v>5.1250000000000018</v>
      </c>
      <c r="D124" s="92">
        <f>Table110[[#This Row],[Fecha]]</f>
        <v>45617.124999999709</v>
      </c>
      <c r="E124" s="53" t="e">
        <f>VLOOKUP(Table110[[#This Row],[FECHA /HORA]],TBL_CalcDarwin[],7,0)</f>
        <v>#N/A</v>
      </c>
      <c r="F124" s="53" t="e">
        <f>VLOOKUP(Table110[[#This Row],[FECHA /HORA]],TBL_CalcDarwin[],42,0)</f>
        <v>#N/A</v>
      </c>
      <c r="G124" s="53" t="e">
        <f>VLOOKUP(Table110[[#This Row],[FECHA /HORA]],TBL_CalcDarwin[],43,0)</f>
        <v>#N/A</v>
      </c>
      <c r="H124" s="53" t="e">
        <f>VLOOKUP(Table110[[#This Row],[FECHA /HORA]],TBL_CalcDarwin[],40,0)</f>
        <v>#N/A</v>
      </c>
      <c r="I124" s="53" t="e">
        <f>VLOOKUP(Table110[[#This Row],[FECHA /HORA]],TBL_CalcDarwin[],41,0)</f>
        <v>#N/A</v>
      </c>
      <c r="J124" s="53" t="e">
        <f>Table110[[#This Row],[MW Proyectada (Barra A)]]+Table110[[#This Row],[MW Proyectada (Barra B)]]</f>
        <v>#N/A</v>
      </c>
      <c r="L124" s="53" t="e">
        <f t="shared" si="3"/>
        <v>#N/A</v>
      </c>
      <c r="M124" s="53" t="e">
        <f>IF(Table110[[#This Row],[TOTAL MW]]&lt;165,Table110[[#This Row],[MW Proyectada (Barra A)]],Table110[[#This Row],[MW Proyectada (Barra A)]]*165/Table110[[#This Row],[TOTAL MW]])</f>
        <v>#N/A</v>
      </c>
      <c r="N124" s="53" t="e">
        <f>IF(Table110[[#This Row],[TOTAL MW]]&lt;165,Table110[[#This Row],[MW Proyectada (Barra B)]],Table110[[#This Row],[MW Proyectada (Barra B)]]*165/Table110[[#This Row],[TOTAL MW]])</f>
        <v>#N/A</v>
      </c>
      <c r="P124" s="90"/>
      <c r="Q124" s="90"/>
      <c r="R124" s="93"/>
      <c r="S124" s="93"/>
    </row>
    <row r="125" spans="2:19" x14ac:dyDescent="0.25">
      <c r="B125" s="91">
        <f t="shared" si="4"/>
        <v>45617.166666666373</v>
      </c>
      <c r="C125" s="52">
        <f t="shared" si="5"/>
        <v>5.1666666666666687</v>
      </c>
      <c r="D125" s="92">
        <f>Table110[[#This Row],[Fecha]]</f>
        <v>45617.166666666373</v>
      </c>
      <c r="E125" s="53" t="e">
        <f>VLOOKUP(Table110[[#This Row],[FECHA /HORA]],TBL_CalcDarwin[],7,0)</f>
        <v>#N/A</v>
      </c>
      <c r="F125" s="53" t="e">
        <f>VLOOKUP(Table110[[#This Row],[FECHA /HORA]],TBL_CalcDarwin[],42,0)</f>
        <v>#N/A</v>
      </c>
      <c r="G125" s="53" t="e">
        <f>VLOOKUP(Table110[[#This Row],[FECHA /HORA]],TBL_CalcDarwin[],43,0)</f>
        <v>#N/A</v>
      </c>
      <c r="H125" s="53" t="e">
        <f>VLOOKUP(Table110[[#This Row],[FECHA /HORA]],TBL_CalcDarwin[],40,0)</f>
        <v>#N/A</v>
      </c>
      <c r="I125" s="53" t="e">
        <f>VLOOKUP(Table110[[#This Row],[FECHA /HORA]],TBL_CalcDarwin[],41,0)</f>
        <v>#N/A</v>
      </c>
      <c r="J125" s="53" t="e">
        <f>Table110[[#This Row],[MW Proyectada (Barra A)]]+Table110[[#This Row],[MW Proyectada (Barra B)]]</f>
        <v>#N/A</v>
      </c>
      <c r="L125" s="53" t="e">
        <f t="shared" si="3"/>
        <v>#N/A</v>
      </c>
      <c r="M125" s="53" t="e">
        <f>IF(Table110[[#This Row],[TOTAL MW]]&lt;165,Table110[[#This Row],[MW Proyectada (Barra A)]],Table110[[#This Row],[MW Proyectada (Barra A)]]*165/Table110[[#This Row],[TOTAL MW]])</f>
        <v>#N/A</v>
      </c>
      <c r="N125" s="53" t="e">
        <f>IF(Table110[[#This Row],[TOTAL MW]]&lt;165,Table110[[#This Row],[MW Proyectada (Barra B)]],Table110[[#This Row],[MW Proyectada (Barra B)]]*165/Table110[[#This Row],[TOTAL MW]])</f>
        <v>#N/A</v>
      </c>
      <c r="P125" s="90"/>
      <c r="Q125" s="90"/>
      <c r="R125" s="93"/>
      <c r="S125" s="93"/>
    </row>
    <row r="126" spans="2:19" x14ac:dyDescent="0.25">
      <c r="B126" s="91">
        <f t="shared" si="4"/>
        <v>45617.208333333037</v>
      </c>
      <c r="C126" s="52">
        <f t="shared" si="5"/>
        <v>5.2083333333333357</v>
      </c>
      <c r="D126" s="92">
        <f>Table110[[#This Row],[Fecha]]</f>
        <v>45617.208333333037</v>
      </c>
      <c r="E126" s="53" t="e">
        <f>VLOOKUP(Table110[[#This Row],[FECHA /HORA]],TBL_CalcDarwin[],7,0)</f>
        <v>#N/A</v>
      </c>
      <c r="F126" s="53" t="e">
        <f>VLOOKUP(Table110[[#This Row],[FECHA /HORA]],TBL_CalcDarwin[],42,0)</f>
        <v>#N/A</v>
      </c>
      <c r="G126" s="53" t="e">
        <f>VLOOKUP(Table110[[#This Row],[FECHA /HORA]],TBL_CalcDarwin[],43,0)</f>
        <v>#N/A</v>
      </c>
      <c r="H126" s="53" t="e">
        <f>VLOOKUP(Table110[[#This Row],[FECHA /HORA]],TBL_CalcDarwin[],40,0)</f>
        <v>#N/A</v>
      </c>
      <c r="I126" s="53" t="e">
        <f>VLOOKUP(Table110[[#This Row],[FECHA /HORA]],TBL_CalcDarwin[],41,0)</f>
        <v>#N/A</v>
      </c>
      <c r="J126" s="53" t="e">
        <f>Table110[[#This Row],[MW Proyectada (Barra A)]]+Table110[[#This Row],[MW Proyectada (Barra B)]]</f>
        <v>#N/A</v>
      </c>
      <c r="L126" s="53" t="e">
        <f t="shared" si="3"/>
        <v>#N/A</v>
      </c>
      <c r="M126" s="53" t="e">
        <f>IF(Table110[[#This Row],[TOTAL MW]]&lt;165,Table110[[#This Row],[MW Proyectada (Barra A)]],Table110[[#This Row],[MW Proyectada (Barra A)]]*165/Table110[[#This Row],[TOTAL MW]])</f>
        <v>#N/A</v>
      </c>
      <c r="N126" s="53" t="e">
        <f>IF(Table110[[#This Row],[TOTAL MW]]&lt;165,Table110[[#This Row],[MW Proyectada (Barra B)]],Table110[[#This Row],[MW Proyectada (Barra B)]]*165/Table110[[#This Row],[TOTAL MW]])</f>
        <v>#N/A</v>
      </c>
      <c r="P126" s="90"/>
      <c r="Q126" s="90"/>
      <c r="R126" s="93"/>
      <c r="S126" s="93"/>
    </row>
    <row r="127" spans="2:19" x14ac:dyDescent="0.25">
      <c r="B127" s="91">
        <f t="shared" si="4"/>
        <v>45617.249999999702</v>
      </c>
      <c r="C127" s="52">
        <f t="shared" si="5"/>
        <v>5.2500000000000027</v>
      </c>
      <c r="D127" s="92">
        <f>Table110[[#This Row],[Fecha]]</f>
        <v>45617.249999999702</v>
      </c>
      <c r="E127" s="53" t="e">
        <f>VLOOKUP(Table110[[#This Row],[FECHA /HORA]],TBL_CalcDarwin[],7,0)</f>
        <v>#N/A</v>
      </c>
      <c r="F127" s="53" t="e">
        <f>VLOOKUP(Table110[[#This Row],[FECHA /HORA]],TBL_CalcDarwin[],42,0)</f>
        <v>#N/A</v>
      </c>
      <c r="G127" s="53" t="e">
        <f>VLOOKUP(Table110[[#This Row],[FECHA /HORA]],TBL_CalcDarwin[],43,0)</f>
        <v>#N/A</v>
      </c>
      <c r="H127" s="53" t="e">
        <f>VLOOKUP(Table110[[#This Row],[FECHA /HORA]],TBL_CalcDarwin[],40,0)</f>
        <v>#N/A</v>
      </c>
      <c r="I127" s="53" t="e">
        <f>VLOOKUP(Table110[[#This Row],[FECHA /HORA]],TBL_CalcDarwin[],41,0)</f>
        <v>#N/A</v>
      </c>
      <c r="J127" s="53" t="e">
        <f>Table110[[#This Row],[MW Proyectada (Barra A)]]+Table110[[#This Row],[MW Proyectada (Barra B)]]</f>
        <v>#N/A</v>
      </c>
      <c r="L127" s="53" t="e">
        <f t="shared" si="3"/>
        <v>#N/A</v>
      </c>
      <c r="M127" s="53" t="e">
        <f>IF(Table110[[#This Row],[TOTAL MW]]&lt;165,Table110[[#This Row],[MW Proyectada (Barra A)]],Table110[[#This Row],[MW Proyectada (Barra A)]]*165/Table110[[#This Row],[TOTAL MW]])</f>
        <v>#N/A</v>
      </c>
      <c r="N127" s="53" t="e">
        <f>IF(Table110[[#This Row],[TOTAL MW]]&lt;165,Table110[[#This Row],[MW Proyectada (Barra B)]],Table110[[#This Row],[MW Proyectada (Barra B)]]*165/Table110[[#This Row],[TOTAL MW]])</f>
        <v>#N/A</v>
      </c>
      <c r="P127" s="90"/>
      <c r="Q127" s="90"/>
      <c r="R127" s="93"/>
      <c r="S127" s="93"/>
    </row>
    <row r="128" spans="2:19" x14ac:dyDescent="0.25">
      <c r="B128" s="91">
        <f t="shared" si="4"/>
        <v>45617.291666666366</v>
      </c>
      <c r="C128" s="52">
        <f t="shared" si="5"/>
        <v>5.2916666666666696</v>
      </c>
      <c r="D128" s="92">
        <f>Table110[[#This Row],[Fecha]]</f>
        <v>45617.291666666366</v>
      </c>
      <c r="E128" s="53" t="e">
        <f>VLOOKUP(Table110[[#This Row],[FECHA /HORA]],TBL_CalcDarwin[],7,0)</f>
        <v>#N/A</v>
      </c>
      <c r="F128" s="53" t="e">
        <f>VLOOKUP(Table110[[#This Row],[FECHA /HORA]],TBL_CalcDarwin[],42,0)</f>
        <v>#N/A</v>
      </c>
      <c r="G128" s="53" t="e">
        <f>VLOOKUP(Table110[[#This Row],[FECHA /HORA]],TBL_CalcDarwin[],43,0)</f>
        <v>#N/A</v>
      </c>
      <c r="H128" s="53" t="e">
        <f>VLOOKUP(Table110[[#This Row],[FECHA /HORA]],TBL_CalcDarwin[],40,0)</f>
        <v>#N/A</v>
      </c>
      <c r="I128" s="53" t="e">
        <f>VLOOKUP(Table110[[#This Row],[FECHA /HORA]],TBL_CalcDarwin[],41,0)</f>
        <v>#N/A</v>
      </c>
      <c r="J128" s="53" t="e">
        <f>Table110[[#This Row],[MW Proyectada (Barra A)]]+Table110[[#This Row],[MW Proyectada (Barra B)]]</f>
        <v>#N/A</v>
      </c>
      <c r="L128" s="53" t="e">
        <f t="shared" si="3"/>
        <v>#N/A</v>
      </c>
      <c r="M128" s="53" t="e">
        <f>IF(Table110[[#This Row],[TOTAL MW]]&lt;165,Table110[[#This Row],[MW Proyectada (Barra A)]],Table110[[#This Row],[MW Proyectada (Barra A)]]*165/Table110[[#This Row],[TOTAL MW]])</f>
        <v>#N/A</v>
      </c>
      <c r="N128" s="53" t="e">
        <f>IF(Table110[[#This Row],[TOTAL MW]]&lt;165,Table110[[#This Row],[MW Proyectada (Barra B)]],Table110[[#This Row],[MW Proyectada (Barra B)]]*165/Table110[[#This Row],[TOTAL MW]])</f>
        <v>#N/A</v>
      </c>
      <c r="P128" s="90"/>
      <c r="Q128" s="90"/>
      <c r="R128" s="93"/>
      <c r="S128" s="93"/>
    </row>
    <row r="129" spans="2:19" x14ac:dyDescent="0.25">
      <c r="B129" s="91">
        <f t="shared" si="4"/>
        <v>45617.33333333303</v>
      </c>
      <c r="C129" s="52">
        <f t="shared" si="5"/>
        <v>5.3333333333333366</v>
      </c>
      <c r="D129" s="92">
        <f>Table110[[#This Row],[Fecha]]</f>
        <v>45617.33333333303</v>
      </c>
      <c r="E129" s="53" t="e">
        <f>VLOOKUP(Table110[[#This Row],[FECHA /HORA]],TBL_CalcDarwin[],7,0)</f>
        <v>#N/A</v>
      </c>
      <c r="F129" s="53" t="e">
        <f>VLOOKUP(Table110[[#This Row],[FECHA /HORA]],TBL_CalcDarwin[],42,0)</f>
        <v>#N/A</v>
      </c>
      <c r="G129" s="53" t="e">
        <f>VLOOKUP(Table110[[#This Row],[FECHA /HORA]],TBL_CalcDarwin[],43,0)</f>
        <v>#N/A</v>
      </c>
      <c r="H129" s="53" t="e">
        <f>VLOOKUP(Table110[[#This Row],[FECHA /HORA]],TBL_CalcDarwin[],40,0)</f>
        <v>#N/A</v>
      </c>
      <c r="I129" s="53" t="e">
        <f>VLOOKUP(Table110[[#This Row],[FECHA /HORA]],TBL_CalcDarwin[],41,0)</f>
        <v>#N/A</v>
      </c>
      <c r="J129" s="53" t="e">
        <f>Table110[[#This Row],[MW Proyectada (Barra A)]]+Table110[[#This Row],[MW Proyectada (Barra B)]]</f>
        <v>#N/A</v>
      </c>
      <c r="L129" s="53" t="e">
        <f t="shared" si="3"/>
        <v>#N/A</v>
      </c>
      <c r="M129" s="53" t="e">
        <f>IF(Table110[[#This Row],[TOTAL MW]]&lt;165,Table110[[#This Row],[MW Proyectada (Barra A)]],Table110[[#This Row],[MW Proyectada (Barra A)]]*165/Table110[[#This Row],[TOTAL MW]])</f>
        <v>#N/A</v>
      </c>
      <c r="N129" s="53" t="e">
        <f>IF(Table110[[#This Row],[TOTAL MW]]&lt;165,Table110[[#This Row],[MW Proyectada (Barra B)]],Table110[[#This Row],[MW Proyectada (Barra B)]]*165/Table110[[#This Row],[TOTAL MW]])</f>
        <v>#N/A</v>
      </c>
      <c r="P129" s="90"/>
      <c r="Q129" s="90"/>
      <c r="R129" s="93"/>
      <c r="S129" s="93"/>
    </row>
    <row r="130" spans="2:19" x14ac:dyDescent="0.25">
      <c r="B130" s="91">
        <f t="shared" si="4"/>
        <v>45617.374999999694</v>
      </c>
      <c r="C130" s="52">
        <f t="shared" si="5"/>
        <v>5.3750000000000036</v>
      </c>
      <c r="D130" s="92">
        <f>Table110[[#This Row],[Fecha]]</f>
        <v>45617.374999999694</v>
      </c>
      <c r="E130" s="53" t="e">
        <f>VLOOKUP(Table110[[#This Row],[FECHA /HORA]],TBL_CalcDarwin[],7,0)</f>
        <v>#N/A</v>
      </c>
      <c r="F130" s="53" t="e">
        <f>VLOOKUP(Table110[[#This Row],[FECHA /HORA]],TBL_CalcDarwin[],42,0)</f>
        <v>#N/A</v>
      </c>
      <c r="G130" s="53" t="e">
        <f>VLOOKUP(Table110[[#This Row],[FECHA /HORA]],TBL_CalcDarwin[],43,0)</f>
        <v>#N/A</v>
      </c>
      <c r="H130" s="53" t="e">
        <f>VLOOKUP(Table110[[#This Row],[FECHA /HORA]],TBL_CalcDarwin[],40,0)</f>
        <v>#N/A</v>
      </c>
      <c r="I130" s="53" t="e">
        <f>VLOOKUP(Table110[[#This Row],[FECHA /HORA]],TBL_CalcDarwin[],41,0)</f>
        <v>#N/A</v>
      </c>
      <c r="J130" s="53" t="e">
        <f>Table110[[#This Row],[MW Proyectada (Barra A)]]+Table110[[#This Row],[MW Proyectada (Barra B)]]</f>
        <v>#N/A</v>
      </c>
      <c r="L130" s="53" t="e">
        <f t="shared" si="3"/>
        <v>#N/A</v>
      </c>
      <c r="M130" s="53" t="e">
        <f>IF(Table110[[#This Row],[TOTAL MW]]&lt;165,Table110[[#This Row],[MW Proyectada (Barra A)]],Table110[[#This Row],[MW Proyectada (Barra A)]]*165/Table110[[#This Row],[TOTAL MW]])</f>
        <v>#N/A</v>
      </c>
      <c r="N130" s="53" t="e">
        <f>IF(Table110[[#This Row],[TOTAL MW]]&lt;165,Table110[[#This Row],[MW Proyectada (Barra B)]],Table110[[#This Row],[MW Proyectada (Barra B)]]*165/Table110[[#This Row],[TOTAL MW]])</f>
        <v>#N/A</v>
      </c>
      <c r="P130" s="90"/>
      <c r="Q130" s="90"/>
      <c r="R130" s="93"/>
      <c r="S130" s="93"/>
    </row>
    <row r="131" spans="2:19" x14ac:dyDescent="0.25">
      <c r="B131" s="91">
        <f t="shared" si="4"/>
        <v>45617.416666666359</v>
      </c>
      <c r="C131" s="52">
        <f t="shared" si="5"/>
        <v>5.4166666666666705</v>
      </c>
      <c r="D131" s="92">
        <f>Table110[[#This Row],[Fecha]]</f>
        <v>45617.416666666359</v>
      </c>
      <c r="E131" s="53" t="e">
        <f>VLOOKUP(Table110[[#This Row],[FECHA /HORA]],TBL_CalcDarwin[],7,0)</f>
        <v>#N/A</v>
      </c>
      <c r="F131" s="53" t="e">
        <f>VLOOKUP(Table110[[#This Row],[FECHA /HORA]],TBL_CalcDarwin[],42,0)</f>
        <v>#N/A</v>
      </c>
      <c r="G131" s="53" t="e">
        <f>VLOOKUP(Table110[[#This Row],[FECHA /HORA]],TBL_CalcDarwin[],43,0)</f>
        <v>#N/A</v>
      </c>
      <c r="H131" s="53" t="e">
        <f>VLOOKUP(Table110[[#This Row],[FECHA /HORA]],TBL_CalcDarwin[],40,0)</f>
        <v>#N/A</v>
      </c>
      <c r="I131" s="53" t="e">
        <f>VLOOKUP(Table110[[#This Row],[FECHA /HORA]],TBL_CalcDarwin[],41,0)</f>
        <v>#N/A</v>
      </c>
      <c r="J131" s="53" t="e">
        <f>Table110[[#This Row],[MW Proyectada (Barra A)]]+Table110[[#This Row],[MW Proyectada (Barra B)]]</f>
        <v>#N/A</v>
      </c>
      <c r="L131" s="53" t="e">
        <f t="shared" si="3"/>
        <v>#N/A</v>
      </c>
      <c r="M131" s="53" t="e">
        <f>IF(Table110[[#This Row],[TOTAL MW]]&lt;165,Table110[[#This Row],[MW Proyectada (Barra A)]],Table110[[#This Row],[MW Proyectada (Barra A)]]*165/Table110[[#This Row],[TOTAL MW]])</f>
        <v>#N/A</v>
      </c>
      <c r="N131" s="53" t="e">
        <f>IF(Table110[[#This Row],[TOTAL MW]]&lt;165,Table110[[#This Row],[MW Proyectada (Barra B)]],Table110[[#This Row],[MW Proyectada (Barra B)]]*165/Table110[[#This Row],[TOTAL MW]])</f>
        <v>#N/A</v>
      </c>
      <c r="P131" s="90"/>
      <c r="Q131" s="90"/>
      <c r="R131" s="93"/>
      <c r="S131" s="93"/>
    </row>
    <row r="132" spans="2:19" x14ac:dyDescent="0.25">
      <c r="B132" s="91">
        <f t="shared" si="4"/>
        <v>45617.458333333023</v>
      </c>
      <c r="C132" s="52">
        <f t="shared" si="5"/>
        <v>5.4583333333333375</v>
      </c>
      <c r="D132" s="92">
        <f>Table110[[#This Row],[Fecha]]</f>
        <v>45617.458333333023</v>
      </c>
      <c r="E132" s="53" t="e">
        <f>VLOOKUP(Table110[[#This Row],[FECHA /HORA]],TBL_CalcDarwin[],7,0)</f>
        <v>#N/A</v>
      </c>
      <c r="F132" s="53" t="e">
        <f>VLOOKUP(Table110[[#This Row],[FECHA /HORA]],TBL_CalcDarwin[],42,0)</f>
        <v>#N/A</v>
      </c>
      <c r="G132" s="53" t="e">
        <f>VLOOKUP(Table110[[#This Row],[FECHA /HORA]],TBL_CalcDarwin[],43,0)</f>
        <v>#N/A</v>
      </c>
      <c r="H132" s="53" t="e">
        <f>VLOOKUP(Table110[[#This Row],[FECHA /HORA]],TBL_CalcDarwin[],40,0)</f>
        <v>#N/A</v>
      </c>
      <c r="I132" s="53" t="e">
        <f>VLOOKUP(Table110[[#This Row],[FECHA /HORA]],TBL_CalcDarwin[],41,0)</f>
        <v>#N/A</v>
      </c>
      <c r="J132" s="53" t="e">
        <f>Table110[[#This Row],[MW Proyectada (Barra A)]]+Table110[[#This Row],[MW Proyectada (Barra B)]]</f>
        <v>#N/A</v>
      </c>
      <c r="L132" s="53" t="e">
        <f t="shared" ref="L132:L195" si="6">M132+N132</f>
        <v>#N/A</v>
      </c>
      <c r="M132" s="53" t="e">
        <f>IF(Table110[[#This Row],[TOTAL MW]]&lt;165,Table110[[#This Row],[MW Proyectada (Barra A)]],Table110[[#This Row],[MW Proyectada (Barra A)]]*165/Table110[[#This Row],[TOTAL MW]])</f>
        <v>#N/A</v>
      </c>
      <c r="N132" s="53" t="e">
        <f>IF(Table110[[#This Row],[TOTAL MW]]&lt;165,Table110[[#This Row],[MW Proyectada (Barra B)]],Table110[[#This Row],[MW Proyectada (Barra B)]]*165/Table110[[#This Row],[TOTAL MW]])</f>
        <v>#N/A</v>
      </c>
      <c r="P132" s="90"/>
      <c r="Q132" s="90"/>
      <c r="R132" s="93"/>
      <c r="S132" s="93"/>
    </row>
    <row r="133" spans="2:19" x14ac:dyDescent="0.25">
      <c r="B133" s="91">
        <f t="shared" ref="B133:B196" si="7">B132+TIME(1,0,0)</f>
        <v>45617.499999999687</v>
      </c>
      <c r="C133" s="52">
        <f t="shared" ref="C133:C196" si="8">C132+TIME(1,0,0)</f>
        <v>5.5000000000000044</v>
      </c>
      <c r="D133" s="92">
        <f>Table110[[#This Row],[Fecha]]</f>
        <v>45617.499999999687</v>
      </c>
      <c r="E133" s="53" t="e">
        <f>VLOOKUP(Table110[[#This Row],[FECHA /HORA]],TBL_CalcDarwin[],7,0)</f>
        <v>#N/A</v>
      </c>
      <c r="F133" s="53" t="e">
        <f>VLOOKUP(Table110[[#This Row],[FECHA /HORA]],TBL_CalcDarwin[],42,0)</f>
        <v>#N/A</v>
      </c>
      <c r="G133" s="53" t="e">
        <f>VLOOKUP(Table110[[#This Row],[FECHA /HORA]],TBL_CalcDarwin[],43,0)</f>
        <v>#N/A</v>
      </c>
      <c r="H133" s="53" t="e">
        <f>VLOOKUP(Table110[[#This Row],[FECHA /HORA]],TBL_CalcDarwin[],40,0)</f>
        <v>#N/A</v>
      </c>
      <c r="I133" s="53" t="e">
        <f>VLOOKUP(Table110[[#This Row],[FECHA /HORA]],TBL_CalcDarwin[],41,0)</f>
        <v>#N/A</v>
      </c>
      <c r="J133" s="53" t="e">
        <f>Table110[[#This Row],[MW Proyectada (Barra A)]]+Table110[[#This Row],[MW Proyectada (Barra B)]]</f>
        <v>#N/A</v>
      </c>
      <c r="L133" s="53" t="e">
        <f t="shared" si="6"/>
        <v>#N/A</v>
      </c>
      <c r="M133" s="53" t="e">
        <f>IF(Table110[[#This Row],[TOTAL MW]]&lt;165,Table110[[#This Row],[MW Proyectada (Barra A)]],Table110[[#This Row],[MW Proyectada (Barra A)]]*165/Table110[[#This Row],[TOTAL MW]])</f>
        <v>#N/A</v>
      </c>
      <c r="N133" s="53" t="e">
        <f>IF(Table110[[#This Row],[TOTAL MW]]&lt;165,Table110[[#This Row],[MW Proyectada (Barra B)]],Table110[[#This Row],[MW Proyectada (Barra B)]]*165/Table110[[#This Row],[TOTAL MW]])</f>
        <v>#N/A</v>
      </c>
      <c r="P133" s="90"/>
      <c r="Q133" s="90"/>
      <c r="R133" s="93"/>
      <c r="S133" s="93"/>
    </row>
    <row r="134" spans="2:19" x14ac:dyDescent="0.25">
      <c r="B134" s="91">
        <f t="shared" si="7"/>
        <v>45617.541666666351</v>
      </c>
      <c r="C134" s="52">
        <f t="shared" si="8"/>
        <v>5.5416666666666714</v>
      </c>
      <c r="D134" s="92">
        <f>Table110[[#This Row],[Fecha]]</f>
        <v>45617.541666666351</v>
      </c>
      <c r="E134" s="53" t="e">
        <f>VLOOKUP(Table110[[#This Row],[FECHA /HORA]],TBL_CalcDarwin[],7,0)</f>
        <v>#N/A</v>
      </c>
      <c r="F134" s="53" t="e">
        <f>VLOOKUP(Table110[[#This Row],[FECHA /HORA]],TBL_CalcDarwin[],42,0)</f>
        <v>#N/A</v>
      </c>
      <c r="G134" s="53" t="e">
        <f>VLOOKUP(Table110[[#This Row],[FECHA /HORA]],TBL_CalcDarwin[],43,0)</f>
        <v>#N/A</v>
      </c>
      <c r="H134" s="53" t="e">
        <f>VLOOKUP(Table110[[#This Row],[FECHA /HORA]],TBL_CalcDarwin[],40,0)</f>
        <v>#N/A</v>
      </c>
      <c r="I134" s="53" t="e">
        <f>VLOOKUP(Table110[[#This Row],[FECHA /HORA]],TBL_CalcDarwin[],41,0)</f>
        <v>#N/A</v>
      </c>
      <c r="J134" s="53" t="e">
        <f>Table110[[#This Row],[MW Proyectada (Barra A)]]+Table110[[#This Row],[MW Proyectada (Barra B)]]</f>
        <v>#N/A</v>
      </c>
      <c r="L134" s="53" t="e">
        <f t="shared" si="6"/>
        <v>#N/A</v>
      </c>
      <c r="M134" s="53" t="e">
        <f>IF(Table110[[#This Row],[TOTAL MW]]&lt;165,Table110[[#This Row],[MW Proyectada (Barra A)]],Table110[[#This Row],[MW Proyectada (Barra A)]]*165/Table110[[#This Row],[TOTAL MW]])</f>
        <v>#N/A</v>
      </c>
      <c r="N134" s="53" t="e">
        <f>IF(Table110[[#This Row],[TOTAL MW]]&lt;165,Table110[[#This Row],[MW Proyectada (Barra B)]],Table110[[#This Row],[MW Proyectada (Barra B)]]*165/Table110[[#This Row],[TOTAL MW]])</f>
        <v>#N/A</v>
      </c>
      <c r="P134" s="90"/>
      <c r="Q134" s="90"/>
      <c r="R134" s="93"/>
      <c r="S134" s="93"/>
    </row>
    <row r="135" spans="2:19" x14ac:dyDescent="0.25">
      <c r="B135" s="91">
        <f t="shared" si="7"/>
        <v>45617.583333333016</v>
      </c>
      <c r="C135" s="52">
        <f t="shared" si="8"/>
        <v>5.5833333333333384</v>
      </c>
      <c r="D135" s="92">
        <f>Table110[[#This Row],[Fecha]]</f>
        <v>45617.583333333016</v>
      </c>
      <c r="E135" s="53" t="e">
        <f>VLOOKUP(Table110[[#This Row],[FECHA /HORA]],TBL_CalcDarwin[],7,0)</f>
        <v>#N/A</v>
      </c>
      <c r="F135" s="53" t="e">
        <f>VLOOKUP(Table110[[#This Row],[FECHA /HORA]],TBL_CalcDarwin[],42,0)</f>
        <v>#N/A</v>
      </c>
      <c r="G135" s="53" t="e">
        <f>VLOOKUP(Table110[[#This Row],[FECHA /HORA]],TBL_CalcDarwin[],43,0)</f>
        <v>#N/A</v>
      </c>
      <c r="H135" s="53" t="e">
        <f>VLOOKUP(Table110[[#This Row],[FECHA /HORA]],TBL_CalcDarwin[],40,0)</f>
        <v>#N/A</v>
      </c>
      <c r="I135" s="53" t="e">
        <f>VLOOKUP(Table110[[#This Row],[FECHA /HORA]],TBL_CalcDarwin[],41,0)</f>
        <v>#N/A</v>
      </c>
      <c r="J135" s="53" t="e">
        <f>Table110[[#This Row],[MW Proyectada (Barra A)]]+Table110[[#This Row],[MW Proyectada (Barra B)]]</f>
        <v>#N/A</v>
      </c>
      <c r="L135" s="53" t="e">
        <f t="shared" si="6"/>
        <v>#N/A</v>
      </c>
      <c r="M135" s="53" t="e">
        <f>IF(Table110[[#This Row],[TOTAL MW]]&lt;165,Table110[[#This Row],[MW Proyectada (Barra A)]],Table110[[#This Row],[MW Proyectada (Barra A)]]*165/Table110[[#This Row],[TOTAL MW]])</f>
        <v>#N/A</v>
      </c>
      <c r="N135" s="53" t="e">
        <f>IF(Table110[[#This Row],[TOTAL MW]]&lt;165,Table110[[#This Row],[MW Proyectada (Barra B)]],Table110[[#This Row],[MW Proyectada (Barra B)]]*165/Table110[[#This Row],[TOTAL MW]])</f>
        <v>#N/A</v>
      </c>
      <c r="P135" s="90"/>
      <c r="Q135" s="90"/>
      <c r="R135" s="93"/>
      <c r="S135" s="93"/>
    </row>
    <row r="136" spans="2:19" x14ac:dyDescent="0.25">
      <c r="B136" s="91">
        <f t="shared" si="7"/>
        <v>45617.62499999968</v>
      </c>
      <c r="C136" s="52">
        <f t="shared" si="8"/>
        <v>5.6250000000000053</v>
      </c>
      <c r="D136" s="92">
        <f>Table110[[#This Row],[Fecha]]</f>
        <v>45617.62499999968</v>
      </c>
      <c r="E136" s="53" t="e">
        <f>VLOOKUP(Table110[[#This Row],[FECHA /HORA]],TBL_CalcDarwin[],7,0)</f>
        <v>#N/A</v>
      </c>
      <c r="F136" s="53" t="e">
        <f>VLOOKUP(Table110[[#This Row],[FECHA /HORA]],TBL_CalcDarwin[],42,0)</f>
        <v>#N/A</v>
      </c>
      <c r="G136" s="53" t="e">
        <f>VLOOKUP(Table110[[#This Row],[FECHA /HORA]],TBL_CalcDarwin[],43,0)</f>
        <v>#N/A</v>
      </c>
      <c r="H136" s="53" t="e">
        <f>VLOOKUP(Table110[[#This Row],[FECHA /HORA]],TBL_CalcDarwin[],40,0)</f>
        <v>#N/A</v>
      </c>
      <c r="I136" s="53" t="e">
        <f>VLOOKUP(Table110[[#This Row],[FECHA /HORA]],TBL_CalcDarwin[],41,0)</f>
        <v>#N/A</v>
      </c>
      <c r="J136" s="53" t="e">
        <f>Table110[[#This Row],[MW Proyectada (Barra A)]]+Table110[[#This Row],[MW Proyectada (Barra B)]]</f>
        <v>#N/A</v>
      </c>
      <c r="L136" s="53" t="e">
        <f t="shared" si="6"/>
        <v>#N/A</v>
      </c>
      <c r="M136" s="53" t="e">
        <f>IF(Table110[[#This Row],[TOTAL MW]]&lt;165,Table110[[#This Row],[MW Proyectada (Barra A)]],Table110[[#This Row],[MW Proyectada (Barra A)]]*165/Table110[[#This Row],[TOTAL MW]])</f>
        <v>#N/A</v>
      </c>
      <c r="N136" s="53" t="e">
        <f>IF(Table110[[#This Row],[TOTAL MW]]&lt;165,Table110[[#This Row],[MW Proyectada (Barra B)]],Table110[[#This Row],[MW Proyectada (Barra B)]]*165/Table110[[#This Row],[TOTAL MW]])</f>
        <v>#N/A</v>
      </c>
      <c r="P136" s="90"/>
      <c r="Q136" s="90"/>
      <c r="R136" s="93"/>
      <c r="S136" s="93"/>
    </row>
    <row r="137" spans="2:19" x14ac:dyDescent="0.25">
      <c r="B137" s="91">
        <f t="shared" si="7"/>
        <v>45617.666666666344</v>
      </c>
      <c r="C137" s="52">
        <f t="shared" si="8"/>
        <v>5.6666666666666723</v>
      </c>
      <c r="D137" s="92">
        <f>Table110[[#This Row],[Fecha]]</f>
        <v>45617.666666666344</v>
      </c>
      <c r="E137" s="53" t="e">
        <f>VLOOKUP(Table110[[#This Row],[FECHA /HORA]],TBL_CalcDarwin[],7,0)</f>
        <v>#N/A</v>
      </c>
      <c r="F137" s="53" t="e">
        <f>VLOOKUP(Table110[[#This Row],[FECHA /HORA]],TBL_CalcDarwin[],42,0)</f>
        <v>#N/A</v>
      </c>
      <c r="G137" s="53" t="e">
        <f>VLOOKUP(Table110[[#This Row],[FECHA /HORA]],TBL_CalcDarwin[],43,0)</f>
        <v>#N/A</v>
      </c>
      <c r="H137" s="53" t="e">
        <f>VLOOKUP(Table110[[#This Row],[FECHA /HORA]],TBL_CalcDarwin[],40,0)</f>
        <v>#N/A</v>
      </c>
      <c r="I137" s="53" t="e">
        <f>VLOOKUP(Table110[[#This Row],[FECHA /HORA]],TBL_CalcDarwin[],41,0)</f>
        <v>#N/A</v>
      </c>
      <c r="J137" s="53" t="e">
        <f>Table110[[#This Row],[MW Proyectada (Barra A)]]+Table110[[#This Row],[MW Proyectada (Barra B)]]</f>
        <v>#N/A</v>
      </c>
      <c r="L137" s="53" t="e">
        <f t="shared" si="6"/>
        <v>#N/A</v>
      </c>
      <c r="M137" s="53" t="e">
        <f>IF(Table110[[#This Row],[TOTAL MW]]&lt;165,Table110[[#This Row],[MW Proyectada (Barra A)]],Table110[[#This Row],[MW Proyectada (Barra A)]]*165/Table110[[#This Row],[TOTAL MW]])</f>
        <v>#N/A</v>
      </c>
      <c r="N137" s="53" t="e">
        <f>IF(Table110[[#This Row],[TOTAL MW]]&lt;165,Table110[[#This Row],[MW Proyectada (Barra B)]],Table110[[#This Row],[MW Proyectada (Barra B)]]*165/Table110[[#This Row],[TOTAL MW]])</f>
        <v>#N/A</v>
      </c>
      <c r="P137" s="90"/>
      <c r="Q137" s="90"/>
      <c r="R137" s="93"/>
      <c r="S137" s="93"/>
    </row>
    <row r="138" spans="2:19" x14ac:dyDescent="0.25">
      <c r="B138" s="91">
        <f t="shared" si="7"/>
        <v>45617.708333333008</v>
      </c>
      <c r="C138" s="52">
        <f t="shared" si="8"/>
        <v>5.7083333333333393</v>
      </c>
      <c r="D138" s="92">
        <f>Table110[[#This Row],[Fecha]]</f>
        <v>45617.708333333008</v>
      </c>
      <c r="E138" s="53" t="e">
        <f>VLOOKUP(Table110[[#This Row],[FECHA /HORA]],TBL_CalcDarwin[],7,0)</f>
        <v>#N/A</v>
      </c>
      <c r="F138" s="53" t="e">
        <f>VLOOKUP(Table110[[#This Row],[FECHA /HORA]],TBL_CalcDarwin[],42,0)</f>
        <v>#N/A</v>
      </c>
      <c r="G138" s="53" t="e">
        <f>VLOOKUP(Table110[[#This Row],[FECHA /HORA]],TBL_CalcDarwin[],43,0)</f>
        <v>#N/A</v>
      </c>
      <c r="H138" s="53" t="e">
        <f>VLOOKUP(Table110[[#This Row],[FECHA /HORA]],TBL_CalcDarwin[],40,0)</f>
        <v>#N/A</v>
      </c>
      <c r="I138" s="53" t="e">
        <f>VLOOKUP(Table110[[#This Row],[FECHA /HORA]],TBL_CalcDarwin[],41,0)</f>
        <v>#N/A</v>
      </c>
      <c r="J138" s="53" t="e">
        <f>Table110[[#This Row],[MW Proyectada (Barra A)]]+Table110[[#This Row],[MW Proyectada (Barra B)]]</f>
        <v>#N/A</v>
      </c>
      <c r="L138" s="53" t="e">
        <f t="shared" si="6"/>
        <v>#N/A</v>
      </c>
      <c r="M138" s="53" t="e">
        <f>IF(Table110[[#This Row],[TOTAL MW]]&lt;165,Table110[[#This Row],[MW Proyectada (Barra A)]],Table110[[#This Row],[MW Proyectada (Barra A)]]*165/Table110[[#This Row],[TOTAL MW]])</f>
        <v>#N/A</v>
      </c>
      <c r="N138" s="53" t="e">
        <f>IF(Table110[[#This Row],[TOTAL MW]]&lt;165,Table110[[#This Row],[MW Proyectada (Barra B)]],Table110[[#This Row],[MW Proyectada (Barra B)]]*165/Table110[[#This Row],[TOTAL MW]])</f>
        <v>#N/A</v>
      </c>
      <c r="P138" s="90"/>
      <c r="Q138" s="90"/>
      <c r="R138" s="93"/>
      <c r="S138" s="93"/>
    </row>
    <row r="139" spans="2:19" x14ac:dyDescent="0.25">
      <c r="B139" s="91">
        <f t="shared" si="7"/>
        <v>45617.749999999673</v>
      </c>
      <c r="C139" s="52">
        <f t="shared" si="8"/>
        <v>5.7500000000000062</v>
      </c>
      <c r="D139" s="92">
        <f>Table110[[#This Row],[Fecha]]</f>
        <v>45617.749999999673</v>
      </c>
      <c r="E139" s="53" t="e">
        <f>VLOOKUP(Table110[[#This Row],[FECHA /HORA]],TBL_CalcDarwin[],7,0)</f>
        <v>#N/A</v>
      </c>
      <c r="F139" s="53" t="e">
        <f>VLOOKUP(Table110[[#This Row],[FECHA /HORA]],TBL_CalcDarwin[],42,0)</f>
        <v>#N/A</v>
      </c>
      <c r="G139" s="53" t="e">
        <f>VLOOKUP(Table110[[#This Row],[FECHA /HORA]],TBL_CalcDarwin[],43,0)</f>
        <v>#N/A</v>
      </c>
      <c r="H139" s="53" t="e">
        <f>VLOOKUP(Table110[[#This Row],[FECHA /HORA]],TBL_CalcDarwin[],40,0)</f>
        <v>#N/A</v>
      </c>
      <c r="I139" s="53" t="e">
        <f>VLOOKUP(Table110[[#This Row],[FECHA /HORA]],TBL_CalcDarwin[],41,0)</f>
        <v>#N/A</v>
      </c>
      <c r="J139" s="53" t="e">
        <f>Table110[[#This Row],[MW Proyectada (Barra A)]]+Table110[[#This Row],[MW Proyectada (Barra B)]]</f>
        <v>#N/A</v>
      </c>
      <c r="L139" s="53" t="e">
        <f t="shared" si="6"/>
        <v>#N/A</v>
      </c>
      <c r="M139" s="53" t="e">
        <f>IF(Table110[[#This Row],[TOTAL MW]]&lt;165,Table110[[#This Row],[MW Proyectada (Barra A)]],Table110[[#This Row],[MW Proyectada (Barra A)]]*165/Table110[[#This Row],[TOTAL MW]])</f>
        <v>#N/A</v>
      </c>
      <c r="N139" s="53" t="e">
        <f>IF(Table110[[#This Row],[TOTAL MW]]&lt;165,Table110[[#This Row],[MW Proyectada (Barra B)]],Table110[[#This Row],[MW Proyectada (Barra B)]]*165/Table110[[#This Row],[TOTAL MW]])</f>
        <v>#N/A</v>
      </c>
      <c r="P139" s="90"/>
      <c r="Q139" s="90"/>
      <c r="R139" s="93"/>
      <c r="S139" s="93"/>
    </row>
    <row r="140" spans="2:19" x14ac:dyDescent="0.25">
      <c r="B140" s="91">
        <f t="shared" si="7"/>
        <v>45617.791666666337</v>
      </c>
      <c r="C140" s="52">
        <f t="shared" si="8"/>
        <v>5.7916666666666732</v>
      </c>
      <c r="D140" s="92">
        <f>Table110[[#This Row],[Fecha]]</f>
        <v>45617.791666666337</v>
      </c>
      <c r="E140" s="53" t="e">
        <f>VLOOKUP(Table110[[#This Row],[FECHA /HORA]],TBL_CalcDarwin[],7,0)</f>
        <v>#N/A</v>
      </c>
      <c r="F140" s="53" t="e">
        <f>VLOOKUP(Table110[[#This Row],[FECHA /HORA]],TBL_CalcDarwin[],42,0)</f>
        <v>#N/A</v>
      </c>
      <c r="G140" s="53" t="e">
        <f>VLOOKUP(Table110[[#This Row],[FECHA /HORA]],TBL_CalcDarwin[],43,0)</f>
        <v>#N/A</v>
      </c>
      <c r="H140" s="53" t="e">
        <f>VLOOKUP(Table110[[#This Row],[FECHA /HORA]],TBL_CalcDarwin[],40,0)</f>
        <v>#N/A</v>
      </c>
      <c r="I140" s="53" t="e">
        <f>VLOOKUP(Table110[[#This Row],[FECHA /HORA]],TBL_CalcDarwin[],41,0)</f>
        <v>#N/A</v>
      </c>
      <c r="J140" s="53" t="e">
        <f>Table110[[#This Row],[MW Proyectada (Barra A)]]+Table110[[#This Row],[MW Proyectada (Barra B)]]</f>
        <v>#N/A</v>
      </c>
      <c r="L140" s="53" t="e">
        <f t="shared" si="6"/>
        <v>#N/A</v>
      </c>
      <c r="M140" s="53" t="e">
        <f>IF(Table110[[#This Row],[TOTAL MW]]&lt;165,Table110[[#This Row],[MW Proyectada (Barra A)]],Table110[[#This Row],[MW Proyectada (Barra A)]]*165/Table110[[#This Row],[TOTAL MW]])</f>
        <v>#N/A</v>
      </c>
      <c r="N140" s="53" t="e">
        <f>IF(Table110[[#This Row],[TOTAL MW]]&lt;165,Table110[[#This Row],[MW Proyectada (Barra B)]],Table110[[#This Row],[MW Proyectada (Barra B)]]*165/Table110[[#This Row],[TOTAL MW]])</f>
        <v>#N/A</v>
      </c>
      <c r="P140" s="90"/>
      <c r="Q140" s="90"/>
      <c r="R140" s="93"/>
      <c r="S140" s="93"/>
    </row>
    <row r="141" spans="2:19" x14ac:dyDescent="0.25">
      <c r="B141" s="91">
        <f t="shared" si="7"/>
        <v>45617.833333333001</v>
      </c>
      <c r="C141" s="52">
        <f t="shared" si="8"/>
        <v>5.8333333333333401</v>
      </c>
      <c r="D141" s="92">
        <f>Table110[[#This Row],[Fecha]]</f>
        <v>45617.833333333001</v>
      </c>
      <c r="E141" s="53" t="e">
        <f>VLOOKUP(Table110[[#This Row],[FECHA /HORA]],TBL_CalcDarwin[],7,0)</f>
        <v>#N/A</v>
      </c>
      <c r="F141" s="53" t="e">
        <f>VLOOKUP(Table110[[#This Row],[FECHA /HORA]],TBL_CalcDarwin[],42,0)</f>
        <v>#N/A</v>
      </c>
      <c r="G141" s="53" t="e">
        <f>VLOOKUP(Table110[[#This Row],[FECHA /HORA]],TBL_CalcDarwin[],43,0)</f>
        <v>#N/A</v>
      </c>
      <c r="H141" s="53" t="e">
        <f>VLOOKUP(Table110[[#This Row],[FECHA /HORA]],TBL_CalcDarwin[],40,0)</f>
        <v>#N/A</v>
      </c>
      <c r="I141" s="53" t="e">
        <f>VLOOKUP(Table110[[#This Row],[FECHA /HORA]],TBL_CalcDarwin[],41,0)</f>
        <v>#N/A</v>
      </c>
      <c r="J141" s="53" t="e">
        <f>Table110[[#This Row],[MW Proyectada (Barra A)]]+Table110[[#This Row],[MW Proyectada (Barra B)]]</f>
        <v>#N/A</v>
      </c>
      <c r="L141" s="53" t="e">
        <f t="shared" si="6"/>
        <v>#N/A</v>
      </c>
      <c r="M141" s="53" t="e">
        <f>IF(Table110[[#This Row],[TOTAL MW]]&lt;165,Table110[[#This Row],[MW Proyectada (Barra A)]],Table110[[#This Row],[MW Proyectada (Barra A)]]*165/Table110[[#This Row],[TOTAL MW]])</f>
        <v>#N/A</v>
      </c>
      <c r="N141" s="53" t="e">
        <f>IF(Table110[[#This Row],[TOTAL MW]]&lt;165,Table110[[#This Row],[MW Proyectada (Barra B)]],Table110[[#This Row],[MW Proyectada (Barra B)]]*165/Table110[[#This Row],[TOTAL MW]])</f>
        <v>#N/A</v>
      </c>
      <c r="P141" s="90"/>
      <c r="Q141" s="90"/>
      <c r="R141" s="93"/>
      <c r="S141" s="93"/>
    </row>
    <row r="142" spans="2:19" x14ac:dyDescent="0.25">
      <c r="B142" s="91">
        <f t="shared" si="7"/>
        <v>45617.874999999665</v>
      </c>
      <c r="C142" s="52">
        <f t="shared" si="8"/>
        <v>5.8750000000000071</v>
      </c>
      <c r="D142" s="92">
        <f>Table110[[#This Row],[Fecha]]</f>
        <v>45617.874999999665</v>
      </c>
      <c r="E142" s="53" t="e">
        <f>VLOOKUP(Table110[[#This Row],[FECHA /HORA]],TBL_CalcDarwin[],7,0)</f>
        <v>#N/A</v>
      </c>
      <c r="F142" s="53" t="e">
        <f>VLOOKUP(Table110[[#This Row],[FECHA /HORA]],TBL_CalcDarwin[],42,0)</f>
        <v>#N/A</v>
      </c>
      <c r="G142" s="53" t="e">
        <f>VLOOKUP(Table110[[#This Row],[FECHA /HORA]],TBL_CalcDarwin[],43,0)</f>
        <v>#N/A</v>
      </c>
      <c r="H142" s="53" t="e">
        <f>VLOOKUP(Table110[[#This Row],[FECHA /HORA]],TBL_CalcDarwin[],40,0)</f>
        <v>#N/A</v>
      </c>
      <c r="I142" s="53" t="e">
        <f>VLOOKUP(Table110[[#This Row],[FECHA /HORA]],TBL_CalcDarwin[],41,0)</f>
        <v>#N/A</v>
      </c>
      <c r="J142" s="53" t="e">
        <f>Table110[[#This Row],[MW Proyectada (Barra A)]]+Table110[[#This Row],[MW Proyectada (Barra B)]]</f>
        <v>#N/A</v>
      </c>
      <c r="L142" s="53" t="e">
        <f t="shared" si="6"/>
        <v>#N/A</v>
      </c>
      <c r="M142" s="53" t="e">
        <f>IF(Table110[[#This Row],[TOTAL MW]]&lt;165,Table110[[#This Row],[MW Proyectada (Barra A)]],Table110[[#This Row],[MW Proyectada (Barra A)]]*165/Table110[[#This Row],[TOTAL MW]])</f>
        <v>#N/A</v>
      </c>
      <c r="N142" s="53" t="e">
        <f>IF(Table110[[#This Row],[TOTAL MW]]&lt;165,Table110[[#This Row],[MW Proyectada (Barra B)]],Table110[[#This Row],[MW Proyectada (Barra B)]]*165/Table110[[#This Row],[TOTAL MW]])</f>
        <v>#N/A</v>
      </c>
      <c r="P142" s="90"/>
      <c r="Q142" s="90"/>
      <c r="R142" s="93"/>
      <c r="S142" s="93"/>
    </row>
    <row r="143" spans="2:19" x14ac:dyDescent="0.25">
      <c r="B143" s="91">
        <f t="shared" si="7"/>
        <v>45617.91666666633</v>
      </c>
      <c r="C143" s="52">
        <f t="shared" si="8"/>
        <v>5.9166666666666741</v>
      </c>
      <c r="D143" s="92">
        <f>Table110[[#This Row],[Fecha]]</f>
        <v>45617.91666666633</v>
      </c>
      <c r="E143" s="53" t="e">
        <f>VLOOKUP(Table110[[#This Row],[FECHA /HORA]],TBL_CalcDarwin[],7,0)</f>
        <v>#N/A</v>
      </c>
      <c r="F143" s="53" t="e">
        <f>VLOOKUP(Table110[[#This Row],[FECHA /HORA]],TBL_CalcDarwin[],42,0)</f>
        <v>#N/A</v>
      </c>
      <c r="G143" s="53" t="e">
        <f>VLOOKUP(Table110[[#This Row],[FECHA /HORA]],TBL_CalcDarwin[],43,0)</f>
        <v>#N/A</v>
      </c>
      <c r="H143" s="53" t="e">
        <f>VLOOKUP(Table110[[#This Row],[FECHA /HORA]],TBL_CalcDarwin[],40,0)</f>
        <v>#N/A</v>
      </c>
      <c r="I143" s="53" t="e">
        <f>VLOOKUP(Table110[[#This Row],[FECHA /HORA]],TBL_CalcDarwin[],41,0)</f>
        <v>#N/A</v>
      </c>
      <c r="J143" s="53" t="e">
        <f>Table110[[#This Row],[MW Proyectada (Barra A)]]+Table110[[#This Row],[MW Proyectada (Barra B)]]</f>
        <v>#N/A</v>
      </c>
      <c r="L143" s="53" t="e">
        <f t="shared" si="6"/>
        <v>#N/A</v>
      </c>
      <c r="M143" s="53" t="e">
        <f>IF(Table110[[#This Row],[TOTAL MW]]&lt;165,Table110[[#This Row],[MW Proyectada (Barra A)]],Table110[[#This Row],[MW Proyectada (Barra A)]]*165/Table110[[#This Row],[TOTAL MW]])</f>
        <v>#N/A</v>
      </c>
      <c r="N143" s="53" t="e">
        <f>IF(Table110[[#This Row],[TOTAL MW]]&lt;165,Table110[[#This Row],[MW Proyectada (Barra B)]],Table110[[#This Row],[MW Proyectada (Barra B)]]*165/Table110[[#This Row],[TOTAL MW]])</f>
        <v>#N/A</v>
      </c>
      <c r="P143" s="90"/>
      <c r="Q143" s="90"/>
      <c r="R143" s="93"/>
      <c r="S143" s="93"/>
    </row>
    <row r="144" spans="2:19" x14ac:dyDescent="0.25">
      <c r="B144" s="91">
        <f t="shared" si="7"/>
        <v>45617.958333332994</v>
      </c>
      <c r="C144" s="52">
        <f t="shared" si="8"/>
        <v>5.958333333333341</v>
      </c>
      <c r="D144" s="92">
        <f>Table110[[#This Row],[Fecha]]</f>
        <v>45617.958333332994</v>
      </c>
      <c r="E144" s="53" t="e">
        <f>VLOOKUP(Table110[[#This Row],[FECHA /HORA]],TBL_CalcDarwin[],7,0)</f>
        <v>#N/A</v>
      </c>
      <c r="F144" s="53" t="e">
        <f>VLOOKUP(Table110[[#This Row],[FECHA /HORA]],TBL_CalcDarwin[],42,0)</f>
        <v>#N/A</v>
      </c>
      <c r="G144" s="53" t="e">
        <f>VLOOKUP(Table110[[#This Row],[FECHA /HORA]],TBL_CalcDarwin[],43,0)</f>
        <v>#N/A</v>
      </c>
      <c r="H144" s="53" t="e">
        <f>VLOOKUP(Table110[[#This Row],[FECHA /HORA]],TBL_CalcDarwin[],40,0)</f>
        <v>#N/A</v>
      </c>
      <c r="I144" s="53" t="e">
        <f>VLOOKUP(Table110[[#This Row],[FECHA /HORA]],TBL_CalcDarwin[],41,0)</f>
        <v>#N/A</v>
      </c>
      <c r="J144" s="53" t="e">
        <f>Table110[[#This Row],[MW Proyectada (Barra A)]]+Table110[[#This Row],[MW Proyectada (Barra B)]]</f>
        <v>#N/A</v>
      </c>
      <c r="L144" s="53" t="e">
        <f t="shared" si="6"/>
        <v>#N/A</v>
      </c>
      <c r="M144" s="53" t="e">
        <f>IF(Table110[[#This Row],[TOTAL MW]]&lt;165,Table110[[#This Row],[MW Proyectada (Barra A)]],Table110[[#This Row],[MW Proyectada (Barra A)]]*165/Table110[[#This Row],[TOTAL MW]])</f>
        <v>#N/A</v>
      </c>
      <c r="N144" s="53" t="e">
        <f>IF(Table110[[#This Row],[TOTAL MW]]&lt;165,Table110[[#This Row],[MW Proyectada (Barra B)]],Table110[[#This Row],[MW Proyectada (Barra B)]]*165/Table110[[#This Row],[TOTAL MW]])</f>
        <v>#N/A</v>
      </c>
      <c r="P144" s="90"/>
      <c r="Q144" s="90"/>
      <c r="R144" s="93"/>
      <c r="S144" s="93"/>
    </row>
    <row r="145" spans="2:19" x14ac:dyDescent="0.25">
      <c r="B145" s="91">
        <f t="shared" si="7"/>
        <v>45617.999999999658</v>
      </c>
      <c r="C145" s="52">
        <f t="shared" si="8"/>
        <v>6.000000000000008</v>
      </c>
      <c r="D145" s="92">
        <f>Table110[[#This Row],[Fecha]]</f>
        <v>45617.999999999658</v>
      </c>
      <c r="E145" s="53" t="e">
        <f>VLOOKUP(Table110[[#This Row],[FECHA /HORA]],TBL_CalcDarwin[],7,0)</f>
        <v>#N/A</v>
      </c>
      <c r="F145" s="53" t="e">
        <f>VLOOKUP(Table110[[#This Row],[FECHA /HORA]],TBL_CalcDarwin[],42,0)</f>
        <v>#N/A</v>
      </c>
      <c r="G145" s="53" t="e">
        <f>VLOOKUP(Table110[[#This Row],[FECHA /HORA]],TBL_CalcDarwin[],43,0)</f>
        <v>#N/A</v>
      </c>
      <c r="H145" s="53" t="e">
        <f>VLOOKUP(Table110[[#This Row],[FECHA /HORA]],TBL_CalcDarwin[],40,0)</f>
        <v>#N/A</v>
      </c>
      <c r="I145" s="53" t="e">
        <f>VLOOKUP(Table110[[#This Row],[FECHA /HORA]],TBL_CalcDarwin[],41,0)</f>
        <v>#N/A</v>
      </c>
      <c r="J145" s="53" t="e">
        <f>Table110[[#This Row],[MW Proyectada (Barra A)]]+Table110[[#This Row],[MW Proyectada (Barra B)]]</f>
        <v>#N/A</v>
      </c>
      <c r="L145" s="53" t="e">
        <f t="shared" si="6"/>
        <v>#N/A</v>
      </c>
      <c r="M145" s="53" t="e">
        <f>IF(Table110[[#This Row],[TOTAL MW]]&lt;165,Table110[[#This Row],[MW Proyectada (Barra A)]],Table110[[#This Row],[MW Proyectada (Barra A)]]*165/Table110[[#This Row],[TOTAL MW]])</f>
        <v>#N/A</v>
      </c>
      <c r="N145" s="53" t="e">
        <f>IF(Table110[[#This Row],[TOTAL MW]]&lt;165,Table110[[#This Row],[MW Proyectada (Barra B)]],Table110[[#This Row],[MW Proyectada (Barra B)]]*165/Table110[[#This Row],[TOTAL MW]])</f>
        <v>#N/A</v>
      </c>
      <c r="P145" s="90"/>
      <c r="Q145" s="90"/>
      <c r="R145" s="93"/>
      <c r="S145" s="93"/>
    </row>
    <row r="146" spans="2:19" x14ac:dyDescent="0.25">
      <c r="B146" s="91">
        <f t="shared" si="7"/>
        <v>45618.041666666322</v>
      </c>
      <c r="C146" s="52">
        <f t="shared" si="8"/>
        <v>6.041666666666675</v>
      </c>
      <c r="D146" s="92">
        <f>Table110[[#This Row],[Fecha]]</f>
        <v>45618.041666666322</v>
      </c>
      <c r="E146" s="53" t="e">
        <f>VLOOKUP(Table110[[#This Row],[FECHA /HORA]],TBL_CalcDarwin[],7,0)</f>
        <v>#N/A</v>
      </c>
      <c r="F146" s="53" t="e">
        <f>VLOOKUP(Table110[[#This Row],[FECHA /HORA]],TBL_CalcDarwin[],42,0)</f>
        <v>#N/A</v>
      </c>
      <c r="G146" s="53" t="e">
        <f>VLOOKUP(Table110[[#This Row],[FECHA /HORA]],TBL_CalcDarwin[],43,0)</f>
        <v>#N/A</v>
      </c>
      <c r="H146" s="53" t="e">
        <f>VLOOKUP(Table110[[#This Row],[FECHA /HORA]],TBL_CalcDarwin[],40,0)</f>
        <v>#N/A</v>
      </c>
      <c r="I146" s="53" t="e">
        <f>VLOOKUP(Table110[[#This Row],[FECHA /HORA]],TBL_CalcDarwin[],41,0)</f>
        <v>#N/A</v>
      </c>
      <c r="J146" s="53" t="e">
        <f>Table110[[#This Row],[MW Proyectada (Barra A)]]+Table110[[#This Row],[MW Proyectada (Barra B)]]</f>
        <v>#N/A</v>
      </c>
      <c r="L146" s="53" t="e">
        <f t="shared" si="6"/>
        <v>#N/A</v>
      </c>
      <c r="M146" s="53" t="e">
        <f>IF(Table110[[#This Row],[TOTAL MW]]&lt;165,Table110[[#This Row],[MW Proyectada (Barra A)]],Table110[[#This Row],[MW Proyectada (Barra A)]]*165/Table110[[#This Row],[TOTAL MW]])</f>
        <v>#N/A</v>
      </c>
      <c r="N146" s="53" t="e">
        <f>IF(Table110[[#This Row],[TOTAL MW]]&lt;165,Table110[[#This Row],[MW Proyectada (Barra B)]],Table110[[#This Row],[MW Proyectada (Barra B)]]*165/Table110[[#This Row],[TOTAL MW]])</f>
        <v>#N/A</v>
      </c>
      <c r="P146" s="90"/>
      <c r="Q146" s="90"/>
      <c r="R146" s="93"/>
      <c r="S146" s="93"/>
    </row>
    <row r="147" spans="2:19" x14ac:dyDescent="0.25">
      <c r="B147" s="91">
        <f t="shared" si="7"/>
        <v>45618.083333332987</v>
      </c>
      <c r="C147" s="52">
        <f t="shared" si="8"/>
        <v>6.0833333333333419</v>
      </c>
      <c r="D147" s="92">
        <f>Table110[[#This Row],[Fecha]]</f>
        <v>45618.083333332987</v>
      </c>
      <c r="E147" s="53" t="e">
        <f>VLOOKUP(Table110[[#This Row],[FECHA /HORA]],TBL_CalcDarwin[],7,0)</f>
        <v>#N/A</v>
      </c>
      <c r="F147" s="53" t="e">
        <f>VLOOKUP(Table110[[#This Row],[FECHA /HORA]],TBL_CalcDarwin[],42,0)</f>
        <v>#N/A</v>
      </c>
      <c r="G147" s="53" t="e">
        <f>VLOOKUP(Table110[[#This Row],[FECHA /HORA]],TBL_CalcDarwin[],43,0)</f>
        <v>#N/A</v>
      </c>
      <c r="H147" s="53" t="e">
        <f>VLOOKUP(Table110[[#This Row],[FECHA /HORA]],TBL_CalcDarwin[],40,0)</f>
        <v>#N/A</v>
      </c>
      <c r="I147" s="53" t="e">
        <f>VLOOKUP(Table110[[#This Row],[FECHA /HORA]],TBL_CalcDarwin[],41,0)</f>
        <v>#N/A</v>
      </c>
      <c r="J147" s="53" t="e">
        <f>Table110[[#This Row],[MW Proyectada (Barra A)]]+Table110[[#This Row],[MW Proyectada (Barra B)]]</f>
        <v>#N/A</v>
      </c>
      <c r="L147" s="53" t="e">
        <f t="shared" si="6"/>
        <v>#N/A</v>
      </c>
      <c r="M147" s="53" t="e">
        <f>IF(Table110[[#This Row],[TOTAL MW]]&lt;165,Table110[[#This Row],[MW Proyectada (Barra A)]],Table110[[#This Row],[MW Proyectada (Barra A)]]*165/Table110[[#This Row],[TOTAL MW]])</f>
        <v>#N/A</v>
      </c>
      <c r="N147" s="53" t="e">
        <f>IF(Table110[[#This Row],[TOTAL MW]]&lt;165,Table110[[#This Row],[MW Proyectada (Barra B)]],Table110[[#This Row],[MW Proyectada (Barra B)]]*165/Table110[[#This Row],[TOTAL MW]])</f>
        <v>#N/A</v>
      </c>
      <c r="P147" s="90"/>
      <c r="Q147" s="90"/>
      <c r="R147" s="93"/>
      <c r="S147" s="93"/>
    </row>
    <row r="148" spans="2:19" x14ac:dyDescent="0.25">
      <c r="B148" s="91">
        <f t="shared" si="7"/>
        <v>45618.124999999651</v>
      </c>
      <c r="C148" s="52">
        <f t="shared" si="8"/>
        <v>6.1250000000000089</v>
      </c>
      <c r="D148" s="92">
        <f>Table110[[#This Row],[Fecha]]</f>
        <v>45618.124999999651</v>
      </c>
      <c r="E148" s="53" t="e">
        <f>VLOOKUP(Table110[[#This Row],[FECHA /HORA]],TBL_CalcDarwin[],7,0)</f>
        <v>#N/A</v>
      </c>
      <c r="F148" s="53" t="e">
        <f>VLOOKUP(Table110[[#This Row],[FECHA /HORA]],TBL_CalcDarwin[],42,0)</f>
        <v>#N/A</v>
      </c>
      <c r="G148" s="53" t="e">
        <f>VLOOKUP(Table110[[#This Row],[FECHA /HORA]],TBL_CalcDarwin[],43,0)</f>
        <v>#N/A</v>
      </c>
      <c r="H148" s="53" t="e">
        <f>VLOOKUP(Table110[[#This Row],[FECHA /HORA]],TBL_CalcDarwin[],40,0)</f>
        <v>#N/A</v>
      </c>
      <c r="I148" s="53" t="e">
        <f>VLOOKUP(Table110[[#This Row],[FECHA /HORA]],TBL_CalcDarwin[],41,0)</f>
        <v>#N/A</v>
      </c>
      <c r="J148" s="53" t="e">
        <f>Table110[[#This Row],[MW Proyectada (Barra A)]]+Table110[[#This Row],[MW Proyectada (Barra B)]]</f>
        <v>#N/A</v>
      </c>
      <c r="L148" s="53" t="e">
        <f t="shared" si="6"/>
        <v>#N/A</v>
      </c>
      <c r="M148" s="53" t="e">
        <f>IF(Table110[[#This Row],[TOTAL MW]]&lt;165,Table110[[#This Row],[MW Proyectada (Barra A)]],Table110[[#This Row],[MW Proyectada (Barra A)]]*165/Table110[[#This Row],[TOTAL MW]])</f>
        <v>#N/A</v>
      </c>
      <c r="N148" s="53" t="e">
        <f>IF(Table110[[#This Row],[TOTAL MW]]&lt;165,Table110[[#This Row],[MW Proyectada (Barra B)]],Table110[[#This Row],[MW Proyectada (Barra B)]]*165/Table110[[#This Row],[TOTAL MW]])</f>
        <v>#N/A</v>
      </c>
      <c r="P148" s="90"/>
      <c r="Q148" s="90"/>
      <c r="R148" s="93"/>
      <c r="S148" s="93"/>
    </row>
    <row r="149" spans="2:19" x14ac:dyDescent="0.25">
      <c r="B149" s="91">
        <f t="shared" si="7"/>
        <v>45618.166666666315</v>
      </c>
      <c r="C149" s="52">
        <f t="shared" si="8"/>
        <v>6.1666666666666758</v>
      </c>
      <c r="D149" s="92">
        <f>Table110[[#This Row],[Fecha]]</f>
        <v>45618.166666666315</v>
      </c>
      <c r="E149" s="53" t="e">
        <f>VLOOKUP(Table110[[#This Row],[FECHA /HORA]],TBL_CalcDarwin[],7,0)</f>
        <v>#N/A</v>
      </c>
      <c r="F149" s="53" t="e">
        <f>VLOOKUP(Table110[[#This Row],[FECHA /HORA]],TBL_CalcDarwin[],42,0)</f>
        <v>#N/A</v>
      </c>
      <c r="G149" s="53" t="e">
        <f>VLOOKUP(Table110[[#This Row],[FECHA /HORA]],TBL_CalcDarwin[],43,0)</f>
        <v>#N/A</v>
      </c>
      <c r="H149" s="53" t="e">
        <f>VLOOKUP(Table110[[#This Row],[FECHA /HORA]],TBL_CalcDarwin[],40,0)</f>
        <v>#N/A</v>
      </c>
      <c r="I149" s="53" t="e">
        <f>VLOOKUP(Table110[[#This Row],[FECHA /HORA]],TBL_CalcDarwin[],41,0)</f>
        <v>#N/A</v>
      </c>
      <c r="J149" s="53" t="e">
        <f>Table110[[#This Row],[MW Proyectada (Barra A)]]+Table110[[#This Row],[MW Proyectada (Barra B)]]</f>
        <v>#N/A</v>
      </c>
      <c r="L149" s="53" t="e">
        <f t="shared" si="6"/>
        <v>#N/A</v>
      </c>
      <c r="M149" s="53" t="e">
        <f>IF(Table110[[#This Row],[TOTAL MW]]&lt;165,Table110[[#This Row],[MW Proyectada (Barra A)]],Table110[[#This Row],[MW Proyectada (Barra A)]]*165/Table110[[#This Row],[TOTAL MW]])</f>
        <v>#N/A</v>
      </c>
      <c r="N149" s="53" t="e">
        <f>IF(Table110[[#This Row],[TOTAL MW]]&lt;165,Table110[[#This Row],[MW Proyectada (Barra B)]],Table110[[#This Row],[MW Proyectada (Barra B)]]*165/Table110[[#This Row],[TOTAL MW]])</f>
        <v>#N/A</v>
      </c>
      <c r="P149" s="90"/>
      <c r="Q149" s="90"/>
      <c r="R149" s="93"/>
      <c r="S149" s="93"/>
    </row>
    <row r="150" spans="2:19" x14ac:dyDescent="0.25">
      <c r="B150" s="91">
        <f t="shared" si="7"/>
        <v>45618.208333332979</v>
      </c>
      <c r="C150" s="52">
        <f t="shared" si="8"/>
        <v>6.2083333333333428</v>
      </c>
      <c r="D150" s="92">
        <f>Table110[[#This Row],[Fecha]]</f>
        <v>45618.208333332979</v>
      </c>
      <c r="E150" s="53" t="e">
        <f>VLOOKUP(Table110[[#This Row],[FECHA /HORA]],TBL_CalcDarwin[],7,0)</f>
        <v>#N/A</v>
      </c>
      <c r="F150" s="53" t="e">
        <f>VLOOKUP(Table110[[#This Row],[FECHA /HORA]],TBL_CalcDarwin[],42,0)</f>
        <v>#N/A</v>
      </c>
      <c r="G150" s="53" t="e">
        <f>VLOOKUP(Table110[[#This Row],[FECHA /HORA]],TBL_CalcDarwin[],43,0)</f>
        <v>#N/A</v>
      </c>
      <c r="H150" s="53" t="e">
        <f>VLOOKUP(Table110[[#This Row],[FECHA /HORA]],TBL_CalcDarwin[],40,0)</f>
        <v>#N/A</v>
      </c>
      <c r="I150" s="53" t="e">
        <f>VLOOKUP(Table110[[#This Row],[FECHA /HORA]],TBL_CalcDarwin[],41,0)</f>
        <v>#N/A</v>
      </c>
      <c r="J150" s="53" t="e">
        <f>Table110[[#This Row],[MW Proyectada (Barra A)]]+Table110[[#This Row],[MW Proyectada (Barra B)]]</f>
        <v>#N/A</v>
      </c>
      <c r="L150" s="53" t="e">
        <f t="shared" si="6"/>
        <v>#N/A</v>
      </c>
      <c r="M150" s="53" t="e">
        <f>IF(Table110[[#This Row],[TOTAL MW]]&lt;165,Table110[[#This Row],[MW Proyectada (Barra A)]],Table110[[#This Row],[MW Proyectada (Barra A)]]*165/Table110[[#This Row],[TOTAL MW]])</f>
        <v>#N/A</v>
      </c>
      <c r="N150" s="53" t="e">
        <f>IF(Table110[[#This Row],[TOTAL MW]]&lt;165,Table110[[#This Row],[MW Proyectada (Barra B)]],Table110[[#This Row],[MW Proyectada (Barra B)]]*165/Table110[[#This Row],[TOTAL MW]])</f>
        <v>#N/A</v>
      </c>
      <c r="P150" s="90"/>
      <c r="Q150" s="90"/>
      <c r="R150" s="93"/>
      <c r="S150" s="93"/>
    </row>
    <row r="151" spans="2:19" x14ac:dyDescent="0.25">
      <c r="B151" s="91">
        <f t="shared" si="7"/>
        <v>45618.249999999643</v>
      </c>
      <c r="C151" s="52">
        <f t="shared" si="8"/>
        <v>6.2500000000000098</v>
      </c>
      <c r="D151" s="92">
        <f>Table110[[#This Row],[Fecha]]</f>
        <v>45618.249999999643</v>
      </c>
      <c r="E151" s="53" t="e">
        <f>VLOOKUP(Table110[[#This Row],[FECHA /HORA]],TBL_CalcDarwin[],7,0)</f>
        <v>#N/A</v>
      </c>
      <c r="F151" s="53" t="e">
        <f>VLOOKUP(Table110[[#This Row],[FECHA /HORA]],TBL_CalcDarwin[],42,0)</f>
        <v>#N/A</v>
      </c>
      <c r="G151" s="53" t="e">
        <f>VLOOKUP(Table110[[#This Row],[FECHA /HORA]],TBL_CalcDarwin[],43,0)</f>
        <v>#N/A</v>
      </c>
      <c r="H151" s="53" t="e">
        <f>VLOOKUP(Table110[[#This Row],[FECHA /HORA]],TBL_CalcDarwin[],40,0)</f>
        <v>#N/A</v>
      </c>
      <c r="I151" s="53" t="e">
        <f>VLOOKUP(Table110[[#This Row],[FECHA /HORA]],TBL_CalcDarwin[],41,0)</f>
        <v>#N/A</v>
      </c>
      <c r="J151" s="53" t="e">
        <f>Table110[[#This Row],[MW Proyectada (Barra A)]]+Table110[[#This Row],[MW Proyectada (Barra B)]]</f>
        <v>#N/A</v>
      </c>
      <c r="L151" s="53" t="e">
        <f t="shared" si="6"/>
        <v>#N/A</v>
      </c>
      <c r="M151" s="53" t="e">
        <f>IF(Table110[[#This Row],[TOTAL MW]]&lt;165,Table110[[#This Row],[MW Proyectada (Barra A)]],Table110[[#This Row],[MW Proyectada (Barra A)]]*165/Table110[[#This Row],[TOTAL MW]])</f>
        <v>#N/A</v>
      </c>
      <c r="N151" s="53" t="e">
        <f>IF(Table110[[#This Row],[TOTAL MW]]&lt;165,Table110[[#This Row],[MW Proyectada (Barra B)]],Table110[[#This Row],[MW Proyectada (Barra B)]]*165/Table110[[#This Row],[TOTAL MW]])</f>
        <v>#N/A</v>
      </c>
      <c r="P151" s="90"/>
      <c r="Q151" s="90"/>
      <c r="R151" s="93"/>
      <c r="S151" s="93"/>
    </row>
    <row r="152" spans="2:19" x14ac:dyDescent="0.25">
      <c r="B152" s="91">
        <f t="shared" si="7"/>
        <v>45618.291666666308</v>
      </c>
      <c r="C152" s="52">
        <f t="shared" si="8"/>
        <v>6.2916666666666767</v>
      </c>
      <c r="D152" s="92">
        <f>Table110[[#This Row],[Fecha]]</f>
        <v>45618.291666666308</v>
      </c>
      <c r="E152" s="53" t="e">
        <f>VLOOKUP(Table110[[#This Row],[FECHA /HORA]],TBL_CalcDarwin[],7,0)</f>
        <v>#N/A</v>
      </c>
      <c r="F152" s="53" t="e">
        <f>VLOOKUP(Table110[[#This Row],[FECHA /HORA]],TBL_CalcDarwin[],42,0)</f>
        <v>#N/A</v>
      </c>
      <c r="G152" s="53" t="e">
        <f>VLOOKUP(Table110[[#This Row],[FECHA /HORA]],TBL_CalcDarwin[],43,0)</f>
        <v>#N/A</v>
      </c>
      <c r="H152" s="53" t="e">
        <f>VLOOKUP(Table110[[#This Row],[FECHA /HORA]],TBL_CalcDarwin[],40,0)</f>
        <v>#N/A</v>
      </c>
      <c r="I152" s="53" t="e">
        <f>VLOOKUP(Table110[[#This Row],[FECHA /HORA]],TBL_CalcDarwin[],41,0)</f>
        <v>#N/A</v>
      </c>
      <c r="J152" s="53" t="e">
        <f>Table110[[#This Row],[MW Proyectada (Barra A)]]+Table110[[#This Row],[MW Proyectada (Barra B)]]</f>
        <v>#N/A</v>
      </c>
      <c r="L152" s="53" t="e">
        <f t="shared" si="6"/>
        <v>#N/A</v>
      </c>
      <c r="M152" s="53" t="e">
        <f>IF(Table110[[#This Row],[TOTAL MW]]&lt;165,Table110[[#This Row],[MW Proyectada (Barra A)]],Table110[[#This Row],[MW Proyectada (Barra A)]]*165/Table110[[#This Row],[TOTAL MW]])</f>
        <v>#N/A</v>
      </c>
      <c r="N152" s="53" t="e">
        <f>IF(Table110[[#This Row],[TOTAL MW]]&lt;165,Table110[[#This Row],[MW Proyectada (Barra B)]],Table110[[#This Row],[MW Proyectada (Barra B)]]*165/Table110[[#This Row],[TOTAL MW]])</f>
        <v>#N/A</v>
      </c>
      <c r="P152" s="90"/>
      <c r="Q152" s="90"/>
      <c r="R152" s="93"/>
      <c r="S152" s="93"/>
    </row>
    <row r="153" spans="2:19" x14ac:dyDescent="0.25">
      <c r="B153" s="91">
        <f t="shared" si="7"/>
        <v>45618.333333332972</v>
      </c>
      <c r="C153" s="52">
        <f t="shared" si="8"/>
        <v>6.3333333333333437</v>
      </c>
      <c r="D153" s="92">
        <f>Table110[[#This Row],[Fecha]]</f>
        <v>45618.333333332972</v>
      </c>
      <c r="E153" s="53" t="e">
        <f>VLOOKUP(Table110[[#This Row],[FECHA /HORA]],TBL_CalcDarwin[],7,0)</f>
        <v>#N/A</v>
      </c>
      <c r="F153" s="53" t="e">
        <f>VLOOKUP(Table110[[#This Row],[FECHA /HORA]],TBL_CalcDarwin[],42,0)</f>
        <v>#N/A</v>
      </c>
      <c r="G153" s="53" t="e">
        <f>VLOOKUP(Table110[[#This Row],[FECHA /HORA]],TBL_CalcDarwin[],43,0)</f>
        <v>#N/A</v>
      </c>
      <c r="H153" s="53" t="e">
        <f>VLOOKUP(Table110[[#This Row],[FECHA /HORA]],TBL_CalcDarwin[],40,0)</f>
        <v>#N/A</v>
      </c>
      <c r="I153" s="53" t="e">
        <f>VLOOKUP(Table110[[#This Row],[FECHA /HORA]],TBL_CalcDarwin[],41,0)</f>
        <v>#N/A</v>
      </c>
      <c r="J153" s="53" t="e">
        <f>Table110[[#This Row],[MW Proyectada (Barra A)]]+Table110[[#This Row],[MW Proyectada (Barra B)]]</f>
        <v>#N/A</v>
      </c>
      <c r="L153" s="53" t="e">
        <f t="shared" si="6"/>
        <v>#N/A</v>
      </c>
      <c r="M153" s="53" t="e">
        <f>IF(Table110[[#This Row],[TOTAL MW]]&lt;165,Table110[[#This Row],[MW Proyectada (Barra A)]],Table110[[#This Row],[MW Proyectada (Barra A)]]*165/Table110[[#This Row],[TOTAL MW]])</f>
        <v>#N/A</v>
      </c>
      <c r="N153" s="53" t="e">
        <f>IF(Table110[[#This Row],[TOTAL MW]]&lt;165,Table110[[#This Row],[MW Proyectada (Barra B)]],Table110[[#This Row],[MW Proyectada (Barra B)]]*165/Table110[[#This Row],[TOTAL MW]])</f>
        <v>#N/A</v>
      </c>
      <c r="P153" s="90"/>
      <c r="Q153" s="90"/>
      <c r="R153" s="93"/>
      <c r="S153" s="93"/>
    </row>
    <row r="154" spans="2:19" x14ac:dyDescent="0.25">
      <c r="B154" s="91">
        <f t="shared" si="7"/>
        <v>45618.374999999636</v>
      </c>
      <c r="C154" s="52">
        <f t="shared" si="8"/>
        <v>6.3750000000000107</v>
      </c>
      <c r="D154" s="92">
        <f>Table110[[#This Row],[Fecha]]</f>
        <v>45618.374999999636</v>
      </c>
      <c r="E154" s="53" t="e">
        <f>VLOOKUP(Table110[[#This Row],[FECHA /HORA]],TBL_CalcDarwin[],7,0)</f>
        <v>#N/A</v>
      </c>
      <c r="F154" s="53" t="e">
        <f>VLOOKUP(Table110[[#This Row],[FECHA /HORA]],TBL_CalcDarwin[],42,0)</f>
        <v>#N/A</v>
      </c>
      <c r="G154" s="53" t="e">
        <f>VLOOKUP(Table110[[#This Row],[FECHA /HORA]],TBL_CalcDarwin[],43,0)</f>
        <v>#N/A</v>
      </c>
      <c r="H154" s="53" t="e">
        <f>VLOOKUP(Table110[[#This Row],[FECHA /HORA]],TBL_CalcDarwin[],40,0)</f>
        <v>#N/A</v>
      </c>
      <c r="I154" s="53" t="e">
        <f>VLOOKUP(Table110[[#This Row],[FECHA /HORA]],TBL_CalcDarwin[],41,0)</f>
        <v>#N/A</v>
      </c>
      <c r="J154" s="53" t="e">
        <f>Table110[[#This Row],[MW Proyectada (Barra A)]]+Table110[[#This Row],[MW Proyectada (Barra B)]]</f>
        <v>#N/A</v>
      </c>
      <c r="L154" s="53" t="e">
        <f t="shared" si="6"/>
        <v>#N/A</v>
      </c>
      <c r="M154" s="53" t="e">
        <f>IF(Table110[[#This Row],[TOTAL MW]]&lt;165,Table110[[#This Row],[MW Proyectada (Barra A)]],Table110[[#This Row],[MW Proyectada (Barra A)]]*165/Table110[[#This Row],[TOTAL MW]])</f>
        <v>#N/A</v>
      </c>
      <c r="N154" s="53" t="e">
        <f>IF(Table110[[#This Row],[TOTAL MW]]&lt;165,Table110[[#This Row],[MW Proyectada (Barra B)]],Table110[[#This Row],[MW Proyectada (Barra B)]]*165/Table110[[#This Row],[TOTAL MW]])</f>
        <v>#N/A</v>
      </c>
      <c r="P154" s="90"/>
      <c r="Q154" s="90"/>
      <c r="R154" s="93"/>
      <c r="S154" s="93"/>
    </row>
    <row r="155" spans="2:19" x14ac:dyDescent="0.25">
      <c r="B155" s="91">
        <f t="shared" si="7"/>
        <v>45618.4166666663</v>
      </c>
      <c r="C155" s="52">
        <f t="shared" si="8"/>
        <v>6.4166666666666776</v>
      </c>
      <c r="D155" s="92">
        <f>Table110[[#This Row],[Fecha]]</f>
        <v>45618.4166666663</v>
      </c>
      <c r="E155" s="53" t="e">
        <f>VLOOKUP(Table110[[#This Row],[FECHA /HORA]],TBL_CalcDarwin[],7,0)</f>
        <v>#N/A</v>
      </c>
      <c r="F155" s="53" t="e">
        <f>VLOOKUP(Table110[[#This Row],[FECHA /HORA]],TBL_CalcDarwin[],42,0)</f>
        <v>#N/A</v>
      </c>
      <c r="G155" s="53" t="e">
        <f>VLOOKUP(Table110[[#This Row],[FECHA /HORA]],TBL_CalcDarwin[],43,0)</f>
        <v>#N/A</v>
      </c>
      <c r="H155" s="53" t="e">
        <f>VLOOKUP(Table110[[#This Row],[FECHA /HORA]],TBL_CalcDarwin[],40,0)</f>
        <v>#N/A</v>
      </c>
      <c r="I155" s="53" t="e">
        <f>VLOOKUP(Table110[[#This Row],[FECHA /HORA]],TBL_CalcDarwin[],41,0)</f>
        <v>#N/A</v>
      </c>
      <c r="J155" s="53" t="e">
        <f>Table110[[#This Row],[MW Proyectada (Barra A)]]+Table110[[#This Row],[MW Proyectada (Barra B)]]</f>
        <v>#N/A</v>
      </c>
      <c r="L155" s="53" t="e">
        <f t="shared" si="6"/>
        <v>#N/A</v>
      </c>
      <c r="M155" s="53" t="e">
        <f>IF(Table110[[#This Row],[TOTAL MW]]&lt;165,Table110[[#This Row],[MW Proyectada (Barra A)]],Table110[[#This Row],[MW Proyectada (Barra A)]]*165/Table110[[#This Row],[TOTAL MW]])</f>
        <v>#N/A</v>
      </c>
      <c r="N155" s="53" t="e">
        <f>IF(Table110[[#This Row],[TOTAL MW]]&lt;165,Table110[[#This Row],[MW Proyectada (Barra B)]],Table110[[#This Row],[MW Proyectada (Barra B)]]*165/Table110[[#This Row],[TOTAL MW]])</f>
        <v>#N/A</v>
      </c>
      <c r="P155" s="90"/>
      <c r="Q155" s="90"/>
      <c r="R155" s="93"/>
      <c r="S155" s="93"/>
    </row>
    <row r="156" spans="2:19" x14ac:dyDescent="0.25">
      <c r="B156" s="91">
        <f t="shared" si="7"/>
        <v>45618.458333332965</v>
      </c>
      <c r="C156" s="52">
        <f t="shared" si="8"/>
        <v>6.4583333333333446</v>
      </c>
      <c r="D156" s="92">
        <f>Table110[[#This Row],[Fecha]]</f>
        <v>45618.458333332965</v>
      </c>
      <c r="E156" s="53" t="e">
        <f>VLOOKUP(Table110[[#This Row],[FECHA /HORA]],TBL_CalcDarwin[],7,0)</f>
        <v>#N/A</v>
      </c>
      <c r="F156" s="53" t="e">
        <f>VLOOKUP(Table110[[#This Row],[FECHA /HORA]],TBL_CalcDarwin[],42,0)</f>
        <v>#N/A</v>
      </c>
      <c r="G156" s="53" t="e">
        <f>VLOOKUP(Table110[[#This Row],[FECHA /HORA]],TBL_CalcDarwin[],43,0)</f>
        <v>#N/A</v>
      </c>
      <c r="H156" s="53" t="e">
        <f>VLOOKUP(Table110[[#This Row],[FECHA /HORA]],TBL_CalcDarwin[],40,0)</f>
        <v>#N/A</v>
      </c>
      <c r="I156" s="53" t="e">
        <f>VLOOKUP(Table110[[#This Row],[FECHA /HORA]],TBL_CalcDarwin[],41,0)</f>
        <v>#N/A</v>
      </c>
      <c r="J156" s="53" t="e">
        <f>Table110[[#This Row],[MW Proyectada (Barra A)]]+Table110[[#This Row],[MW Proyectada (Barra B)]]</f>
        <v>#N/A</v>
      </c>
      <c r="L156" s="53" t="e">
        <f t="shared" si="6"/>
        <v>#N/A</v>
      </c>
      <c r="M156" s="53" t="e">
        <f>IF(Table110[[#This Row],[TOTAL MW]]&lt;165,Table110[[#This Row],[MW Proyectada (Barra A)]],Table110[[#This Row],[MW Proyectada (Barra A)]]*165/Table110[[#This Row],[TOTAL MW]])</f>
        <v>#N/A</v>
      </c>
      <c r="N156" s="53" t="e">
        <f>IF(Table110[[#This Row],[TOTAL MW]]&lt;165,Table110[[#This Row],[MW Proyectada (Barra B)]],Table110[[#This Row],[MW Proyectada (Barra B)]]*165/Table110[[#This Row],[TOTAL MW]])</f>
        <v>#N/A</v>
      </c>
      <c r="P156" s="90"/>
      <c r="Q156" s="90"/>
      <c r="R156" s="93"/>
      <c r="S156" s="93"/>
    </row>
    <row r="157" spans="2:19" x14ac:dyDescent="0.25">
      <c r="B157" s="91">
        <f t="shared" si="7"/>
        <v>45618.499999999629</v>
      </c>
      <c r="C157" s="52">
        <f t="shared" si="8"/>
        <v>6.5000000000000115</v>
      </c>
      <c r="D157" s="92">
        <f>Table110[[#This Row],[Fecha]]</f>
        <v>45618.499999999629</v>
      </c>
      <c r="E157" s="53" t="e">
        <f>VLOOKUP(Table110[[#This Row],[FECHA /HORA]],TBL_CalcDarwin[],7,0)</f>
        <v>#N/A</v>
      </c>
      <c r="F157" s="53" t="e">
        <f>VLOOKUP(Table110[[#This Row],[FECHA /HORA]],TBL_CalcDarwin[],42,0)</f>
        <v>#N/A</v>
      </c>
      <c r="G157" s="53" t="e">
        <f>VLOOKUP(Table110[[#This Row],[FECHA /HORA]],TBL_CalcDarwin[],43,0)</f>
        <v>#N/A</v>
      </c>
      <c r="H157" s="53" t="e">
        <f>VLOOKUP(Table110[[#This Row],[FECHA /HORA]],TBL_CalcDarwin[],40,0)</f>
        <v>#N/A</v>
      </c>
      <c r="I157" s="53" t="e">
        <f>VLOOKUP(Table110[[#This Row],[FECHA /HORA]],TBL_CalcDarwin[],41,0)</f>
        <v>#N/A</v>
      </c>
      <c r="J157" s="53" t="e">
        <f>Table110[[#This Row],[MW Proyectada (Barra A)]]+Table110[[#This Row],[MW Proyectada (Barra B)]]</f>
        <v>#N/A</v>
      </c>
      <c r="L157" s="53" t="e">
        <f t="shared" si="6"/>
        <v>#N/A</v>
      </c>
      <c r="M157" s="53" t="e">
        <f>IF(Table110[[#This Row],[TOTAL MW]]&lt;165,Table110[[#This Row],[MW Proyectada (Barra A)]],Table110[[#This Row],[MW Proyectada (Barra A)]]*165/Table110[[#This Row],[TOTAL MW]])</f>
        <v>#N/A</v>
      </c>
      <c r="N157" s="53" t="e">
        <f>IF(Table110[[#This Row],[TOTAL MW]]&lt;165,Table110[[#This Row],[MW Proyectada (Barra B)]],Table110[[#This Row],[MW Proyectada (Barra B)]]*165/Table110[[#This Row],[TOTAL MW]])</f>
        <v>#N/A</v>
      </c>
      <c r="P157" s="90"/>
      <c r="Q157" s="90"/>
      <c r="R157" s="93"/>
      <c r="S157" s="93"/>
    </row>
    <row r="158" spans="2:19" x14ac:dyDescent="0.25">
      <c r="B158" s="91">
        <f t="shared" si="7"/>
        <v>45618.541666666293</v>
      </c>
      <c r="C158" s="52">
        <f t="shared" si="8"/>
        <v>6.5416666666666785</v>
      </c>
      <c r="D158" s="92">
        <f>Table110[[#This Row],[Fecha]]</f>
        <v>45618.541666666293</v>
      </c>
      <c r="E158" s="53" t="e">
        <f>VLOOKUP(Table110[[#This Row],[FECHA /HORA]],TBL_CalcDarwin[],7,0)</f>
        <v>#N/A</v>
      </c>
      <c r="F158" s="53" t="e">
        <f>VLOOKUP(Table110[[#This Row],[FECHA /HORA]],TBL_CalcDarwin[],42,0)</f>
        <v>#N/A</v>
      </c>
      <c r="G158" s="53" t="e">
        <f>VLOOKUP(Table110[[#This Row],[FECHA /HORA]],TBL_CalcDarwin[],43,0)</f>
        <v>#N/A</v>
      </c>
      <c r="H158" s="53" t="e">
        <f>VLOOKUP(Table110[[#This Row],[FECHA /HORA]],TBL_CalcDarwin[],40,0)</f>
        <v>#N/A</v>
      </c>
      <c r="I158" s="53" t="e">
        <f>VLOOKUP(Table110[[#This Row],[FECHA /HORA]],TBL_CalcDarwin[],41,0)</f>
        <v>#N/A</v>
      </c>
      <c r="J158" s="53" t="e">
        <f>Table110[[#This Row],[MW Proyectada (Barra A)]]+Table110[[#This Row],[MW Proyectada (Barra B)]]</f>
        <v>#N/A</v>
      </c>
      <c r="L158" s="53" t="e">
        <f t="shared" si="6"/>
        <v>#N/A</v>
      </c>
      <c r="M158" s="53" t="e">
        <f>IF(Table110[[#This Row],[TOTAL MW]]&lt;165,Table110[[#This Row],[MW Proyectada (Barra A)]],Table110[[#This Row],[MW Proyectada (Barra A)]]*165/Table110[[#This Row],[TOTAL MW]])</f>
        <v>#N/A</v>
      </c>
      <c r="N158" s="53" t="e">
        <f>IF(Table110[[#This Row],[TOTAL MW]]&lt;165,Table110[[#This Row],[MW Proyectada (Barra B)]],Table110[[#This Row],[MW Proyectada (Barra B)]]*165/Table110[[#This Row],[TOTAL MW]])</f>
        <v>#N/A</v>
      </c>
      <c r="P158" s="90"/>
      <c r="Q158" s="90"/>
      <c r="R158" s="93"/>
      <c r="S158" s="93"/>
    </row>
    <row r="159" spans="2:19" x14ac:dyDescent="0.25">
      <c r="B159" s="91">
        <f t="shared" si="7"/>
        <v>45618.583333332957</v>
      </c>
      <c r="C159" s="52">
        <f t="shared" si="8"/>
        <v>6.5833333333333455</v>
      </c>
      <c r="D159" s="92">
        <f>Table110[[#This Row],[Fecha]]</f>
        <v>45618.583333332957</v>
      </c>
      <c r="E159" s="53" t="e">
        <f>VLOOKUP(Table110[[#This Row],[FECHA /HORA]],TBL_CalcDarwin[],7,0)</f>
        <v>#N/A</v>
      </c>
      <c r="F159" s="53" t="e">
        <f>VLOOKUP(Table110[[#This Row],[FECHA /HORA]],TBL_CalcDarwin[],42,0)</f>
        <v>#N/A</v>
      </c>
      <c r="G159" s="53" t="e">
        <f>VLOOKUP(Table110[[#This Row],[FECHA /HORA]],TBL_CalcDarwin[],43,0)</f>
        <v>#N/A</v>
      </c>
      <c r="H159" s="53" t="e">
        <f>VLOOKUP(Table110[[#This Row],[FECHA /HORA]],TBL_CalcDarwin[],40,0)</f>
        <v>#N/A</v>
      </c>
      <c r="I159" s="53" t="e">
        <f>VLOOKUP(Table110[[#This Row],[FECHA /HORA]],TBL_CalcDarwin[],41,0)</f>
        <v>#N/A</v>
      </c>
      <c r="J159" s="53" t="e">
        <f>Table110[[#This Row],[MW Proyectada (Barra A)]]+Table110[[#This Row],[MW Proyectada (Barra B)]]</f>
        <v>#N/A</v>
      </c>
      <c r="L159" s="53" t="e">
        <f t="shared" si="6"/>
        <v>#N/A</v>
      </c>
      <c r="M159" s="53" t="e">
        <f>IF(Table110[[#This Row],[TOTAL MW]]&lt;165,Table110[[#This Row],[MW Proyectada (Barra A)]],Table110[[#This Row],[MW Proyectada (Barra A)]]*165/Table110[[#This Row],[TOTAL MW]])</f>
        <v>#N/A</v>
      </c>
      <c r="N159" s="53" t="e">
        <f>IF(Table110[[#This Row],[TOTAL MW]]&lt;165,Table110[[#This Row],[MW Proyectada (Barra B)]],Table110[[#This Row],[MW Proyectada (Barra B)]]*165/Table110[[#This Row],[TOTAL MW]])</f>
        <v>#N/A</v>
      </c>
      <c r="P159" s="90"/>
      <c r="Q159" s="90"/>
      <c r="R159" s="93"/>
      <c r="S159" s="93"/>
    </row>
    <row r="160" spans="2:19" x14ac:dyDescent="0.25">
      <c r="B160" s="91">
        <f t="shared" si="7"/>
        <v>45618.624999999622</v>
      </c>
      <c r="C160" s="52">
        <f t="shared" si="8"/>
        <v>6.6250000000000124</v>
      </c>
      <c r="D160" s="92">
        <f>Table110[[#This Row],[Fecha]]</f>
        <v>45618.624999999622</v>
      </c>
      <c r="E160" s="53" t="e">
        <f>VLOOKUP(Table110[[#This Row],[FECHA /HORA]],TBL_CalcDarwin[],7,0)</f>
        <v>#N/A</v>
      </c>
      <c r="F160" s="53" t="e">
        <f>VLOOKUP(Table110[[#This Row],[FECHA /HORA]],TBL_CalcDarwin[],42,0)</f>
        <v>#N/A</v>
      </c>
      <c r="G160" s="53" t="e">
        <f>VLOOKUP(Table110[[#This Row],[FECHA /HORA]],TBL_CalcDarwin[],43,0)</f>
        <v>#N/A</v>
      </c>
      <c r="H160" s="53" t="e">
        <f>VLOOKUP(Table110[[#This Row],[FECHA /HORA]],TBL_CalcDarwin[],40,0)</f>
        <v>#N/A</v>
      </c>
      <c r="I160" s="53" t="e">
        <f>VLOOKUP(Table110[[#This Row],[FECHA /HORA]],TBL_CalcDarwin[],41,0)</f>
        <v>#N/A</v>
      </c>
      <c r="J160" s="53" t="e">
        <f>Table110[[#This Row],[MW Proyectada (Barra A)]]+Table110[[#This Row],[MW Proyectada (Barra B)]]</f>
        <v>#N/A</v>
      </c>
      <c r="L160" s="53" t="e">
        <f t="shared" si="6"/>
        <v>#N/A</v>
      </c>
      <c r="M160" s="53" t="e">
        <f>IF(Table110[[#This Row],[TOTAL MW]]&lt;165,Table110[[#This Row],[MW Proyectada (Barra A)]],Table110[[#This Row],[MW Proyectada (Barra A)]]*165/Table110[[#This Row],[TOTAL MW]])</f>
        <v>#N/A</v>
      </c>
      <c r="N160" s="53" t="e">
        <f>IF(Table110[[#This Row],[TOTAL MW]]&lt;165,Table110[[#This Row],[MW Proyectada (Barra B)]],Table110[[#This Row],[MW Proyectada (Barra B)]]*165/Table110[[#This Row],[TOTAL MW]])</f>
        <v>#N/A</v>
      </c>
      <c r="P160" s="90"/>
      <c r="Q160" s="90"/>
      <c r="R160" s="93"/>
      <c r="S160" s="93"/>
    </row>
    <row r="161" spans="2:19" x14ac:dyDescent="0.25">
      <c r="B161" s="91">
        <f t="shared" si="7"/>
        <v>45618.666666666286</v>
      </c>
      <c r="C161" s="52">
        <f t="shared" si="8"/>
        <v>6.6666666666666794</v>
      </c>
      <c r="D161" s="92">
        <f>Table110[[#This Row],[Fecha]]</f>
        <v>45618.666666666286</v>
      </c>
      <c r="E161" s="53" t="e">
        <f>VLOOKUP(Table110[[#This Row],[FECHA /HORA]],TBL_CalcDarwin[],7,0)</f>
        <v>#N/A</v>
      </c>
      <c r="F161" s="53" t="e">
        <f>VLOOKUP(Table110[[#This Row],[FECHA /HORA]],TBL_CalcDarwin[],42,0)</f>
        <v>#N/A</v>
      </c>
      <c r="G161" s="53" t="e">
        <f>VLOOKUP(Table110[[#This Row],[FECHA /HORA]],TBL_CalcDarwin[],43,0)</f>
        <v>#N/A</v>
      </c>
      <c r="H161" s="53" t="e">
        <f>VLOOKUP(Table110[[#This Row],[FECHA /HORA]],TBL_CalcDarwin[],40,0)</f>
        <v>#N/A</v>
      </c>
      <c r="I161" s="53" t="e">
        <f>VLOOKUP(Table110[[#This Row],[FECHA /HORA]],TBL_CalcDarwin[],41,0)</f>
        <v>#N/A</v>
      </c>
      <c r="J161" s="53" t="e">
        <f>Table110[[#This Row],[MW Proyectada (Barra A)]]+Table110[[#This Row],[MW Proyectada (Barra B)]]</f>
        <v>#N/A</v>
      </c>
      <c r="L161" s="53" t="e">
        <f t="shared" si="6"/>
        <v>#N/A</v>
      </c>
      <c r="M161" s="53" t="e">
        <f>IF(Table110[[#This Row],[TOTAL MW]]&lt;165,Table110[[#This Row],[MW Proyectada (Barra A)]],Table110[[#This Row],[MW Proyectada (Barra A)]]*165/Table110[[#This Row],[TOTAL MW]])</f>
        <v>#N/A</v>
      </c>
      <c r="N161" s="53" t="e">
        <f>IF(Table110[[#This Row],[TOTAL MW]]&lt;165,Table110[[#This Row],[MW Proyectada (Barra B)]],Table110[[#This Row],[MW Proyectada (Barra B)]]*165/Table110[[#This Row],[TOTAL MW]])</f>
        <v>#N/A</v>
      </c>
      <c r="P161" s="90"/>
      <c r="Q161" s="90"/>
      <c r="R161" s="93"/>
      <c r="S161" s="93"/>
    </row>
    <row r="162" spans="2:19" x14ac:dyDescent="0.25">
      <c r="B162" s="91">
        <f t="shared" si="7"/>
        <v>45618.70833333295</v>
      </c>
      <c r="C162" s="52">
        <f t="shared" si="8"/>
        <v>6.7083333333333464</v>
      </c>
      <c r="D162" s="92">
        <f>Table110[[#This Row],[Fecha]]</f>
        <v>45618.70833333295</v>
      </c>
      <c r="E162" s="53" t="e">
        <f>VLOOKUP(Table110[[#This Row],[FECHA /HORA]],TBL_CalcDarwin[],7,0)</f>
        <v>#N/A</v>
      </c>
      <c r="F162" s="53" t="e">
        <f>VLOOKUP(Table110[[#This Row],[FECHA /HORA]],TBL_CalcDarwin[],42,0)</f>
        <v>#N/A</v>
      </c>
      <c r="G162" s="53" t="e">
        <f>VLOOKUP(Table110[[#This Row],[FECHA /HORA]],TBL_CalcDarwin[],43,0)</f>
        <v>#N/A</v>
      </c>
      <c r="H162" s="53" t="e">
        <f>VLOOKUP(Table110[[#This Row],[FECHA /HORA]],TBL_CalcDarwin[],40,0)</f>
        <v>#N/A</v>
      </c>
      <c r="I162" s="53" t="e">
        <f>VLOOKUP(Table110[[#This Row],[FECHA /HORA]],TBL_CalcDarwin[],41,0)</f>
        <v>#N/A</v>
      </c>
      <c r="J162" s="53" t="e">
        <f>Table110[[#This Row],[MW Proyectada (Barra A)]]+Table110[[#This Row],[MW Proyectada (Barra B)]]</f>
        <v>#N/A</v>
      </c>
      <c r="L162" s="53" t="e">
        <f t="shared" si="6"/>
        <v>#N/A</v>
      </c>
      <c r="M162" s="53" t="e">
        <f>IF(Table110[[#This Row],[TOTAL MW]]&lt;165,Table110[[#This Row],[MW Proyectada (Barra A)]],Table110[[#This Row],[MW Proyectada (Barra A)]]*165/Table110[[#This Row],[TOTAL MW]])</f>
        <v>#N/A</v>
      </c>
      <c r="N162" s="53" t="e">
        <f>IF(Table110[[#This Row],[TOTAL MW]]&lt;165,Table110[[#This Row],[MW Proyectada (Barra B)]],Table110[[#This Row],[MW Proyectada (Barra B)]]*165/Table110[[#This Row],[TOTAL MW]])</f>
        <v>#N/A</v>
      </c>
      <c r="P162" s="90"/>
      <c r="Q162" s="90"/>
      <c r="R162" s="93"/>
      <c r="S162" s="93"/>
    </row>
    <row r="163" spans="2:19" x14ac:dyDescent="0.25">
      <c r="B163" s="91">
        <f t="shared" si="7"/>
        <v>45618.749999999614</v>
      </c>
      <c r="C163" s="52">
        <f t="shared" si="8"/>
        <v>6.7500000000000133</v>
      </c>
      <c r="D163" s="92">
        <f>Table110[[#This Row],[Fecha]]</f>
        <v>45618.749999999614</v>
      </c>
      <c r="E163" s="53" t="e">
        <f>VLOOKUP(Table110[[#This Row],[FECHA /HORA]],TBL_CalcDarwin[],7,0)</f>
        <v>#N/A</v>
      </c>
      <c r="F163" s="53" t="e">
        <f>VLOOKUP(Table110[[#This Row],[FECHA /HORA]],TBL_CalcDarwin[],42,0)</f>
        <v>#N/A</v>
      </c>
      <c r="G163" s="53" t="e">
        <f>VLOOKUP(Table110[[#This Row],[FECHA /HORA]],TBL_CalcDarwin[],43,0)</f>
        <v>#N/A</v>
      </c>
      <c r="H163" s="53" t="e">
        <f>VLOOKUP(Table110[[#This Row],[FECHA /HORA]],TBL_CalcDarwin[],40,0)</f>
        <v>#N/A</v>
      </c>
      <c r="I163" s="53" t="e">
        <f>VLOOKUP(Table110[[#This Row],[FECHA /HORA]],TBL_CalcDarwin[],41,0)</f>
        <v>#N/A</v>
      </c>
      <c r="J163" s="53" t="e">
        <f>Table110[[#This Row],[MW Proyectada (Barra A)]]+Table110[[#This Row],[MW Proyectada (Barra B)]]</f>
        <v>#N/A</v>
      </c>
      <c r="L163" s="53" t="e">
        <f t="shared" si="6"/>
        <v>#N/A</v>
      </c>
      <c r="M163" s="53" t="e">
        <f>IF(Table110[[#This Row],[TOTAL MW]]&lt;165,Table110[[#This Row],[MW Proyectada (Barra A)]],Table110[[#This Row],[MW Proyectada (Barra A)]]*165/Table110[[#This Row],[TOTAL MW]])</f>
        <v>#N/A</v>
      </c>
      <c r="N163" s="53" t="e">
        <f>IF(Table110[[#This Row],[TOTAL MW]]&lt;165,Table110[[#This Row],[MW Proyectada (Barra B)]],Table110[[#This Row],[MW Proyectada (Barra B)]]*165/Table110[[#This Row],[TOTAL MW]])</f>
        <v>#N/A</v>
      </c>
      <c r="P163" s="90"/>
      <c r="Q163" s="90"/>
      <c r="R163" s="93"/>
      <c r="S163" s="93"/>
    </row>
    <row r="164" spans="2:19" x14ac:dyDescent="0.25">
      <c r="B164" s="91">
        <f t="shared" si="7"/>
        <v>45618.791666666279</v>
      </c>
      <c r="C164" s="52">
        <f t="shared" si="8"/>
        <v>6.7916666666666803</v>
      </c>
      <c r="D164" s="92">
        <f>Table110[[#This Row],[Fecha]]</f>
        <v>45618.791666666279</v>
      </c>
      <c r="E164" s="53" t="e">
        <f>VLOOKUP(Table110[[#This Row],[FECHA /HORA]],TBL_CalcDarwin[],7,0)</f>
        <v>#N/A</v>
      </c>
      <c r="F164" s="53" t="e">
        <f>VLOOKUP(Table110[[#This Row],[FECHA /HORA]],TBL_CalcDarwin[],42,0)</f>
        <v>#N/A</v>
      </c>
      <c r="G164" s="53" t="e">
        <f>VLOOKUP(Table110[[#This Row],[FECHA /HORA]],TBL_CalcDarwin[],43,0)</f>
        <v>#N/A</v>
      </c>
      <c r="H164" s="53" t="e">
        <f>VLOOKUP(Table110[[#This Row],[FECHA /HORA]],TBL_CalcDarwin[],40,0)</f>
        <v>#N/A</v>
      </c>
      <c r="I164" s="53" t="e">
        <f>VLOOKUP(Table110[[#This Row],[FECHA /HORA]],TBL_CalcDarwin[],41,0)</f>
        <v>#N/A</v>
      </c>
      <c r="J164" s="53" t="e">
        <f>Table110[[#This Row],[MW Proyectada (Barra A)]]+Table110[[#This Row],[MW Proyectada (Barra B)]]</f>
        <v>#N/A</v>
      </c>
      <c r="L164" s="53" t="e">
        <f t="shared" si="6"/>
        <v>#N/A</v>
      </c>
      <c r="M164" s="53" t="e">
        <f>IF(Table110[[#This Row],[TOTAL MW]]&lt;165,Table110[[#This Row],[MW Proyectada (Barra A)]],Table110[[#This Row],[MW Proyectada (Barra A)]]*165/Table110[[#This Row],[TOTAL MW]])</f>
        <v>#N/A</v>
      </c>
      <c r="N164" s="53" t="e">
        <f>IF(Table110[[#This Row],[TOTAL MW]]&lt;165,Table110[[#This Row],[MW Proyectada (Barra B)]],Table110[[#This Row],[MW Proyectada (Barra B)]]*165/Table110[[#This Row],[TOTAL MW]])</f>
        <v>#N/A</v>
      </c>
      <c r="P164" s="90"/>
      <c r="Q164" s="90"/>
      <c r="R164" s="93"/>
      <c r="S164" s="93"/>
    </row>
    <row r="165" spans="2:19" x14ac:dyDescent="0.25">
      <c r="B165" s="91">
        <f t="shared" si="7"/>
        <v>45618.833333332943</v>
      </c>
      <c r="C165" s="52">
        <f t="shared" si="8"/>
        <v>6.8333333333333472</v>
      </c>
      <c r="D165" s="92">
        <f>Table110[[#This Row],[Fecha]]</f>
        <v>45618.833333332943</v>
      </c>
      <c r="E165" s="53" t="e">
        <f>VLOOKUP(Table110[[#This Row],[FECHA /HORA]],TBL_CalcDarwin[],7,0)</f>
        <v>#N/A</v>
      </c>
      <c r="F165" s="53" t="e">
        <f>VLOOKUP(Table110[[#This Row],[FECHA /HORA]],TBL_CalcDarwin[],42,0)</f>
        <v>#N/A</v>
      </c>
      <c r="G165" s="53" t="e">
        <f>VLOOKUP(Table110[[#This Row],[FECHA /HORA]],TBL_CalcDarwin[],43,0)</f>
        <v>#N/A</v>
      </c>
      <c r="H165" s="53" t="e">
        <f>VLOOKUP(Table110[[#This Row],[FECHA /HORA]],TBL_CalcDarwin[],40,0)</f>
        <v>#N/A</v>
      </c>
      <c r="I165" s="53" t="e">
        <f>VLOOKUP(Table110[[#This Row],[FECHA /HORA]],TBL_CalcDarwin[],41,0)</f>
        <v>#N/A</v>
      </c>
      <c r="J165" s="53" t="e">
        <f>Table110[[#This Row],[MW Proyectada (Barra A)]]+Table110[[#This Row],[MW Proyectada (Barra B)]]</f>
        <v>#N/A</v>
      </c>
      <c r="L165" s="53" t="e">
        <f t="shared" si="6"/>
        <v>#N/A</v>
      </c>
      <c r="M165" s="53" t="e">
        <f>IF(Table110[[#This Row],[TOTAL MW]]&lt;165,Table110[[#This Row],[MW Proyectada (Barra A)]],Table110[[#This Row],[MW Proyectada (Barra A)]]*165/Table110[[#This Row],[TOTAL MW]])</f>
        <v>#N/A</v>
      </c>
      <c r="N165" s="53" t="e">
        <f>IF(Table110[[#This Row],[TOTAL MW]]&lt;165,Table110[[#This Row],[MW Proyectada (Barra B)]],Table110[[#This Row],[MW Proyectada (Barra B)]]*165/Table110[[#This Row],[TOTAL MW]])</f>
        <v>#N/A</v>
      </c>
      <c r="P165" s="90"/>
      <c r="Q165" s="90"/>
      <c r="R165" s="93"/>
      <c r="S165" s="93"/>
    </row>
    <row r="166" spans="2:19" x14ac:dyDescent="0.25">
      <c r="B166" s="91">
        <f t="shared" si="7"/>
        <v>45618.874999999607</v>
      </c>
      <c r="C166" s="52">
        <f t="shared" si="8"/>
        <v>6.8750000000000142</v>
      </c>
      <c r="D166" s="92">
        <f>Table110[[#This Row],[Fecha]]</f>
        <v>45618.874999999607</v>
      </c>
      <c r="E166" s="53" t="e">
        <f>VLOOKUP(Table110[[#This Row],[FECHA /HORA]],TBL_CalcDarwin[],7,0)</f>
        <v>#N/A</v>
      </c>
      <c r="F166" s="53" t="e">
        <f>VLOOKUP(Table110[[#This Row],[FECHA /HORA]],TBL_CalcDarwin[],42,0)</f>
        <v>#N/A</v>
      </c>
      <c r="G166" s="53" t="e">
        <f>VLOOKUP(Table110[[#This Row],[FECHA /HORA]],TBL_CalcDarwin[],43,0)</f>
        <v>#N/A</v>
      </c>
      <c r="H166" s="53" t="e">
        <f>VLOOKUP(Table110[[#This Row],[FECHA /HORA]],TBL_CalcDarwin[],40,0)</f>
        <v>#N/A</v>
      </c>
      <c r="I166" s="53" t="e">
        <f>VLOOKUP(Table110[[#This Row],[FECHA /HORA]],TBL_CalcDarwin[],41,0)</f>
        <v>#N/A</v>
      </c>
      <c r="J166" s="53" t="e">
        <f>Table110[[#This Row],[MW Proyectada (Barra A)]]+Table110[[#This Row],[MW Proyectada (Barra B)]]</f>
        <v>#N/A</v>
      </c>
      <c r="L166" s="53" t="e">
        <f t="shared" si="6"/>
        <v>#N/A</v>
      </c>
      <c r="M166" s="53" t="e">
        <f>IF(Table110[[#This Row],[TOTAL MW]]&lt;165,Table110[[#This Row],[MW Proyectada (Barra A)]],Table110[[#This Row],[MW Proyectada (Barra A)]]*165/Table110[[#This Row],[TOTAL MW]])</f>
        <v>#N/A</v>
      </c>
      <c r="N166" s="53" t="e">
        <f>IF(Table110[[#This Row],[TOTAL MW]]&lt;165,Table110[[#This Row],[MW Proyectada (Barra B)]],Table110[[#This Row],[MW Proyectada (Barra B)]]*165/Table110[[#This Row],[TOTAL MW]])</f>
        <v>#N/A</v>
      </c>
      <c r="P166" s="90"/>
      <c r="Q166" s="90"/>
      <c r="R166" s="93"/>
      <c r="S166" s="93"/>
    </row>
    <row r="167" spans="2:19" x14ac:dyDescent="0.25">
      <c r="B167" s="91">
        <f t="shared" si="7"/>
        <v>45618.916666666271</v>
      </c>
      <c r="C167" s="52">
        <f t="shared" si="8"/>
        <v>6.9166666666666812</v>
      </c>
      <c r="D167" s="92">
        <f>Table110[[#This Row],[Fecha]]</f>
        <v>45618.916666666271</v>
      </c>
      <c r="E167" s="53" t="e">
        <f>VLOOKUP(Table110[[#This Row],[FECHA /HORA]],TBL_CalcDarwin[],7,0)</f>
        <v>#N/A</v>
      </c>
      <c r="F167" s="53" t="e">
        <f>VLOOKUP(Table110[[#This Row],[FECHA /HORA]],TBL_CalcDarwin[],42,0)</f>
        <v>#N/A</v>
      </c>
      <c r="G167" s="53" t="e">
        <f>VLOOKUP(Table110[[#This Row],[FECHA /HORA]],TBL_CalcDarwin[],43,0)</f>
        <v>#N/A</v>
      </c>
      <c r="H167" s="53" t="e">
        <f>VLOOKUP(Table110[[#This Row],[FECHA /HORA]],TBL_CalcDarwin[],40,0)</f>
        <v>#N/A</v>
      </c>
      <c r="I167" s="53" t="e">
        <f>VLOOKUP(Table110[[#This Row],[FECHA /HORA]],TBL_CalcDarwin[],41,0)</f>
        <v>#N/A</v>
      </c>
      <c r="J167" s="53" t="e">
        <f>Table110[[#This Row],[MW Proyectada (Barra A)]]+Table110[[#This Row],[MW Proyectada (Barra B)]]</f>
        <v>#N/A</v>
      </c>
      <c r="L167" s="53" t="e">
        <f t="shared" si="6"/>
        <v>#N/A</v>
      </c>
      <c r="M167" s="53" t="e">
        <f>IF(Table110[[#This Row],[TOTAL MW]]&lt;165,Table110[[#This Row],[MW Proyectada (Barra A)]],Table110[[#This Row],[MW Proyectada (Barra A)]]*165/Table110[[#This Row],[TOTAL MW]])</f>
        <v>#N/A</v>
      </c>
      <c r="N167" s="53" t="e">
        <f>IF(Table110[[#This Row],[TOTAL MW]]&lt;165,Table110[[#This Row],[MW Proyectada (Barra B)]],Table110[[#This Row],[MW Proyectada (Barra B)]]*165/Table110[[#This Row],[TOTAL MW]])</f>
        <v>#N/A</v>
      </c>
      <c r="P167" s="90"/>
      <c r="Q167" s="90"/>
      <c r="R167" s="93"/>
      <c r="S167" s="93"/>
    </row>
    <row r="168" spans="2:19" x14ac:dyDescent="0.25">
      <c r="B168" s="91">
        <f t="shared" si="7"/>
        <v>45618.958333332936</v>
      </c>
      <c r="C168" s="52">
        <f t="shared" si="8"/>
        <v>6.9583333333333481</v>
      </c>
      <c r="D168" s="92">
        <f>Table110[[#This Row],[Fecha]]</f>
        <v>45618.958333332936</v>
      </c>
      <c r="E168" s="53" t="e">
        <f>VLOOKUP(Table110[[#This Row],[FECHA /HORA]],TBL_CalcDarwin[],7,0)</f>
        <v>#N/A</v>
      </c>
      <c r="F168" s="53" t="e">
        <f>VLOOKUP(Table110[[#This Row],[FECHA /HORA]],TBL_CalcDarwin[],42,0)</f>
        <v>#N/A</v>
      </c>
      <c r="G168" s="53" t="e">
        <f>VLOOKUP(Table110[[#This Row],[FECHA /HORA]],TBL_CalcDarwin[],43,0)</f>
        <v>#N/A</v>
      </c>
      <c r="H168" s="53" t="e">
        <f>VLOOKUP(Table110[[#This Row],[FECHA /HORA]],TBL_CalcDarwin[],40,0)</f>
        <v>#N/A</v>
      </c>
      <c r="I168" s="53" t="e">
        <f>VLOOKUP(Table110[[#This Row],[FECHA /HORA]],TBL_CalcDarwin[],41,0)</f>
        <v>#N/A</v>
      </c>
      <c r="J168" s="53" t="e">
        <f>Table110[[#This Row],[MW Proyectada (Barra A)]]+Table110[[#This Row],[MW Proyectada (Barra B)]]</f>
        <v>#N/A</v>
      </c>
      <c r="L168" s="53" t="e">
        <f t="shared" si="6"/>
        <v>#N/A</v>
      </c>
      <c r="M168" s="53" t="e">
        <f>IF(Table110[[#This Row],[TOTAL MW]]&lt;165,Table110[[#This Row],[MW Proyectada (Barra A)]],Table110[[#This Row],[MW Proyectada (Barra A)]]*165/Table110[[#This Row],[TOTAL MW]])</f>
        <v>#N/A</v>
      </c>
      <c r="N168" s="53" t="e">
        <f>IF(Table110[[#This Row],[TOTAL MW]]&lt;165,Table110[[#This Row],[MW Proyectada (Barra B)]],Table110[[#This Row],[MW Proyectada (Barra B)]]*165/Table110[[#This Row],[TOTAL MW]])</f>
        <v>#N/A</v>
      </c>
      <c r="P168" s="90"/>
      <c r="Q168" s="90"/>
      <c r="R168" s="93"/>
      <c r="S168" s="93"/>
    </row>
    <row r="169" spans="2:19" x14ac:dyDescent="0.25">
      <c r="B169" s="91">
        <f t="shared" si="7"/>
        <v>45618.9999999996</v>
      </c>
      <c r="C169" s="52">
        <f t="shared" si="8"/>
        <v>7.0000000000000151</v>
      </c>
      <c r="D169" s="92">
        <f>Table110[[#This Row],[Fecha]]</f>
        <v>45618.9999999996</v>
      </c>
      <c r="E169" s="53" t="e">
        <f>VLOOKUP(Table110[[#This Row],[FECHA /HORA]],TBL_CalcDarwin[],7,0)</f>
        <v>#N/A</v>
      </c>
      <c r="F169" s="53" t="e">
        <f>VLOOKUP(Table110[[#This Row],[FECHA /HORA]],TBL_CalcDarwin[],42,0)</f>
        <v>#N/A</v>
      </c>
      <c r="G169" s="53" t="e">
        <f>VLOOKUP(Table110[[#This Row],[FECHA /HORA]],TBL_CalcDarwin[],43,0)</f>
        <v>#N/A</v>
      </c>
      <c r="H169" s="53" t="e">
        <f>VLOOKUP(Table110[[#This Row],[FECHA /HORA]],TBL_CalcDarwin[],40,0)</f>
        <v>#N/A</v>
      </c>
      <c r="I169" s="53" t="e">
        <f>VLOOKUP(Table110[[#This Row],[FECHA /HORA]],TBL_CalcDarwin[],41,0)</f>
        <v>#N/A</v>
      </c>
      <c r="J169" s="53" t="e">
        <f>Table110[[#This Row],[MW Proyectada (Barra A)]]+Table110[[#This Row],[MW Proyectada (Barra B)]]</f>
        <v>#N/A</v>
      </c>
      <c r="L169" s="53" t="e">
        <f t="shared" si="6"/>
        <v>#N/A</v>
      </c>
      <c r="M169" s="53" t="e">
        <f>IF(Table110[[#This Row],[TOTAL MW]]&lt;165,Table110[[#This Row],[MW Proyectada (Barra A)]],Table110[[#This Row],[MW Proyectada (Barra A)]]*165/Table110[[#This Row],[TOTAL MW]])</f>
        <v>#N/A</v>
      </c>
      <c r="N169" s="53" t="e">
        <f>IF(Table110[[#This Row],[TOTAL MW]]&lt;165,Table110[[#This Row],[MW Proyectada (Barra B)]],Table110[[#This Row],[MW Proyectada (Barra B)]]*165/Table110[[#This Row],[TOTAL MW]])</f>
        <v>#N/A</v>
      </c>
      <c r="P169" s="90"/>
      <c r="Q169" s="90"/>
      <c r="R169" s="93"/>
      <c r="S169" s="93"/>
    </row>
    <row r="170" spans="2:19" x14ac:dyDescent="0.25">
      <c r="B170" s="91">
        <f t="shared" si="7"/>
        <v>45619.041666666264</v>
      </c>
      <c r="C170" s="52">
        <f t="shared" si="8"/>
        <v>7.0416666666666821</v>
      </c>
      <c r="D170" s="92">
        <f>Table110[[#This Row],[Fecha]]</f>
        <v>45619.041666666264</v>
      </c>
      <c r="E170" s="53" t="e">
        <f>VLOOKUP(Table110[[#This Row],[FECHA /HORA]],TBL_CalcDarwin[],7,0)</f>
        <v>#N/A</v>
      </c>
      <c r="F170" s="53" t="e">
        <f>VLOOKUP(Table110[[#This Row],[FECHA /HORA]],TBL_CalcDarwin[],42,0)</f>
        <v>#N/A</v>
      </c>
      <c r="G170" s="53" t="e">
        <f>VLOOKUP(Table110[[#This Row],[FECHA /HORA]],TBL_CalcDarwin[],43,0)</f>
        <v>#N/A</v>
      </c>
      <c r="H170" s="53" t="e">
        <f>VLOOKUP(Table110[[#This Row],[FECHA /HORA]],TBL_CalcDarwin[],40,0)</f>
        <v>#N/A</v>
      </c>
      <c r="I170" s="53" t="e">
        <f>VLOOKUP(Table110[[#This Row],[FECHA /HORA]],TBL_CalcDarwin[],41,0)</f>
        <v>#N/A</v>
      </c>
      <c r="J170" s="53" t="e">
        <f>Table110[[#This Row],[MW Proyectada (Barra A)]]+Table110[[#This Row],[MW Proyectada (Barra B)]]</f>
        <v>#N/A</v>
      </c>
      <c r="L170" s="53" t="e">
        <f t="shared" si="6"/>
        <v>#N/A</v>
      </c>
      <c r="M170" s="53" t="e">
        <f>IF(Table110[[#This Row],[TOTAL MW]]&lt;165,Table110[[#This Row],[MW Proyectada (Barra A)]],Table110[[#This Row],[MW Proyectada (Barra A)]]*165/Table110[[#This Row],[TOTAL MW]])</f>
        <v>#N/A</v>
      </c>
      <c r="N170" s="53" t="e">
        <f>IF(Table110[[#This Row],[TOTAL MW]]&lt;165,Table110[[#This Row],[MW Proyectada (Barra B)]],Table110[[#This Row],[MW Proyectada (Barra B)]]*165/Table110[[#This Row],[TOTAL MW]])</f>
        <v>#N/A</v>
      </c>
      <c r="P170" s="90"/>
      <c r="Q170" s="90"/>
      <c r="R170" s="93"/>
      <c r="S170" s="93"/>
    </row>
    <row r="171" spans="2:19" x14ac:dyDescent="0.25">
      <c r="B171" s="91">
        <f t="shared" si="7"/>
        <v>45619.083333332928</v>
      </c>
      <c r="C171" s="52">
        <f t="shared" si="8"/>
        <v>7.083333333333349</v>
      </c>
      <c r="D171" s="92">
        <f>Table110[[#This Row],[Fecha]]</f>
        <v>45619.083333332928</v>
      </c>
      <c r="E171" s="53" t="e">
        <f>VLOOKUP(Table110[[#This Row],[FECHA /HORA]],TBL_CalcDarwin[],7,0)</f>
        <v>#N/A</v>
      </c>
      <c r="F171" s="53" t="e">
        <f>VLOOKUP(Table110[[#This Row],[FECHA /HORA]],TBL_CalcDarwin[],42,0)</f>
        <v>#N/A</v>
      </c>
      <c r="G171" s="53" t="e">
        <f>VLOOKUP(Table110[[#This Row],[FECHA /HORA]],TBL_CalcDarwin[],43,0)</f>
        <v>#N/A</v>
      </c>
      <c r="H171" s="53" t="e">
        <f>VLOOKUP(Table110[[#This Row],[FECHA /HORA]],TBL_CalcDarwin[],40,0)</f>
        <v>#N/A</v>
      </c>
      <c r="I171" s="53" t="e">
        <f>VLOOKUP(Table110[[#This Row],[FECHA /HORA]],TBL_CalcDarwin[],41,0)</f>
        <v>#N/A</v>
      </c>
      <c r="J171" s="53" t="e">
        <f>Table110[[#This Row],[MW Proyectada (Barra A)]]+Table110[[#This Row],[MW Proyectada (Barra B)]]</f>
        <v>#N/A</v>
      </c>
      <c r="L171" s="53" t="e">
        <f t="shared" si="6"/>
        <v>#N/A</v>
      </c>
      <c r="M171" s="53" t="e">
        <f>IF(Table110[[#This Row],[TOTAL MW]]&lt;165,Table110[[#This Row],[MW Proyectada (Barra A)]],Table110[[#This Row],[MW Proyectada (Barra A)]]*165/Table110[[#This Row],[TOTAL MW]])</f>
        <v>#N/A</v>
      </c>
      <c r="N171" s="53" t="e">
        <f>IF(Table110[[#This Row],[TOTAL MW]]&lt;165,Table110[[#This Row],[MW Proyectada (Barra B)]],Table110[[#This Row],[MW Proyectada (Barra B)]]*165/Table110[[#This Row],[TOTAL MW]])</f>
        <v>#N/A</v>
      </c>
      <c r="P171" s="90"/>
      <c r="Q171" s="90"/>
      <c r="R171" s="93"/>
      <c r="S171" s="93"/>
    </row>
    <row r="172" spans="2:19" x14ac:dyDescent="0.25">
      <c r="B172" s="91">
        <f t="shared" si="7"/>
        <v>45619.124999999593</v>
      </c>
      <c r="C172" s="52">
        <f t="shared" si="8"/>
        <v>7.125000000000016</v>
      </c>
      <c r="D172" s="92">
        <f>Table110[[#This Row],[Fecha]]</f>
        <v>45619.124999999593</v>
      </c>
      <c r="E172" s="53" t="e">
        <f>VLOOKUP(Table110[[#This Row],[FECHA /HORA]],TBL_CalcDarwin[],7,0)</f>
        <v>#N/A</v>
      </c>
      <c r="F172" s="53" t="e">
        <f>VLOOKUP(Table110[[#This Row],[FECHA /HORA]],TBL_CalcDarwin[],42,0)</f>
        <v>#N/A</v>
      </c>
      <c r="G172" s="53" t="e">
        <f>VLOOKUP(Table110[[#This Row],[FECHA /HORA]],TBL_CalcDarwin[],43,0)</f>
        <v>#N/A</v>
      </c>
      <c r="H172" s="53" t="e">
        <f>VLOOKUP(Table110[[#This Row],[FECHA /HORA]],TBL_CalcDarwin[],40,0)</f>
        <v>#N/A</v>
      </c>
      <c r="I172" s="53" t="e">
        <f>VLOOKUP(Table110[[#This Row],[FECHA /HORA]],TBL_CalcDarwin[],41,0)</f>
        <v>#N/A</v>
      </c>
      <c r="J172" s="53" t="e">
        <f>Table110[[#This Row],[MW Proyectada (Barra A)]]+Table110[[#This Row],[MW Proyectada (Barra B)]]</f>
        <v>#N/A</v>
      </c>
      <c r="L172" s="53" t="e">
        <f t="shared" si="6"/>
        <v>#N/A</v>
      </c>
      <c r="M172" s="53" t="e">
        <f>IF(Table110[[#This Row],[TOTAL MW]]&lt;165,Table110[[#This Row],[MW Proyectada (Barra A)]],Table110[[#This Row],[MW Proyectada (Barra A)]]*165/Table110[[#This Row],[TOTAL MW]])</f>
        <v>#N/A</v>
      </c>
      <c r="N172" s="53" t="e">
        <f>IF(Table110[[#This Row],[TOTAL MW]]&lt;165,Table110[[#This Row],[MW Proyectada (Barra B)]],Table110[[#This Row],[MW Proyectada (Barra B)]]*165/Table110[[#This Row],[TOTAL MW]])</f>
        <v>#N/A</v>
      </c>
      <c r="P172" s="90"/>
      <c r="Q172" s="90"/>
      <c r="R172" s="93"/>
      <c r="S172" s="93"/>
    </row>
    <row r="173" spans="2:19" x14ac:dyDescent="0.25">
      <c r="B173" s="91">
        <f t="shared" si="7"/>
        <v>45619.166666666257</v>
      </c>
      <c r="C173" s="52">
        <f t="shared" si="8"/>
        <v>7.1666666666666829</v>
      </c>
      <c r="D173" s="92">
        <f>Table110[[#This Row],[Fecha]]</f>
        <v>45619.166666666257</v>
      </c>
      <c r="E173" s="53" t="e">
        <f>VLOOKUP(Table110[[#This Row],[FECHA /HORA]],TBL_CalcDarwin[],7,0)</f>
        <v>#N/A</v>
      </c>
      <c r="F173" s="53" t="e">
        <f>VLOOKUP(Table110[[#This Row],[FECHA /HORA]],TBL_CalcDarwin[],42,0)</f>
        <v>#N/A</v>
      </c>
      <c r="G173" s="53" t="e">
        <f>VLOOKUP(Table110[[#This Row],[FECHA /HORA]],TBL_CalcDarwin[],43,0)</f>
        <v>#N/A</v>
      </c>
      <c r="H173" s="53" t="e">
        <f>VLOOKUP(Table110[[#This Row],[FECHA /HORA]],TBL_CalcDarwin[],40,0)</f>
        <v>#N/A</v>
      </c>
      <c r="I173" s="53" t="e">
        <f>VLOOKUP(Table110[[#This Row],[FECHA /HORA]],TBL_CalcDarwin[],41,0)</f>
        <v>#N/A</v>
      </c>
      <c r="J173" s="53" t="e">
        <f>Table110[[#This Row],[MW Proyectada (Barra A)]]+Table110[[#This Row],[MW Proyectada (Barra B)]]</f>
        <v>#N/A</v>
      </c>
      <c r="L173" s="53" t="e">
        <f t="shared" si="6"/>
        <v>#N/A</v>
      </c>
      <c r="M173" s="53" t="e">
        <f>IF(Table110[[#This Row],[TOTAL MW]]&lt;165,Table110[[#This Row],[MW Proyectada (Barra A)]],Table110[[#This Row],[MW Proyectada (Barra A)]]*165/Table110[[#This Row],[TOTAL MW]])</f>
        <v>#N/A</v>
      </c>
      <c r="N173" s="53" t="e">
        <f>IF(Table110[[#This Row],[TOTAL MW]]&lt;165,Table110[[#This Row],[MW Proyectada (Barra B)]],Table110[[#This Row],[MW Proyectada (Barra B)]]*165/Table110[[#This Row],[TOTAL MW]])</f>
        <v>#N/A</v>
      </c>
      <c r="P173" s="90"/>
      <c r="Q173" s="90"/>
      <c r="R173" s="93"/>
      <c r="S173" s="93"/>
    </row>
    <row r="174" spans="2:19" x14ac:dyDescent="0.25">
      <c r="B174" s="91">
        <f t="shared" si="7"/>
        <v>45619.208333332921</v>
      </c>
      <c r="C174" s="52">
        <f t="shared" si="8"/>
        <v>7.2083333333333499</v>
      </c>
      <c r="D174" s="92">
        <f>Table110[[#This Row],[Fecha]]</f>
        <v>45619.208333332921</v>
      </c>
      <c r="E174" s="53" t="e">
        <f>VLOOKUP(Table110[[#This Row],[FECHA /HORA]],TBL_CalcDarwin[],7,0)</f>
        <v>#N/A</v>
      </c>
      <c r="F174" s="53" t="e">
        <f>VLOOKUP(Table110[[#This Row],[FECHA /HORA]],TBL_CalcDarwin[],42,0)</f>
        <v>#N/A</v>
      </c>
      <c r="G174" s="53" t="e">
        <f>VLOOKUP(Table110[[#This Row],[FECHA /HORA]],TBL_CalcDarwin[],43,0)</f>
        <v>#N/A</v>
      </c>
      <c r="H174" s="53" t="e">
        <f>VLOOKUP(Table110[[#This Row],[FECHA /HORA]],TBL_CalcDarwin[],40,0)</f>
        <v>#N/A</v>
      </c>
      <c r="I174" s="53" t="e">
        <f>VLOOKUP(Table110[[#This Row],[FECHA /HORA]],TBL_CalcDarwin[],41,0)</f>
        <v>#N/A</v>
      </c>
      <c r="J174" s="53" t="e">
        <f>Table110[[#This Row],[MW Proyectada (Barra A)]]+Table110[[#This Row],[MW Proyectada (Barra B)]]</f>
        <v>#N/A</v>
      </c>
      <c r="L174" s="53" t="e">
        <f t="shared" si="6"/>
        <v>#N/A</v>
      </c>
      <c r="M174" s="53" t="e">
        <f>IF(Table110[[#This Row],[TOTAL MW]]&lt;165,Table110[[#This Row],[MW Proyectada (Barra A)]],Table110[[#This Row],[MW Proyectada (Barra A)]]*165/Table110[[#This Row],[TOTAL MW]])</f>
        <v>#N/A</v>
      </c>
      <c r="N174" s="53" t="e">
        <f>IF(Table110[[#This Row],[TOTAL MW]]&lt;165,Table110[[#This Row],[MW Proyectada (Barra B)]],Table110[[#This Row],[MW Proyectada (Barra B)]]*165/Table110[[#This Row],[TOTAL MW]])</f>
        <v>#N/A</v>
      </c>
      <c r="P174" s="90"/>
      <c r="Q174" s="90"/>
      <c r="R174" s="93"/>
      <c r="S174" s="93"/>
    </row>
    <row r="175" spans="2:19" x14ac:dyDescent="0.25">
      <c r="B175" s="91">
        <f t="shared" si="7"/>
        <v>45619.249999999585</v>
      </c>
      <c r="C175" s="52">
        <f t="shared" si="8"/>
        <v>7.2500000000000169</v>
      </c>
      <c r="D175" s="92">
        <f>Table110[[#This Row],[Fecha]]</f>
        <v>45619.249999999585</v>
      </c>
      <c r="E175" s="53" t="e">
        <f>VLOOKUP(Table110[[#This Row],[FECHA /HORA]],TBL_CalcDarwin[],7,0)</f>
        <v>#N/A</v>
      </c>
      <c r="F175" s="53" t="e">
        <f>VLOOKUP(Table110[[#This Row],[FECHA /HORA]],TBL_CalcDarwin[],42,0)</f>
        <v>#N/A</v>
      </c>
      <c r="G175" s="53" t="e">
        <f>VLOOKUP(Table110[[#This Row],[FECHA /HORA]],TBL_CalcDarwin[],43,0)</f>
        <v>#N/A</v>
      </c>
      <c r="H175" s="53" t="e">
        <f>VLOOKUP(Table110[[#This Row],[FECHA /HORA]],TBL_CalcDarwin[],40,0)</f>
        <v>#N/A</v>
      </c>
      <c r="I175" s="53" t="e">
        <f>VLOOKUP(Table110[[#This Row],[FECHA /HORA]],TBL_CalcDarwin[],41,0)</f>
        <v>#N/A</v>
      </c>
      <c r="J175" s="53" t="e">
        <f>Table110[[#This Row],[MW Proyectada (Barra A)]]+Table110[[#This Row],[MW Proyectada (Barra B)]]</f>
        <v>#N/A</v>
      </c>
      <c r="L175" s="53" t="e">
        <f t="shared" si="6"/>
        <v>#N/A</v>
      </c>
      <c r="M175" s="53" t="e">
        <f>IF(Table110[[#This Row],[TOTAL MW]]&lt;165,Table110[[#This Row],[MW Proyectada (Barra A)]],Table110[[#This Row],[MW Proyectada (Barra A)]]*165/Table110[[#This Row],[TOTAL MW]])</f>
        <v>#N/A</v>
      </c>
      <c r="N175" s="53" t="e">
        <f>IF(Table110[[#This Row],[TOTAL MW]]&lt;165,Table110[[#This Row],[MW Proyectada (Barra B)]],Table110[[#This Row],[MW Proyectada (Barra B)]]*165/Table110[[#This Row],[TOTAL MW]])</f>
        <v>#N/A</v>
      </c>
      <c r="P175" s="90"/>
      <c r="Q175" s="90"/>
      <c r="R175" s="93"/>
      <c r="S175" s="93"/>
    </row>
    <row r="176" spans="2:19" x14ac:dyDescent="0.25">
      <c r="B176" s="91">
        <f t="shared" si="7"/>
        <v>45619.29166666625</v>
      </c>
      <c r="C176" s="52">
        <f t="shared" si="8"/>
        <v>7.2916666666666838</v>
      </c>
      <c r="D176" s="92">
        <f>Table110[[#This Row],[Fecha]]</f>
        <v>45619.29166666625</v>
      </c>
      <c r="E176" s="53" t="e">
        <f>VLOOKUP(Table110[[#This Row],[FECHA /HORA]],TBL_CalcDarwin[],7,0)</f>
        <v>#N/A</v>
      </c>
      <c r="F176" s="53" t="e">
        <f>VLOOKUP(Table110[[#This Row],[FECHA /HORA]],TBL_CalcDarwin[],42,0)</f>
        <v>#N/A</v>
      </c>
      <c r="G176" s="53" t="e">
        <f>VLOOKUP(Table110[[#This Row],[FECHA /HORA]],TBL_CalcDarwin[],43,0)</f>
        <v>#N/A</v>
      </c>
      <c r="H176" s="53" t="e">
        <f>VLOOKUP(Table110[[#This Row],[FECHA /HORA]],TBL_CalcDarwin[],40,0)</f>
        <v>#N/A</v>
      </c>
      <c r="I176" s="53" t="e">
        <f>VLOOKUP(Table110[[#This Row],[FECHA /HORA]],TBL_CalcDarwin[],41,0)</f>
        <v>#N/A</v>
      </c>
      <c r="J176" s="53" t="e">
        <f>Table110[[#This Row],[MW Proyectada (Barra A)]]+Table110[[#This Row],[MW Proyectada (Barra B)]]</f>
        <v>#N/A</v>
      </c>
      <c r="L176" s="53" t="e">
        <f t="shared" si="6"/>
        <v>#N/A</v>
      </c>
      <c r="M176" s="53" t="e">
        <f>IF(Table110[[#This Row],[TOTAL MW]]&lt;165,Table110[[#This Row],[MW Proyectada (Barra A)]],Table110[[#This Row],[MW Proyectada (Barra A)]]*165/Table110[[#This Row],[TOTAL MW]])</f>
        <v>#N/A</v>
      </c>
      <c r="N176" s="53" t="e">
        <f>IF(Table110[[#This Row],[TOTAL MW]]&lt;165,Table110[[#This Row],[MW Proyectada (Barra B)]],Table110[[#This Row],[MW Proyectada (Barra B)]]*165/Table110[[#This Row],[TOTAL MW]])</f>
        <v>#N/A</v>
      </c>
      <c r="P176" s="90"/>
      <c r="Q176" s="90"/>
      <c r="R176" s="93"/>
      <c r="S176" s="93"/>
    </row>
    <row r="177" spans="2:19" x14ac:dyDescent="0.25">
      <c r="B177" s="91">
        <f t="shared" si="7"/>
        <v>45619.333333332914</v>
      </c>
      <c r="C177" s="52">
        <f t="shared" si="8"/>
        <v>7.3333333333333508</v>
      </c>
      <c r="D177" s="92">
        <f>Table110[[#This Row],[Fecha]]</f>
        <v>45619.333333332914</v>
      </c>
      <c r="E177" s="53" t="e">
        <f>VLOOKUP(Table110[[#This Row],[FECHA /HORA]],TBL_CalcDarwin[],7,0)</f>
        <v>#N/A</v>
      </c>
      <c r="F177" s="53" t="e">
        <f>VLOOKUP(Table110[[#This Row],[FECHA /HORA]],TBL_CalcDarwin[],42,0)</f>
        <v>#N/A</v>
      </c>
      <c r="G177" s="53" t="e">
        <f>VLOOKUP(Table110[[#This Row],[FECHA /HORA]],TBL_CalcDarwin[],43,0)</f>
        <v>#N/A</v>
      </c>
      <c r="H177" s="53" t="e">
        <f>VLOOKUP(Table110[[#This Row],[FECHA /HORA]],TBL_CalcDarwin[],40,0)</f>
        <v>#N/A</v>
      </c>
      <c r="I177" s="53" t="e">
        <f>VLOOKUP(Table110[[#This Row],[FECHA /HORA]],TBL_CalcDarwin[],41,0)</f>
        <v>#N/A</v>
      </c>
      <c r="J177" s="53" t="e">
        <f>Table110[[#This Row],[MW Proyectada (Barra A)]]+Table110[[#This Row],[MW Proyectada (Barra B)]]</f>
        <v>#N/A</v>
      </c>
      <c r="L177" s="53" t="e">
        <f t="shared" si="6"/>
        <v>#N/A</v>
      </c>
      <c r="M177" s="53" t="e">
        <f>IF(Table110[[#This Row],[TOTAL MW]]&lt;165,Table110[[#This Row],[MW Proyectada (Barra A)]],Table110[[#This Row],[MW Proyectada (Barra A)]]*165/Table110[[#This Row],[TOTAL MW]])</f>
        <v>#N/A</v>
      </c>
      <c r="N177" s="53" t="e">
        <f>IF(Table110[[#This Row],[TOTAL MW]]&lt;165,Table110[[#This Row],[MW Proyectada (Barra B)]],Table110[[#This Row],[MW Proyectada (Barra B)]]*165/Table110[[#This Row],[TOTAL MW]])</f>
        <v>#N/A</v>
      </c>
      <c r="P177" s="90"/>
      <c r="Q177" s="90"/>
      <c r="R177" s="93"/>
      <c r="S177" s="93"/>
    </row>
    <row r="178" spans="2:19" x14ac:dyDescent="0.25">
      <c r="B178" s="91">
        <f t="shared" si="7"/>
        <v>45619.374999999578</v>
      </c>
      <c r="C178" s="52">
        <f t="shared" si="8"/>
        <v>7.3750000000000178</v>
      </c>
      <c r="D178" s="92">
        <f>Table110[[#This Row],[Fecha]]</f>
        <v>45619.374999999578</v>
      </c>
      <c r="E178" s="53" t="e">
        <f>VLOOKUP(Table110[[#This Row],[FECHA /HORA]],TBL_CalcDarwin[],7,0)</f>
        <v>#N/A</v>
      </c>
      <c r="F178" s="53" t="e">
        <f>VLOOKUP(Table110[[#This Row],[FECHA /HORA]],TBL_CalcDarwin[],42,0)</f>
        <v>#N/A</v>
      </c>
      <c r="G178" s="53" t="e">
        <f>VLOOKUP(Table110[[#This Row],[FECHA /HORA]],TBL_CalcDarwin[],43,0)</f>
        <v>#N/A</v>
      </c>
      <c r="H178" s="53" t="e">
        <f>VLOOKUP(Table110[[#This Row],[FECHA /HORA]],TBL_CalcDarwin[],40,0)</f>
        <v>#N/A</v>
      </c>
      <c r="I178" s="53" t="e">
        <f>VLOOKUP(Table110[[#This Row],[FECHA /HORA]],TBL_CalcDarwin[],41,0)</f>
        <v>#N/A</v>
      </c>
      <c r="J178" s="53" t="e">
        <f>Table110[[#This Row],[MW Proyectada (Barra A)]]+Table110[[#This Row],[MW Proyectada (Barra B)]]</f>
        <v>#N/A</v>
      </c>
      <c r="L178" s="53" t="e">
        <f t="shared" si="6"/>
        <v>#N/A</v>
      </c>
      <c r="M178" s="53" t="e">
        <f>IF(Table110[[#This Row],[TOTAL MW]]&lt;165,Table110[[#This Row],[MW Proyectada (Barra A)]],Table110[[#This Row],[MW Proyectada (Barra A)]]*165/Table110[[#This Row],[TOTAL MW]])</f>
        <v>#N/A</v>
      </c>
      <c r="N178" s="53" t="e">
        <f>IF(Table110[[#This Row],[TOTAL MW]]&lt;165,Table110[[#This Row],[MW Proyectada (Barra B)]],Table110[[#This Row],[MW Proyectada (Barra B)]]*165/Table110[[#This Row],[TOTAL MW]])</f>
        <v>#N/A</v>
      </c>
      <c r="P178" s="90"/>
      <c r="Q178" s="90"/>
      <c r="R178" s="93"/>
      <c r="S178" s="93"/>
    </row>
    <row r="179" spans="2:19" x14ac:dyDescent="0.25">
      <c r="B179" s="91">
        <f t="shared" si="7"/>
        <v>45619.416666666242</v>
      </c>
      <c r="C179" s="52">
        <f t="shared" si="8"/>
        <v>7.4166666666666847</v>
      </c>
      <c r="D179" s="92">
        <f>Table110[[#This Row],[Fecha]]</f>
        <v>45619.416666666242</v>
      </c>
      <c r="E179" s="53" t="e">
        <f>VLOOKUP(Table110[[#This Row],[FECHA /HORA]],TBL_CalcDarwin[],7,0)</f>
        <v>#N/A</v>
      </c>
      <c r="F179" s="53" t="e">
        <f>VLOOKUP(Table110[[#This Row],[FECHA /HORA]],TBL_CalcDarwin[],42,0)</f>
        <v>#N/A</v>
      </c>
      <c r="G179" s="53" t="e">
        <f>VLOOKUP(Table110[[#This Row],[FECHA /HORA]],TBL_CalcDarwin[],43,0)</f>
        <v>#N/A</v>
      </c>
      <c r="H179" s="53" t="e">
        <f>VLOOKUP(Table110[[#This Row],[FECHA /HORA]],TBL_CalcDarwin[],40,0)</f>
        <v>#N/A</v>
      </c>
      <c r="I179" s="53" t="e">
        <f>VLOOKUP(Table110[[#This Row],[FECHA /HORA]],TBL_CalcDarwin[],41,0)</f>
        <v>#N/A</v>
      </c>
      <c r="J179" s="53" t="e">
        <f>Table110[[#This Row],[MW Proyectada (Barra A)]]+Table110[[#This Row],[MW Proyectada (Barra B)]]</f>
        <v>#N/A</v>
      </c>
      <c r="L179" s="53" t="e">
        <f t="shared" si="6"/>
        <v>#N/A</v>
      </c>
      <c r="M179" s="53" t="e">
        <f>IF(Table110[[#This Row],[TOTAL MW]]&lt;165,Table110[[#This Row],[MW Proyectada (Barra A)]],Table110[[#This Row],[MW Proyectada (Barra A)]]*165/Table110[[#This Row],[TOTAL MW]])</f>
        <v>#N/A</v>
      </c>
      <c r="N179" s="53" t="e">
        <f>IF(Table110[[#This Row],[TOTAL MW]]&lt;165,Table110[[#This Row],[MW Proyectada (Barra B)]],Table110[[#This Row],[MW Proyectada (Barra B)]]*165/Table110[[#This Row],[TOTAL MW]])</f>
        <v>#N/A</v>
      </c>
      <c r="P179" s="90"/>
      <c r="Q179" s="90"/>
      <c r="R179" s="93"/>
      <c r="S179" s="93"/>
    </row>
    <row r="180" spans="2:19" x14ac:dyDescent="0.25">
      <c r="B180" s="91">
        <f t="shared" si="7"/>
        <v>45619.458333332906</v>
      </c>
      <c r="C180" s="52">
        <f t="shared" si="8"/>
        <v>7.4583333333333517</v>
      </c>
      <c r="D180" s="92">
        <f>Table110[[#This Row],[Fecha]]</f>
        <v>45619.458333332906</v>
      </c>
      <c r="E180" s="53" t="e">
        <f>VLOOKUP(Table110[[#This Row],[FECHA /HORA]],TBL_CalcDarwin[],7,0)</f>
        <v>#N/A</v>
      </c>
      <c r="F180" s="53" t="e">
        <f>VLOOKUP(Table110[[#This Row],[FECHA /HORA]],TBL_CalcDarwin[],42,0)</f>
        <v>#N/A</v>
      </c>
      <c r="G180" s="53" t="e">
        <f>VLOOKUP(Table110[[#This Row],[FECHA /HORA]],TBL_CalcDarwin[],43,0)</f>
        <v>#N/A</v>
      </c>
      <c r="H180" s="53" t="e">
        <f>VLOOKUP(Table110[[#This Row],[FECHA /HORA]],TBL_CalcDarwin[],40,0)</f>
        <v>#N/A</v>
      </c>
      <c r="I180" s="53" t="e">
        <f>VLOOKUP(Table110[[#This Row],[FECHA /HORA]],TBL_CalcDarwin[],41,0)</f>
        <v>#N/A</v>
      </c>
      <c r="J180" s="53" t="e">
        <f>Table110[[#This Row],[MW Proyectada (Barra A)]]+Table110[[#This Row],[MW Proyectada (Barra B)]]</f>
        <v>#N/A</v>
      </c>
      <c r="L180" s="53" t="e">
        <f t="shared" si="6"/>
        <v>#N/A</v>
      </c>
      <c r="M180" s="53" t="e">
        <f>IF(Table110[[#This Row],[TOTAL MW]]&lt;165,Table110[[#This Row],[MW Proyectada (Barra A)]],Table110[[#This Row],[MW Proyectada (Barra A)]]*165/Table110[[#This Row],[TOTAL MW]])</f>
        <v>#N/A</v>
      </c>
      <c r="N180" s="53" t="e">
        <f>IF(Table110[[#This Row],[TOTAL MW]]&lt;165,Table110[[#This Row],[MW Proyectada (Barra B)]],Table110[[#This Row],[MW Proyectada (Barra B)]]*165/Table110[[#This Row],[TOTAL MW]])</f>
        <v>#N/A</v>
      </c>
      <c r="P180" s="90"/>
      <c r="Q180" s="90"/>
      <c r="R180" s="93"/>
      <c r="S180" s="93"/>
    </row>
    <row r="181" spans="2:19" x14ac:dyDescent="0.25">
      <c r="B181" s="91">
        <f t="shared" si="7"/>
        <v>45619.499999999571</v>
      </c>
      <c r="C181" s="52">
        <f t="shared" si="8"/>
        <v>7.5000000000000187</v>
      </c>
      <c r="D181" s="92">
        <f>Table110[[#This Row],[Fecha]]</f>
        <v>45619.499999999571</v>
      </c>
      <c r="E181" s="53" t="e">
        <f>VLOOKUP(Table110[[#This Row],[FECHA /HORA]],TBL_CalcDarwin[],7,0)</f>
        <v>#N/A</v>
      </c>
      <c r="F181" s="53" t="e">
        <f>VLOOKUP(Table110[[#This Row],[FECHA /HORA]],TBL_CalcDarwin[],42,0)</f>
        <v>#N/A</v>
      </c>
      <c r="G181" s="53" t="e">
        <f>VLOOKUP(Table110[[#This Row],[FECHA /HORA]],TBL_CalcDarwin[],43,0)</f>
        <v>#N/A</v>
      </c>
      <c r="H181" s="53" t="e">
        <f>VLOOKUP(Table110[[#This Row],[FECHA /HORA]],TBL_CalcDarwin[],40,0)</f>
        <v>#N/A</v>
      </c>
      <c r="I181" s="53" t="e">
        <f>VLOOKUP(Table110[[#This Row],[FECHA /HORA]],TBL_CalcDarwin[],41,0)</f>
        <v>#N/A</v>
      </c>
      <c r="J181" s="53" t="e">
        <f>Table110[[#This Row],[MW Proyectada (Barra A)]]+Table110[[#This Row],[MW Proyectada (Barra B)]]</f>
        <v>#N/A</v>
      </c>
      <c r="L181" s="53" t="e">
        <f t="shared" si="6"/>
        <v>#N/A</v>
      </c>
      <c r="M181" s="53" t="e">
        <f>IF(Table110[[#This Row],[TOTAL MW]]&lt;165,Table110[[#This Row],[MW Proyectada (Barra A)]],Table110[[#This Row],[MW Proyectada (Barra A)]]*165/Table110[[#This Row],[TOTAL MW]])</f>
        <v>#N/A</v>
      </c>
      <c r="N181" s="53" t="e">
        <f>IF(Table110[[#This Row],[TOTAL MW]]&lt;165,Table110[[#This Row],[MW Proyectada (Barra B)]],Table110[[#This Row],[MW Proyectada (Barra B)]]*165/Table110[[#This Row],[TOTAL MW]])</f>
        <v>#N/A</v>
      </c>
      <c r="P181" s="90"/>
      <c r="Q181" s="90"/>
      <c r="R181" s="93"/>
      <c r="S181" s="93"/>
    </row>
    <row r="182" spans="2:19" x14ac:dyDescent="0.25">
      <c r="B182" s="91">
        <f t="shared" si="7"/>
        <v>45619.541666666235</v>
      </c>
      <c r="C182" s="52">
        <f t="shared" si="8"/>
        <v>7.5416666666666856</v>
      </c>
      <c r="D182" s="92">
        <f>Table110[[#This Row],[Fecha]]</f>
        <v>45619.541666666235</v>
      </c>
      <c r="E182" s="53" t="e">
        <f>VLOOKUP(Table110[[#This Row],[FECHA /HORA]],TBL_CalcDarwin[],7,0)</f>
        <v>#N/A</v>
      </c>
      <c r="F182" s="53" t="e">
        <f>VLOOKUP(Table110[[#This Row],[FECHA /HORA]],TBL_CalcDarwin[],42,0)</f>
        <v>#N/A</v>
      </c>
      <c r="G182" s="53" t="e">
        <f>VLOOKUP(Table110[[#This Row],[FECHA /HORA]],TBL_CalcDarwin[],43,0)</f>
        <v>#N/A</v>
      </c>
      <c r="H182" s="53" t="e">
        <f>VLOOKUP(Table110[[#This Row],[FECHA /HORA]],TBL_CalcDarwin[],40,0)</f>
        <v>#N/A</v>
      </c>
      <c r="I182" s="53" t="e">
        <f>VLOOKUP(Table110[[#This Row],[FECHA /HORA]],TBL_CalcDarwin[],41,0)</f>
        <v>#N/A</v>
      </c>
      <c r="J182" s="53" t="e">
        <f>Table110[[#This Row],[MW Proyectada (Barra A)]]+Table110[[#This Row],[MW Proyectada (Barra B)]]</f>
        <v>#N/A</v>
      </c>
      <c r="L182" s="53" t="e">
        <f t="shared" si="6"/>
        <v>#N/A</v>
      </c>
      <c r="M182" s="53" t="e">
        <f>IF(Table110[[#This Row],[TOTAL MW]]&lt;165,Table110[[#This Row],[MW Proyectada (Barra A)]],Table110[[#This Row],[MW Proyectada (Barra A)]]*165/Table110[[#This Row],[TOTAL MW]])</f>
        <v>#N/A</v>
      </c>
      <c r="N182" s="53" t="e">
        <f>IF(Table110[[#This Row],[TOTAL MW]]&lt;165,Table110[[#This Row],[MW Proyectada (Barra B)]],Table110[[#This Row],[MW Proyectada (Barra B)]]*165/Table110[[#This Row],[TOTAL MW]])</f>
        <v>#N/A</v>
      </c>
      <c r="P182" s="90"/>
      <c r="Q182" s="90"/>
      <c r="R182" s="93"/>
      <c r="S182" s="93"/>
    </row>
    <row r="183" spans="2:19" x14ac:dyDescent="0.25">
      <c r="B183" s="91">
        <f t="shared" si="7"/>
        <v>45619.583333332899</v>
      </c>
      <c r="C183" s="52">
        <f t="shared" si="8"/>
        <v>7.5833333333333526</v>
      </c>
      <c r="D183" s="92">
        <f>Table110[[#This Row],[Fecha]]</f>
        <v>45619.583333332899</v>
      </c>
      <c r="E183" s="53" t="e">
        <f>VLOOKUP(Table110[[#This Row],[FECHA /HORA]],TBL_CalcDarwin[],7,0)</f>
        <v>#N/A</v>
      </c>
      <c r="F183" s="53" t="e">
        <f>VLOOKUP(Table110[[#This Row],[FECHA /HORA]],TBL_CalcDarwin[],42,0)</f>
        <v>#N/A</v>
      </c>
      <c r="G183" s="53" t="e">
        <f>VLOOKUP(Table110[[#This Row],[FECHA /HORA]],TBL_CalcDarwin[],43,0)</f>
        <v>#N/A</v>
      </c>
      <c r="H183" s="53" t="e">
        <f>VLOOKUP(Table110[[#This Row],[FECHA /HORA]],TBL_CalcDarwin[],40,0)</f>
        <v>#N/A</v>
      </c>
      <c r="I183" s="53" t="e">
        <f>VLOOKUP(Table110[[#This Row],[FECHA /HORA]],TBL_CalcDarwin[],41,0)</f>
        <v>#N/A</v>
      </c>
      <c r="J183" s="53" t="e">
        <f>Table110[[#This Row],[MW Proyectada (Barra A)]]+Table110[[#This Row],[MW Proyectada (Barra B)]]</f>
        <v>#N/A</v>
      </c>
      <c r="L183" s="53" t="e">
        <f t="shared" si="6"/>
        <v>#N/A</v>
      </c>
      <c r="M183" s="53" t="e">
        <f>IF(Table110[[#This Row],[TOTAL MW]]&lt;165,Table110[[#This Row],[MW Proyectada (Barra A)]],Table110[[#This Row],[MW Proyectada (Barra A)]]*165/Table110[[#This Row],[TOTAL MW]])</f>
        <v>#N/A</v>
      </c>
      <c r="N183" s="53" t="e">
        <f>IF(Table110[[#This Row],[TOTAL MW]]&lt;165,Table110[[#This Row],[MW Proyectada (Barra B)]],Table110[[#This Row],[MW Proyectada (Barra B)]]*165/Table110[[#This Row],[TOTAL MW]])</f>
        <v>#N/A</v>
      </c>
      <c r="P183" s="90"/>
      <c r="Q183" s="90"/>
      <c r="R183" s="93"/>
      <c r="S183" s="93"/>
    </row>
    <row r="184" spans="2:19" x14ac:dyDescent="0.25">
      <c r="B184" s="91">
        <f t="shared" si="7"/>
        <v>45619.624999999563</v>
      </c>
      <c r="C184" s="52">
        <f t="shared" si="8"/>
        <v>7.6250000000000195</v>
      </c>
      <c r="D184" s="92">
        <f>Table110[[#This Row],[Fecha]]</f>
        <v>45619.624999999563</v>
      </c>
      <c r="E184" s="53" t="e">
        <f>VLOOKUP(Table110[[#This Row],[FECHA /HORA]],TBL_CalcDarwin[],7,0)</f>
        <v>#N/A</v>
      </c>
      <c r="F184" s="53" t="e">
        <f>VLOOKUP(Table110[[#This Row],[FECHA /HORA]],TBL_CalcDarwin[],42,0)</f>
        <v>#N/A</v>
      </c>
      <c r="G184" s="53" t="e">
        <f>VLOOKUP(Table110[[#This Row],[FECHA /HORA]],TBL_CalcDarwin[],43,0)</f>
        <v>#N/A</v>
      </c>
      <c r="H184" s="53" t="e">
        <f>VLOOKUP(Table110[[#This Row],[FECHA /HORA]],TBL_CalcDarwin[],40,0)</f>
        <v>#N/A</v>
      </c>
      <c r="I184" s="53" t="e">
        <f>VLOOKUP(Table110[[#This Row],[FECHA /HORA]],TBL_CalcDarwin[],41,0)</f>
        <v>#N/A</v>
      </c>
      <c r="J184" s="53" t="e">
        <f>Table110[[#This Row],[MW Proyectada (Barra A)]]+Table110[[#This Row],[MW Proyectada (Barra B)]]</f>
        <v>#N/A</v>
      </c>
      <c r="L184" s="53" t="e">
        <f t="shared" si="6"/>
        <v>#N/A</v>
      </c>
      <c r="M184" s="53" t="e">
        <f>IF(Table110[[#This Row],[TOTAL MW]]&lt;165,Table110[[#This Row],[MW Proyectada (Barra A)]],Table110[[#This Row],[MW Proyectada (Barra A)]]*165/Table110[[#This Row],[TOTAL MW]])</f>
        <v>#N/A</v>
      </c>
      <c r="N184" s="53" t="e">
        <f>IF(Table110[[#This Row],[TOTAL MW]]&lt;165,Table110[[#This Row],[MW Proyectada (Barra B)]],Table110[[#This Row],[MW Proyectada (Barra B)]]*165/Table110[[#This Row],[TOTAL MW]])</f>
        <v>#N/A</v>
      </c>
      <c r="P184" s="90"/>
      <c r="Q184" s="90"/>
      <c r="R184" s="93"/>
      <c r="S184" s="93"/>
    </row>
    <row r="185" spans="2:19" x14ac:dyDescent="0.25">
      <c r="B185" s="91">
        <f t="shared" si="7"/>
        <v>45619.666666666228</v>
      </c>
      <c r="C185" s="52">
        <f t="shared" si="8"/>
        <v>7.6666666666666865</v>
      </c>
      <c r="D185" s="92">
        <f>Table110[[#This Row],[Fecha]]</f>
        <v>45619.666666666228</v>
      </c>
      <c r="E185" s="53" t="e">
        <f>VLOOKUP(Table110[[#This Row],[FECHA /HORA]],TBL_CalcDarwin[],7,0)</f>
        <v>#N/A</v>
      </c>
      <c r="F185" s="53" t="e">
        <f>VLOOKUP(Table110[[#This Row],[FECHA /HORA]],TBL_CalcDarwin[],42,0)</f>
        <v>#N/A</v>
      </c>
      <c r="G185" s="53" t="e">
        <f>VLOOKUP(Table110[[#This Row],[FECHA /HORA]],TBL_CalcDarwin[],43,0)</f>
        <v>#N/A</v>
      </c>
      <c r="H185" s="53" t="e">
        <f>VLOOKUP(Table110[[#This Row],[FECHA /HORA]],TBL_CalcDarwin[],40,0)</f>
        <v>#N/A</v>
      </c>
      <c r="I185" s="53" t="e">
        <f>VLOOKUP(Table110[[#This Row],[FECHA /HORA]],TBL_CalcDarwin[],41,0)</f>
        <v>#N/A</v>
      </c>
      <c r="J185" s="53" t="e">
        <f>Table110[[#This Row],[MW Proyectada (Barra A)]]+Table110[[#This Row],[MW Proyectada (Barra B)]]</f>
        <v>#N/A</v>
      </c>
      <c r="L185" s="53" t="e">
        <f t="shared" si="6"/>
        <v>#N/A</v>
      </c>
      <c r="M185" s="53" t="e">
        <f>IF(Table110[[#This Row],[TOTAL MW]]&lt;165,Table110[[#This Row],[MW Proyectada (Barra A)]],Table110[[#This Row],[MW Proyectada (Barra A)]]*165/Table110[[#This Row],[TOTAL MW]])</f>
        <v>#N/A</v>
      </c>
      <c r="N185" s="53" t="e">
        <f>IF(Table110[[#This Row],[TOTAL MW]]&lt;165,Table110[[#This Row],[MW Proyectada (Barra B)]],Table110[[#This Row],[MW Proyectada (Barra B)]]*165/Table110[[#This Row],[TOTAL MW]])</f>
        <v>#N/A</v>
      </c>
      <c r="P185" s="90"/>
      <c r="Q185" s="90"/>
      <c r="R185" s="93"/>
      <c r="S185" s="93"/>
    </row>
    <row r="186" spans="2:19" x14ac:dyDescent="0.25">
      <c r="B186" s="91">
        <f t="shared" si="7"/>
        <v>45619.708333332892</v>
      </c>
      <c r="C186" s="52">
        <f t="shared" si="8"/>
        <v>7.7083333333333535</v>
      </c>
      <c r="D186" s="92">
        <f>Table110[[#This Row],[Fecha]]</f>
        <v>45619.708333332892</v>
      </c>
      <c r="E186" s="53" t="e">
        <f>VLOOKUP(Table110[[#This Row],[FECHA /HORA]],TBL_CalcDarwin[],7,0)</f>
        <v>#N/A</v>
      </c>
      <c r="F186" s="53" t="e">
        <f>VLOOKUP(Table110[[#This Row],[FECHA /HORA]],TBL_CalcDarwin[],42,0)</f>
        <v>#N/A</v>
      </c>
      <c r="G186" s="53" t="e">
        <f>VLOOKUP(Table110[[#This Row],[FECHA /HORA]],TBL_CalcDarwin[],43,0)</f>
        <v>#N/A</v>
      </c>
      <c r="H186" s="53" t="e">
        <f>VLOOKUP(Table110[[#This Row],[FECHA /HORA]],TBL_CalcDarwin[],40,0)</f>
        <v>#N/A</v>
      </c>
      <c r="I186" s="53" t="e">
        <f>VLOOKUP(Table110[[#This Row],[FECHA /HORA]],TBL_CalcDarwin[],41,0)</f>
        <v>#N/A</v>
      </c>
      <c r="J186" s="53" t="e">
        <f>Table110[[#This Row],[MW Proyectada (Barra A)]]+Table110[[#This Row],[MW Proyectada (Barra B)]]</f>
        <v>#N/A</v>
      </c>
      <c r="L186" s="53" t="e">
        <f t="shared" si="6"/>
        <v>#N/A</v>
      </c>
      <c r="M186" s="53" t="e">
        <f>IF(Table110[[#This Row],[TOTAL MW]]&lt;165,Table110[[#This Row],[MW Proyectada (Barra A)]],Table110[[#This Row],[MW Proyectada (Barra A)]]*165/Table110[[#This Row],[TOTAL MW]])</f>
        <v>#N/A</v>
      </c>
      <c r="N186" s="53" t="e">
        <f>IF(Table110[[#This Row],[TOTAL MW]]&lt;165,Table110[[#This Row],[MW Proyectada (Barra B)]],Table110[[#This Row],[MW Proyectada (Barra B)]]*165/Table110[[#This Row],[TOTAL MW]])</f>
        <v>#N/A</v>
      </c>
      <c r="P186" s="90"/>
      <c r="Q186" s="90"/>
      <c r="R186" s="93"/>
      <c r="S186" s="93"/>
    </row>
    <row r="187" spans="2:19" x14ac:dyDescent="0.25">
      <c r="B187" s="91">
        <f t="shared" si="7"/>
        <v>45619.749999999556</v>
      </c>
      <c r="C187" s="52">
        <f t="shared" si="8"/>
        <v>7.7500000000000204</v>
      </c>
      <c r="D187" s="92">
        <f>Table110[[#This Row],[Fecha]]</f>
        <v>45619.749999999556</v>
      </c>
      <c r="E187" s="53" t="e">
        <f>VLOOKUP(Table110[[#This Row],[FECHA /HORA]],TBL_CalcDarwin[],7,0)</f>
        <v>#N/A</v>
      </c>
      <c r="F187" s="53" t="e">
        <f>VLOOKUP(Table110[[#This Row],[FECHA /HORA]],TBL_CalcDarwin[],42,0)</f>
        <v>#N/A</v>
      </c>
      <c r="G187" s="53" t="e">
        <f>VLOOKUP(Table110[[#This Row],[FECHA /HORA]],TBL_CalcDarwin[],43,0)</f>
        <v>#N/A</v>
      </c>
      <c r="H187" s="53" t="e">
        <f>VLOOKUP(Table110[[#This Row],[FECHA /HORA]],TBL_CalcDarwin[],40,0)</f>
        <v>#N/A</v>
      </c>
      <c r="I187" s="53" t="e">
        <f>VLOOKUP(Table110[[#This Row],[FECHA /HORA]],TBL_CalcDarwin[],41,0)</f>
        <v>#N/A</v>
      </c>
      <c r="J187" s="53" t="e">
        <f>Table110[[#This Row],[MW Proyectada (Barra A)]]+Table110[[#This Row],[MW Proyectada (Barra B)]]</f>
        <v>#N/A</v>
      </c>
      <c r="L187" s="53" t="e">
        <f t="shared" si="6"/>
        <v>#N/A</v>
      </c>
      <c r="M187" s="53" t="e">
        <f>IF(Table110[[#This Row],[TOTAL MW]]&lt;165,Table110[[#This Row],[MW Proyectada (Barra A)]],Table110[[#This Row],[MW Proyectada (Barra A)]]*165/Table110[[#This Row],[TOTAL MW]])</f>
        <v>#N/A</v>
      </c>
      <c r="N187" s="53" t="e">
        <f>IF(Table110[[#This Row],[TOTAL MW]]&lt;165,Table110[[#This Row],[MW Proyectada (Barra B)]],Table110[[#This Row],[MW Proyectada (Barra B)]]*165/Table110[[#This Row],[TOTAL MW]])</f>
        <v>#N/A</v>
      </c>
      <c r="P187" s="90"/>
      <c r="Q187" s="90"/>
      <c r="R187" s="93"/>
      <c r="S187" s="93"/>
    </row>
    <row r="188" spans="2:19" x14ac:dyDescent="0.25">
      <c r="B188" s="91">
        <f t="shared" si="7"/>
        <v>45619.79166666622</v>
      </c>
      <c r="C188" s="52">
        <f t="shared" si="8"/>
        <v>7.7916666666666874</v>
      </c>
      <c r="D188" s="92">
        <f>Table110[[#This Row],[Fecha]]</f>
        <v>45619.79166666622</v>
      </c>
      <c r="E188" s="53" t="e">
        <f>VLOOKUP(Table110[[#This Row],[FECHA /HORA]],TBL_CalcDarwin[],7,0)</f>
        <v>#N/A</v>
      </c>
      <c r="F188" s="53" t="e">
        <f>VLOOKUP(Table110[[#This Row],[FECHA /HORA]],TBL_CalcDarwin[],42,0)</f>
        <v>#N/A</v>
      </c>
      <c r="G188" s="53" t="e">
        <f>VLOOKUP(Table110[[#This Row],[FECHA /HORA]],TBL_CalcDarwin[],43,0)</f>
        <v>#N/A</v>
      </c>
      <c r="H188" s="53" t="e">
        <f>VLOOKUP(Table110[[#This Row],[FECHA /HORA]],TBL_CalcDarwin[],40,0)</f>
        <v>#N/A</v>
      </c>
      <c r="I188" s="53" t="e">
        <f>VLOOKUP(Table110[[#This Row],[FECHA /HORA]],TBL_CalcDarwin[],41,0)</f>
        <v>#N/A</v>
      </c>
      <c r="J188" s="53" t="e">
        <f>Table110[[#This Row],[MW Proyectada (Barra A)]]+Table110[[#This Row],[MW Proyectada (Barra B)]]</f>
        <v>#N/A</v>
      </c>
      <c r="L188" s="53" t="e">
        <f t="shared" si="6"/>
        <v>#N/A</v>
      </c>
      <c r="M188" s="53" t="e">
        <f>IF(Table110[[#This Row],[TOTAL MW]]&lt;165,Table110[[#This Row],[MW Proyectada (Barra A)]],Table110[[#This Row],[MW Proyectada (Barra A)]]*165/Table110[[#This Row],[TOTAL MW]])</f>
        <v>#N/A</v>
      </c>
      <c r="N188" s="53" t="e">
        <f>IF(Table110[[#This Row],[TOTAL MW]]&lt;165,Table110[[#This Row],[MW Proyectada (Barra B)]],Table110[[#This Row],[MW Proyectada (Barra B)]]*165/Table110[[#This Row],[TOTAL MW]])</f>
        <v>#N/A</v>
      </c>
      <c r="P188" s="90"/>
      <c r="Q188" s="90"/>
      <c r="R188" s="93"/>
      <c r="S188" s="93"/>
    </row>
    <row r="189" spans="2:19" x14ac:dyDescent="0.25">
      <c r="B189" s="91">
        <f t="shared" si="7"/>
        <v>45619.833333332885</v>
      </c>
      <c r="C189" s="52">
        <f t="shared" si="8"/>
        <v>7.8333333333333544</v>
      </c>
      <c r="D189" s="92">
        <f>Table110[[#This Row],[Fecha]]</f>
        <v>45619.833333332885</v>
      </c>
      <c r="E189" s="53" t="e">
        <f>VLOOKUP(Table110[[#This Row],[FECHA /HORA]],TBL_CalcDarwin[],7,0)</f>
        <v>#N/A</v>
      </c>
      <c r="F189" s="53" t="e">
        <f>VLOOKUP(Table110[[#This Row],[FECHA /HORA]],TBL_CalcDarwin[],42,0)</f>
        <v>#N/A</v>
      </c>
      <c r="G189" s="53" t="e">
        <f>VLOOKUP(Table110[[#This Row],[FECHA /HORA]],TBL_CalcDarwin[],43,0)</f>
        <v>#N/A</v>
      </c>
      <c r="H189" s="53" t="e">
        <f>VLOOKUP(Table110[[#This Row],[FECHA /HORA]],TBL_CalcDarwin[],40,0)</f>
        <v>#N/A</v>
      </c>
      <c r="I189" s="53" t="e">
        <f>VLOOKUP(Table110[[#This Row],[FECHA /HORA]],TBL_CalcDarwin[],41,0)</f>
        <v>#N/A</v>
      </c>
      <c r="J189" s="53" t="e">
        <f>Table110[[#This Row],[MW Proyectada (Barra A)]]+Table110[[#This Row],[MW Proyectada (Barra B)]]</f>
        <v>#N/A</v>
      </c>
      <c r="L189" s="53" t="e">
        <f t="shared" si="6"/>
        <v>#N/A</v>
      </c>
      <c r="M189" s="53" t="e">
        <f>IF(Table110[[#This Row],[TOTAL MW]]&lt;165,Table110[[#This Row],[MW Proyectada (Barra A)]],Table110[[#This Row],[MW Proyectada (Barra A)]]*165/Table110[[#This Row],[TOTAL MW]])</f>
        <v>#N/A</v>
      </c>
      <c r="N189" s="53" t="e">
        <f>IF(Table110[[#This Row],[TOTAL MW]]&lt;165,Table110[[#This Row],[MW Proyectada (Barra B)]],Table110[[#This Row],[MW Proyectada (Barra B)]]*165/Table110[[#This Row],[TOTAL MW]])</f>
        <v>#N/A</v>
      </c>
      <c r="P189" s="90"/>
      <c r="Q189" s="90"/>
      <c r="R189" s="93"/>
      <c r="S189" s="93"/>
    </row>
    <row r="190" spans="2:19" x14ac:dyDescent="0.25">
      <c r="B190" s="91">
        <f t="shared" si="7"/>
        <v>45619.874999999549</v>
      </c>
      <c r="C190" s="52">
        <f t="shared" si="8"/>
        <v>7.8750000000000213</v>
      </c>
      <c r="D190" s="92">
        <f>Table110[[#This Row],[Fecha]]</f>
        <v>45619.874999999549</v>
      </c>
      <c r="E190" s="53" t="e">
        <f>VLOOKUP(Table110[[#This Row],[FECHA /HORA]],TBL_CalcDarwin[],7,0)</f>
        <v>#N/A</v>
      </c>
      <c r="F190" s="53" t="e">
        <f>VLOOKUP(Table110[[#This Row],[FECHA /HORA]],TBL_CalcDarwin[],42,0)</f>
        <v>#N/A</v>
      </c>
      <c r="G190" s="53" t="e">
        <f>VLOOKUP(Table110[[#This Row],[FECHA /HORA]],TBL_CalcDarwin[],43,0)</f>
        <v>#N/A</v>
      </c>
      <c r="H190" s="53" t="e">
        <f>VLOOKUP(Table110[[#This Row],[FECHA /HORA]],TBL_CalcDarwin[],40,0)</f>
        <v>#N/A</v>
      </c>
      <c r="I190" s="53" t="e">
        <f>VLOOKUP(Table110[[#This Row],[FECHA /HORA]],TBL_CalcDarwin[],41,0)</f>
        <v>#N/A</v>
      </c>
      <c r="J190" s="53" t="e">
        <f>Table110[[#This Row],[MW Proyectada (Barra A)]]+Table110[[#This Row],[MW Proyectada (Barra B)]]</f>
        <v>#N/A</v>
      </c>
      <c r="L190" s="53" t="e">
        <f t="shared" si="6"/>
        <v>#N/A</v>
      </c>
      <c r="M190" s="53" t="e">
        <f>IF(Table110[[#This Row],[TOTAL MW]]&lt;165,Table110[[#This Row],[MW Proyectada (Barra A)]],Table110[[#This Row],[MW Proyectada (Barra A)]]*165/Table110[[#This Row],[TOTAL MW]])</f>
        <v>#N/A</v>
      </c>
      <c r="N190" s="53" t="e">
        <f>IF(Table110[[#This Row],[TOTAL MW]]&lt;165,Table110[[#This Row],[MW Proyectada (Barra B)]],Table110[[#This Row],[MW Proyectada (Barra B)]]*165/Table110[[#This Row],[TOTAL MW]])</f>
        <v>#N/A</v>
      </c>
      <c r="P190" s="90"/>
      <c r="Q190" s="90"/>
      <c r="R190" s="93"/>
      <c r="S190" s="93"/>
    </row>
    <row r="191" spans="2:19" x14ac:dyDescent="0.25">
      <c r="B191" s="91">
        <f t="shared" si="7"/>
        <v>45619.916666666213</v>
      </c>
      <c r="C191" s="52">
        <f t="shared" si="8"/>
        <v>7.9166666666666883</v>
      </c>
      <c r="D191" s="92">
        <f>Table110[[#This Row],[Fecha]]</f>
        <v>45619.916666666213</v>
      </c>
      <c r="E191" s="53" t="e">
        <f>VLOOKUP(Table110[[#This Row],[FECHA /HORA]],TBL_CalcDarwin[],7,0)</f>
        <v>#N/A</v>
      </c>
      <c r="F191" s="53" t="e">
        <f>VLOOKUP(Table110[[#This Row],[FECHA /HORA]],TBL_CalcDarwin[],42,0)</f>
        <v>#N/A</v>
      </c>
      <c r="G191" s="53" t="e">
        <f>VLOOKUP(Table110[[#This Row],[FECHA /HORA]],TBL_CalcDarwin[],43,0)</f>
        <v>#N/A</v>
      </c>
      <c r="H191" s="53" t="e">
        <f>VLOOKUP(Table110[[#This Row],[FECHA /HORA]],TBL_CalcDarwin[],40,0)</f>
        <v>#N/A</v>
      </c>
      <c r="I191" s="53" t="e">
        <f>VLOOKUP(Table110[[#This Row],[FECHA /HORA]],TBL_CalcDarwin[],41,0)</f>
        <v>#N/A</v>
      </c>
      <c r="J191" s="53" t="e">
        <f>Table110[[#This Row],[MW Proyectada (Barra A)]]+Table110[[#This Row],[MW Proyectada (Barra B)]]</f>
        <v>#N/A</v>
      </c>
      <c r="L191" s="53" t="e">
        <f t="shared" si="6"/>
        <v>#N/A</v>
      </c>
      <c r="M191" s="53" t="e">
        <f>IF(Table110[[#This Row],[TOTAL MW]]&lt;165,Table110[[#This Row],[MW Proyectada (Barra A)]],Table110[[#This Row],[MW Proyectada (Barra A)]]*165/Table110[[#This Row],[TOTAL MW]])</f>
        <v>#N/A</v>
      </c>
      <c r="N191" s="53" t="e">
        <f>IF(Table110[[#This Row],[TOTAL MW]]&lt;165,Table110[[#This Row],[MW Proyectada (Barra B)]],Table110[[#This Row],[MW Proyectada (Barra B)]]*165/Table110[[#This Row],[TOTAL MW]])</f>
        <v>#N/A</v>
      </c>
      <c r="P191" s="90"/>
      <c r="Q191" s="90"/>
      <c r="R191" s="93"/>
      <c r="S191" s="93"/>
    </row>
    <row r="192" spans="2:19" x14ac:dyDescent="0.25">
      <c r="B192" s="91">
        <f t="shared" si="7"/>
        <v>45619.958333332877</v>
      </c>
      <c r="C192" s="52">
        <f t="shared" si="8"/>
        <v>7.9583333333333552</v>
      </c>
      <c r="D192" s="92">
        <f>Table110[[#This Row],[Fecha]]</f>
        <v>45619.958333332877</v>
      </c>
      <c r="E192" s="53" t="e">
        <f>VLOOKUP(Table110[[#This Row],[FECHA /HORA]],TBL_CalcDarwin[],7,0)</f>
        <v>#N/A</v>
      </c>
      <c r="F192" s="53" t="e">
        <f>VLOOKUP(Table110[[#This Row],[FECHA /HORA]],TBL_CalcDarwin[],42,0)</f>
        <v>#N/A</v>
      </c>
      <c r="G192" s="53" t="e">
        <f>VLOOKUP(Table110[[#This Row],[FECHA /HORA]],TBL_CalcDarwin[],43,0)</f>
        <v>#N/A</v>
      </c>
      <c r="H192" s="53" t="e">
        <f>VLOOKUP(Table110[[#This Row],[FECHA /HORA]],TBL_CalcDarwin[],40,0)</f>
        <v>#N/A</v>
      </c>
      <c r="I192" s="53" t="e">
        <f>VLOOKUP(Table110[[#This Row],[FECHA /HORA]],TBL_CalcDarwin[],41,0)</f>
        <v>#N/A</v>
      </c>
      <c r="J192" s="53" t="e">
        <f>Table110[[#This Row],[MW Proyectada (Barra A)]]+Table110[[#This Row],[MW Proyectada (Barra B)]]</f>
        <v>#N/A</v>
      </c>
      <c r="L192" s="53" t="e">
        <f t="shared" si="6"/>
        <v>#N/A</v>
      </c>
      <c r="M192" s="53" t="e">
        <f>IF(Table110[[#This Row],[TOTAL MW]]&lt;165,Table110[[#This Row],[MW Proyectada (Barra A)]],Table110[[#This Row],[MW Proyectada (Barra A)]]*165/Table110[[#This Row],[TOTAL MW]])</f>
        <v>#N/A</v>
      </c>
      <c r="N192" s="53" t="e">
        <f>IF(Table110[[#This Row],[TOTAL MW]]&lt;165,Table110[[#This Row],[MW Proyectada (Barra B)]],Table110[[#This Row],[MW Proyectada (Barra B)]]*165/Table110[[#This Row],[TOTAL MW]])</f>
        <v>#N/A</v>
      </c>
      <c r="P192" s="90"/>
      <c r="Q192" s="90"/>
      <c r="R192" s="93"/>
      <c r="S192" s="93"/>
    </row>
    <row r="193" spans="2:19" x14ac:dyDescent="0.25">
      <c r="B193" s="91">
        <f t="shared" si="7"/>
        <v>45619.999999999542</v>
      </c>
      <c r="C193" s="52">
        <f t="shared" si="8"/>
        <v>8.0000000000000213</v>
      </c>
      <c r="D193" s="92">
        <f>Table110[[#This Row],[Fecha]]</f>
        <v>45619.999999999542</v>
      </c>
      <c r="E193" s="53" t="e">
        <f>VLOOKUP(Table110[[#This Row],[FECHA /HORA]],TBL_CalcDarwin[],7,0)</f>
        <v>#N/A</v>
      </c>
      <c r="F193" s="53" t="e">
        <f>VLOOKUP(Table110[[#This Row],[FECHA /HORA]],TBL_CalcDarwin[],42,0)</f>
        <v>#N/A</v>
      </c>
      <c r="G193" s="53" t="e">
        <f>VLOOKUP(Table110[[#This Row],[FECHA /HORA]],TBL_CalcDarwin[],43,0)</f>
        <v>#N/A</v>
      </c>
      <c r="H193" s="53" t="e">
        <f>VLOOKUP(Table110[[#This Row],[FECHA /HORA]],TBL_CalcDarwin[],40,0)</f>
        <v>#N/A</v>
      </c>
      <c r="I193" s="53" t="e">
        <f>VLOOKUP(Table110[[#This Row],[FECHA /HORA]],TBL_CalcDarwin[],41,0)</f>
        <v>#N/A</v>
      </c>
      <c r="J193" s="53" t="e">
        <f>Table110[[#This Row],[MW Proyectada (Barra A)]]+Table110[[#This Row],[MW Proyectada (Barra B)]]</f>
        <v>#N/A</v>
      </c>
      <c r="L193" s="53" t="e">
        <f t="shared" si="6"/>
        <v>#N/A</v>
      </c>
      <c r="M193" s="53" t="e">
        <f>IF(Table110[[#This Row],[TOTAL MW]]&lt;165,Table110[[#This Row],[MW Proyectada (Barra A)]],Table110[[#This Row],[MW Proyectada (Barra A)]]*165/Table110[[#This Row],[TOTAL MW]])</f>
        <v>#N/A</v>
      </c>
      <c r="N193" s="53" t="e">
        <f>IF(Table110[[#This Row],[TOTAL MW]]&lt;165,Table110[[#This Row],[MW Proyectada (Barra B)]],Table110[[#This Row],[MW Proyectada (Barra B)]]*165/Table110[[#This Row],[TOTAL MW]])</f>
        <v>#N/A</v>
      </c>
      <c r="P193" s="90"/>
      <c r="Q193" s="90"/>
      <c r="R193" s="93"/>
      <c r="S193" s="93"/>
    </row>
    <row r="194" spans="2:19" x14ac:dyDescent="0.25">
      <c r="B194" s="91">
        <f t="shared" si="7"/>
        <v>45620.041666666206</v>
      </c>
      <c r="C194" s="52">
        <f t="shared" si="8"/>
        <v>8.0416666666666874</v>
      </c>
      <c r="D194" s="92">
        <f>Table110[[#This Row],[Fecha]]</f>
        <v>45620.041666666206</v>
      </c>
      <c r="E194" s="53" t="e">
        <f>VLOOKUP(Table110[[#This Row],[FECHA /HORA]],TBL_CalcDarwin[],7,0)</f>
        <v>#N/A</v>
      </c>
      <c r="F194" s="53" t="e">
        <f>VLOOKUP(Table110[[#This Row],[FECHA /HORA]],TBL_CalcDarwin[],42,0)</f>
        <v>#N/A</v>
      </c>
      <c r="G194" s="53" t="e">
        <f>VLOOKUP(Table110[[#This Row],[FECHA /HORA]],TBL_CalcDarwin[],43,0)</f>
        <v>#N/A</v>
      </c>
      <c r="H194" s="53" t="e">
        <f>VLOOKUP(Table110[[#This Row],[FECHA /HORA]],TBL_CalcDarwin[],40,0)</f>
        <v>#N/A</v>
      </c>
      <c r="I194" s="53" t="e">
        <f>VLOOKUP(Table110[[#This Row],[FECHA /HORA]],TBL_CalcDarwin[],41,0)</f>
        <v>#N/A</v>
      </c>
      <c r="J194" s="53" t="e">
        <f>Table110[[#This Row],[MW Proyectada (Barra A)]]+Table110[[#This Row],[MW Proyectada (Barra B)]]</f>
        <v>#N/A</v>
      </c>
      <c r="L194" s="53" t="e">
        <f t="shared" si="6"/>
        <v>#N/A</v>
      </c>
      <c r="M194" s="53" t="e">
        <f>IF(Table110[[#This Row],[TOTAL MW]]&lt;165,Table110[[#This Row],[MW Proyectada (Barra A)]],Table110[[#This Row],[MW Proyectada (Barra A)]]*165/Table110[[#This Row],[TOTAL MW]])</f>
        <v>#N/A</v>
      </c>
      <c r="N194" s="53" t="e">
        <f>IF(Table110[[#This Row],[TOTAL MW]]&lt;165,Table110[[#This Row],[MW Proyectada (Barra B)]],Table110[[#This Row],[MW Proyectada (Barra B)]]*165/Table110[[#This Row],[TOTAL MW]])</f>
        <v>#N/A</v>
      </c>
      <c r="P194" s="90"/>
      <c r="Q194" s="90"/>
      <c r="R194" s="93"/>
      <c r="S194" s="93"/>
    </row>
    <row r="195" spans="2:19" x14ac:dyDescent="0.25">
      <c r="B195" s="91">
        <f t="shared" si="7"/>
        <v>45620.08333333287</v>
      </c>
      <c r="C195" s="52">
        <f t="shared" si="8"/>
        <v>8.0833333333333535</v>
      </c>
      <c r="D195" s="92">
        <f>Table110[[#This Row],[Fecha]]</f>
        <v>45620.08333333287</v>
      </c>
      <c r="E195" s="53" t="e">
        <f>VLOOKUP(Table110[[#This Row],[FECHA /HORA]],TBL_CalcDarwin[],7,0)</f>
        <v>#N/A</v>
      </c>
      <c r="F195" s="53" t="e">
        <f>VLOOKUP(Table110[[#This Row],[FECHA /HORA]],TBL_CalcDarwin[],42,0)</f>
        <v>#N/A</v>
      </c>
      <c r="G195" s="53" t="e">
        <f>VLOOKUP(Table110[[#This Row],[FECHA /HORA]],TBL_CalcDarwin[],43,0)</f>
        <v>#N/A</v>
      </c>
      <c r="H195" s="53" t="e">
        <f>VLOOKUP(Table110[[#This Row],[FECHA /HORA]],TBL_CalcDarwin[],40,0)</f>
        <v>#N/A</v>
      </c>
      <c r="I195" s="53" t="e">
        <f>VLOOKUP(Table110[[#This Row],[FECHA /HORA]],TBL_CalcDarwin[],41,0)</f>
        <v>#N/A</v>
      </c>
      <c r="J195" s="53" t="e">
        <f>Table110[[#This Row],[MW Proyectada (Barra A)]]+Table110[[#This Row],[MW Proyectada (Barra B)]]</f>
        <v>#N/A</v>
      </c>
      <c r="L195" s="53" t="e">
        <f t="shared" si="6"/>
        <v>#N/A</v>
      </c>
      <c r="M195" s="53" t="e">
        <f>IF(Table110[[#This Row],[TOTAL MW]]&lt;165,Table110[[#This Row],[MW Proyectada (Barra A)]],Table110[[#This Row],[MW Proyectada (Barra A)]]*165/Table110[[#This Row],[TOTAL MW]])</f>
        <v>#N/A</v>
      </c>
      <c r="N195" s="53" t="e">
        <f>IF(Table110[[#This Row],[TOTAL MW]]&lt;165,Table110[[#This Row],[MW Proyectada (Barra B)]],Table110[[#This Row],[MW Proyectada (Barra B)]]*165/Table110[[#This Row],[TOTAL MW]])</f>
        <v>#N/A</v>
      </c>
      <c r="P195" s="90"/>
      <c r="Q195" s="90"/>
      <c r="R195" s="93"/>
      <c r="S195" s="93"/>
    </row>
    <row r="196" spans="2:19" x14ac:dyDescent="0.25">
      <c r="B196" s="91">
        <f t="shared" si="7"/>
        <v>45620.124999999534</v>
      </c>
      <c r="C196" s="52">
        <f t="shared" si="8"/>
        <v>8.1250000000000195</v>
      </c>
      <c r="D196" s="92">
        <f>Table110[[#This Row],[Fecha]]</f>
        <v>45620.124999999534</v>
      </c>
      <c r="E196" s="53" t="e">
        <f>VLOOKUP(Table110[[#This Row],[FECHA /HORA]],TBL_CalcDarwin[],7,0)</f>
        <v>#N/A</v>
      </c>
      <c r="F196" s="53" t="e">
        <f>VLOOKUP(Table110[[#This Row],[FECHA /HORA]],TBL_CalcDarwin[],42,0)</f>
        <v>#N/A</v>
      </c>
      <c r="G196" s="53" t="e">
        <f>VLOOKUP(Table110[[#This Row],[FECHA /HORA]],TBL_CalcDarwin[],43,0)</f>
        <v>#N/A</v>
      </c>
      <c r="H196" s="53" t="e">
        <f>VLOOKUP(Table110[[#This Row],[FECHA /HORA]],TBL_CalcDarwin[],40,0)</f>
        <v>#N/A</v>
      </c>
      <c r="I196" s="53" t="e">
        <f>VLOOKUP(Table110[[#This Row],[FECHA /HORA]],TBL_CalcDarwin[],41,0)</f>
        <v>#N/A</v>
      </c>
      <c r="J196" s="53" t="e">
        <f>Table110[[#This Row],[MW Proyectada (Barra A)]]+Table110[[#This Row],[MW Proyectada (Barra B)]]</f>
        <v>#N/A</v>
      </c>
      <c r="L196" s="53" t="e">
        <f t="shared" ref="L196:L228" si="9">M196+N196</f>
        <v>#N/A</v>
      </c>
      <c r="M196" s="53" t="e">
        <f>IF(Table110[[#This Row],[TOTAL MW]]&lt;165,Table110[[#This Row],[MW Proyectada (Barra A)]],Table110[[#This Row],[MW Proyectada (Barra A)]]*165/Table110[[#This Row],[TOTAL MW]])</f>
        <v>#N/A</v>
      </c>
      <c r="N196" s="53" t="e">
        <f>IF(Table110[[#This Row],[TOTAL MW]]&lt;165,Table110[[#This Row],[MW Proyectada (Barra B)]],Table110[[#This Row],[MW Proyectada (Barra B)]]*165/Table110[[#This Row],[TOTAL MW]])</f>
        <v>#N/A</v>
      </c>
      <c r="P196" s="90"/>
      <c r="Q196" s="90"/>
      <c r="R196" s="93"/>
      <c r="S196" s="93"/>
    </row>
    <row r="197" spans="2:19" x14ac:dyDescent="0.25">
      <c r="B197" s="91">
        <f t="shared" ref="B197:B228" si="10">B196+TIME(1,0,0)</f>
        <v>45620.166666666199</v>
      </c>
      <c r="C197" s="52">
        <f t="shared" ref="C197:C228" si="11">C196+TIME(1,0,0)</f>
        <v>8.1666666666666856</v>
      </c>
      <c r="D197" s="92">
        <f>Table110[[#This Row],[Fecha]]</f>
        <v>45620.166666666199</v>
      </c>
      <c r="E197" s="53" t="e">
        <f>VLOOKUP(Table110[[#This Row],[FECHA /HORA]],TBL_CalcDarwin[],7,0)</f>
        <v>#N/A</v>
      </c>
      <c r="F197" s="53" t="e">
        <f>VLOOKUP(Table110[[#This Row],[FECHA /HORA]],TBL_CalcDarwin[],42,0)</f>
        <v>#N/A</v>
      </c>
      <c r="G197" s="53" t="e">
        <f>VLOOKUP(Table110[[#This Row],[FECHA /HORA]],TBL_CalcDarwin[],43,0)</f>
        <v>#N/A</v>
      </c>
      <c r="H197" s="53" t="e">
        <f>VLOOKUP(Table110[[#This Row],[FECHA /HORA]],TBL_CalcDarwin[],40,0)</f>
        <v>#N/A</v>
      </c>
      <c r="I197" s="53" t="e">
        <f>VLOOKUP(Table110[[#This Row],[FECHA /HORA]],TBL_CalcDarwin[],41,0)</f>
        <v>#N/A</v>
      </c>
      <c r="J197" s="53" t="e">
        <f>Table110[[#This Row],[MW Proyectada (Barra A)]]+Table110[[#This Row],[MW Proyectada (Barra B)]]</f>
        <v>#N/A</v>
      </c>
      <c r="L197" s="53" t="e">
        <f t="shared" si="9"/>
        <v>#N/A</v>
      </c>
      <c r="M197" s="53" t="e">
        <f>IF(Table110[[#This Row],[TOTAL MW]]&lt;165,Table110[[#This Row],[MW Proyectada (Barra A)]],Table110[[#This Row],[MW Proyectada (Barra A)]]*165/Table110[[#This Row],[TOTAL MW]])</f>
        <v>#N/A</v>
      </c>
      <c r="N197" s="53" t="e">
        <f>IF(Table110[[#This Row],[TOTAL MW]]&lt;165,Table110[[#This Row],[MW Proyectada (Barra B)]],Table110[[#This Row],[MW Proyectada (Barra B)]]*165/Table110[[#This Row],[TOTAL MW]])</f>
        <v>#N/A</v>
      </c>
      <c r="P197" s="90"/>
      <c r="Q197" s="90"/>
      <c r="R197" s="93"/>
      <c r="S197" s="93"/>
    </row>
    <row r="198" spans="2:19" x14ac:dyDescent="0.25">
      <c r="B198" s="91">
        <f t="shared" si="10"/>
        <v>45620.208333332863</v>
      </c>
      <c r="C198" s="52">
        <f t="shared" si="11"/>
        <v>8.2083333333333517</v>
      </c>
      <c r="D198" s="92">
        <f>Table110[[#This Row],[Fecha]]</f>
        <v>45620.208333332863</v>
      </c>
      <c r="E198" s="53" t="e">
        <f>VLOOKUP(Table110[[#This Row],[FECHA /HORA]],TBL_CalcDarwin[],7,0)</f>
        <v>#N/A</v>
      </c>
      <c r="F198" s="53" t="e">
        <f>VLOOKUP(Table110[[#This Row],[FECHA /HORA]],TBL_CalcDarwin[],42,0)</f>
        <v>#N/A</v>
      </c>
      <c r="G198" s="53" t="e">
        <f>VLOOKUP(Table110[[#This Row],[FECHA /HORA]],TBL_CalcDarwin[],43,0)</f>
        <v>#N/A</v>
      </c>
      <c r="H198" s="53" t="e">
        <f>VLOOKUP(Table110[[#This Row],[FECHA /HORA]],TBL_CalcDarwin[],40,0)</f>
        <v>#N/A</v>
      </c>
      <c r="I198" s="53" t="e">
        <f>VLOOKUP(Table110[[#This Row],[FECHA /HORA]],TBL_CalcDarwin[],41,0)</f>
        <v>#N/A</v>
      </c>
      <c r="J198" s="53" t="e">
        <f>Table110[[#This Row],[MW Proyectada (Barra A)]]+Table110[[#This Row],[MW Proyectada (Barra B)]]</f>
        <v>#N/A</v>
      </c>
      <c r="L198" s="53" t="e">
        <f t="shared" si="9"/>
        <v>#N/A</v>
      </c>
      <c r="M198" s="53" t="e">
        <f>IF(Table110[[#This Row],[TOTAL MW]]&lt;165,Table110[[#This Row],[MW Proyectada (Barra A)]],Table110[[#This Row],[MW Proyectada (Barra A)]]*165/Table110[[#This Row],[TOTAL MW]])</f>
        <v>#N/A</v>
      </c>
      <c r="N198" s="53" t="e">
        <f>IF(Table110[[#This Row],[TOTAL MW]]&lt;165,Table110[[#This Row],[MW Proyectada (Barra B)]],Table110[[#This Row],[MW Proyectada (Barra B)]]*165/Table110[[#This Row],[TOTAL MW]])</f>
        <v>#N/A</v>
      </c>
      <c r="P198" s="90"/>
      <c r="Q198" s="90"/>
      <c r="R198" s="93"/>
      <c r="S198" s="93"/>
    </row>
    <row r="199" spans="2:19" x14ac:dyDescent="0.25">
      <c r="B199" s="91">
        <f t="shared" si="10"/>
        <v>45620.249999999527</v>
      </c>
      <c r="C199" s="52">
        <f t="shared" si="11"/>
        <v>8.2500000000000178</v>
      </c>
      <c r="D199" s="92">
        <f>Table110[[#This Row],[Fecha]]</f>
        <v>45620.249999999527</v>
      </c>
      <c r="E199" s="53" t="e">
        <f>VLOOKUP(Table110[[#This Row],[FECHA /HORA]],TBL_CalcDarwin[],7,0)</f>
        <v>#N/A</v>
      </c>
      <c r="F199" s="53" t="e">
        <f>VLOOKUP(Table110[[#This Row],[FECHA /HORA]],TBL_CalcDarwin[],42,0)</f>
        <v>#N/A</v>
      </c>
      <c r="G199" s="53" t="e">
        <f>VLOOKUP(Table110[[#This Row],[FECHA /HORA]],TBL_CalcDarwin[],43,0)</f>
        <v>#N/A</v>
      </c>
      <c r="H199" s="53" t="e">
        <f>VLOOKUP(Table110[[#This Row],[FECHA /HORA]],TBL_CalcDarwin[],40,0)</f>
        <v>#N/A</v>
      </c>
      <c r="I199" s="53" t="e">
        <f>VLOOKUP(Table110[[#This Row],[FECHA /HORA]],TBL_CalcDarwin[],41,0)</f>
        <v>#N/A</v>
      </c>
      <c r="J199" s="53" t="e">
        <f>Table110[[#This Row],[MW Proyectada (Barra A)]]+Table110[[#This Row],[MW Proyectada (Barra B)]]</f>
        <v>#N/A</v>
      </c>
      <c r="L199" s="53" t="e">
        <f t="shared" si="9"/>
        <v>#N/A</v>
      </c>
      <c r="M199" s="53" t="e">
        <f>IF(Table110[[#This Row],[TOTAL MW]]&lt;165,Table110[[#This Row],[MW Proyectada (Barra A)]],Table110[[#This Row],[MW Proyectada (Barra A)]]*165/Table110[[#This Row],[TOTAL MW]])</f>
        <v>#N/A</v>
      </c>
      <c r="N199" s="53" t="e">
        <f>IF(Table110[[#This Row],[TOTAL MW]]&lt;165,Table110[[#This Row],[MW Proyectada (Barra B)]],Table110[[#This Row],[MW Proyectada (Barra B)]]*165/Table110[[#This Row],[TOTAL MW]])</f>
        <v>#N/A</v>
      </c>
      <c r="P199" s="90"/>
      <c r="Q199" s="90"/>
      <c r="R199" s="93"/>
      <c r="S199" s="93"/>
    </row>
    <row r="200" spans="2:19" x14ac:dyDescent="0.25">
      <c r="B200" s="91">
        <f t="shared" si="10"/>
        <v>45620.291666666191</v>
      </c>
      <c r="C200" s="52">
        <f t="shared" si="11"/>
        <v>8.2916666666666838</v>
      </c>
      <c r="D200" s="92">
        <f>Table110[[#This Row],[Fecha]]</f>
        <v>45620.291666666191</v>
      </c>
      <c r="E200" s="53" t="e">
        <f>VLOOKUP(Table110[[#This Row],[FECHA /HORA]],TBL_CalcDarwin[],7,0)</f>
        <v>#N/A</v>
      </c>
      <c r="F200" s="53" t="e">
        <f>VLOOKUP(Table110[[#This Row],[FECHA /HORA]],TBL_CalcDarwin[],42,0)</f>
        <v>#N/A</v>
      </c>
      <c r="G200" s="53" t="e">
        <f>VLOOKUP(Table110[[#This Row],[FECHA /HORA]],TBL_CalcDarwin[],43,0)</f>
        <v>#N/A</v>
      </c>
      <c r="H200" s="53" t="e">
        <f>VLOOKUP(Table110[[#This Row],[FECHA /HORA]],TBL_CalcDarwin[],40,0)</f>
        <v>#N/A</v>
      </c>
      <c r="I200" s="53" t="e">
        <f>VLOOKUP(Table110[[#This Row],[FECHA /HORA]],TBL_CalcDarwin[],41,0)</f>
        <v>#N/A</v>
      </c>
      <c r="J200" s="53" t="e">
        <f>Table110[[#This Row],[MW Proyectada (Barra A)]]+Table110[[#This Row],[MW Proyectada (Barra B)]]</f>
        <v>#N/A</v>
      </c>
      <c r="L200" s="53" t="e">
        <f t="shared" si="9"/>
        <v>#N/A</v>
      </c>
      <c r="M200" s="53" t="e">
        <f>IF(Table110[[#This Row],[TOTAL MW]]&lt;165,Table110[[#This Row],[MW Proyectada (Barra A)]],Table110[[#This Row],[MW Proyectada (Barra A)]]*165/Table110[[#This Row],[TOTAL MW]])</f>
        <v>#N/A</v>
      </c>
      <c r="N200" s="53" t="e">
        <f>IF(Table110[[#This Row],[TOTAL MW]]&lt;165,Table110[[#This Row],[MW Proyectada (Barra B)]],Table110[[#This Row],[MW Proyectada (Barra B)]]*165/Table110[[#This Row],[TOTAL MW]])</f>
        <v>#N/A</v>
      </c>
      <c r="P200" s="90"/>
      <c r="Q200" s="90"/>
      <c r="R200" s="93"/>
      <c r="S200" s="93"/>
    </row>
    <row r="201" spans="2:19" x14ac:dyDescent="0.25">
      <c r="B201" s="91">
        <f t="shared" si="10"/>
        <v>45620.333333332856</v>
      </c>
      <c r="C201" s="52">
        <f t="shared" si="11"/>
        <v>8.3333333333333499</v>
      </c>
      <c r="D201" s="92">
        <f>Table110[[#This Row],[Fecha]]</f>
        <v>45620.333333332856</v>
      </c>
      <c r="E201" s="53" t="e">
        <f>VLOOKUP(Table110[[#This Row],[FECHA /HORA]],TBL_CalcDarwin[],7,0)</f>
        <v>#N/A</v>
      </c>
      <c r="F201" s="53" t="e">
        <f>VLOOKUP(Table110[[#This Row],[FECHA /HORA]],TBL_CalcDarwin[],42,0)</f>
        <v>#N/A</v>
      </c>
      <c r="G201" s="53" t="e">
        <f>VLOOKUP(Table110[[#This Row],[FECHA /HORA]],TBL_CalcDarwin[],43,0)</f>
        <v>#N/A</v>
      </c>
      <c r="H201" s="53" t="e">
        <f>VLOOKUP(Table110[[#This Row],[FECHA /HORA]],TBL_CalcDarwin[],40,0)</f>
        <v>#N/A</v>
      </c>
      <c r="I201" s="53" t="e">
        <f>VLOOKUP(Table110[[#This Row],[FECHA /HORA]],TBL_CalcDarwin[],41,0)</f>
        <v>#N/A</v>
      </c>
      <c r="J201" s="53" t="e">
        <f>Table110[[#This Row],[MW Proyectada (Barra A)]]+Table110[[#This Row],[MW Proyectada (Barra B)]]</f>
        <v>#N/A</v>
      </c>
      <c r="L201" s="53" t="e">
        <f t="shared" si="9"/>
        <v>#N/A</v>
      </c>
      <c r="M201" s="53" t="e">
        <f>IF(Table110[[#This Row],[TOTAL MW]]&lt;165,Table110[[#This Row],[MW Proyectada (Barra A)]],Table110[[#This Row],[MW Proyectada (Barra A)]]*165/Table110[[#This Row],[TOTAL MW]])</f>
        <v>#N/A</v>
      </c>
      <c r="N201" s="53" t="e">
        <f>IF(Table110[[#This Row],[TOTAL MW]]&lt;165,Table110[[#This Row],[MW Proyectada (Barra B)]],Table110[[#This Row],[MW Proyectada (Barra B)]]*165/Table110[[#This Row],[TOTAL MW]])</f>
        <v>#N/A</v>
      </c>
      <c r="P201" s="90"/>
      <c r="Q201" s="90"/>
      <c r="R201" s="93"/>
      <c r="S201" s="93"/>
    </row>
    <row r="202" spans="2:19" x14ac:dyDescent="0.25">
      <c r="B202" s="91">
        <f t="shared" si="10"/>
        <v>45620.37499999952</v>
      </c>
      <c r="C202" s="52">
        <f t="shared" si="11"/>
        <v>8.375000000000016</v>
      </c>
      <c r="D202" s="92">
        <f>Table110[[#This Row],[Fecha]]</f>
        <v>45620.37499999952</v>
      </c>
      <c r="E202" s="53" t="e">
        <f>VLOOKUP(Table110[[#This Row],[FECHA /HORA]],TBL_CalcDarwin[],7,0)</f>
        <v>#N/A</v>
      </c>
      <c r="F202" s="53" t="e">
        <f>VLOOKUP(Table110[[#This Row],[FECHA /HORA]],TBL_CalcDarwin[],42,0)</f>
        <v>#N/A</v>
      </c>
      <c r="G202" s="53" t="e">
        <f>VLOOKUP(Table110[[#This Row],[FECHA /HORA]],TBL_CalcDarwin[],43,0)</f>
        <v>#N/A</v>
      </c>
      <c r="H202" s="53" t="e">
        <f>VLOOKUP(Table110[[#This Row],[FECHA /HORA]],TBL_CalcDarwin[],40,0)</f>
        <v>#N/A</v>
      </c>
      <c r="I202" s="53" t="e">
        <f>VLOOKUP(Table110[[#This Row],[FECHA /HORA]],TBL_CalcDarwin[],41,0)</f>
        <v>#N/A</v>
      </c>
      <c r="J202" s="53" t="e">
        <f>Table110[[#This Row],[MW Proyectada (Barra A)]]+Table110[[#This Row],[MW Proyectada (Barra B)]]</f>
        <v>#N/A</v>
      </c>
      <c r="L202" s="53" t="e">
        <f t="shared" si="9"/>
        <v>#N/A</v>
      </c>
      <c r="M202" s="53" t="e">
        <f>IF(Table110[[#This Row],[TOTAL MW]]&lt;165,Table110[[#This Row],[MW Proyectada (Barra A)]],Table110[[#This Row],[MW Proyectada (Barra A)]]*165/Table110[[#This Row],[TOTAL MW]])</f>
        <v>#N/A</v>
      </c>
      <c r="N202" s="53" t="e">
        <f>IF(Table110[[#This Row],[TOTAL MW]]&lt;165,Table110[[#This Row],[MW Proyectada (Barra B)]],Table110[[#This Row],[MW Proyectada (Barra B)]]*165/Table110[[#This Row],[TOTAL MW]])</f>
        <v>#N/A</v>
      </c>
      <c r="P202" s="90"/>
      <c r="Q202" s="90"/>
      <c r="R202" s="93"/>
      <c r="S202" s="93"/>
    </row>
    <row r="203" spans="2:19" x14ac:dyDescent="0.25">
      <c r="B203" s="91">
        <f t="shared" si="10"/>
        <v>45620.416666666184</v>
      </c>
      <c r="C203" s="52">
        <f t="shared" si="11"/>
        <v>8.4166666666666821</v>
      </c>
      <c r="D203" s="92">
        <f>Table110[[#This Row],[Fecha]]</f>
        <v>45620.416666666184</v>
      </c>
      <c r="E203" s="53" t="e">
        <f>VLOOKUP(Table110[[#This Row],[FECHA /HORA]],TBL_CalcDarwin[],7,0)</f>
        <v>#N/A</v>
      </c>
      <c r="F203" s="53" t="e">
        <f>VLOOKUP(Table110[[#This Row],[FECHA /HORA]],TBL_CalcDarwin[],42,0)</f>
        <v>#N/A</v>
      </c>
      <c r="G203" s="53" t="e">
        <f>VLOOKUP(Table110[[#This Row],[FECHA /HORA]],TBL_CalcDarwin[],43,0)</f>
        <v>#N/A</v>
      </c>
      <c r="H203" s="53" t="e">
        <f>VLOOKUP(Table110[[#This Row],[FECHA /HORA]],TBL_CalcDarwin[],40,0)</f>
        <v>#N/A</v>
      </c>
      <c r="I203" s="53" t="e">
        <f>VLOOKUP(Table110[[#This Row],[FECHA /HORA]],TBL_CalcDarwin[],41,0)</f>
        <v>#N/A</v>
      </c>
      <c r="J203" s="53" t="e">
        <f>Table110[[#This Row],[MW Proyectada (Barra A)]]+Table110[[#This Row],[MW Proyectada (Barra B)]]</f>
        <v>#N/A</v>
      </c>
      <c r="L203" s="53" t="e">
        <f t="shared" si="9"/>
        <v>#N/A</v>
      </c>
      <c r="M203" s="53" t="e">
        <f>IF(Table110[[#This Row],[TOTAL MW]]&lt;165,Table110[[#This Row],[MW Proyectada (Barra A)]],Table110[[#This Row],[MW Proyectada (Barra A)]]*165/Table110[[#This Row],[TOTAL MW]])</f>
        <v>#N/A</v>
      </c>
      <c r="N203" s="53" t="e">
        <f>IF(Table110[[#This Row],[TOTAL MW]]&lt;165,Table110[[#This Row],[MW Proyectada (Barra B)]],Table110[[#This Row],[MW Proyectada (Barra B)]]*165/Table110[[#This Row],[TOTAL MW]])</f>
        <v>#N/A</v>
      </c>
      <c r="P203" s="90"/>
      <c r="Q203" s="90"/>
      <c r="R203" s="93"/>
      <c r="S203" s="93"/>
    </row>
    <row r="204" spans="2:19" x14ac:dyDescent="0.25">
      <c r="B204" s="91">
        <f t="shared" si="10"/>
        <v>45620.458333332848</v>
      </c>
      <c r="C204" s="52">
        <f t="shared" si="11"/>
        <v>8.4583333333333481</v>
      </c>
      <c r="D204" s="92">
        <f>Table110[[#This Row],[Fecha]]</f>
        <v>45620.458333332848</v>
      </c>
      <c r="E204" s="53" t="e">
        <f>VLOOKUP(Table110[[#This Row],[FECHA /HORA]],TBL_CalcDarwin[],7,0)</f>
        <v>#N/A</v>
      </c>
      <c r="F204" s="53" t="e">
        <f>VLOOKUP(Table110[[#This Row],[FECHA /HORA]],TBL_CalcDarwin[],42,0)</f>
        <v>#N/A</v>
      </c>
      <c r="G204" s="53" t="e">
        <f>VLOOKUP(Table110[[#This Row],[FECHA /HORA]],TBL_CalcDarwin[],43,0)</f>
        <v>#N/A</v>
      </c>
      <c r="H204" s="53" t="e">
        <f>VLOOKUP(Table110[[#This Row],[FECHA /HORA]],TBL_CalcDarwin[],40,0)</f>
        <v>#N/A</v>
      </c>
      <c r="I204" s="53" t="e">
        <f>VLOOKUP(Table110[[#This Row],[FECHA /HORA]],TBL_CalcDarwin[],41,0)</f>
        <v>#N/A</v>
      </c>
      <c r="J204" s="53" t="e">
        <f>Table110[[#This Row],[MW Proyectada (Barra A)]]+Table110[[#This Row],[MW Proyectada (Barra B)]]</f>
        <v>#N/A</v>
      </c>
      <c r="L204" s="53" t="e">
        <f t="shared" si="9"/>
        <v>#N/A</v>
      </c>
      <c r="M204" s="53" t="e">
        <f>IF(Table110[[#This Row],[TOTAL MW]]&lt;165,Table110[[#This Row],[MW Proyectada (Barra A)]],Table110[[#This Row],[MW Proyectada (Barra A)]]*165/Table110[[#This Row],[TOTAL MW]])</f>
        <v>#N/A</v>
      </c>
      <c r="N204" s="53" t="e">
        <f>IF(Table110[[#This Row],[TOTAL MW]]&lt;165,Table110[[#This Row],[MW Proyectada (Barra B)]],Table110[[#This Row],[MW Proyectada (Barra B)]]*165/Table110[[#This Row],[TOTAL MW]])</f>
        <v>#N/A</v>
      </c>
      <c r="P204" s="90"/>
      <c r="Q204" s="90"/>
      <c r="R204" s="93"/>
      <c r="S204" s="93"/>
    </row>
    <row r="205" spans="2:19" x14ac:dyDescent="0.25">
      <c r="B205" s="91">
        <f t="shared" si="10"/>
        <v>45620.499999999513</v>
      </c>
      <c r="C205" s="52">
        <f t="shared" si="11"/>
        <v>8.5000000000000142</v>
      </c>
      <c r="D205" s="92">
        <f>Table110[[#This Row],[Fecha]]</f>
        <v>45620.499999999513</v>
      </c>
      <c r="E205" s="53" t="e">
        <f>VLOOKUP(Table110[[#This Row],[FECHA /HORA]],TBL_CalcDarwin[],7,0)</f>
        <v>#N/A</v>
      </c>
      <c r="F205" s="53" t="e">
        <f>VLOOKUP(Table110[[#This Row],[FECHA /HORA]],TBL_CalcDarwin[],42,0)</f>
        <v>#N/A</v>
      </c>
      <c r="G205" s="53" t="e">
        <f>VLOOKUP(Table110[[#This Row],[FECHA /HORA]],TBL_CalcDarwin[],43,0)</f>
        <v>#N/A</v>
      </c>
      <c r="H205" s="53" t="e">
        <f>VLOOKUP(Table110[[#This Row],[FECHA /HORA]],TBL_CalcDarwin[],40,0)</f>
        <v>#N/A</v>
      </c>
      <c r="I205" s="53" t="e">
        <f>VLOOKUP(Table110[[#This Row],[FECHA /HORA]],TBL_CalcDarwin[],41,0)</f>
        <v>#N/A</v>
      </c>
      <c r="J205" s="53" t="e">
        <f>Table110[[#This Row],[MW Proyectada (Barra A)]]+Table110[[#This Row],[MW Proyectada (Barra B)]]</f>
        <v>#N/A</v>
      </c>
      <c r="L205" s="53" t="e">
        <f t="shared" si="9"/>
        <v>#N/A</v>
      </c>
      <c r="M205" s="53" t="e">
        <f>IF(Table110[[#This Row],[TOTAL MW]]&lt;165,Table110[[#This Row],[MW Proyectada (Barra A)]],Table110[[#This Row],[MW Proyectada (Barra A)]]*165/Table110[[#This Row],[TOTAL MW]])</f>
        <v>#N/A</v>
      </c>
      <c r="N205" s="53" t="e">
        <f>IF(Table110[[#This Row],[TOTAL MW]]&lt;165,Table110[[#This Row],[MW Proyectada (Barra B)]],Table110[[#This Row],[MW Proyectada (Barra B)]]*165/Table110[[#This Row],[TOTAL MW]])</f>
        <v>#N/A</v>
      </c>
      <c r="P205" s="90"/>
      <c r="Q205" s="90"/>
      <c r="R205" s="93"/>
      <c r="S205" s="93"/>
    </row>
    <row r="206" spans="2:19" x14ac:dyDescent="0.25">
      <c r="B206" s="91">
        <f t="shared" si="10"/>
        <v>45620.541666666177</v>
      </c>
      <c r="C206" s="52">
        <f t="shared" si="11"/>
        <v>8.5416666666666803</v>
      </c>
      <c r="D206" s="92">
        <f>Table110[[#This Row],[Fecha]]</f>
        <v>45620.541666666177</v>
      </c>
      <c r="E206" s="53" t="e">
        <f>VLOOKUP(Table110[[#This Row],[FECHA /HORA]],TBL_CalcDarwin[],7,0)</f>
        <v>#N/A</v>
      </c>
      <c r="F206" s="53" t="e">
        <f>VLOOKUP(Table110[[#This Row],[FECHA /HORA]],TBL_CalcDarwin[],42,0)</f>
        <v>#N/A</v>
      </c>
      <c r="G206" s="53" t="e">
        <f>VLOOKUP(Table110[[#This Row],[FECHA /HORA]],TBL_CalcDarwin[],43,0)</f>
        <v>#N/A</v>
      </c>
      <c r="H206" s="53" t="e">
        <f>VLOOKUP(Table110[[#This Row],[FECHA /HORA]],TBL_CalcDarwin[],40,0)</f>
        <v>#N/A</v>
      </c>
      <c r="I206" s="53" t="e">
        <f>VLOOKUP(Table110[[#This Row],[FECHA /HORA]],TBL_CalcDarwin[],41,0)</f>
        <v>#N/A</v>
      </c>
      <c r="J206" s="53" t="e">
        <f>Table110[[#This Row],[MW Proyectada (Barra A)]]+Table110[[#This Row],[MW Proyectada (Barra B)]]</f>
        <v>#N/A</v>
      </c>
      <c r="L206" s="53" t="e">
        <f t="shared" si="9"/>
        <v>#N/A</v>
      </c>
      <c r="M206" s="53" t="e">
        <f>IF(Table110[[#This Row],[TOTAL MW]]&lt;165,Table110[[#This Row],[MW Proyectada (Barra A)]],Table110[[#This Row],[MW Proyectada (Barra A)]]*165/Table110[[#This Row],[TOTAL MW]])</f>
        <v>#N/A</v>
      </c>
      <c r="N206" s="53" t="e">
        <f>IF(Table110[[#This Row],[TOTAL MW]]&lt;165,Table110[[#This Row],[MW Proyectada (Barra B)]],Table110[[#This Row],[MW Proyectada (Barra B)]]*165/Table110[[#This Row],[TOTAL MW]])</f>
        <v>#N/A</v>
      </c>
      <c r="P206" s="90"/>
      <c r="Q206" s="90"/>
      <c r="R206" s="93"/>
      <c r="S206" s="93"/>
    </row>
    <row r="207" spans="2:19" x14ac:dyDescent="0.25">
      <c r="B207" s="91">
        <f t="shared" si="10"/>
        <v>45620.583333332841</v>
      </c>
      <c r="C207" s="52">
        <f t="shared" si="11"/>
        <v>8.5833333333333464</v>
      </c>
      <c r="D207" s="92">
        <f>Table110[[#This Row],[Fecha]]</f>
        <v>45620.583333332841</v>
      </c>
      <c r="E207" s="53" t="e">
        <f>VLOOKUP(Table110[[#This Row],[FECHA /HORA]],TBL_CalcDarwin[],7,0)</f>
        <v>#N/A</v>
      </c>
      <c r="F207" s="53" t="e">
        <f>VLOOKUP(Table110[[#This Row],[FECHA /HORA]],TBL_CalcDarwin[],42,0)</f>
        <v>#N/A</v>
      </c>
      <c r="G207" s="53" t="e">
        <f>VLOOKUP(Table110[[#This Row],[FECHA /HORA]],TBL_CalcDarwin[],43,0)</f>
        <v>#N/A</v>
      </c>
      <c r="H207" s="53" t="e">
        <f>VLOOKUP(Table110[[#This Row],[FECHA /HORA]],TBL_CalcDarwin[],40,0)</f>
        <v>#N/A</v>
      </c>
      <c r="I207" s="53" t="e">
        <f>VLOOKUP(Table110[[#This Row],[FECHA /HORA]],TBL_CalcDarwin[],41,0)</f>
        <v>#N/A</v>
      </c>
      <c r="J207" s="53" t="e">
        <f>Table110[[#This Row],[MW Proyectada (Barra A)]]+Table110[[#This Row],[MW Proyectada (Barra B)]]</f>
        <v>#N/A</v>
      </c>
      <c r="L207" s="53" t="e">
        <f t="shared" si="9"/>
        <v>#N/A</v>
      </c>
      <c r="M207" s="53" t="e">
        <f>IF(Table110[[#This Row],[TOTAL MW]]&lt;165,Table110[[#This Row],[MW Proyectada (Barra A)]],Table110[[#This Row],[MW Proyectada (Barra A)]]*165/Table110[[#This Row],[TOTAL MW]])</f>
        <v>#N/A</v>
      </c>
      <c r="N207" s="53" t="e">
        <f>IF(Table110[[#This Row],[TOTAL MW]]&lt;165,Table110[[#This Row],[MW Proyectada (Barra B)]],Table110[[#This Row],[MW Proyectada (Barra B)]]*165/Table110[[#This Row],[TOTAL MW]])</f>
        <v>#N/A</v>
      </c>
      <c r="P207" s="90"/>
      <c r="Q207" s="90"/>
      <c r="R207" s="93"/>
      <c r="S207" s="93"/>
    </row>
    <row r="208" spans="2:19" x14ac:dyDescent="0.25">
      <c r="B208" s="91">
        <f t="shared" si="10"/>
        <v>45620.624999999505</v>
      </c>
      <c r="C208" s="52">
        <f t="shared" si="11"/>
        <v>8.6250000000000124</v>
      </c>
      <c r="D208" s="92">
        <f>Table110[[#This Row],[Fecha]]</f>
        <v>45620.624999999505</v>
      </c>
      <c r="E208" s="53" t="e">
        <f>VLOOKUP(Table110[[#This Row],[FECHA /HORA]],TBL_CalcDarwin[],7,0)</f>
        <v>#N/A</v>
      </c>
      <c r="F208" s="53" t="e">
        <f>VLOOKUP(Table110[[#This Row],[FECHA /HORA]],TBL_CalcDarwin[],42,0)</f>
        <v>#N/A</v>
      </c>
      <c r="G208" s="53" t="e">
        <f>VLOOKUP(Table110[[#This Row],[FECHA /HORA]],TBL_CalcDarwin[],43,0)</f>
        <v>#N/A</v>
      </c>
      <c r="H208" s="53" t="e">
        <f>VLOOKUP(Table110[[#This Row],[FECHA /HORA]],TBL_CalcDarwin[],40,0)</f>
        <v>#N/A</v>
      </c>
      <c r="I208" s="53" t="e">
        <f>VLOOKUP(Table110[[#This Row],[FECHA /HORA]],TBL_CalcDarwin[],41,0)</f>
        <v>#N/A</v>
      </c>
      <c r="J208" s="53" t="e">
        <f>Table110[[#This Row],[MW Proyectada (Barra A)]]+Table110[[#This Row],[MW Proyectada (Barra B)]]</f>
        <v>#N/A</v>
      </c>
      <c r="L208" s="53" t="e">
        <f t="shared" si="9"/>
        <v>#N/A</v>
      </c>
      <c r="M208" s="53" t="e">
        <f>IF(Table110[[#This Row],[TOTAL MW]]&lt;165,Table110[[#This Row],[MW Proyectada (Barra A)]],Table110[[#This Row],[MW Proyectada (Barra A)]]*165/Table110[[#This Row],[TOTAL MW]])</f>
        <v>#N/A</v>
      </c>
      <c r="N208" s="53" t="e">
        <f>IF(Table110[[#This Row],[TOTAL MW]]&lt;165,Table110[[#This Row],[MW Proyectada (Barra B)]],Table110[[#This Row],[MW Proyectada (Barra B)]]*165/Table110[[#This Row],[TOTAL MW]])</f>
        <v>#N/A</v>
      </c>
      <c r="P208" s="90"/>
      <c r="Q208" s="90"/>
      <c r="R208" s="93"/>
      <c r="S208" s="93"/>
    </row>
    <row r="209" spans="2:19" x14ac:dyDescent="0.25">
      <c r="B209" s="91">
        <f t="shared" si="10"/>
        <v>45620.666666666169</v>
      </c>
      <c r="C209" s="52">
        <f t="shared" si="11"/>
        <v>8.6666666666666785</v>
      </c>
      <c r="D209" s="92">
        <f>Table110[[#This Row],[Fecha]]</f>
        <v>45620.666666666169</v>
      </c>
      <c r="E209" s="53" t="e">
        <f>VLOOKUP(Table110[[#This Row],[FECHA /HORA]],TBL_CalcDarwin[],7,0)</f>
        <v>#N/A</v>
      </c>
      <c r="F209" s="53" t="e">
        <f>VLOOKUP(Table110[[#This Row],[FECHA /HORA]],TBL_CalcDarwin[],42,0)</f>
        <v>#N/A</v>
      </c>
      <c r="G209" s="53" t="e">
        <f>VLOOKUP(Table110[[#This Row],[FECHA /HORA]],TBL_CalcDarwin[],43,0)</f>
        <v>#N/A</v>
      </c>
      <c r="H209" s="53" t="e">
        <f>VLOOKUP(Table110[[#This Row],[FECHA /HORA]],TBL_CalcDarwin[],40,0)</f>
        <v>#N/A</v>
      </c>
      <c r="I209" s="53" t="e">
        <f>VLOOKUP(Table110[[#This Row],[FECHA /HORA]],TBL_CalcDarwin[],41,0)</f>
        <v>#N/A</v>
      </c>
      <c r="J209" s="53" t="e">
        <f>Table110[[#This Row],[MW Proyectada (Barra A)]]+Table110[[#This Row],[MW Proyectada (Barra B)]]</f>
        <v>#N/A</v>
      </c>
      <c r="L209" s="53" t="e">
        <f t="shared" si="9"/>
        <v>#N/A</v>
      </c>
      <c r="M209" s="53" t="e">
        <f>IF(Table110[[#This Row],[TOTAL MW]]&lt;165,Table110[[#This Row],[MW Proyectada (Barra A)]],Table110[[#This Row],[MW Proyectada (Barra A)]]*165/Table110[[#This Row],[TOTAL MW]])</f>
        <v>#N/A</v>
      </c>
      <c r="N209" s="53" t="e">
        <f>IF(Table110[[#This Row],[TOTAL MW]]&lt;165,Table110[[#This Row],[MW Proyectada (Barra B)]],Table110[[#This Row],[MW Proyectada (Barra B)]]*165/Table110[[#This Row],[TOTAL MW]])</f>
        <v>#N/A</v>
      </c>
      <c r="P209" s="90"/>
      <c r="Q209" s="90"/>
      <c r="R209" s="93"/>
      <c r="S209" s="93"/>
    </row>
    <row r="210" spans="2:19" x14ac:dyDescent="0.25">
      <c r="B210" s="91">
        <f t="shared" si="10"/>
        <v>45620.708333332834</v>
      </c>
      <c r="C210" s="52">
        <f t="shared" si="11"/>
        <v>8.7083333333333446</v>
      </c>
      <c r="D210" s="92">
        <f>Table110[[#This Row],[Fecha]]</f>
        <v>45620.708333332834</v>
      </c>
      <c r="E210" s="53" t="e">
        <f>VLOOKUP(Table110[[#This Row],[FECHA /HORA]],TBL_CalcDarwin[],7,0)</f>
        <v>#N/A</v>
      </c>
      <c r="F210" s="53" t="e">
        <f>VLOOKUP(Table110[[#This Row],[FECHA /HORA]],TBL_CalcDarwin[],42,0)</f>
        <v>#N/A</v>
      </c>
      <c r="G210" s="53" t="e">
        <f>VLOOKUP(Table110[[#This Row],[FECHA /HORA]],TBL_CalcDarwin[],43,0)</f>
        <v>#N/A</v>
      </c>
      <c r="H210" s="53" t="e">
        <f>VLOOKUP(Table110[[#This Row],[FECHA /HORA]],TBL_CalcDarwin[],40,0)</f>
        <v>#N/A</v>
      </c>
      <c r="I210" s="53" t="e">
        <f>VLOOKUP(Table110[[#This Row],[FECHA /HORA]],TBL_CalcDarwin[],41,0)</f>
        <v>#N/A</v>
      </c>
      <c r="J210" s="53" t="e">
        <f>Table110[[#This Row],[MW Proyectada (Barra A)]]+Table110[[#This Row],[MW Proyectada (Barra B)]]</f>
        <v>#N/A</v>
      </c>
      <c r="L210" s="53" t="e">
        <f t="shared" si="9"/>
        <v>#N/A</v>
      </c>
      <c r="M210" s="53" t="e">
        <f>IF(Table110[[#This Row],[TOTAL MW]]&lt;165,Table110[[#This Row],[MW Proyectada (Barra A)]],Table110[[#This Row],[MW Proyectada (Barra A)]]*165/Table110[[#This Row],[TOTAL MW]])</f>
        <v>#N/A</v>
      </c>
      <c r="N210" s="53" t="e">
        <f>IF(Table110[[#This Row],[TOTAL MW]]&lt;165,Table110[[#This Row],[MW Proyectada (Barra B)]],Table110[[#This Row],[MW Proyectada (Barra B)]]*165/Table110[[#This Row],[TOTAL MW]])</f>
        <v>#N/A</v>
      </c>
      <c r="P210" s="90"/>
      <c r="Q210" s="90"/>
      <c r="R210" s="93"/>
      <c r="S210" s="93"/>
    </row>
    <row r="211" spans="2:19" x14ac:dyDescent="0.25">
      <c r="B211" s="91">
        <f t="shared" si="10"/>
        <v>45620.749999999498</v>
      </c>
      <c r="C211" s="52">
        <f t="shared" si="11"/>
        <v>8.7500000000000107</v>
      </c>
      <c r="D211" s="92">
        <f>Table110[[#This Row],[Fecha]]</f>
        <v>45620.749999999498</v>
      </c>
      <c r="E211" s="53" t="e">
        <f>VLOOKUP(Table110[[#This Row],[FECHA /HORA]],TBL_CalcDarwin[],7,0)</f>
        <v>#N/A</v>
      </c>
      <c r="F211" s="53" t="e">
        <f>VLOOKUP(Table110[[#This Row],[FECHA /HORA]],TBL_CalcDarwin[],42,0)</f>
        <v>#N/A</v>
      </c>
      <c r="G211" s="53" t="e">
        <f>VLOOKUP(Table110[[#This Row],[FECHA /HORA]],TBL_CalcDarwin[],43,0)</f>
        <v>#N/A</v>
      </c>
      <c r="H211" s="53" t="e">
        <f>VLOOKUP(Table110[[#This Row],[FECHA /HORA]],TBL_CalcDarwin[],40,0)</f>
        <v>#N/A</v>
      </c>
      <c r="I211" s="53" t="e">
        <f>VLOOKUP(Table110[[#This Row],[FECHA /HORA]],TBL_CalcDarwin[],41,0)</f>
        <v>#N/A</v>
      </c>
      <c r="J211" s="53" t="e">
        <f>Table110[[#This Row],[MW Proyectada (Barra A)]]+Table110[[#This Row],[MW Proyectada (Barra B)]]</f>
        <v>#N/A</v>
      </c>
      <c r="L211" s="53" t="e">
        <f t="shared" si="9"/>
        <v>#N/A</v>
      </c>
      <c r="M211" s="53" t="e">
        <f>IF(Table110[[#This Row],[TOTAL MW]]&lt;165,Table110[[#This Row],[MW Proyectada (Barra A)]],Table110[[#This Row],[MW Proyectada (Barra A)]]*165/Table110[[#This Row],[TOTAL MW]])</f>
        <v>#N/A</v>
      </c>
      <c r="N211" s="53" t="e">
        <f>IF(Table110[[#This Row],[TOTAL MW]]&lt;165,Table110[[#This Row],[MW Proyectada (Barra B)]],Table110[[#This Row],[MW Proyectada (Barra B)]]*165/Table110[[#This Row],[TOTAL MW]])</f>
        <v>#N/A</v>
      </c>
      <c r="P211" s="90"/>
      <c r="Q211" s="90"/>
      <c r="R211" s="93"/>
      <c r="S211" s="93"/>
    </row>
    <row r="212" spans="2:19" x14ac:dyDescent="0.25">
      <c r="B212" s="91">
        <f t="shared" si="10"/>
        <v>45620.791666666162</v>
      </c>
      <c r="C212" s="52">
        <f t="shared" si="11"/>
        <v>8.7916666666666767</v>
      </c>
      <c r="D212" s="92">
        <f>Table110[[#This Row],[Fecha]]</f>
        <v>45620.791666666162</v>
      </c>
      <c r="E212" s="53" t="e">
        <f>VLOOKUP(Table110[[#This Row],[FECHA /HORA]],TBL_CalcDarwin[],7,0)</f>
        <v>#N/A</v>
      </c>
      <c r="F212" s="53" t="e">
        <f>VLOOKUP(Table110[[#This Row],[FECHA /HORA]],TBL_CalcDarwin[],42,0)</f>
        <v>#N/A</v>
      </c>
      <c r="G212" s="53" t="e">
        <f>VLOOKUP(Table110[[#This Row],[FECHA /HORA]],TBL_CalcDarwin[],43,0)</f>
        <v>#N/A</v>
      </c>
      <c r="H212" s="53" t="e">
        <f>VLOOKUP(Table110[[#This Row],[FECHA /HORA]],TBL_CalcDarwin[],40,0)</f>
        <v>#N/A</v>
      </c>
      <c r="I212" s="53" t="e">
        <f>VLOOKUP(Table110[[#This Row],[FECHA /HORA]],TBL_CalcDarwin[],41,0)</f>
        <v>#N/A</v>
      </c>
      <c r="J212" s="53" t="e">
        <f>Table110[[#This Row],[MW Proyectada (Barra A)]]+Table110[[#This Row],[MW Proyectada (Barra B)]]</f>
        <v>#N/A</v>
      </c>
      <c r="L212" s="53" t="e">
        <f t="shared" si="9"/>
        <v>#N/A</v>
      </c>
      <c r="M212" s="53" t="e">
        <f>IF(Table110[[#This Row],[TOTAL MW]]&lt;165,Table110[[#This Row],[MW Proyectada (Barra A)]],Table110[[#This Row],[MW Proyectada (Barra A)]]*165/Table110[[#This Row],[TOTAL MW]])</f>
        <v>#N/A</v>
      </c>
      <c r="N212" s="53" t="e">
        <f>IF(Table110[[#This Row],[TOTAL MW]]&lt;165,Table110[[#This Row],[MW Proyectada (Barra B)]],Table110[[#This Row],[MW Proyectada (Barra B)]]*165/Table110[[#This Row],[TOTAL MW]])</f>
        <v>#N/A</v>
      </c>
      <c r="P212" s="90"/>
      <c r="Q212" s="90"/>
      <c r="R212" s="93"/>
      <c r="S212" s="93"/>
    </row>
    <row r="213" spans="2:19" x14ac:dyDescent="0.25">
      <c r="B213" s="91">
        <f t="shared" si="10"/>
        <v>45620.833333332826</v>
      </c>
      <c r="C213" s="52">
        <f t="shared" si="11"/>
        <v>8.8333333333333428</v>
      </c>
      <c r="D213" s="92">
        <f>Table110[[#This Row],[Fecha]]</f>
        <v>45620.833333332826</v>
      </c>
      <c r="E213" s="53" t="e">
        <f>VLOOKUP(Table110[[#This Row],[FECHA /HORA]],TBL_CalcDarwin[],7,0)</f>
        <v>#N/A</v>
      </c>
      <c r="F213" s="53" t="e">
        <f>VLOOKUP(Table110[[#This Row],[FECHA /HORA]],TBL_CalcDarwin[],42,0)</f>
        <v>#N/A</v>
      </c>
      <c r="G213" s="53" t="e">
        <f>VLOOKUP(Table110[[#This Row],[FECHA /HORA]],TBL_CalcDarwin[],43,0)</f>
        <v>#N/A</v>
      </c>
      <c r="H213" s="53" t="e">
        <f>VLOOKUP(Table110[[#This Row],[FECHA /HORA]],TBL_CalcDarwin[],40,0)</f>
        <v>#N/A</v>
      </c>
      <c r="I213" s="53" t="e">
        <f>VLOOKUP(Table110[[#This Row],[FECHA /HORA]],TBL_CalcDarwin[],41,0)</f>
        <v>#N/A</v>
      </c>
      <c r="J213" s="53" t="e">
        <f>Table110[[#This Row],[MW Proyectada (Barra A)]]+Table110[[#This Row],[MW Proyectada (Barra B)]]</f>
        <v>#N/A</v>
      </c>
      <c r="L213" s="53" t="e">
        <f t="shared" si="9"/>
        <v>#N/A</v>
      </c>
      <c r="M213" s="53" t="e">
        <f>IF(Table110[[#This Row],[TOTAL MW]]&lt;165,Table110[[#This Row],[MW Proyectada (Barra A)]],Table110[[#This Row],[MW Proyectada (Barra A)]]*165/Table110[[#This Row],[TOTAL MW]])</f>
        <v>#N/A</v>
      </c>
      <c r="N213" s="53" t="e">
        <f>IF(Table110[[#This Row],[TOTAL MW]]&lt;165,Table110[[#This Row],[MW Proyectada (Barra B)]],Table110[[#This Row],[MW Proyectada (Barra B)]]*165/Table110[[#This Row],[TOTAL MW]])</f>
        <v>#N/A</v>
      </c>
      <c r="P213" s="90"/>
      <c r="Q213" s="90"/>
      <c r="R213" s="93"/>
      <c r="S213" s="93"/>
    </row>
    <row r="214" spans="2:19" x14ac:dyDescent="0.25">
      <c r="B214" s="91">
        <f t="shared" si="10"/>
        <v>45620.874999999491</v>
      </c>
      <c r="C214" s="52">
        <f t="shared" si="11"/>
        <v>8.8750000000000089</v>
      </c>
      <c r="D214" s="92">
        <f>Table110[[#This Row],[Fecha]]</f>
        <v>45620.874999999491</v>
      </c>
      <c r="E214" s="53" t="e">
        <f>VLOOKUP(Table110[[#This Row],[FECHA /HORA]],TBL_CalcDarwin[],7,0)</f>
        <v>#N/A</v>
      </c>
      <c r="F214" s="53" t="e">
        <f>VLOOKUP(Table110[[#This Row],[FECHA /HORA]],TBL_CalcDarwin[],42,0)</f>
        <v>#N/A</v>
      </c>
      <c r="G214" s="53" t="e">
        <f>VLOOKUP(Table110[[#This Row],[FECHA /HORA]],TBL_CalcDarwin[],43,0)</f>
        <v>#N/A</v>
      </c>
      <c r="H214" s="53" t="e">
        <f>VLOOKUP(Table110[[#This Row],[FECHA /HORA]],TBL_CalcDarwin[],40,0)</f>
        <v>#N/A</v>
      </c>
      <c r="I214" s="53" t="e">
        <f>VLOOKUP(Table110[[#This Row],[FECHA /HORA]],TBL_CalcDarwin[],41,0)</f>
        <v>#N/A</v>
      </c>
      <c r="J214" s="53" t="e">
        <f>Table110[[#This Row],[MW Proyectada (Barra A)]]+Table110[[#This Row],[MW Proyectada (Barra B)]]</f>
        <v>#N/A</v>
      </c>
      <c r="L214" s="53" t="e">
        <f t="shared" si="9"/>
        <v>#N/A</v>
      </c>
      <c r="M214" s="53" t="e">
        <f>IF(Table110[[#This Row],[TOTAL MW]]&lt;165,Table110[[#This Row],[MW Proyectada (Barra A)]],Table110[[#This Row],[MW Proyectada (Barra A)]]*165/Table110[[#This Row],[TOTAL MW]])</f>
        <v>#N/A</v>
      </c>
      <c r="N214" s="53" t="e">
        <f>IF(Table110[[#This Row],[TOTAL MW]]&lt;165,Table110[[#This Row],[MW Proyectada (Barra B)]],Table110[[#This Row],[MW Proyectada (Barra B)]]*165/Table110[[#This Row],[TOTAL MW]])</f>
        <v>#N/A</v>
      </c>
      <c r="P214" s="90"/>
      <c r="Q214" s="90"/>
      <c r="R214" s="93"/>
      <c r="S214" s="93"/>
    </row>
    <row r="215" spans="2:19" x14ac:dyDescent="0.25">
      <c r="B215" s="91">
        <f t="shared" si="10"/>
        <v>45620.916666666155</v>
      </c>
      <c r="C215" s="52">
        <f t="shared" si="11"/>
        <v>8.916666666666675</v>
      </c>
      <c r="D215" s="92">
        <f>Table110[[#This Row],[Fecha]]</f>
        <v>45620.916666666155</v>
      </c>
      <c r="E215" s="53" t="e">
        <f>VLOOKUP(Table110[[#This Row],[FECHA /HORA]],TBL_CalcDarwin[],7,0)</f>
        <v>#N/A</v>
      </c>
      <c r="F215" s="53" t="e">
        <f>VLOOKUP(Table110[[#This Row],[FECHA /HORA]],TBL_CalcDarwin[],42,0)</f>
        <v>#N/A</v>
      </c>
      <c r="G215" s="53" t="e">
        <f>VLOOKUP(Table110[[#This Row],[FECHA /HORA]],TBL_CalcDarwin[],43,0)</f>
        <v>#N/A</v>
      </c>
      <c r="H215" s="53" t="e">
        <f>VLOOKUP(Table110[[#This Row],[FECHA /HORA]],TBL_CalcDarwin[],40,0)</f>
        <v>#N/A</v>
      </c>
      <c r="I215" s="53" t="e">
        <f>VLOOKUP(Table110[[#This Row],[FECHA /HORA]],TBL_CalcDarwin[],41,0)</f>
        <v>#N/A</v>
      </c>
      <c r="J215" s="53" t="e">
        <f>Table110[[#This Row],[MW Proyectada (Barra A)]]+Table110[[#This Row],[MW Proyectada (Barra B)]]</f>
        <v>#N/A</v>
      </c>
      <c r="L215" s="53" t="e">
        <f t="shared" si="9"/>
        <v>#N/A</v>
      </c>
      <c r="M215" s="53" t="e">
        <f>IF(Table110[[#This Row],[TOTAL MW]]&lt;165,Table110[[#This Row],[MW Proyectada (Barra A)]],Table110[[#This Row],[MW Proyectada (Barra A)]]*165/Table110[[#This Row],[TOTAL MW]])</f>
        <v>#N/A</v>
      </c>
      <c r="N215" s="53" t="e">
        <f>IF(Table110[[#This Row],[TOTAL MW]]&lt;165,Table110[[#This Row],[MW Proyectada (Barra B)]],Table110[[#This Row],[MW Proyectada (Barra B)]]*165/Table110[[#This Row],[TOTAL MW]])</f>
        <v>#N/A</v>
      </c>
      <c r="P215" s="90"/>
      <c r="Q215" s="90"/>
      <c r="R215" s="93"/>
      <c r="S215" s="93"/>
    </row>
    <row r="216" spans="2:19" x14ac:dyDescent="0.25">
      <c r="B216" s="91">
        <f t="shared" si="10"/>
        <v>45620.958333332819</v>
      </c>
      <c r="C216" s="52">
        <f t="shared" si="11"/>
        <v>8.958333333333341</v>
      </c>
      <c r="D216" s="92">
        <f>Table110[[#This Row],[Fecha]]</f>
        <v>45620.958333332819</v>
      </c>
      <c r="E216" s="53" t="e">
        <f>VLOOKUP(Table110[[#This Row],[FECHA /HORA]],TBL_CalcDarwin[],7,0)</f>
        <v>#N/A</v>
      </c>
      <c r="F216" s="53" t="e">
        <f>VLOOKUP(Table110[[#This Row],[FECHA /HORA]],TBL_CalcDarwin[],42,0)</f>
        <v>#N/A</v>
      </c>
      <c r="G216" s="53" t="e">
        <f>VLOOKUP(Table110[[#This Row],[FECHA /HORA]],TBL_CalcDarwin[],43,0)</f>
        <v>#N/A</v>
      </c>
      <c r="H216" s="53" t="e">
        <f>VLOOKUP(Table110[[#This Row],[FECHA /HORA]],TBL_CalcDarwin[],40,0)</f>
        <v>#N/A</v>
      </c>
      <c r="I216" s="53" t="e">
        <f>VLOOKUP(Table110[[#This Row],[FECHA /HORA]],TBL_CalcDarwin[],41,0)</f>
        <v>#N/A</v>
      </c>
      <c r="J216" s="53" t="e">
        <f>Table110[[#This Row],[MW Proyectada (Barra A)]]+Table110[[#This Row],[MW Proyectada (Barra B)]]</f>
        <v>#N/A</v>
      </c>
      <c r="L216" s="53" t="e">
        <f t="shared" si="9"/>
        <v>#N/A</v>
      </c>
      <c r="M216" s="53" t="e">
        <f>IF(Table110[[#This Row],[TOTAL MW]]&lt;165,Table110[[#This Row],[MW Proyectada (Barra A)]],Table110[[#This Row],[MW Proyectada (Barra A)]]*165/Table110[[#This Row],[TOTAL MW]])</f>
        <v>#N/A</v>
      </c>
      <c r="N216" s="53" t="e">
        <f>IF(Table110[[#This Row],[TOTAL MW]]&lt;165,Table110[[#This Row],[MW Proyectada (Barra B)]],Table110[[#This Row],[MW Proyectada (Barra B)]]*165/Table110[[#This Row],[TOTAL MW]])</f>
        <v>#N/A</v>
      </c>
      <c r="P216" s="90"/>
      <c r="Q216" s="90"/>
      <c r="R216" s="93"/>
      <c r="S216" s="93"/>
    </row>
    <row r="217" spans="2:19" x14ac:dyDescent="0.25">
      <c r="B217" s="91">
        <f t="shared" si="10"/>
        <v>45620.999999999483</v>
      </c>
      <c r="C217" s="52">
        <f t="shared" si="11"/>
        <v>9.0000000000000071</v>
      </c>
      <c r="D217" s="92">
        <f>Table110[[#This Row],[Fecha]]</f>
        <v>45620.999999999483</v>
      </c>
      <c r="E217" s="53" t="e">
        <f>VLOOKUP(Table110[[#This Row],[FECHA /HORA]],TBL_CalcDarwin[],7,0)</f>
        <v>#N/A</v>
      </c>
      <c r="F217" s="53" t="e">
        <f>VLOOKUP(Table110[[#This Row],[FECHA /HORA]],TBL_CalcDarwin[],42,0)</f>
        <v>#N/A</v>
      </c>
      <c r="G217" s="53" t="e">
        <f>VLOOKUP(Table110[[#This Row],[FECHA /HORA]],TBL_CalcDarwin[],43,0)</f>
        <v>#N/A</v>
      </c>
      <c r="H217" s="53" t="e">
        <f>VLOOKUP(Table110[[#This Row],[FECHA /HORA]],TBL_CalcDarwin[],40,0)</f>
        <v>#N/A</v>
      </c>
      <c r="I217" s="53" t="e">
        <f>VLOOKUP(Table110[[#This Row],[FECHA /HORA]],TBL_CalcDarwin[],41,0)</f>
        <v>#N/A</v>
      </c>
      <c r="J217" s="53" t="e">
        <f>Table110[[#This Row],[MW Proyectada (Barra A)]]+Table110[[#This Row],[MW Proyectada (Barra B)]]</f>
        <v>#N/A</v>
      </c>
      <c r="L217" s="53" t="e">
        <f t="shared" si="9"/>
        <v>#N/A</v>
      </c>
      <c r="M217" s="53" t="e">
        <f>IF(Table110[[#This Row],[TOTAL MW]]&lt;165,Table110[[#This Row],[MW Proyectada (Barra A)]],Table110[[#This Row],[MW Proyectada (Barra A)]]*165/Table110[[#This Row],[TOTAL MW]])</f>
        <v>#N/A</v>
      </c>
      <c r="N217" s="53" t="e">
        <f>IF(Table110[[#This Row],[TOTAL MW]]&lt;165,Table110[[#This Row],[MW Proyectada (Barra B)]],Table110[[#This Row],[MW Proyectada (Barra B)]]*165/Table110[[#This Row],[TOTAL MW]])</f>
        <v>#N/A</v>
      </c>
      <c r="P217" s="90"/>
      <c r="Q217" s="90"/>
      <c r="R217" s="93"/>
      <c r="S217" s="93"/>
    </row>
    <row r="218" spans="2:19" x14ac:dyDescent="0.25">
      <c r="B218" s="91">
        <f t="shared" si="10"/>
        <v>45621.041666666148</v>
      </c>
      <c r="C218" s="52">
        <f t="shared" si="11"/>
        <v>9.0416666666666732</v>
      </c>
      <c r="D218" s="92">
        <f>Table110[[#This Row],[Fecha]]</f>
        <v>45621.041666666148</v>
      </c>
      <c r="E218" s="53" t="e">
        <f>VLOOKUP(Table110[[#This Row],[FECHA /HORA]],TBL_CalcDarwin[],7,0)</f>
        <v>#N/A</v>
      </c>
      <c r="F218" s="53" t="e">
        <f>VLOOKUP(Table110[[#This Row],[FECHA /HORA]],TBL_CalcDarwin[],42,0)</f>
        <v>#N/A</v>
      </c>
      <c r="G218" s="53" t="e">
        <f>VLOOKUP(Table110[[#This Row],[FECHA /HORA]],TBL_CalcDarwin[],43,0)</f>
        <v>#N/A</v>
      </c>
      <c r="H218" s="53" t="e">
        <f>VLOOKUP(Table110[[#This Row],[FECHA /HORA]],TBL_CalcDarwin[],40,0)</f>
        <v>#N/A</v>
      </c>
      <c r="I218" s="53" t="e">
        <f>VLOOKUP(Table110[[#This Row],[FECHA /HORA]],TBL_CalcDarwin[],41,0)</f>
        <v>#N/A</v>
      </c>
      <c r="J218" s="53" t="e">
        <f>Table110[[#This Row],[MW Proyectada (Barra A)]]+Table110[[#This Row],[MW Proyectada (Barra B)]]</f>
        <v>#N/A</v>
      </c>
      <c r="L218" s="53" t="e">
        <f t="shared" si="9"/>
        <v>#N/A</v>
      </c>
      <c r="M218" s="53" t="e">
        <f>IF(Table110[[#This Row],[TOTAL MW]]&lt;165,Table110[[#This Row],[MW Proyectada (Barra A)]],Table110[[#This Row],[MW Proyectada (Barra A)]]*165/Table110[[#This Row],[TOTAL MW]])</f>
        <v>#N/A</v>
      </c>
      <c r="N218" s="53" t="e">
        <f>IF(Table110[[#This Row],[TOTAL MW]]&lt;165,Table110[[#This Row],[MW Proyectada (Barra B)]],Table110[[#This Row],[MW Proyectada (Barra B)]]*165/Table110[[#This Row],[TOTAL MW]])</f>
        <v>#N/A</v>
      </c>
      <c r="P218" s="90"/>
      <c r="Q218" s="90"/>
      <c r="R218" s="93"/>
      <c r="S218" s="93"/>
    </row>
    <row r="219" spans="2:19" x14ac:dyDescent="0.25">
      <c r="B219" s="91">
        <f t="shared" si="10"/>
        <v>45621.083333332812</v>
      </c>
      <c r="C219" s="52">
        <f t="shared" si="11"/>
        <v>9.0833333333333393</v>
      </c>
      <c r="D219" s="92">
        <f>Table110[[#This Row],[Fecha]]</f>
        <v>45621.083333332812</v>
      </c>
      <c r="E219" s="53" t="e">
        <f>VLOOKUP(Table110[[#This Row],[FECHA /HORA]],TBL_CalcDarwin[],7,0)</f>
        <v>#N/A</v>
      </c>
      <c r="F219" s="53" t="e">
        <f>VLOOKUP(Table110[[#This Row],[FECHA /HORA]],TBL_CalcDarwin[],42,0)</f>
        <v>#N/A</v>
      </c>
      <c r="G219" s="53" t="e">
        <f>VLOOKUP(Table110[[#This Row],[FECHA /HORA]],TBL_CalcDarwin[],43,0)</f>
        <v>#N/A</v>
      </c>
      <c r="H219" s="53" t="e">
        <f>VLOOKUP(Table110[[#This Row],[FECHA /HORA]],TBL_CalcDarwin[],40,0)</f>
        <v>#N/A</v>
      </c>
      <c r="I219" s="53" t="e">
        <f>VLOOKUP(Table110[[#This Row],[FECHA /HORA]],TBL_CalcDarwin[],41,0)</f>
        <v>#N/A</v>
      </c>
      <c r="J219" s="53" t="e">
        <f>Table110[[#This Row],[MW Proyectada (Barra A)]]+Table110[[#This Row],[MW Proyectada (Barra B)]]</f>
        <v>#N/A</v>
      </c>
      <c r="L219" s="53" t="e">
        <f t="shared" si="9"/>
        <v>#N/A</v>
      </c>
      <c r="M219" s="53" t="e">
        <f>IF(Table110[[#This Row],[TOTAL MW]]&lt;165,Table110[[#This Row],[MW Proyectada (Barra A)]],Table110[[#This Row],[MW Proyectada (Barra A)]]*165/Table110[[#This Row],[TOTAL MW]])</f>
        <v>#N/A</v>
      </c>
      <c r="N219" s="53" t="e">
        <f>IF(Table110[[#This Row],[TOTAL MW]]&lt;165,Table110[[#This Row],[MW Proyectada (Barra B)]],Table110[[#This Row],[MW Proyectada (Barra B)]]*165/Table110[[#This Row],[TOTAL MW]])</f>
        <v>#N/A</v>
      </c>
      <c r="P219" s="90"/>
      <c r="Q219" s="90"/>
      <c r="R219" s="93"/>
      <c r="S219" s="93"/>
    </row>
    <row r="220" spans="2:19" x14ac:dyDescent="0.25">
      <c r="B220" s="91">
        <f t="shared" si="10"/>
        <v>45621.124999999476</v>
      </c>
      <c r="C220" s="52">
        <f t="shared" si="11"/>
        <v>9.1250000000000053</v>
      </c>
      <c r="D220" s="92">
        <f>Table110[[#This Row],[Fecha]]</f>
        <v>45621.124999999476</v>
      </c>
      <c r="E220" s="53" t="e">
        <f>VLOOKUP(Table110[[#This Row],[FECHA /HORA]],TBL_CalcDarwin[],7,0)</f>
        <v>#N/A</v>
      </c>
      <c r="F220" s="53" t="e">
        <f>VLOOKUP(Table110[[#This Row],[FECHA /HORA]],TBL_CalcDarwin[],42,0)</f>
        <v>#N/A</v>
      </c>
      <c r="G220" s="53" t="e">
        <f>VLOOKUP(Table110[[#This Row],[FECHA /HORA]],TBL_CalcDarwin[],43,0)</f>
        <v>#N/A</v>
      </c>
      <c r="H220" s="53" t="e">
        <f>VLOOKUP(Table110[[#This Row],[FECHA /HORA]],TBL_CalcDarwin[],40,0)</f>
        <v>#N/A</v>
      </c>
      <c r="I220" s="53" t="e">
        <f>VLOOKUP(Table110[[#This Row],[FECHA /HORA]],TBL_CalcDarwin[],41,0)</f>
        <v>#N/A</v>
      </c>
      <c r="J220" s="53" t="e">
        <f>Table110[[#This Row],[MW Proyectada (Barra A)]]+Table110[[#This Row],[MW Proyectada (Barra B)]]</f>
        <v>#N/A</v>
      </c>
      <c r="L220" s="53" t="e">
        <f t="shared" si="9"/>
        <v>#N/A</v>
      </c>
      <c r="M220" s="53" t="e">
        <f>IF(Table110[[#This Row],[TOTAL MW]]&lt;165,Table110[[#This Row],[MW Proyectada (Barra A)]],Table110[[#This Row],[MW Proyectada (Barra A)]]*165/Table110[[#This Row],[TOTAL MW]])</f>
        <v>#N/A</v>
      </c>
      <c r="N220" s="53" t="e">
        <f>IF(Table110[[#This Row],[TOTAL MW]]&lt;165,Table110[[#This Row],[MW Proyectada (Barra B)]],Table110[[#This Row],[MW Proyectada (Barra B)]]*165/Table110[[#This Row],[TOTAL MW]])</f>
        <v>#N/A</v>
      </c>
      <c r="P220" s="90"/>
      <c r="Q220" s="90"/>
      <c r="R220" s="93"/>
      <c r="S220" s="93"/>
    </row>
    <row r="221" spans="2:19" x14ac:dyDescent="0.25">
      <c r="B221" s="91">
        <f t="shared" si="10"/>
        <v>45621.16666666614</v>
      </c>
      <c r="C221" s="52">
        <f t="shared" si="11"/>
        <v>9.1666666666666714</v>
      </c>
      <c r="D221" s="92">
        <f>Table110[[#This Row],[Fecha]]</f>
        <v>45621.16666666614</v>
      </c>
      <c r="E221" s="53" t="e">
        <f>VLOOKUP(Table110[[#This Row],[FECHA /HORA]],TBL_CalcDarwin[],7,0)</f>
        <v>#N/A</v>
      </c>
      <c r="F221" s="53" t="e">
        <f>VLOOKUP(Table110[[#This Row],[FECHA /HORA]],TBL_CalcDarwin[],42,0)</f>
        <v>#N/A</v>
      </c>
      <c r="G221" s="53" t="e">
        <f>VLOOKUP(Table110[[#This Row],[FECHA /HORA]],TBL_CalcDarwin[],43,0)</f>
        <v>#N/A</v>
      </c>
      <c r="H221" s="53" t="e">
        <f>VLOOKUP(Table110[[#This Row],[FECHA /HORA]],TBL_CalcDarwin[],40,0)</f>
        <v>#N/A</v>
      </c>
      <c r="I221" s="53" t="e">
        <f>VLOOKUP(Table110[[#This Row],[FECHA /HORA]],TBL_CalcDarwin[],41,0)</f>
        <v>#N/A</v>
      </c>
      <c r="J221" s="53" t="e">
        <f>Table110[[#This Row],[MW Proyectada (Barra A)]]+Table110[[#This Row],[MW Proyectada (Barra B)]]</f>
        <v>#N/A</v>
      </c>
      <c r="L221" s="53" t="e">
        <f t="shared" si="9"/>
        <v>#N/A</v>
      </c>
      <c r="M221" s="53" t="e">
        <f>IF(Table110[[#This Row],[TOTAL MW]]&lt;165,Table110[[#This Row],[MW Proyectada (Barra A)]],Table110[[#This Row],[MW Proyectada (Barra A)]]*165/Table110[[#This Row],[TOTAL MW]])</f>
        <v>#N/A</v>
      </c>
      <c r="N221" s="53" t="e">
        <f>IF(Table110[[#This Row],[TOTAL MW]]&lt;165,Table110[[#This Row],[MW Proyectada (Barra B)]],Table110[[#This Row],[MW Proyectada (Barra B)]]*165/Table110[[#This Row],[TOTAL MW]])</f>
        <v>#N/A</v>
      </c>
      <c r="P221" s="90"/>
      <c r="Q221" s="90"/>
      <c r="R221" s="93"/>
      <c r="S221" s="93"/>
    </row>
    <row r="222" spans="2:19" x14ac:dyDescent="0.25">
      <c r="B222" s="91">
        <f t="shared" si="10"/>
        <v>45621.208333332805</v>
      </c>
      <c r="C222" s="52">
        <f t="shared" si="11"/>
        <v>9.2083333333333375</v>
      </c>
      <c r="D222" s="92">
        <f>Table110[[#This Row],[Fecha]]</f>
        <v>45621.208333332805</v>
      </c>
      <c r="E222" s="53" t="e">
        <f>VLOOKUP(Table110[[#This Row],[FECHA /HORA]],TBL_CalcDarwin[],7,0)</f>
        <v>#N/A</v>
      </c>
      <c r="F222" s="53" t="e">
        <f>VLOOKUP(Table110[[#This Row],[FECHA /HORA]],TBL_CalcDarwin[],42,0)</f>
        <v>#N/A</v>
      </c>
      <c r="G222" s="53" t="e">
        <f>VLOOKUP(Table110[[#This Row],[FECHA /HORA]],TBL_CalcDarwin[],43,0)</f>
        <v>#N/A</v>
      </c>
      <c r="H222" s="53" t="e">
        <f>VLOOKUP(Table110[[#This Row],[FECHA /HORA]],TBL_CalcDarwin[],40,0)</f>
        <v>#N/A</v>
      </c>
      <c r="I222" s="53" t="e">
        <f>VLOOKUP(Table110[[#This Row],[FECHA /HORA]],TBL_CalcDarwin[],41,0)</f>
        <v>#N/A</v>
      </c>
      <c r="J222" s="53" t="e">
        <f>Table110[[#This Row],[MW Proyectada (Barra A)]]+Table110[[#This Row],[MW Proyectada (Barra B)]]</f>
        <v>#N/A</v>
      </c>
      <c r="L222" s="53" t="e">
        <f t="shared" si="9"/>
        <v>#N/A</v>
      </c>
      <c r="M222" s="53" t="e">
        <f>IF(Table110[[#This Row],[TOTAL MW]]&lt;165,Table110[[#This Row],[MW Proyectada (Barra A)]],Table110[[#This Row],[MW Proyectada (Barra A)]]*165/Table110[[#This Row],[TOTAL MW]])</f>
        <v>#N/A</v>
      </c>
      <c r="N222" s="53" t="e">
        <f>IF(Table110[[#This Row],[TOTAL MW]]&lt;165,Table110[[#This Row],[MW Proyectada (Barra B)]],Table110[[#This Row],[MW Proyectada (Barra B)]]*165/Table110[[#This Row],[TOTAL MW]])</f>
        <v>#N/A</v>
      </c>
      <c r="P222" s="90"/>
      <c r="Q222" s="90"/>
      <c r="R222" s="93"/>
      <c r="S222" s="93"/>
    </row>
    <row r="223" spans="2:19" x14ac:dyDescent="0.25">
      <c r="B223" s="91">
        <f t="shared" si="10"/>
        <v>45621.249999999469</v>
      </c>
      <c r="C223" s="52">
        <f t="shared" si="11"/>
        <v>9.2500000000000036</v>
      </c>
      <c r="D223" s="92">
        <f>Table110[[#This Row],[Fecha]]</f>
        <v>45621.249999999469</v>
      </c>
      <c r="E223" s="53" t="e">
        <f>VLOOKUP(Table110[[#This Row],[FECHA /HORA]],TBL_CalcDarwin[],7,0)</f>
        <v>#N/A</v>
      </c>
      <c r="F223" s="53" t="e">
        <f>VLOOKUP(Table110[[#This Row],[FECHA /HORA]],TBL_CalcDarwin[],42,0)</f>
        <v>#N/A</v>
      </c>
      <c r="G223" s="53" t="e">
        <f>VLOOKUP(Table110[[#This Row],[FECHA /HORA]],TBL_CalcDarwin[],43,0)</f>
        <v>#N/A</v>
      </c>
      <c r="H223" s="53" t="e">
        <f>VLOOKUP(Table110[[#This Row],[FECHA /HORA]],TBL_CalcDarwin[],40,0)</f>
        <v>#N/A</v>
      </c>
      <c r="I223" s="53" t="e">
        <f>VLOOKUP(Table110[[#This Row],[FECHA /HORA]],TBL_CalcDarwin[],41,0)</f>
        <v>#N/A</v>
      </c>
      <c r="J223" s="53" t="e">
        <f>Table110[[#This Row],[MW Proyectada (Barra A)]]+Table110[[#This Row],[MW Proyectada (Barra B)]]</f>
        <v>#N/A</v>
      </c>
      <c r="L223" s="53" t="e">
        <f t="shared" si="9"/>
        <v>#N/A</v>
      </c>
      <c r="M223" s="53" t="e">
        <f>IF(Table110[[#This Row],[TOTAL MW]]&lt;165,Table110[[#This Row],[MW Proyectada (Barra A)]],Table110[[#This Row],[MW Proyectada (Barra A)]]*165/Table110[[#This Row],[TOTAL MW]])</f>
        <v>#N/A</v>
      </c>
      <c r="N223" s="53" t="e">
        <f>IF(Table110[[#This Row],[TOTAL MW]]&lt;165,Table110[[#This Row],[MW Proyectada (Barra B)]],Table110[[#This Row],[MW Proyectada (Barra B)]]*165/Table110[[#This Row],[TOTAL MW]])</f>
        <v>#N/A</v>
      </c>
      <c r="P223" s="90"/>
      <c r="Q223" s="90"/>
      <c r="R223" s="93"/>
      <c r="S223" s="93"/>
    </row>
    <row r="224" spans="2:19" x14ac:dyDescent="0.25">
      <c r="B224" s="91">
        <f t="shared" si="10"/>
        <v>45621.291666666133</v>
      </c>
      <c r="C224" s="52">
        <f t="shared" si="11"/>
        <v>9.2916666666666696</v>
      </c>
      <c r="D224" s="92">
        <f>Table110[[#This Row],[Fecha]]</f>
        <v>45621.291666666133</v>
      </c>
      <c r="E224" s="53" t="e">
        <f>VLOOKUP(Table110[[#This Row],[FECHA /HORA]],TBL_CalcDarwin[],7,0)</f>
        <v>#N/A</v>
      </c>
      <c r="F224" s="53" t="e">
        <f>VLOOKUP(Table110[[#This Row],[FECHA /HORA]],TBL_CalcDarwin[],42,0)</f>
        <v>#N/A</v>
      </c>
      <c r="G224" s="53" t="e">
        <f>VLOOKUP(Table110[[#This Row],[FECHA /HORA]],TBL_CalcDarwin[],43,0)</f>
        <v>#N/A</v>
      </c>
      <c r="H224" s="53" t="e">
        <f>VLOOKUP(Table110[[#This Row],[FECHA /HORA]],TBL_CalcDarwin[],40,0)</f>
        <v>#N/A</v>
      </c>
      <c r="I224" s="53" t="e">
        <f>VLOOKUP(Table110[[#This Row],[FECHA /HORA]],TBL_CalcDarwin[],41,0)</f>
        <v>#N/A</v>
      </c>
      <c r="J224" s="53" t="e">
        <f>Table110[[#This Row],[MW Proyectada (Barra A)]]+Table110[[#This Row],[MW Proyectada (Barra B)]]</f>
        <v>#N/A</v>
      </c>
      <c r="L224" s="53" t="e">
        <f t="shared" si="9"/>
        <v>#N/A</v>
      </c>
      <c r="M224" s="53" t="e">
        <f>IF(Table110[[#This Row],[TOTAL MW]]&lt;165,Table110[[#This Row],[MW Proyectada (Barra A)]],Table110[[#This Row],[MW Proyectada (Barra A)]]*165/Table110[[#This Row],[TOTAL MW]])</f>
        <v>#N/A</v>
      </c>
      <c r="N224" s="53" t="e">
        <f>IF(Table110[[#This Row],[TOTAL MW]]&lt;165,Table110[[#This Row],[MW Proyectada (Barra B)]],Table110[[#This Row],[MW Proyectada (Barra B)]]*165/Table110[[#This Row],[TOTAL MW]])</f>
        <v>#N/A</v>
      </c>
      <c r="P224" s="90"/>
      <c r="Q224" s="90"/>
      <c r="R224" s="93"/>
      <c r="S224" s="93"/>
    </row>
    <row r="225" spans="2:19" x14ac:dyDescent="0.25">
      <c r="B225" s="91">
        <f t="shared" si="10"/>
        <v>45621.333333332797</v>
      </c>
      <c r="C225" s="52">
        <f t="shared" si="11"/>
        <v>9.3333333333333357</v>
      </c>
      <c r="D225" s="92">
        <f>Table110[[#This Row],[Fecha]]</f>
        <v>45621.333333332797</v>
      </c>
      <c r="E225" s="53" t="e">
        <f>VLOOKUP(Table110[[#This Row],[FECHA /HORA]],TBL_CalcDarwin[],7,0)</f>
        <v>#N/A</v>
      </c>
      <c r="F225" s="53" t="e">
        <f>VLOOKUP(Table110[[#This Row],[FECHA /HORA]],TBL_CalcDarwin[],42,0)</f>
        <v>#N/A</v>
      </c>
      <c r="G225" s="53" t="e">
        <f>VLOOKUP(Table110[[#This Row],[FECHA /HORA]],TBL_CalcDarwin[],43,0)</f>
        <v>#N/A</v>
      </c>
      <c r="H225" s="53" t="e">
        <f>VLOOKUP(Table110[[#This Row],[FECHA /HORA]],TBL_CalcDarwin[],40,0)</f>
        <v>#N/A</v>
      </c>
      <c r="I225" s="53" t="e">
        <f>VLOOKUP(Table110[[#This Row],[FECHA /HORA]],TBL_CalcDarwin[],41,0)</f>
        <v>#N/A</v>
      </c>
      <c r="J225" s="53" t="e">
        <f>Table110[[#This Row],[MW Proyectada (Barra A)]]+Table110[[#This Row],[MW Proyectada (Barra B)]]</f>
        <v>#N/A</v>
      </c>
      <c r="L225" s="53" t="e">
        <f t="shared" si="9"/>
        <v>#N/A</v>
      </c>
      <c r="M225" s="53" t="e">
        <f>IF(Table110[[#This Row],[TOTAL MW]]&lt;165,Table110[[#This Row],[MW Proyectada (Barra A)]],Table110[[#This Row],[MW Proyectada (Barra A)]]*165/Table110[[#This Row],[TOTAL MW]])</f>
        <v>#N/A</v>
      </c>
      <c r="N225" s="53" t="e">
        <f>IF(Table110[[#This Row],[TOTAL MW]]&lt;165,Table110[[#This Row],[MW Proyectada (Barra B)]],Table110[[#This Row],[MW Proyectada (Barra B)]]*165/Table110[[#This Row],[TOTAL MW]])</f>
        <v>#N/A</v>
      </c>
      <c r="P225" s="90"/>
      <c r="Q225" s="90"/>
      <c r="R225" s="93"/>
      <c r="S225" s="93"/>
    </row>
    <row r="226" spans="2:19" x14ac:dyDescent="0.25">
      <c r="B226" s="91">
        <f t="shared" si="10"/>
        <v>45621.374999999462</v>
      </c>
      <c r="C226" s="52">
        <f t="shared" si="11"/>
        <v>9.3750000000000018</v>
      </c>
      <c r="D226" s="92">
        <f>Table110[[#This Row],[Fecha]]</f>
        <v>45621.374999999462</v>
      </c>
      <c r="E226" s="53" t="e">
        <f>VLOOKUP(Table110[[#This Row],[FECHA /HORA]],TBL_CalcDarwin[],7,0)</f>
        <v>#N/A</v>
      </c>
      <c r="F226" s="53" t="e">
        <f>VLOOKUP(Table110[[#This Row],[FECHA /HORA]],TBL_CalcDarwin[],42,0)</f>
        <v>#N/A</v>
      </c>
      <c r="G226" s="53" t="e">
        <f>VLOOKUP(Table110[[#This Row],[FECHA /HORA]],TBL_CalcDarwin[],43,0)</f>
        <v>#N/A</v>
      </c>
      <c r="H226" s="53" t="e">
        <f>VLOOKUP(Table110[[#This Row],[FECHA /HORA]],TBL_CalcDarwin[],40,0)</f>
        <v>#N/A</v>
      </c>
      <c r="I226" s="53" t="e">
        <f>VLOOKUP(Table110[[#This Row],[FECHA /HORA]],TBL_CalcDarwin[],41,0)</f>
        <v>#N/A</v>
      </c>
      <c r="J226" s="53" t="e">
        <f>Table110[[#This Row],[MW Proyectada (Barra A)]]+Table110[[#This Row],[MW Proyectada (Barra B)]]</f>
        <v>#N/A</v>
      </c>
      <c r="L226" s="53" t="e">
        <f t="shared" si="9"/>
        <v>#N/A</v>
      </c>
      <c r="M226" s="53" t="e">
        <f>IF(Table110[[#This Row],[TOTAL MW]]&lt;165,Table110[[#This Row],[MW Proyectada (Barra A)]],Table110[[#This Row],[MW Proyectada (Barra A)]]*165/Table110[[#This Row],[TOTAL MW]])</f>
        <v>#N/A</v>
      </c>
      <c r="N226" s="53" t="e">
        <f>IF(Table110[[#This Row],[TOTAL MW]]&lt;165,Table110[[#This Row],[MW Proyectada (Barra B)]],Table110[[#This Row],[MW Proyectada (Barra B)]]*165/Table110[[#This Row],[TOTAL MW]])</f>
        <v>#N/A</v>
      </c>
      <c r="P226" s="90"/>
      <c r="Q226" s="90"/>
      <c r="R226" s="93"/>
      <c r="S226" s="93"/>
    </row>
    <row r="227" spans="2:19" x14ac:dyDescent="0.25">
      <c r="B227" s="91">
        <f t="shared" si="10"/>
        <v>45621.416666666126</v>
      </c>
      <c r="C227" s="52">
        <f t="shared" si="11"/>
        <v>9.4166666666666679</v>
      </c>
      <c r="D227" s="92">
        <f>Table110[[#This Row],[Fecha]]</f>
        <v>45621.416666666126</v>
      </c>
      <c r="E227" s="53" t="e">
        <f>VLOOKUP(Table110[[#This Row],[FECHA /HORA]],TBL_CalcDarwin[],7,0)</f>
        <v>#N/A</v>
      </c>
      <c r="F227" s="53" t="e">
        <f>VLOOKUP(Table110[[#This Row],[FECHA /HORA]],TBL_CalcDarwin[],42,0)</f>
        <v>#N/A</v>
      </c>
      <c r="G227" s="53" t="e">
        <f>VLOOKUP(Table110[[#This Row],[FECHA /HORA]],TBL_CalcDarwin[],43,0)</f>
        <v>#N/A</v>
      </c>
      <c r="H227" s="53" t="e">
        <f>VLOOKUP(Table110[[#This Row],[FECHA /HORA]],TBL_CalcDarwin[],40,0)</f>
        <v>#N/A</v>
      </c>
      <c r="I227" s="53" t="e">
        <f>VLOOKUP(Table110[[#This Row],[FECHA /HORA]],TBL_CalcDarwin[],41,0)</f>
        <v>#N/A</v>
      </c>
      <c r="J227" s="53" t="e">
        <f>Table110[[#This Row],[MW Proyectada (Barra A)]]+Table110[[#This Row],[MW Proyectada (Barra B)]]</f>
        <v>#N/A</v>
      </c>
      <c r="L227" s="53" t="e">
        <f t="shared" si="9"/>
        <v>#N/A</v>
      </c>
      <c r="M227" s="53" t="e">
        <f>IF(Table110[[#This Row],[TOTAL MW]]&lt;165,Table110[[#This Row],[MW Proyectada (Barra A)]],Table110[[#This Row],[MW Proyectada (Barra A)]]*165/Table110[[#This Row],[TOTAL MW]])</f>
        <v>#N/A</v>
      </c>
      <c r="N227" s="53" t="e">
        <f>IF(Table110[[#This Row],[TOTAL MW]]&lt;165,Table110[[#This Row],[MW Proyectada (Barra B)]],Table110[[#This Row],[MW Proyectada (Barra B)]]*165/Table110[[#This Row],[TOTAL MW]])</f>
        <v>#N/A</v>
      </c>
      <c r="P227" s="90"/>
      <c r="Q227" s="90"/>
      <c r="R227" s="93"/>
      <c r="S227" s="93"/>
    </row>
    <row r="228" spans="2:19" x14ac:dyDescent="0.25">
      <c r="B228" s="91">
        <f t="shared" si="10"/>
        <v>45621.45833333279</v>
      </c>
      <c r="C228" s="52">
        <f t="shared" si="11"/>
        <v>9.4583333333333339</v>
      </c>
      <c r="D228" s="92">
        <f>Table110[[#This Row],[Fecha]]</f>
        <v>45621.45833333279</v>
      </c>
      <c r="E228" s="53" t="e">
        <f>VLOOKUP(Table110[[#This Row],[FECHA /HORA]],TBL_CalcDarwin[],7,0)</f>
        <v>#N/A</v>
      </c>
      <c r="F228" s="53" t="e">
        <f>VLOOKUP(Table110[[#This Row],[FECHA /HORA]],TBL_CalcDarwin[],42,0)</f>
        <v>#N/A</v>
      </c>
      <c r="G228" s="53" t="e">
        <f>VLOOKUP(Table110[[#This Row],[FECHA /HORA]],TBL_CalcDarwin[],43,0)</f>
        <v>#N/A</v>
      </c>
      <c r="H228" s="53" t="e">
        <f>VLOOKUP(Table110[[#This Row],[FECHA /HORA]],TBL_CalcDarwin[],40,0)</f>
        <v>#N/A</v>
      </c>
      <c r="I228" s="53" t="e">
        <f>VLOOKUP(Table110[[#This Row],[FECHA /HORA]],TBL_CalcDarwin[],41,0)</f>
        <v>#N/A</v>
      </c>
      <c r="J228" s="53" t="e">
        <f>Table110[[#This Row],[MW Proyectada (Barra A)]]+Table110[[#This Row],[MW Proyectada (Barra B)]]</f>
        <v>#N/A</v>
      </c>
      <c r="L228" s="53" t="e">
        <f t="shared" si="9"/>
        <v>#N/A</v>
      </c>
      <c r="M228" s="53" t="e">
        <f>IF(Table110[[#This Row],[TOTAL MW]]&lt;165,Table110[[#This Row],[MW Proyectada (Barra A)]],Table110[[#This Row],[MW Proyectada (Barra A)]]*165/Table110[[#This Row],[TOTAL MW]])</f>
        <v>#N/A</v>
      </c>
      <c r="N228" s="53" t="e">
        <f>IF(Table110[[#This Row],[TOTAL MW]]&lt;165,Table110[[#This Row],[MW Proyectada (Barra B)]],Table110[[#This Row],[MW Proyectada (Barra B)]]*165/Table110[[#This Row],[TOTAL MW]])</f>
        <v>#N/A</v>
      </c>
      <c r="P228" s="90"/>
      <c r="Q228" s="90"/>
      <c r="R228" s="93"/>
      <c r="S228" s="93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3419E-13D8-4979-95BB-633559F6F6DF}">
  <sheetPr>
    <tabColor theme="1"/>
  </sheetPr>
  <dimension ref="B1:J228"/>
  <sheetViews>
    <sheetView zoomScale="80" zoomScaleNormal="80" workbookViewId="0">
      <pane ySplit="2" topLeftCell="A3" activePane="bottomLeft" state="frozen"/>
      <selection activeCell="M3" sqref="M3:N228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8.42578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</cols>
  <sheetData>
    <row r="1" spans="2:10" ht="18.75" x14ac:dyDescent="0.3">
      <c r="B1" s="100" t="str">
        <f>"PROYECCIÓN DE GENERACIÓN PLOME "&amp;TEXT(B3,"DD MMM")&amp;" - "&amp;TEXT(B3+9,"DD MMM")</f>
        <v>PROYECCIÓN DE GENERACIÓN PLOME 16 Nov - 25 Nov</v>
      </c>
      <c r="C1" s="98"/>
      <c r="D1" s="98"/>
      <c r="E1" s="99"/>
      <c r="F1" s="101"/>
    </row>
    <row r="2" spans="2:10" ht="59.25" customHeight="1" x14ac:dyDescent="0.25">
      <c r="B2" s="15" t="s">
        <v>0</v>
      </c>
      <c r="C2" s="15" t="s">
        <v>1</v>
      </c>
      <c r="D2" s="15" t="s">
        <v>191</v>
      </c>
      <c r="E2" s="15" t="s">
        <v>174</v>
      </c>
      <c r="F2" s="13" t="s">
        <v>175</v>
      </c>
      <c r="G2" s="13" t="s">
        <v>176</v>
      </c>
      <c r="H2" s="13" t="s">
        <v>177</v>
      </c>
      <c r="I2" s="13" t="s">
        <v>178</v>
      </c>
      <c r="J2" s="15" t="s">
        <v>179</v>
      </c>
    </row>
    <row r="3" spans="2:10" x14ac:dyDescent="0.25">
      <c r="B3" s="91">
        <f>Table110[[#This Row],[Fecha]]</f>
        <v>45612.083333333336</v>
      </c>
      <c r="C3" s="52">
        <f>Table110[[#This Row],[Hora]]</f>
        <v>8.3333333333333329E-2</v>
      </c>
      <c r="D3" s="92">
        <f>Table14[[#This Row],[Fecha]]</f>
        <v>45612.083333333336</v>
      </c>
      <c r="E3" s="53" t="e">
        <f>Table110[[#This Row],[Viento m/s]]</f>
        <v>#N/A</v>
      </c>
      <c r="F3" s="94" t="e">
        <f>VLOOKUP(Table14[[#This Row],[FECHA /HORA]],TBL_CalcDarwin[],46,0)</f>
        <v>#N/A</v>
      </c>
      <c r="G3" s="94" t="e">
        <f>VLOOKUP(Table14[[#This Row],[FECHA /HORA]],TBL_CalcDarwin[],47,0)</f>
        <v>#N/A</v>
      </c>
      <c r="H3" s="94" t="e">
        <f>VLOOKUP(Table14[[#This Row],[FECHA /HORA]],TBL_CalcDarwin[],44,0)</f>
        <v>#N/A</v>
      </c>
      <c r="I3" s="94" t="e">
        <f>VLOOKUP(Table14[[#This Row],[FECHA /HORA]],TBL_CalcDarwin[],45,0)</f>
        <v>#N/A</v>
      </c>
      <c r="J3" s="53" t="e">
        <f>Table14[[#This Row],[MW Proyectada (Barra A)]]+Table14[[#This Row],[MW Proyectada (Barra B)]]</f>
        <v>#N/A</v>
      </c>
    </row>
    <row r="4" spans="2:10" x14ac:dyDescent="0.25">
      <c r="B4" s="91">
        <f>Table110[[#This Row],[Fecha]]</f>
        <v>45612.125</v>
      </c>
      <c r="C4" s="52">
        <f>Table110[[#This Row],[Hora]]</f>
        <v>0.125</v>
      </c>
      <c r="D4" s="92">
        <f>Table14[[#This Row],[Fecha]]</f>
        <v>45612.125</v>
      </c>
      <c r="E4" s="53" t="e">
        <f>Table110[[#This Row],[Viento m/s]]</f>
        <v>#N/A</v>
      </c>
      <c r="F4" s="95" t="e">
        <f>VLOOKUP(Table14[[#This Row],[FECHA /HORA]],TBL_CalcDarwin[],46,0)</f>
        <v>#N/A</v>
      </c>
      <c r="G4" s="95" t="e">
        <f>VLOOKUP(Table14[[#This Row],[FECHA /HORA]],TBL_CalcDarwin[],47,0)</f>
        <v>#N/A</v>
      </c>
      <c r="H4" s="95" t="e">
        <f>VLOOKUP(Table14[[#This Row],[FECHA /HORA]],TBL_CalcDarwin[],44,0)</f>
        <v>#N/A</v>
      </c>
      <c r="I4" s="95" t="e">
        <f>VLOOKUP(Table14[[#This Row],[FECHA /HORA]],TBL_CalcDarwin[],45,0)</f>
        <v>#N/A</v>
      </c>
      <c r="J4" s="53" t="e">
        <f>Table14[[#This Row],[MW Proyectada (Barra A)]]+Table14[[#This Row],[MW Proyectada (Barra B)]]</f>
        <v>#N/A</v>
      </c>
    </row>
    <row r="5" spans="2:10" x14ac:dyDescent="0.25">
      <c r="B5" s="91">
        <f>Table110[[#This Row],[Fecha]]</f>
        <v>45612.166666666664</v>
      </c>
      <c r="C5" s="52">
        <f>Table110[[#This Row],[Hora]]</f>
        <v>0.16666666666666666</v>
      </c>
      <c r="D5" s="92">
        <f>Table14[[#This Row],[Fecha]]</f>
        <v>45612.166666666664</v>
      </c>
      <c r="E5" s="53" t="e">
        <f>Table110[[#This Row],[Viento m/s]]</f>
        <v>#N/A</v>
      </c>
      <c r="F5" s="94" t="e">
        <f>VLOOKUP(Table14[[#This Row],[FECHA /HORA]],TBL_CalcDarwin[],46,0)</f>
        <v>#N/A</v>
      </c>
      <c r="G5" s="94" t="e">
        <f>VLOOKUP(Table14[[#This Row],[FECHA /HORA]],TBL_CalcDarwin[],47,0)</f>
        <v>#N/A</v>
      </c>
      <c r="H5" s="94" t="e">
        <f>VLOOKUP(Table14[[#This Row],[FECHA /HORA]],TBL_CalcDarwin[],44,0)</f>
        <v>#N/A</v>
      </c>
      <c r="I5" s="94" t="e">
        <f>VLOOKUP(Table14[[#This Row],[FECHA /HORA]],TBL_CalcDarwin[],45,0)</f>
        <v>#N/A</v>
      </c>
      <c r="J5" s="53" t="e">
        <f>Table14[[#This Row],[MW Proyectada (Barra A)]]+Table14[[#This Row],[MW Proyectada (Barra B)]]</f>
        <v>#N/A</v>
      </c>
    </row>
    <row r="6" spans="2:10" x14ac:dyDescent="0.25">
      <c r="B6" s="91">
        <f>Table110[[#This Row],[Fecha]]</f>
        <v>45612.208333333328</v>
      </c>
      <c r="C6" s="52">
        <f>Table110[[#This Row],[Hora]]</f>
        <v>0.20833333333333331</v>
      </c>
      <c r="D6" s="92">
        <f>Table14[[#This Row],[Fecha]]</f>
        <v>45612.208333333328</v>
      </c>
      <c r="E6" s="53" t="e">
        <f>Table110[[#This Row],[Viento m/s]]</f>
        <v>#N/A</v>
      </c>
      <c r="F6" s="95" t="e">
        <f>VLOOKUP(Table14[[#This Row],[FECHA /HORA]],TBL_CalcDarwin[],46,0)</f>
        <v>#N/A</v>
      </c>
      <c r="G6" s="95" t="e">
        <f>VLOOKUP(Table14[[#This Row],[FECHA /HORA]],TBL_CalcDarwin[],47,0)</f>
        <v>#N/A</v>
      </c>
      <c r="H6" s="95" t="e">
        <f>VLOOKUP(Table14[[#This Row],[FECHA /HORA]],TBL_CalcDarwin[],44,0)</f>
        <v>#N/A</v>
      </c>
      <c r="I6" s="95" t="e">
        <f>VLOOKUP(Table14[[#This Row],[FECHA /HORA]],TBL_CalcDarwin[],45,0)</f>
        <v>#N/A</v>
      </c>
      <c r="J6" s="53" t="e">
        <f>Table14[[#This Row],[MW Proyectada (Barra A)]]+Table14[[#This Row],[MW Proyectada (Barra B)]]</f>
        <v>#N/A</v>
      </c>
    </row>
    <row r="7" spans="2:10" x14ac:dyDescent="0.25">
      <c r="B7" s="91">
        <f>Table110[[#This Row],[Fecha]]</f>
        <v>45612.249999999993</v>
      </c>
      <c r="C7" s="52">
        <f>Table110[[#This Row],[Hora]]</f>
        <v>0.24999999999999997</v>
      </c>
      <c r="D7" s="92">
        <f>Table14[[#This Row],[Fecha]]</f>
        <v>45612.249999999993</v>
      </c>
      <c r="E7" s="53" t="e">
        <f>Table110[[#This Row],[Viento m/s]]</f>
        <v>#N/A</v>
      </c>
      <c r="F7" s="94" t="e">
        <f>VLOOKUP(Table14[[#This Row],[FECHA /HORA]],TBL_CalcDarwin[],46,0)</f>
        <v>#N/A</v>
      </c>
      <c r="G7" s="94" t="e">
        <f>VLOOKUP(Table14[[#This Row],[FECHA /HORA]],TBL_CalcDarwin[],47,0)</f>
        <v>#N/A</v>
      </c>
      <c r="H7" s="94" t="e">
        <f>VLOOKUP(Table14[[#This Row],[FECHA /HORA]],TBL_CalcDarwin[],44,0)</f>
        <v>#N/A</v>
      </c>
      <c r="I7" s="94" t="e">
        <f>VLOOKUP(Table14[[#This Row],[FECHA /HORA]],TBL_CalcDarwin[],45,0)</f>
        <v>#N/A</v>
      </c>
      <c r="J7" s="53" t="e">
        <f>Table14[[#This Row],[MW Proyectada (Barra A)]]+Table14[[#This Row],[MW Proyectada (Barra B)]]</f>
        <v>#N/A</v>
      </c>
    </row>
    <row r="8" spans="2:10" x14ac:dyDescent="0.25">
      <c r="B8" s="91">
        <f>Table110[[#This Row],[Fecha]]</f>
        <v>45612.291666666657</v>
      </c>
      <c r="C8" s="52">
        <f>Table110[[#This Row],[Hora]]</f>
        <v>0.29166666666666663</v>
      </c>
      <c r="D8" s="92">
        <f>Table14[[#This Row],[Fecha]]</f>
        <v>45612.291666666657</v>
      </c>
      <c r="E8" s="53" t="e">
        <f>Table110[[#This Row],[Viento m/s]]</f>
        <v>#N/A</v>
      </c>
      <c r="F8" s="95" t="e">
        <f>VLOOKUP(Table14[[#This Row],[FECHA /HORA]],TBL_CalcDarwin[],46,0)</f>
        <v>#N/A</v>
      </c>
      <c r="G8" s="95" t="e">
        <f>VLOOKUP(Table14[[#This Row],[FECHA /HORA]],TBL_CalcDarwin[],47,0)</f>
        <v>#N/A</v>
      </c>
      <c r="H8" s="95" t="e">
        <f>VLOOKUP(Table14[[#This Row],[FECHA /HORA]],TBL_CalcDarwin[],44,0)</f>
        <v>#N/A</v>
      </c>
      <c r="I8" s="95" t="e">
        <f>VLOOKUP(Table14[[#This Row],[FECHA /HORA]],TBL_CalcDarwin[],45,0)</f>
        <v>#N/A</v>
      </c>
      <c r="J8" s="53" t="e">
        <f>Table14[[#This Row],[MW Proyectada (Barra A)]]+Table14[[#This Row],[MW Proyectada (Barra B)]]</f>
        <v>#N/A</v>
      </c>
    </row>
    <row r="9" spans="2:10" x14ac:dyDescent="0.25">
      <c r="B9" s="91">
        <f>Table110[[#This Row],[Fecha]]</f>
        <v>45612.333333333321</v>
      </c>
      <c r="C9" s="52">
        <f>Table110[[#This Row],[Hora]]</f>
        <v>0.33333333333333331</v>
      </c>
      <c r="D9" s="92">
        <f>Table14[[#This Row],[Fecha]]</f>
        <v>45612.333333333321</v>
      </c>
      <c r="E9" s="53" t="e">
        <f>Table110[[#This Row],[Viento m/s]]</f>
        <v>#N/A</v>
      </c>
      <c r="F9" s="94" t="e">
        <f>VLOOKUP(Table14[[#This Row],[FECHA /HORA]],TBL_CalcDarwin[],46,0)</f>
        <v>#N/A</v>
      </c>
      <c r="G9" s="94" t="e">
        <f>VLOOKUP(Table14[[#This Row],[FECHA /HORA]],TBL_CalcDarwin[],47,0)</f>
        <v>#N/A</v>
      </c>
      <c r="H9" s="94" t="e">
        <f>VLOOKUP(Table14[[#This Row],[FECHA /HORA]],TBL_CalcDarwin[],44,0)</f>
        <v>#N/A</v>
      </c>
      <c r="I9" s="94" t="e">
        <f>VLOOKUP(Table14[[#This Row],[FECHA /HORA]],TBL_CalcDarwin[],45,0)</f>
        <v>#N/A</v>
      </c>
      <c r="J9" s="53" t="e">
        <f>Table14[[#This Row],[MW Proyectada (Barra A)]]+Table14[[#This Row],[MW Proyectada (Barra B)]]</f>
        <v>#N/A</v>
      </c>
    </row>
    <row r="10" spans="2:10" x14ac:dyDescent="0.25">
      <c r="B10" s="91">
        <f>Table110[[#This Row],[Fecha]]</f>
        <v>45612.374999999985</v>
      </c>
      <c r="C10" s="52">
        <f>Table110[[#This Row],[Hora]]</f>
        <v>0.375</v>
      </c>
      <c r="D10" s="92">
        <f>Table14[[#This Row],[Fecha]]</f>
        <v>45612.374999999985</v>
      </c>
      <c r="E10" s="53" t="e">
        <f>Table110[[#This Row],[Viento m/s]]</f>
        <v>#N/A</v>
      </c>
      <c r="F10" s="95" t="e">
        <f>VLOOKUP(Table14[[#This Row],[FECHA /HORA]],TBL_CalcDarwin[],46,0)</f>
        <v>#N/A</v>
      </c>
      <c r="G10" s="95" t="e">
        <f>VLOOKUP(Table14[[#This Row],[FECHA /HORA]],TBL_CalcDarwin[],47,0)</f>
        <v>#N/A</v>
      </c>
      <c r="H10" s="95" t="e">
        <f>VLOOKUP(Table14[[#This Row],[FECHA /HORA]],TBL_CalcDarwin[],44,0)</f>
        <v>#N/A</v>
      </c>
      <c r="I10" s="95" t="e">
        <f>VLOOKUP(Table14[[#This Row],[FECHA /HORA]],TBL_CalcDarwin[],45,0)</f>
        <v>#N/A</v>
      </c>
      <c r="J10" s="53" t="e">
        <f>Table14[[#This Row],[MW Proyectada (Barra A)]]+Table14[[#This Row],[MW Proyectada (Barra B)]]</f>
        <v>#N/A</v>
      </c>
    </row>
    <row r="11" spans="2:10" x14ac:dyDescent="0.25">
      <c r="B11" s="91">
        <f>Table110[[#This Row],[Fecha]]</f>
        <v>45612.41666666665</v>
      </c>
      <c r="C11" s="52">
        <f>Table110[[#This Row],[Hora]]</f>
        <v>0.41666666666666669</v>
      </c>
      <c r="D11" s="92">
        <f>Table14[[#This Row],[Fecha]]</f>
        <v>45612.41666666665</v>
      </c>
      <c r="E11" s="53" t="e">
        <f>Table110[[#This Row],[Viento m/s]]</f>
        <v>#N/A</v>
      </c>
      <c r="F11" s="94" t="e">
        <f>VLOOKUP(Table14[[#This Row],[FECHA /HORA]],TBL_CalcDarwin[],46,0)</f>
        <v>#N/A</v>
      </c>
      <c r="G11" s="94" t="e">
        <f>VLOOKUP(Table14[[#This Row],[FECHA /HORA]],TBL_CalcDarwin[],47,0)</f>
        <v>#N/A</v>
      </c>
      <c r="H11" s="94" t="e">
        <f>VLOOKUP(Table14[[#This Row],[FECHA /HORA]],TBL_CalcDarwin[],44,0)</f>
        <v>#N/A</v>
      </c>
      <c r="I11" s="94" t="e">
        <f>VLOOKUP(Table14[[#This Row],[FECHA /HORA]],TBL_CalcDarwin[],45,0)</f>
        <v>#N/A</v>
      </c>
      <c r="J11" s="53" t="e">
        <f>Table14[[#This Row],[MW Proyectada (Barra A)]]+Table14[[#This Row],[MW Proyectada (Barra B)]]</f>
        <v>#N/A</v>
      </c>
    </row>
    <row r="12" spans="2:10" x14ac:dyDescent="0.25">
      <c r="B12" s="91">
        <f>Table110[[#This Row],[Fecha]]</f>
        <v>45612.458333333314</v>
      </c>
      <c r="C12" s="52">
        <f>Table110[[#This Row],[Hora]]</f>
        <v>0.45833333333333337</v>
      </c>
      <c r="D12" s="92">
        <f>Table14[[#This Row],[Fecha]]</f>
        <v>45612.458333333314</v>
      </c>
      <c r="E12" s="53" t="e">
        <f>Table110[[#This Row],[Viento m/s]]</f>
        <v>#N/A</v>
      </c>
      <c r="F12" s="95" t="e">
        <f>VLOOKUP(Table14[[#This Row],[FECHA /HORA]],TBL_CalcDarwin[],46,0)</f>
        <v>#N/A</v>
      </c>
      <c r="G12" s="95" t="e">
        <f>VLOOKUP(Table14[[#This Row],[FECHA /HORA]],TBL_CalcDarwin[],47,0)</f>
        <v>#N/A</v>
      </c>
      <c r="H12" s="95" t="e">
        <f>VLOOKUP(Table14[[#This Row],[FECHA /HORA]],TBL_CalcDarwin[],44,0)</f>
        <v>#N/A</v>
      </c>
      <c r="I12" s="95" t="e">
        <f>VLOOKUP(Table14[[#This Row],[FECHA /HORA]],TBL_CalcDarwin[],45,0)</f>
        <v>#N/A</v>
      </c>
      <c r="J12" s="53" t="e">
        <f>Table14[[#This Row],[MW Proyectada (Barra A)]]+Table14[[#This Row],[MW Proyectada (Barra B)]]</f>
        <v>#N/A</v>
      </c>
    </row>
    <row r="13" spans="2:10" x14ac:dyDescent="0.25">
      <c r="B13" s="91">
        <f>Table110[[#This Row],[Fecha]]</f>
        <v>45612.499999999978</v>
      </c>
      <c r="C13" s="52">
        <f>Table110[[#This Row],[Hora]]</f>
        <v>0.5</v>
      </c>
      <c r="D13" s="92">
        <f>Table14[[#This Row],[Fecha]]</f>
        <v>45612.499999999978</v>
      </c>
      <c r="E13" s="53" t="e">
        <f>Table110[[#This Row],[Viento m/s]]</f>
        <v>#N/A</v>
      </c>
      <c r="F13" s="94" t="e">
        <f>VLOOKUP(Table14[[#This Row],[FECHA /HORA]],TBL_CalcDarwin[],46,0)</f>
        <v>#N/A</v>
      </c>
      <c r="G13" s="94" t="e">
        <f>VLOOKUP(Table14[[#This Row],[FECHA /HORA]],TBL_CalcDarwin[],47,0)</f>
        <v>#N/A</v>
      </c>
      <c r="H13" s="94" t="e">
        <f>VLOOKUP(Table14[[#This Row],[FECHA /HORA]],TBL_CalcDarwin[],44,0)</f>
        <v>#N/A</v>
      </c>
      <c r="I13" s="94" t="e">
        <f>VLOOKUP(Table14[[#This Row],[FECHA /HORA]],TBL_CalcDarwin[],45,0)</f>
        <v>#N/A</v>
      </c>
      <c r="J13" s="53" t="e">
        <f>Table14[[#This Row],[MW Proyectada (Barra A)]]+Table14[[#This Row],[MW Proyectada (Barra B)]]</f>
        <v>#N/A</v>
      </c>
    </row>
    <row r="14" spans="2:10" x14ac:dyDescent="0.25">
      <c r="B14" s="91">
        <f>Table110[[#This Row],[Fecha]]</f>
        <v>45612.541666666642</v>
      </c>
      <c r="C14" s="52">
        <f>Table110[[#This Row],[Hora]]</f>
        <v>0.54166666666666663</v>
      </c>
      <c r="D14" s="92">
        <f>Table14[[#This Row],[Fecha]]</f>
        <v>45612.541666666642</v>
      </c>
      <c r="E14" s="53" t="e">
        <f>Table110[[#This Row],[Viento m/s]]</f>
        <v>#N/A</v>
      </c>
      <c r="F14" s="95" t="e">
        <f>VLOOKUP(Table14[[#This Row],[FECHA /HORA]],TBL_CalcDarwin[],46,0)</f>
        <v>#N/A</v>
      </c>
      <c r="G14" s="95" t="e">
        <f>VLOOKUP(Table14[[#This Row],[FECHA /HORA]],TBL_CalcDarwin[],47,0)</f>
        <v>#N/A</v>
      </c>
      <c r="H14" s="95" t="e">
        <f>VLOOKUP(Table14[[#This Row],[FECHA /HORA]],TBL_CalcDarwin[],44,0)</f>
        <v>#N/A</v>
      </c>
      <c r="I14" s="95" t="e">
        <f>VLOOKUP(Table14[[#This Row],[FECHA /HORA]],TBL_CalcDarwin[],45,0)</f>
        <v>#N/A</v>
      </c>
      <c r="J14" s="53" t="e">
        <f>Table14[[#This Row],[MW Proyectada (Barra A)]]+Table14[[#This Row],[MW Proyectada (Barra B)]]</f>
        <v>#N/A</v>
      </c>
    </row>
    <row r="15" spans="2:10" x14ac:dyDescent="0.25">
      <c r="B15" s="91">
        <f>Table110[[#This Row],[Fecha]]</f>
        <v>45612.583333333307</v>
      </c>
      <c r="C15" s="52">
        <f>Table110[[#This Row],[Hora]]</f>
        <v>0.58333333333333326</v>
      </c>
      <c r="D15" s="92">
        <f>Table14[[#This Row],[Fecha]]</f>
        <v>45612.583333333307</v>
      </c>
      <c r="E15" s="53" t="e">
        <f>Table110[[#This Row],[Viento m/s]]</f>
        <v>#N/A</v>
      </c>
      <c r="F15" s="94" t="e">
        <f>VLOOKUP(Table14[[#This Row],[FECHA /HORA]],TBL_CalcDarwin[],46,0)</f>
        <v>#N/A</v>
      </c>
      <c r="G15" s="94" t="e">
        <f>VLOOKUP(Table14[[#This Row],[FECHA /HORA]],TBL_CalcDarwin[],47,0)</f>
        <v>#N/A</v>
      </c>
      <c r="H15" s="94" t="e">
        <f>VLOOKUP(Table14[[#This Row],[FECHA /HORA]],TBL_CalcDarwin[],44,0)</f>
        <v>#N/A</v>
      </c>
      <c r="I15" s="94" t="e">
        <f>VLOOKUP(Table14[[#This Row],[FECHA /HORA]],TBL_CalcDarwin[],45,0)</f>
        <v>#N/A</v>
      </c>
      <c r="J15" s="53" t="e">
        <f>Table14[[#This Row],[MW Proyectada (Barra A)]]+Table14[[#This Row],[MW Proyectada (Barra B)]]</f>
        <v>#N/A</v>
      </c>
    </row>
    <row r="16" spans="2:10" x14ac:dyDescent="0.25">
      <c r="B16" s="91">
        <f>Table110[[#This Row],[Fecha]]</f>
        <v>45612.624999999971</v>
      </c>
      <c r="C16" s="52">
        <f>Table110[[#This Row],[Hora]]</f>
        <v>0.62499999999999989</v>
      </c>
      <c r="D16" s="92">
        <f>Table14[[#This Row],[Fecha]]</f>
        <v>45612.624999999971</v>
      </c>
      <c r="E16" s="53" t="e">
        <f>Table110[[#This Row],[Viento m/s]]</f>
        <v>#N/A</v>
      </c>
      <c r="F16" s="95" t="e">
        <f>VLOOKUP(Table14[[#This Row],[FECHA /HORA]],TBL_CalcDarwin[],46,0)</f>
        <v>#N/A</v>
      </c>
      <c r="G16" s="95" t="e">
        <f>VLOOKUP(Table14[[#This Row],[FECHA /HORA]],TBL_CalcDarwin[],47,0)</f>
        <v>#N/A</v>
      </c>
      <c r="H16" s="95" t="e">
        <f>VLOOKUP(Table14[[#This Row],[FECHA /HORA]],TBL_CalcDarwin[],44,0)</f>
        <v>#N/A</v>
      </c>
      <c r="I16" s="95" t="e">
        <f>VLOOKUP(Table14[[#This Row],[FECHA /HORA]],TBL_CalcDarwin[],45,0)</f>
        <v>#N/A</v>
      </c>
      <c r="J16" s="53" t="e">
        <f>Table14[[#This Row],[MW Proyectada (Barra A)]]+Table14[[#This Row],[MW Proyectada (Barra B)]]</f>
        <v>#N/A</v>
      </c>
    </row>
    <row r="17" spans="2:10" x14ac:dyDescent="0.25">
      <c r="B17" s="91">
        <f>Table110[[#This Row],[Fecha]]</f>
        <v>45612.666666666635</v>
      </c>
      <c r="C17" s="52">
        <f>Table110[[#This Row],[Hora]]</f>
        <v>0.66666666666666652</v>
      </c>
      <c r="D17" s="92">
        <f>Table14[[#This Row],[Fecha]]</f>
        <v>45612.666666666635</v>
      </c>
      <c r="E17" s="53" t="e">
        <f>Table110[[#This Row],[Viento m/s]]</f>
        <v>#N/A</v>
      </c>
      <c r="F17" s="94" t="e">
        <f>VLOOKUP(Table14[[#This Row],[FECHA /HORA]],TBL_CalcDarwin[],46,0)</f>
        <v>#N/A</v>
      </c>
      <c r="G17" s="94" t="e">
        <f>VLOOKUP(Table14[[#This Row],[FECHA /HORA]],TBL_CalcDarwin[],47,0)</f>
        <v>#N/A</v>
      </c>
      <c r="H17" s="94" t="e">
        <f>VLOOKUP(Table14[[#This Row],[FECHA /HORA]],TBL_CalcDarwin[],44,0)</f>
        <v>#N/A</v>
      </c>
      <c r="I17" s="94" t="e">
        <f>VLOOKUP(Table14[[#This Row],[FECHA /HORA]],TBL_CalcDarwin[],45,0)</f>
        <v>#N/A</v>
      </c>
      <c r="J17" s="53" t="e">
        <f>Table14[[#This Row],[MW Proyectada (Barra A)]]+Table14[[#This Row],[MW Proyectada (Barra B)]]</f>
        <v>#N/A</v>
      </c>
    </row>
    <row r="18" spans="2:10" x14ac:dyDescent="0.25">
      <c r="B18" s="91">
        <f>Table110[[#This Row],[Fecha]]</f>
        <v>45612.708333333299</v>
      </c>
      <c r="C18" s="52">
        <f>Table110[[#This Row],[Hora]]</f>
        <v>0.70833333333333315</v>
      </c>
      <c r="D18" s="92">
        <f>Table14[[#This Row],[Fecha]]</f>
        <v>45612.708333333299</v>
      </c>
      <c r="E18" s="53" t="e">
        <f>Table110[[#This Row],[Viento m/s]]</f>
        <v>#N/A</v>
      </c>
      <c r="F18" s="95" t="e">
        <f>VLOOKUP(Table14[[#This Row],[FECHA /HORA]],TBL_CalcDarwin[],46,0)</f>
        <v>#N/A</v>
      </c>
      <c r="G18" s="95" t="e">
        <f>VLOOKUP(Table14[[#This Row],[FECHA /HORA]],TBL_CalcDarwin[],47,0)</f>
        <v>#N/A</v>
      </c>
      <c r="H18" s="95" t="e">
        <f>VLOOKUP(Table14[[#This Row],[FECHA /HORA]],TBL_CalcDarwin[],44,0)</f>
        <v>#N/A</v>
      </c>
      <c r="I18" s="95" t="e">
        <f>VLOOKUP(Table14[[#This Row],[FECHA /HORA]],TBL_CalcDarwin[],45,0)</f>
        <v>#N/A</v>
      </c>
      <c r="J18" s="53" t="e">
        <f>Table14[[#This Row],[MW Proyectada (Barra A)]]+Table14[[#This Row],[MW Proyectada (Barra B)]]</f>
        <v>#N/A</v>
      </c>
    </row>
    <row r="19" spans="2:10" x14ac:dyDescent="0.25">
      <c r="B19" s="91">
        <f>Table110[[#This Row],[Fecha]]</f>
        <v>45612.749999999964</v>
      </c>
      <c r="C19" s="52">
        <f>Table110[[#This Row],[Hora]]</f>
        <v>0.74999999999999978</v>
      </c>
      <c r="D19" s="92">
        <f>Table14[[#This Row],[Fecha]]</f>
        <v>45612.749999999964</v>
      </c>
      <c r="E19" s="53" t="e">
        <f>Table110[[#This Row],[Viento m/s]]</f>
        <v>#N/A</v>
      </c>
      <c r="F19" s="94" t="e">
        <f>VLOOKUP(Table14[[#This Row],[FECHA /HORA]],TBL_CalcDarwin[],46,0)</f>
        <v>#N/A</v>
      </c>
      <c r="G19" s="94" t="e">
        <f>VLOOKUP(Table14[[#This Row],[FECHA /HORA]],TBL_CalcDarwin[],47,0)</f>
        <v>#N/A</v>
      </c>
      <c r="H19" s="94" t="e">
        <f>VLOOKUP(Table14[[#This Row],[FECHA /HORA]],TBL_CalcDarwin[],44,0)</f>
        <v>#N/A</v>
      </c>
      <c r="I19" s="94" t="e">
        <f>VLOOKUP(Table14[[#This Row],[FECHA /HORA]],TBL_CalcDarwin[],45,0)</f>
        <v>#N/A</v>
      </c>
      <c r="J19" s="53" t="e">
        <f>Table14[[#This Row],[MW Proyectada (Barra A)]]+Table14[[#This Row],[MW Proyectada (Barra B)]]</f>
        <v>#N/A</v>
      </c>
    </row>
    <row r="20" spans="2:10" x14ac:dyDescent="0.25">
      <c r="B20" s="91">
        <f>Table110[[#This Row],[Fecha]]</f>
        <v>45612.791666666628</v>
      </c>
      <c r="C20" s="52">
        <f>Table110[[#This Row],[Hora]]</f>
        <v>0.79166666666666641</v>
      </c>
      <c r="D20" s="92">
        <f>Table14[[#This Row],[Fecha]]</f>
        <v>45612.791666666628</v>
      </c>
      <c r="E20" s="53" t="e">
        <f>Table110[[#This Row],[Viento m/s]]</f>
        <v>#N/A</v>
      </c>
      <c r="F20" s="95" t="e">
        <f>VLOOKUP(Table14[[#This Row],[FECHA /HORA]],TBL_CalcDarwin[],46,0)</f>
        <v>#N/A</v>
      </c>
      <c r="G20" s="95" t="e">
        <f>VLOOKUP(Table14[[#This Row],[FECHA /HORA]],TBL_CalcDarwin[],47,0)</f>
        <v>#N/A</v>
      </c>
      <c r="H20" s="95" t="e">
        <f>VLOOKUP(Table14[[#This Row],[FECHA /HORA]],TBL_CalcDarwin[],44,0)</f>
        <v>#N/A</v>
      </c>
      <c r="I20" s="95" t="e">
        <f>VLOOKUP(Table14[[#This Row],[FECHA /HORA]],TBL_CalcDarwin[],45,0)</f>
        <v>#N/A</v>
      </c>
      <c r="J20" s="53" t="e">
        <f>Table14[[#This Row],[MW Proyectada (Barra A)]]+Table14[[#This Row],[MW Proyectada (Barra B)]]</f>
        <v>#N/A</v>
      </c>
    </row>
    <row r="21" spans="2:10" x14ac:dyDescent="0.25">
      <c r="B21" s="91">
        <f>Table110[[#This Row],[Fecha]]</f>
        <v>45612.833333333292</v>
      </c>
      <c r="C21" s="52">
        <f>Table110[[#This Row],[Hora]]</f>
        <v>0.83333333333333304</v>
      </c>
      <c r="D21" s="92">
        <f>Table14[[#This Row],[Fecha]]</f>
        <v>45612.833333333292</v>
      </c>
      <c r="E21" s="53" t="e">
        <f>Table110[[#This Row],[Viento m/s]]</f>
        <v>#N/A</v>
      </c>
      <c r="F21" s="94" t="e">
        <f>VLOOKUP(Table14[[#This Row],[FECHA /HORA]],TBL_CalcDarwin[],46,0)</f>
        <v>#N/A</v>
      </c>
      <c r="G21" s="94" t="e">
        <f>VLOOKUP(Table14[[#This Row],[FECHA /HORA]],TBL_CalcDarwin[],47,0)</f>
        <v>#N/A</v>
      </c>
      <c r="H21" s="94" t="e">
        <f>VLOOKUP(Table14[[#This Row],[FECHA /HORA]],TBL_CalcDarwin[],44,0)</f>
        <v>#N/A</v>
      </c>
      <c r="I21" s="94" t="e">
        <f>VLOOKUP(Table14[[#This Row],[FECHA /HORA]],TBL_CalcDarwin[],45,0)</f>
        <v>#N/A</v>
      </c>
      <c r="J21" s="53" t="e">
        <f>Table14[[#This Row],[MW Proyectada (Barra A)]]+Table14[[#This Row],[MW Proyectada (Barra B)]]</f>
        <v>#N/A</v>
      </c>
    </row>
    <row r="22" spans="2:10" x14ac:dyDescent="0.25">
      <c r="B22" s="91">
        <f>Table110[[#This Row],[Fecha]]</f>
        <v>45612.874999999956</v>
      </c>
      <c r="C22" s="52">
        <f>Table110[[#This Row],[Hora]]</f>
        <v>0.87499999999999967</v>
      </c>
      <c r="D22" s="92">
        <f>Table14[[#This Row],[Fecha]]</f>
        <v>45612.874999999956</v>
      </c>
      <c r="E22" s="53" t="e">
        <f>Table110[[#This Row],[Viento m/s]]</f>
        <v>#N/A</v>
      </c>
      <c r="F22" s="95" t="e">
        <f>VLOOKUP(Table14[[#This Row],[FECHA /HORA]],TBL_CalcDarwin[],46,0)</f>
        <v>#N/A</v>
      </c>
      <c r="G22" s="95" t="e">
        <f>VLOOKUP(Table14[[#This Row],[FECHA /HORA]],TBL_CalcDarwin[],47,0)</f>
        <v>#N/A</v>
      </c>
      <c r="H22" s="95" t="e">
        <f>VLOOKUP(Table14[[#This Row],[FECHA /HORA]],TBL_CalcDarwin[],44,0)</f>
        <v>#N/A</v>
      </c>
      <c r="I22" s="95" t="e">
        <f>VLOOKUP(Table14[[#This Row],[FECHA /HORA]],TBL_CalcDarwin[],45,0)</f>
        <v>#N/A</v>
      </c>
      <c r="J22" s="53" t="e">
        <f>Table14[[#This Row],[MW Proyectada (Barra A)]]+Table14[[#This Row],[MW Proyectada (Barra B)]]</f>
        <v>#N/A</v>
      </c>
    </row>
    <row r="23" spans="2:10" x14ac:dyDescent="0.25">
      <c r="B23" s="91">
        <f>Table110[[#This Row],[Fecha]]</f>
        <v>45612.916666666621</v>
      </c>
      <c r="C23" s="52">
        <f>Table110[[#This Row],[Hora]]</f>
        <v>0.9166666666666663</v>
      </c>
      <c r="D23" s="92">
        <f>Table14[[#This Row],[Fecha]]</f>
        <v>45612.916666666621</v>
      </c>
      <c r="E23" s="53" t="e">
        <f>Table110[[#This Row],[Viento m/s]]</f>
        <v>#N/A</v>
      </c>
      <c r="F23" s="94" t="e">
        <f>VLOOKUP(Table14[[#This Row],[FECHA /HORA]],TBL_CalcDarwin[],46,0)</f>
        <v>#N/A</v>
      </c>
      <c r="G23" s="94" t="e">
        <f>VLOOKUP(Table14[[#This Row],[FECHA /HORA]],TBL_CalcDarwin[],47,0)</f>
        <v>#N/A</v>
      </c>
      <c r="H23" s="94" t="e">
        <f>VLOOKUP(Table14[[#This Row],[FECHA /HORA]],TBL_CalcDarwin[],44,0)</f>
        <v>#N/A</v>
      </c>
      <c r="I23" s="94" t="e">
        <f>VLOOKUP(Table14[[#This Row],[FECHA /HORA]],TBL_CalcDarwin[],45,0)</f>
        <v>#N/A</v>
      </c>
      <c r="J23" s="53" t="e">
        <f>Table14[[#This Row],[MW Proyectada (Barra A)]]+Table14[[#This Row],[MW Proyectada (Barra B)]]</f>
        <v>#N/A</v>
      </c>
    </row>
    <row r="24" spans="2:10" x14ac:dyDescent="0.25">
      <c r="B24" s="91">
        <f>Table110[[#This Row],[Fecha]]</f>
        <v>45612.958333333285</v>
      </c>
      <c r="C24" s="52">
        <f>Table110[[#This Row],[Hora]]</f>
        <v>0.95833333333333293</v>
      </c>
      <c r="D24" s="92">
        <f>Table14[[#This Row],[Fecha]]</f>
        <v>45612.958333333285</v>
      </c>
      <c r="E24" s="53" t="e">
        <f>Table110[[#This Row],[Viento m/s]]</f>
        <v>#N/A</v>
      </c>
      <c r="F24" s="95" t="e">
        <f>VLOOKUP(Table14[[#This Row],[FECHA /HORA]],TBL_CalcDarwin[],46,0)</f>
        <v>#N/A</v>
      </c>
      <c r="G24" s="95" t="e">
        <f>VLOOKUP(Table14[[#This Row],[FECHA /HORA]],TBL_CalcDarwin[],47,0)</f>
        <v>#N/A</v>
      </c>
      <c r="H24" s="95" t="e">
        <f>VLOOKUP(Table14[[#This Row],[FECHA /HORA]],TBL_CalcDarwin[],44,0)</f>
        <v>#N/A</v>
      </c>
      <c r="I24" s="95" t="e">
        <f>VLOOKUP(Table14[[#This Row],[FECHA /HORA]],TBL_CalcDarwin[],45,0)</f>
        <v>#N/A</v>
      </c>
      <c r="J24" s="53" t="e">
        <f>Table14[[#This Row],[MW Proyectada (Barra A)]]+Table14[[#This Row],[MW Proyectada (Barra B)]]</f>
        <v>#N/A</v>
      </c>
    </row>
    <row r="25" spans="2:10" x14ac:dyDescent="0.25">
      <c r="B25" s="91">
        <f>Table110[[#This Row],[Fecha]]</f>
        <v>45612.999999999949</v>
      </c>
      <c r="C25" s="52">
        <f>Table110[[#This Row],[Hora]]</f>
        <v>0.99999999999999956</v>
      </c>
      <c r="D25" s="92">
        <f>Table14[[#This Row],[Fecha]]</f>
        <v>45612.999999999949</v>
      </c>
      <c r="E25" s="53" t="e">
        <f>Table110[[#This Row],[Viento m/s]]</f>
        <v>#N/A</v>
      </c>
      <c r="F25" s="94" t="e">
        <f>VLOOKUP(Table14[[#This Row],[FECHA /HORA]],TBL_CalcDarwin[],46,0)</f>
        <v>#N/A</v>
      </c>
      <c r="G25" s="94" t="e">
        <f>VLOOKUP(Table14[[#This Row],[FECHA /HORA]],TBL_CalcDarwin[],47,0)</f>
        <v>#N/A</v>
      </c>
      <c r="H25" s="94" t="e">
        <f>VLOOKUP(Table14[[#This Row],[FECHA /HORA]],TBL_CalcDarwin[],44,0)</f>
        <v>#N/A</v>
      </c>
      <c r="I25" s="94" t="e">
        <f>VLOOKUP(Table14[[#This Row],[FECHA /HORA]],TBL_CalcDarwin[],45,0)</f>
        <v>#N/A</v>
      </c>
      <c r="J25" s="53" t="e">
        <f>Table14[[#This Row],[MW Proyectada (Barra A)]]+Table14[[#This Row],[MW Proyectada (Barra B)]]</f>
        <v>#N/A</v>
      </c>
    </row>
    <row r="26" spans="2:10" x14ac:dyDescent="0.25">
      <c r="B26" s="91">
        <f>Table110[[#This Row],[Fecha]]</f>
        <v>45613.041666666613</v>
      </c>
      <c r="C26" s="52">
        <f>Table110[[#This Row],[Hora]]</f>
        <v>1.0416666666666663</v>
      </c>
      <c r="D26" s="92">
        <f>Table14[[#This Row],[Fecha]]</f>
        <v>45613.041666666613</v>
      </c>
      <c r="E26" s="53" t="e">
        <f>Table110[[#This Row],[Viento m/s]]</f>
        <v>#N/A</v>
      </c>
      <c r="F26" s="95" t="e">
        <f>VLOOKUP(Table14[[#This Row],[FECHA /HORA]],TBL_CalcDarwin[],46,0)</f>
        <v>#N/A</v>
      </c>
      <c r="G26" s="95" t="e">
        <f>VLOOKUP(Table14[[#This Row],[FECHA /HORA]],TBL_CalcDarwin[],47,0)</f>
        <v>#N/A</v>
      </c>
      <c r="H26" s="95" t="e">
        <f>VLOOKUP(Table14[[#This Row],[FECHA /HORA]],TBL_CalcDarwin[],44,0)</f>
        <v>#N/A</v>
      </c>
      <c r="I26" s="95" t="e">
        <f>VLOOKUP(Table14[[#This Row],[FECHA /HORA]],TBL_CalcDarwin[],45,0)</f>
        <v>#N/A</v>
      </c>
      <c r="J26" s="53" t="e">
        <f>Table14[[#This Row],[MW Proyectada (Barra A)]]+Table14[[#This Row],[MW Proyectada (Barra B)]]</f>
        <v>#N/A</v>
      </c>
    </row>
    <row r="27" spans="2:10" x14ac:dyDescent="0.25">
      <c r="B27" s="91">
        <f>Table110[[#This Row],[Fecha]]</f>
        <v>45613.083333333278</v>
      </c>
      <c r="C27" s="52">
        <f>Table110[[#This Row],[Hora]]</f>
        <v>1.083333333333333</v>
      </c>
      <c r="D27" s="92">
        <f>Table14[[#This Row],[Fecha]]</f>
        <v>45613.083333333278</v>
      </c>
      <c r="E27" s="53" t="e">
        <f>Table110[[#This Row],[Viento m/s]]</f>
        <v>#N/A</v>
      </c>
      <c r="F27" s="94" t="e">
        <f>VLOOKUP(Table14[[#This Row],[FECHA /HORA]],TBL_CalcDarwin[],46,0)</f>
        <v>#N/A</v>
      </c>
      <c r="G27" s="94" t="e">
        <f>VLOOKUP(Table14[[#This Row],[FECHA /HORA]],TBL_CalcDarwin[],47,0)</f>
        <v>#N/A</v>
      </c>
      <c r="H27" s="94" t="e">
        <f>VLOOKUP(Table14[[#This Row],[FECHA /HORA]],TBL_CalcDarwin[],44,0)</f>
        <v>#N/A</v>
      </c>
      <c r="I27" s="94" t="e">
        <f>VLOOKUP(Table14[[#This Row],[FECHA /HORA]],TBL_CalcDarwin[],45,0)</f>
        <v>#N/A</v>
      </c>
      <c r="J27" s="53" t="e">
        <f>Table14[[#This Row],[MW Proyectada (Barra A)]]+Table14[[#This Row],[MW Proyectada (Barra B)]]</f>
        <v>#N/A</v>
      </c>
    </row>
    <row r="28" spans="2:10" x14ac:dyDescent="0.25">
      <c r="B28" s="91">
        <f>Table110[[#This Row],[Fecha]]</f>
        <v>45613.124999999942</v>
      </c>
      <c r="C28" s="52">
        <f>Table110[[#This Row],[Hora]]</f>
        <v>1.1249999999999998</v>
      </c>
      <c r="D28" s="92">
        <f>Table14[[#This Row],[Fecha]]</f>
        <v>45613.124999999942</v>
      </c>
      <c r="E28" s="53" t="e">
        <f>Table110[[#This Row],[Viento m/s]]</f>
        <v>#N/A</v>
      </c>
      <c r="F28" s="95" t="e">
        <f>VLOOKUP(Table14[[#This Row],[FECHA /HORA]],TBL_CalcDarwin[],46,0)</f>
        <v>#N/A</v>
      </c>
      <c r="G28" s="95" t="e">
        <f>VLOOKUP(Table14[[#This Row],[FECHA /HORA]],TBL_CalcDarwin[],47,0)</f>
        <v>#N/A</v>
      </c>
      <c r="H28" s="95" t="e">
        <f>VLOOKUP(Table14[[#This Row],[FECHA /HORA]],TBL_CalcDarwin[],44,0)</f>
        <v>#N/A</v>
      </c>
      <c r="I28" s="95" t="e">
        <f>VLOOKUP(Table14[[#This Row],[FECHA /HORA]],TBL_CalcDarwin[],45,0)</f>
        <v>#N/A</v>
      </c>
      <c r="J28" s="53" t="e">
        <f>Table14[[#This Row],[MW Proyectada (Barra A)]]+Table14[[#This Row],[MW Proyectada (Barra B)]]</f>
        <v>#N/A</v>
      </c>
    </row>
    <row r="29" spans="2:10" x14ac:dyDescent="0.25">
      <c r="B29" s="91">
        <f>Table110[[#This Row],[Fecha]]</f>
        <v>45613.166666666606</v>
      </c>
      <c r="C29" s="52">
        <f>Table110[[#This Row],[Hora]]</f>
        <v>1.1666666666666665</v>
      </c>
      <c r="D29" s="92">
        <f>Table14[[#This Row],[Fecha]]</f>
        <v>45613.166666666606</v>
      </c>
      <c r="E29" s="53" t="e">
        <f>Table110[[#This Row],[Viento m/s]]</f>
        <v>#N/A</v>
      </c>
      <c r="F29" s="94" t="e">
        <f>VLOOKUP(Table14[[#This Row],[FECHA /HORA]],TBL_CalcDarwin[],46,0)</f>
        <v>#N/A</v>
      </c>
      <c r="G29" s="94" t="e">
        <f>VLOOKUP(Table14[[#This Row],[FECHA /HORA]],TBL_CalcDarwin[],47,0)</f>
        <v>#N/A</v>
      </c>
      <c r="H29" s="94" t="e">
        <f>VLOOKUP(Table14[[#This Row],[FECHA /HORA]],TBL_CalcDarwin[],44,0)</f>
        <v>#N/A</v>
      </c>
      <c r="I29" s="94" t="e">
        <f>VLOOKUP(Table14[[#This Row],[FECHA /HORA]],TBL_CalcDarwin[],45,0)</f>
        <v>#N/A</v>
      </c>
      <c r="J29" s="53" t="e">
        <f>Table14[[#This Row],[MW Proyectada (Barra A)]]+Table14[[#This Row],[MW Proyectada (Barra B)]]</f>
        <v>#N/A</v>
      </c>
    </row>
    <row r="30" spans="2:10" x14ac:dyDescent="0.25">
      <c r="B30" s="91">
        <f>Table110[[#This Row],[Fecha]]</f>
        <v>45613.20833333327</v>
      </c>
      <c r="C30" s="52">
        <f>Table110[[#This Row],[Hora]]</f>
        <v>1.2083333333333333</v>
      </c>
      <c r="D30" s="92">
        <f>Table14[[#This Row],[Fecha]]</f>
        <v>45613.20833333327</v>
      </c>
      <c r="E30" s="53" t="e">
        <f>Table110[[#This Row],[Viento m/s]]</f>
        <v>#N/A</v>
      </c>
      <c r="F30" s="95" t="e">
        <f>VLOOKUP(Table14[[#This Row],[FECHA /HORA]],TBL_CalcDarwin[],46,0)</f>
        <v>#N/A</v>
      </c>
      <c r="G30" s="95" t="e">
        <f>VLOOKUP(Table14[[#This Row],[FECHA /HORA]],TBL_CalcDarwin[],47,0)</f>
        <v>#N/A</v>
      </c>
      <c r="H30" s="95" t="e">
        <f>VLOOKUP(Table14[[#This Row],[FECHA /HORA]],TBL_CalcDarwin[],44,0)</f>
        <v>#N/A</v>
      </c>
      <c r="I30" s="95" t="e">
        <f>VLOOKUP(Table14[[#This Row],[FECHA /HORA]],TBL_CalcDarwin[],45,0)</f>
        <v>#N/A</v>
      </c>
      <c r="J30" s="53" t="e">
        <f>Table14[[#This Row],[MW Proyectada (Barra A)]]+Table14[[#This Row],[MW Proyectada (Barra B)]]</f>
        <v>#N/A</v>
      </c>
    </row>
    <row r="31" spans="2:10" x14ac:dyDescent="0.25">
      <c r="B31" s="91">
        <f>Table110[[#This Row],[Fecha]]</f>
        <v>45613.249999999935</v>
      </c>
      <c r="C31" s="52">
        <f>Table110[[#This Row],[Hora]]</f>
        <v>1.25</v>
      </c>
      <c r="D31" s="92">
        <f>Table14[[#This Row],[Fecha]]</f>
        <v>45613.249999999935</v>
      </c>
      <c r="E31" s="53" t="e">
        <f>Table110[[#This Row],[Viento m/s]]</f>
        <v>#N/A</v>
      </c>
      <c r="F31" s="94" t="e">
        <f>VLOOKUP(Table14[[#This Row],[FECHA /HORA]],TBL_CalcDarwin[],46,0)</f>
        <v>#N/A</v>
      </c>
      <c r="G31" s="94" t="e">
        <f>VLOOKUP(Table14[[#This Row],[FECHA /HORA]],TBL_CalcDarwin[],47,0)</f>
        <v>#N/A</v>
      </c>
      <c r="H31" s="94" t="e">
        <f>VLOOKUP(Table14[[#This Row],[FECHA /HORA]],TBL_CalcDarwin[],44,0)</f>
        <v>#N/A</v>
      </c>
      <c r="I31" s="94" t="e">
        <f>VLOOKUP(Table14[[#This Row],[FECHA /HORA]],TBL_CalcDarwin[],45,0)</f>
        <v>#N/A</v>
      </c>
      <c r="J31" s="53" t="e">
        <f>Table14[[#This Row],[MW Proyectada (Barra A)]]+Table14[[#This Row],[MW Proyectada (Barra B)]]</f>
        <v>#N/A</v>
      </c>
    </row>
    <row r="32" spans="2:10" x14ac:dyDescent="0.25">
      <c r="B32" s="91">
        <f>Table110[[#This Row],[Fecha]]</f>
        <v>45613.291666666599</v>
      </c>
      <c r="C32" s="52">
        <f>Table110[[#This Row],[Hora]]</f>
        <v>1.2916666666666667</v>
      </c>
      <c r="D32" s="92">
        <f>Table14[[#This Row],[Fecha]]</f>
        <v>45613.291666666599</v>
      </c>
      <c r="E32" s="53" t="e">
        <f>Table110[[#This Row],[Viento m/s]]</f>
        <v>#N/A</v>
      </c>
      <c r="F32" s="95" t="e">
        <f>VLOOKUP(Table14[[#This Row],[FECHA /HORA]],TBL_CalcDarwin[],46,0)</f>
        <v>#N/A</v>
      </c>
      <c r="G32" s="95" t="e">
        <f>VLOOKUP(Table14[[#This Row],[FECHA /HORA]],TBL_CalcDarwin[],47,0)</f>
        <v>#N/A</v>
      </c>
      <c r="H32" s="95" t="e">
        <f>VLOOKUP(Table14[[#This Row],[FECHA /HORA]],TBL_CalcDarwin[],44,0)</f>
        <v>#N/A</v>
      </c>
      <c r="I32" s="95" t="e">
        <f>VLOOKUP(Table14[[#This Row],[FECHA /HORA]],TBL_CalcDarwin[],45,0)</f>
        <v>#N/A</v>
      </c>
      <c r="J32" s="53" t="e">
        <f>Table14[[#This Row],[MW Proyectada (Barra A)]]+Table14[[#This Row],[MW Proyectada (Barra B)]]</f>
        <v>#N/A</v>
      </c>
    </row>
    <row r="33" spans="2:10" x14ac:dyDescent="0.25">
      <c r="B33" s="91">
        <f>Table110[[#This Row],[Fecha]]</f>
        <v>45613.333333333263</v>
      </c>
      <c r="C33" s="52">
        <f>Table110[[#This Row],[Hora]]</f>
        <v>1.3333333333333335</v>
      </c>
      <c r="D33" s="92">
        <f>Table14[[#This Row],[Fecha]]</f>
        <v>45613.333333333263</v>
      </c>
      <c r="E33" s="53" t="e">
        <f>Table110[[#This Row],[Viento m/s]]</f>
        <v>#N/A</v>
      </c>
      <c r="F33" s="94" t="e">
        <f>VLOOKUP(Table14[[#This Row],[FECHA /HORA]],TBL_CalcDarwin[],46,0)</f>
        <v>#N/A</v>
      </c>
      <c r="G33" s="94" t="e">
        <f>VLOOKUP(Table14[[#This Row],[FECHA /HORA]],TBL_CalcDarwin[],47,0)</f>
        <v>#N/A</v>
      </c>
      <c r="H33" s="94" t="e">
        <f>VLOOKUP(Table14[[#This Row],[FECHA /HORA]],TBL_CalcDarwin[],44,0)</f>
        <v>#N/A</v>
      </c>
      <c r="I33" s="94" t="e">
        <f>VLOOKUP(Table14[[#This Row],[FECHA /HORA]],TBL_CalcDarwin[],45,0)</f>
        <v>#N/A</v>
      </c>
      <c r="J33" s="53" t="e">
        <f>Table14[[#This Row],[MW Proyectada (Barra A)]]+Table14[[#This Row],[MW Proyectada (Barra B)]]</f>
        <v>#N/A</v>
      </c>
    </row>
    <row r="34" spans="2:10" x14ac:dyDescent="0.25">
      <c r="B34" s="91">
        <f>Table110[[#This Row],[Fecha]]</f>
        <v>45613.374999999927</v>
      </c>
      <c r="C34" s="52">
        <f>Table110[[#This Row],[Hora]]</f>
        <v>1.3750000000000002</v>
      </c>
      <c r="D34" s="92">
        <f>Table14[[#This Row],[Fecha]]</f>
        <v>45613.374999999927</v>
      </c>
      <c r="E34" s="53" t="e">
        <f>Table110[[#This Row],[Viento m/s]]</f>
        <v>#N/A</v>
      </c>
      <c r="F34" s="95" t="e">
        <f>VLOOKUP(Table14[[#This Row],[FECHA /HORA]],TBL_CalcDarwin[],46,0)</f>
        <v>#N/A</v>
      </c>
      <c r="G34" s="95" t="e">
        <f>VLOOKUP(Table14[[#This Row],[FECHA /HORA]],TBL_CalcDarwin[],47,0)</f>
        <v>#N/A</v>
      </c>
      <c r="H34" s="95" t="e">
        <f>VLOOKUP(Table14[[#This Row],[FECHA /HORA]],TBL_CalcDarwin[],44,0)</f>
        <v>#N/A</v>
      </c>
      <c r="I34" s="95" t="e">
        <f>VLOOKUP(Table14[[#This Row],[FECHA /HORA]],TBL_CalcDarwin[],45,0)</f>
        <v>#N/A</v>
      </c>
      <c r="J34" s="53" t="e">
        <f>Table14[[#This Row],[MW Proyectada (Barra A)]]+Table14[[#This Row],[MW Proyectada (Barra B)]]</f>
        <v>#N/A</v>
      </c>
    </row>
    <row r="35" spans="2:10" x14ac:dyDescent="0.25">
      <c r="B35" s="91">
        <f>Table110[[#This Row],[Fecha]]</f>
        <v>45613.416666666591</v>
      </c>
      <c r="C35" s="52">
        <f>Table110[[#This Row],[Hora]]</f>
        <v>1.416666666666667</v>
      </c>
      <c r="D35" s="92">
        <f>Table14[[#This Row],[Fecha]]</f>
        <v>45613.416666666591</v>
      </c>
      <c r="E35" s="53" t="e">
        <f>Table110[[#This Row],[Viento m/s]]</f>
        <v>#N/A</v>
      </c>
      <c r="F35" s="94" t="e">
        <f>VLOOKUP(Table14[[#This Row],[FECHA /HORA]],TBL_CalcDarwin[],46,0)</f>
        <v>#N/A</v>
      </c>
      <c r="G35" s="94" t="e">
        <f>VLOOKUP(Table14[[#This Row],[FECHA /HORA]],TBL_CalcDarwin[],47,0)</f>
        <v>#N/A</v>
      </c>
      <c r="H35" s="94" t="e">
        <f>VLOOKUP(Table14[[#This Row],[FECHA /HORA]],TBL_CalcDarwin[],44,0)</f>
        <v>#N/A</v>
      </c>
      <c r="I35" s="94" t="e">
        <f>VLOOKUP(Table14[[#This Row],[FECHA /HORA]],TBL_CalcDarwin[],45,0)</f>
        <v>#N/A</v>
      </c>
      <c r="J35" s="53" t="e">
        <f>Table14[[#This Row],[MW Proyectada (Barra A)]]+Table14[[#This Row],[MW Proyectada (Barra B)]]</f>
        <v>#N/A</v>
      </c>
    </row>
    <row r="36" spans="2:10" x14ac:dyDescent="0.25">
      <c r="B36" s="91">
        <f>Table110[[#This Row],[Fecha]]</f>
        <v>45613.458333333256</v>
      </c>
      <c r="C36" s="52">
        <f>Table110[[#This Row],[Hora]]</f>
        <v>1.4583333333333337</v>
      </c>
      <c r="D36" s="92">
        <f>Table14[[#This Row],[Fecha]]</f>
        <v>45613.458333333256</v>
      </c>
      <c r="E36" s="53" t="e">
        <f>Table110[[#This Row],[Viento m/s]]</f>
        <v>#N/A</v>
      </c>
      <c r="F36" s="95" t="e">
        <f>VLOOKUP(Table14[[#This Row],[FECHA /HORA]],TBL_CalcDarwin[],46,0)</f>
        <v>#N/A</v>
      </c>
      <c r="G36" s="95" t="e">
        <f>VLOOKUP(Table14[[#This Row],[FECHA /HORA]],TBL_CalcDarwin[],47,0)</f>
        <v>#N/A</v>
      </c>
      <c r="H36" s="95" t="e">
        <f>VLOOKUP(Table14[[#This Row],[FECHA /HORA]],TBL_CalcDarwin[],44,0)</f>
        <v>#N/A</v>
      </c>
      <c r="I36" s="95" t="e">
        <f>VLOOKUP(Table14[[#This Row],[FECHA /HORA]],TBL_CalcDarwin[],45,0)</f>
        <v>#N/A</v>
      </c>
      <c r="J36" s="53" t="e">
        <f>Table14[[#This Row],[MW Proyectada (Barra A)]]+Table14[[#This Row],[MW Proyectada (Barra B)]]</f>
        <v>#N/A</v>
      </c>
    </row>
    <row r="37" spans="2:10" x14ac:dyDescent="0.25">
      <c r="B37" s="91">
        <f>Table110[[#This Row],[Fecha]]</f>
        <v>45613.49999999992</v>
      </c>
      <c r="C37" s="52">
        <f>Table110[[#This Row],[Hora]]</f>
        <v>1.5000000000000004</v>
      </c>
      <c r="D37" s="92">
        <f>Table14[[#This Row],[Fecha]]</f>
        <v>45613.49999999992</v>
      </c>
      <c r="E37" s="53" t="e">
        <f>Table110[[#This Row],[Viento m/s]]</f>
        <v>#N/A</v>
      </c>
      <c r="F37" s="94" t="e">
        <f>VLOOKUP(Table14[[#This Row],[FECHA /HORA]],TBL_CalcDarwin[],46,0)</f>
        <v>#N/A</v>
      </c>
      <c r="G37" s="94" t="e">
        <f>VLOOKUP(Table14[[#This Row],[FECHA /HORA]],TBL_CalcDarwin[],47,0)</f>
        <v>#N/A</v>
      </c>
      <c r="H37" s="94" t="e">
        <f>VLOOKUP(Table14[[#This Row],[FECHA /HORA]],TBL_CalcDarwin[],44,0)</f>
        <v>#N/A</v>
      </c>
      <c r="I37" s="94" t="e">
        <f>VLOOKUP(Table14[[#This Row],[FECHA /HORA]],TBL_CalcDarwin[],45,0)</f>
        <v>#N/A</v>
      </c>
      <c r="J37" s="53" t="e">
        <f>Table14[[#This Row],[MW Proyectada (Barra A)]]+Table14[[#This Row],[MW Proyectada (Barra B)]]</f>
        <v>#N/A</v>
      </c>
    </row>
    <row r="38" spans="2:10" x14ac:dyDescent="0.25">
      <c r="B38" s="91">
        <f>Table110[[#This Row],[Fecha]]</f>
        <v>45613.541666666584</v>
      </c>
      <c r="C38" s="52">
        <f>Table110[[#This Row],[Hora]]</f>
        <v>1.5416666666666672</v>
      </c>
      <c r="D38" s="92">
        <f>Table14[[#This Row],[Fecha]]</f>
        <v>45613.541666666584</v>
      </c>
      <c r="E38" s="53" t="e">
        <f>Table110[[#This Row],[Viento m/s]]</f>
        <v>#N/A</v>
      </c>
      <c r="F38" s="95" t="e">
        <f>VLOOKUP(Table14[[#This Row],[FECHA /HORA]],TBL_CalcDarwin[],46,0)</f>
        <v>#N/A</v>
      </c>
      <c r="G38" s="95" t="e">
        <f>VLOOKUP(Table14[[#This Row],[FECHA /HORA]],TBL_CalcDarwin[],47,0)</f>
        <v>#N/A</v>
      </c>
      <c r="H38" s="95" t="e">
        <f>VLOOKUP(Table14[[#This Row],[FECHA /HORA]],TBL_CalcDarwin[],44,0)</f>
        <v>#N/A</v>
      </c>
      <c r="I38" s="95" t="e">
        <f>VLOOKUP(Table14[[#This Row],[FECHA /HORA]],TBL_CalcDarwin[],45,0)</f>
        <v>#N/A</v>
      </c>
      <c r="J38" s="53" t="e">
        <f>Table14[[#This Row],[MW Proyectada (Barra A)]]+Table14[[#This Row],[MW Proyectada (Barra B)]]</f>
        <v>#N/A</v>
      </c>
    </row>
    <row r="39" spans="2:10" x14ac:dyDescent="0.25">
      <c r="B39" s="91">
        <f>Table110[[#This Row],[Fecha]]</f>
        <v>45613.583333333248</v>
      </c>
      <c r="C39" s="52">
        <f>Table110[[#This Row],[Hora]]</f>
        <v>1.5833333333333339</v>
      </c>
      <c r="D39" s="92">
        <f>Table14[[#This Row],[Fecha]]</f>
        <v>45613.583333333248</v>
      </c>
      <c r="E39" s="53" t="e">
        <f>Table110[[#This Row],[Viento m/s]]</f>
        <v>#N/A</v>
      </c>
      <c r="F39" s="94" t="e">
        <f>VLOOKUP(Table14[[#This Row],[FECHA /HORA]],TBL_CalcDarwin[],46,0)</f>
        <v>#N/A</v>
      </c>
      <c r="G39" s="94" t="e">
        <f>VLOOKUP(Table14[[#This Row],[FECHA /HORA]],TBL_CalcDarwin[],47,0)</f>
        <v>#N/A</v>
      </c>
      <c r="H39" s="94" t="e">
        <f>VLOOKUP(Table14[[#This Row],[FECHA /HORA]],TBL_CalcDarwin[],44,0)</f>
        <v>#N/A</v>
      </c>
      <c r="I39" s="94" t="e">
        <f>VLOOKUP(Table14[[#This Row],[FECHA /HORA]],TBL_CalcDarwin[],45,0)</f>
        <v>#N/A</v>
      </c>
      <c r="J39" s="53" t="e">
        <f>Table14[[#This Row],[MW Proyectada (Barra A)]]+Table14[[#This Row],[MW Proyectada (Barra B)]]</f>
        <v>#N/A</v>
      </c>
    </row>
    <row r="40" spans="2:10" x14ac:dyDescent="0.25">
      <c r="B40" s="91">
        <f>Table110[[#This Row],[Fecha]]</f>
        <v>45613.624999999913</v>
      </c>
      <c r="C40" s="52">
        <f>Table110[[#This Row],[Hora]]</f>
        <v>1.6250000000000007</v>
      </c>
      <c r="D40" s="92">
        <f>Table14[[#This Row],[Fecha]]</f>
        <v>45613.624999999913</v>
      </c>
      <c r="E40" s="53" t="e">
        <f>Table110[[#This Row],[Viento m/s]]</f>
        <v>#N/A</v>
      </c>
      <c r="F40" s="95" t="e">
        <f>VLOOKUP(Table14[[#This Row],[FECHA /HORA]],TBL_CalcDarwin[],46,0)</f>
        <v>#N/A</v>
      </c>
      <c r="G40" s="95" t="e">
        <f>VLOOKUP(Table14[[#This Row],[FECHA /HORA]],TBL_CalcDarwin[],47,0)</f>
        <v>#N/A</v>
      </c>
      <c r="H40" s="95" t="e">
        <f>VLOOKUP(Table14[[#This Row],[FECHA /HORA]],TBL_CalcDarwin[],44,0)</f>
        <v>#N/A</v>
      </c>
      <c r="I40" s="95" t="e">
        <f>VLOOKUP(Table14[[#This Row],[FECHA /HORA]],TBL_CalcDarwin[],45,0)</f>
        <v>#N/A</v>
      </c>
      <c r="J40" s="53" t="e">
        <f>Table14[[#This Row],[MW Proyectada (Barra A)]]+Table14[[#This Row],[MW Proyectada (Barra B)]]</f>
        <v>#N/A</v>
      </c>
    </row>
    <row r="41" spans="2:10" x14ac:dyDescent="0.25">
      <c r="B41" s="91">
        <f>Table110[[#This Row],[Fecha]]</f>
        <v>45613.666666666577</v>
      </c>
      <c r="C41" s="52">
        <f>Table110[[#This Row],[Hora]]</f>
        <v>1.6666666666666674</v>
      </c>
      <c r="D41" s="92">
        <f>Table14[[#This Row],[Fecha]]</f>
        <v>45613.666666666577</v>
      </c>
      <c r="E41" s="53" t="e">
        <f>Table110[[#This Row],[Viento m/s]]</f>
        <v>#N/A</v>
      </c>
      <c r="F41" s="94" t="e">
        <f>VLOOKUP(Table14[[#This Row],[FECHA /HORA]],TBL_CalcDarwin[],46,0)</f>
        <v>#N/A</v>
      </c>
      <c r="G41" s="94" t="e">
        <f>VLOOKUP(Table14[[#This Row],[FECHA /HORA]],TBL_CalcDarwin[],47,0)</f>
        <v>#N/A</v>
      </c>
      <c r="H41" s="94" t="e">
        <f>VLOOKUP(Table14[[#This Row],[FECHA /HORA]],TBL_CalcDarwin[],44,0)</f>
        <v>#N/A</v>
      </c>
      <c r="I41" s="94" t="e">
        <f>VLOOKUP(Table14[[#This Row],[FECHA /HORA]],TBL_CalcDarwin[],45,0)</f>
        <v>#N/A</v>
      </c>
      <c r="J41" s="53" t="e">
        <f>Table14[[#This Row],[MW Proyectada (Barra A)]]+Table14[[#This Row],[MW Proyectada (Barra B)]]</f>
        <v>#N/A</v>
      </c>
    </row>
    <row r="42" spans="2:10" x14ac:dyDescent="0.25">
      <c r="B42" s="91">
        <f>Table110[[#This Row],[Fecha]]</f>
        <v>45613.708333333241</v>
      </c>
      <c r="C42" s="52">
        <f>Table110[[#This Row],[Hora]]</f>
        <v>1.7083333333333341</v>
      </c>
      <c r="D42" s="92">
        <f>Table14[[#This Row],[Fecha]]</f>
        <v>45613.708333333241</v>
      </c>
      <c r="E42" s="53" t="e">
        <f>Table110[[#This Row],[Viento m/s]]</f>
        <v>#N/A</v>
      </c>
      <c r="F42" s="95" t="e">
        <f>VLOOKUP(Table14[[#This Row],[FECHA /HORA]],TBL_CalcDarwin[],46,0)</f>
        <v>#N/A</v>
      </c>
      <c r="G42" s="95" t="e">
        <f>VLOOKUP(Table14[[#This Row],[FECHA /HORA]],TBL_CalcDarwin[],47,0)</f>
        <v>#N/A</v>
      </c>
      <c r="H42" s="95" t="e">
        <f>VLOOKUP(Table14[[#This Row],[FECHA /HORA]],TBL_CalcDarwin[],44,0)</f>
        <v>#N/A</v>
      </c>
      <c r="I42" s="95" t="e">
        <f>VLOOKUP(Table14[[#This Row],[FECHA /HORA]],TBL_CalcDarwin[],45,0)</f>
        <v>#N/A</v>
      </c>
      <c r="J42" s="53" t="e">
        <f>Table14[[#This Row],[MW Proyectada (Barra A)]]+Table14[[#This Row],[MW Proyectada (Barra B)]]</f>
        <v>#N/A</v>
      </c>
    </row>
    <row r="43" spans="2:10" x14ac:dyDescent="0.25">
      <c r="B43" s="91">
        <f>Table110[[#This Row],[Fecha]]</f>
        <v>45613.749999999905</v>
      </c>
      <c r="C43" s="52">
        <f>Table110[[#This Row],[Hora]]</f>
        <v>1.7500000000000009</v>
      </c>
      <c r="D43" s="92">
        <f>Table14[[#This Row],[Fecha]]</f>
        <v>45613.749999999905</v>
      </c>
      <c r="E43" s="53" t="e">
        <f>Table110[[#This Row],[Viento m/s]]</f>
        <v>#N/A</v>
      </c>
      <c r="F43" s="94" t="e">
        <f>VLOOKUP(Table14[[#This Row],[FECHA /HORA]],TBL_CalcDarwin[],46,0)</f>
        <v>#N/A</v>
      </c>
      <c r="G43" s="94" t="e">
        <f>VLOOKUP(Table14[[#This Row],[FECHA /HORA]],TBL_CalcDarwin[],47,0)</f>
        <v>#N/A</v>
      </c>
      <c r="H43" s="94" t="e">
        <f>VLOOKUP(Table14[[#This Row],[FECHA /HORA]],TBL_CalcDarwin[],44,0)</f>
        <v>#N/A</v>
      </c>
      <c r="I43" s="94" t="e">
        <f>VLOOKUP(Table14[[#This Row],[FECHA /HORA]],TBL_CalcDarwin[],45,0)</f>
        <v>#N/A</v>
      </c>
      <c r="J43" s="53" t="e">
        <f>Table14[[#This Row],[MW Proyectada (Barra A)]]+Table14[[#This Row],[MW Proyectada (Barra B)]]</f>
        <v>#N/A</v>
      </c>
    </row>
    <row r="44" spans="2:10" x14ac:dyDescent="0.25">
      <c r="B44" s="91">
        <f>Table110[[#This Row],[Fecha]]</f>
        <v>45613.79166666657</v>
      </c>
      <c r="C44" s="52">
        <f>Table110[[#This Row],[Hora]]</f>
        <v>1.7916666666666676</v>
      </c>
      <c r="D44" s="92">
        <f>Table14[[#This Row],[Fecha]]</f>
        <v>45613.79166666657</v>
      </c>
      <c r="E44" s="53" t="e">
        <f>Table110[[#This Row],[Viento m/s]]</f>
        <v>#N/A</v>
      </c>
      <c r="F44" s="95" t="e">
        <f>VLOOKUP(Table14[[#This Row],[FECHA /HORA]],TBL_CalcDarwin[],46,0)</f>
        <v>#N/A</v>
      </c>
      <c r="G44" s="95" t="e">
        <f>VLOOKUP(Table14[[#This Row],[FECHA /HORA]],TBL_CalcDarwin[],47,0)</f>
        <v>#N/A</v>
      </c>
      <c r="H44" s="95" t="e">
        <f>VLOOKUP(Table14[[#This Row],[FECHA /HORA]],TBL_CalcDarwin[],44,0)</f>
        <v>#N/A</v>
      </c>
      <c r="I44" s="95" t="e">
        <f>VLOOKUP(Table14[[#This Row],[FECHA /HORA]],TBL_CalcDarwin[],45,0)</f>
        <v>#N/A</v>
      </c>
      <c r="J44" s="53" t="e">
        <f>Table14[[#This Row],[MW Proyectada (Barra A)]]+Table14[[#This Row],[MW Proyectada (Barra B)]]</f>
        <v>#N/A</v>
      </c>
    </row>
    <row r="45" spans="2:10" x14ac:dyDescent="0.25">
      <c r="B45" s="91">
        <f>Table110[[#This Row],[Fecha]]</f>
        <v>45613.833333333234</v>
      </c>
      <c r="C45" s="52">
        <f>Table110[[#This Row],[Hora]]</f>
        <v>1.8333333333333344</v>
      </c>
      <c r="D45" s="92">
        <f>Table14[[#This Row],[Fecha]]</f>
        <v>45613.833333333234</v>
      </c>
      <c r="E45" s="53" t="e">
        <f>Table110[[#This Row],[Viento m/s]]</f>
        <v>#N/A</v>
      </c>
      <c r="F45" s="94" t="e">
        <f>VLOOKUP(Table14[[#This Row],[FECHA /HORA]],TBL_CalcDarwin[],46,0)</f>
        <v>#N/A</v>
      </c>
      <c r="G45" s="94" t="e">
        <f>VLOOKUP(Table14[[#This Row],[FECHA /HORA]],TBL_CalcDarwin[],47,0)</f>
        <v>#N/A</v>
      </c>
      <c r="H45" s="94" t="e">
        <f>VLOOKUP(Table14[[#This Row],[FECHA /HORA]],TBL_CalcDarwin[],44,0)</f>
        <v>#N/A</v>
      </c>
      <c r="I45" s="94" t="e">
        <f>VLOOKUP(Table14[[#This Row],[FECHA /HORA]],TBL_CalcDarwin[],45,0)</f>
        <v>#N/A</v>
      </c>
      <c r="J45" s="53" t="e">
        <f>Table14[[#This Row],[MW Proyectada (Barra A)]]+Table14[[#This Row],[MW Proyectada (Barra B)]]</f>
        <v>#N/A</v>
      </c>
    </row>
    <row r="46" spans="2:10" x14ac:dyDescent="0.25">
      <c r="B46" s="91">
        <f>Table110[[#This Row],[Fecha]]</f>
        <v>45613.874999999898</v>
      </c>
      <c r="C46" s="52">
        <f>Table110[[#This Row],[Hora]]</f>
        <v>1.8750000000000011</v>
      </c>
      <c r="D46" s="92">
        <f>Table14[[#This Row],[Fecha]]</f>
        <v>45613.874999999898</v>
      </c>
      <c r="E46" s="53" t="e">
        <f>Table110[[#This Row],[Viento m/s]]</f>
        <v>#N/A</v>
      </c>
      <c r="F46" s="95" t="e">
        <f>VLOOKUP(Table14[[#This Row],[FECHA /HORA]],TBL_CalcDarwin[],46,0)</f>
        <v>#N/A</v>
      </c>
      <c r="G46" s="95" t="e">
        <f>VLOOKUP(Table14[[#This Row],[FECHA /HORA]],TBL_CalcDarwin[],47,0)</f>
        <v>#N/A</v>
      </c>
      <c r="H46" s="95" t="e">
        <f>VLOOKUP(Table14[[#This Row],[FECHA /HORA]],TBL_CalcDarwin[],44,0)</f>
        <v>#N/A</v>
      </c>
      <c r="I46" s="95" t="e">
        <f>VLOOKUP(Table14[[#This Row],[FECHA /HORA]],TBL_CalcDarwin[],45,0)</f>
        <v>#N/A</v>
      </c>
      <c r="J46" s="53" t="e">
        <f>Table14[[#This Row],[MW Proyectada (Barra A)]]+Table14[[#This Row],[MW Proyectada (Barra B)]]</f>
        <v>#N/A</v>
      </c>
    </row>
    <row r="47" spans="2:10" x14ac:dyDescent="0.25">
      <c r="B47" s="91">
        <f>Table110[[#This Row],[Fecha]]</f>
        <v>45613.916666666562</v>
      </c>
      <c r="C47" s="52">
        <f>Table110[[#This Row],[Hora]]</f>
        <v>1.9166666666666679</v>
      </c>
      <c r="D47" s="92">
        <f>Table14[[#This Row],[Fecha]]</f>
        <v>45613.916666666562</v>
      </c>
      <c r="E47" s="53" t="e">
        <f>Table110[[#This Row],[Viento m/s]]</f>
        <v>#N/A</v>
      </c>
      <c r="F47" s="94" t="e">
        <f>VLOOKUP(Table14[[#This Row],[FECHA /HORA]],TBL_CalcDarwin[],46,0)</f>
        <v>#N/A</v>
      </c>
      <c r="G47" s="94" t="e">
        <f>VLOOKUP(Table14[[#This Row],[FECHA /HORA]],TBL_CalcDarwin[],47,0)</f>
        <v>#N/A</v>
      </c>
      <c r="H47" s="94" t="e">
        <f>VLOOKUP(Table14[[#This Row],[FECHA /HORA]],TBL_CalcDarwin[],44,0)</f>
        <v>#N/A</v>
      </c>
      <c r="I47" s="94" t="e">
        <f>VLOOKUP(Table14[[#This Row],[FECHA /HORA]],TBL_CalcDarwin[],45,0)</f>
        <v>#N/A</v>
      </c>
      <c r="J47" s="53" t="e">
        <f>Table14[[#This Row],[MW Proyectada (Barra A)]]+Table14[[#This Row],[MW Proyectada (Barra B)]]</f>
        <v>#N/A</v>
      </c>
    </row>
    <row r="48" spans="2:10" x14ac:dyDescent="0.25">
      <c r="B48" s="91">
        <f>Table110[[#This Row],[Fecha]]</f>
        <v>45613.958333333227</v>
      </c>
      <c r="C48" s="52">
        <f>Table110[[#This Row],[Hora]]</f>
        <v>1.9583333333333346</v>
      </c>
      <c r="D48" s="92">
        <f>Table14[[#This Row],[Fecha]]</f>
        <v>45613.958333333227</v>
      </c>
      <c r="E48" s="53" t="e">
        <f>Table110[[#This Row],[Viento m/s]]</f>
        <v>#N/A</v>
      </c>
      <c r="F48" s="95" t="e">
        <f>VLOOKUP(Table14[[#This Row],[FECHA /HORA]],TBL_CalcDarwin[],46,0)</f>
        <v>#N/A</v>
      </c>
      <c r="G48" s="95" t="e">
        <f>VLOOKUP(Table14[[#This Row],[FECHA /HORA]],TBL_CalcDarwin[],47,0)</f>
        <v>#N/A</v>
      </c>
      <c r="H48" s="95" t="e">
        <f>VLOOKUP(Table14[[#This Row],[FECHA /HORA]],TBL_CalcDarwin[],44,0)</f>
        <v>#N/A</v>
      </c>
      <c r="I48" s="95" t="e">
        <f>VLOOKUP(Table14[[#This Row],[FECHA /HORA]],TBL_CalcDarwin[],45,0)</f>
        <v>#N/A</v>
      </c>
      <c r="J48" s="53" t="e">
        <f>Table14[[#This Row],[MW Proyectada (Barra A)]]+Table14[[#This Row],[MW Proyectada (Barra B)]]</f>
        <v>#N/A</v>
      </c>
    </row>
    <row r="49" spans="2:10" x14ac:dyDescent="0.25">
      <c r="B49" s="91">
        <f>Table110[[#This Row],[Fecha]]</f>
        <v>45613.999999999891</v>
      </c>
      <c r="C49" s="52">
        <f>Table110[[#This Row],[Hora]]</f>
        <v>2.0000000000000013</v>
      </c>
      <c r="D49" s="92">
        <f>Table14[[#This Row],[Fecha]]</f>
        <v>45613.999999999891</v>
      </c>
      <c r="E49" s="53" t="e">
        <f>Table110[[#This Row],[Viento m/s]]</f>
        <v>#N/A</v>
      </c>
      <c r="F49" s="94" t="e">
        <f>VLOOKUP(Table14[[#This Row],[FECHA /HORA]],TBL_CalcDarwin[],46,0)</f>
        <v>#N/A</v>
      </c>
      <c r="G49" s="94" t="e">
        <f>VLOOKUP(Table14[[#This Row],[FECHA /HORA]],TBL_CalcDarwin[],47,0)</f>
        <v>#N/A</v>
      </c>
      <c r="H49" s="94" t="e">
        <f>VLOOKUP(Table14[[#This Row],[FECHA /HORA]],TBL_CalcDarwin[],44,0)</f>
        <v>#N/A</v>
      </c>
      <c r="I49" s="94" t="e">
        <f>VLOOKUP(Table14[[#This Row],[FECHA /HORA]],TBL_CalcDarwin[],45,0)</f>
        <v>#N/A</v>
      </c>
      <c r="J49" s="53" t="e">
        <f>Table14[[#This Row],[MW Proyectada (Barra A)]]+Table14[[#This Row],[MW Proyectada (Barra B)]]</f>
        <v>#N/A</v>
      </c>
    </row>
    <row r="50" spans="2:10" x14ac:dyDescent="0.25">
      <c r="B50" s="91">
        <f>Table110[[#This Row],[Fecha]]</f>
        <v>45614.041666666555</v>
      </c>
      <c r="C50" s="52">
        <f>Table110[[#This Row],[Hora]]</f>
        <v>2.0416666666666679</v>
      </c>
      <c r="D50" s="92">
        <f>Table14[[#This Row],[Fecha]]</f>
        <v>45614.041666666555</v>
      </c>
      <c r="E50" s="53" t="e">
        <f>Table110[[#This Row],[Viento m/s]]</f>
        <v>#N/A</v>
      </c>
      <c r="F50" s="95" t="e">
        <f>VLOOKUP(Table14[[#This Row],[FECHA /HORA]],TBL_CalcDarwin[],46,0)</f>
        <v>#N/A</v>
      </c>
      <c r="G50" s="95" t="e">
        <f>VLOOKUP(Table14[[#This Row],[FECHA /HORA]],TBL_CalcDarwin[],47,0)</f>
        <v>#N/A</v>
      </c>
      <c r="H50" s="95" t="e">
        <f>VLOOKUP(Table14[[#This Row],[FECHA /HORA]],TBL_CalcDarwin[],44,0)</f>
        <v>#N/A</v>
      </c>
      <c r="I50" s="95" t="e">
        <f>VLOOKUP(Table14[[#This Row],[FECHA /HORA]],TBL_CalcDarwin[],45,0)</f>
        <v>#N/A</v>
      </c>
      <c r="J50" s="53" t="e">
        <f>Table14[[#This Row],[MW Proyectada (Barra A)]]+Table14[[#This Row],[MW Proyectada (Barra B)]]</f>
        <v>#N/A</v>
      </c>
    </row>
    <row r="51" spans="2:10" x14ac:dyDescent="0.25">
      <c r="B51" s="91">
        <f>Table110[[#This Row],[Fecha]]</f>
        <v>45614.083333333219</v>
      </c>
      <c r="C51" s="52">
        <f>Table110[[#This Row],[Hora]]</f>
        <v>2.0833333333333344</v>
      </c>
      <c r="D51" s="92">
        <f>Table14[[#This Row],[Fecha]]</f>
        <v>45614.083333333219</v>
      </c>
      <c r="E51" s="53" t="e">
        <f>Table110[[#This Row],[Viento m/s]]</f>
        <v>#N/A</v>
      </c>
      <c r="F51" s="96" t="e">
        <f>VLOOKUP(Table14[[#This Row],[FECHA /HORA]],TBL_CalcDarwin[],46,0)</f>
        <v>#N/A</v>
      </c>
      <c r="G51" s="53" t="e">
        <f>VLOOKUP(Table14[[#This Row],[FECHA /HORA]],TBL_CalcDarwin[],47,0)</f>
        <v>#N/A</v>
      </c>
      <c r="H51" s="95" t="e">
        <f>VLOOKUP(Table14[[#This Row],[FECHA /HORA]],TBL_CalcDarwin[],44,0)</f>
        <v>#N/A</v>
      </c>
      <c r="I51" s="95" t="e">
        <f>VLOOKUP(Table14[[#This Row],[FECHA /HORA]],TBL_CalcDarwin[],45,0)</f>
        <v>#N/A</v>
      </c>
      <c r="J51" s="53" t="e">
        <f>Table14[[#This Row],[MW Proyectada (Barra A)]]+Table14[[#This Row],[MW Proyectada (Barra B)]]</f>
        <v>#N/A</v>
      </c>
    </row>
    <row r="52" spans="2:10" x14ac:dyDescent="0.25">
      <c r="B52" s="91">
        <f>Table110[[#This Row],[Fecha]]</f>
        <v>45614.124999999884</v>
      </c>
      <c r="C52" s="52">
        <f>Table110[[#This Row],[Hora]]</f>
        <v>2.1250000000000009</v>
      </c>
      <c r="D52" s="92">
        <f>Table14[[#This Row],[Fecha]]</f>
        <v>45614.124999999884</v>
      </c>
      <c r="E52" s="53" t="e">
        <f>Table110[[#This Row],[Viento m/s]]</f>
        <v>#N/A</v>
      </c>
      <c r="F52" s="96" t="e">
        <f>VLOOKUP(Table14[[#This Row],[FECHA /HORA]],TBL_CalcDarwin[],46,0)</f>
        <v>#N/A</v>
      </c>
      <c r="G52" s="53" t="e">
        <f>VLOOKUP(Table14[[#This Row],[FECHA /HORA]],TBL_CalcDarwin[],47,0)</f>
        <v>#N/A</v>
      </c>
      <c r="H52" s="95" t="e">
        <f>VLOOKUP(Table14[[#This Row],[FECHA /HORA]],TBL_CalcDarwin[],44,0)</f>
        <v>#N/A</v>
      </c>
      <c r="I52" s="95" t="e">
        <f>VLOOKUP(Table14[[#This Row],[FECHA /HORA]],TBL_CalcDarwin[],45,0)</f>
        <v>#N/A</v>
      </c>
      <c r="J52" s="53" t="e">
        <f>Table14[[#This Row],[MW Proyectada (Barra A)]]+Table14[[#This Row],[MW Proyectada (Barra B)]]</f>
        <v>#N/A</v>
      </c>
    </row>
    <row r="53" spans="2:10" x14ac:dyDescent="0.25">
      <c r="B53" s="91">
        <f>Table110[[#This Row],[Fecha]]</f>
        <v>45614.166666666548</v>
      </c>
      <c r="C53" s="52">
        <f>Table110[[#This Row],[Hora]]</f>
        <v>2.1666666666666674</v>
      </c>
      <c r="D53" s="92">
        <f>Table14[[#This Row],[Fecha]]</f>
        <v>45614.166666666548</v>
      </c>
      <c r="E53" s="53" t="e">
        <f>Table110[[#This Row],[Viento m/s]]</f>
        <v>#N/A</v>
      </c>
      <c r="F53" s="96" t="e">
        <f>VLOOKUP(Table14[[#This Row],[FECHA /HORA]],TBL_CalcDarwin[],46,0)</f>
        <v>#N/A</v>
      </c>
      <c r="G53" s="53" t="e">
        <f>VLOOKUP(Table14[[#This Row],[FECHA /HORA]],TBL_CalcDarwin[],47,0)</f>
        <v>#N/A</v>
      </c>
      <c r="H53" s="95" t="e">
        <f>VLOOKUP(Table14[[#This Row],[FECHA /HORA]],TBL_CalcDarwin[],44,0)</f>
        <v>#N/A</v>
      </c>
      <c r="I53" s="95" t="e">
        <f>VLOOKUP(Table14[[#This Row],[FECHA /HORA]],TBL_CalcDarwin[],45,0)</f>
        <v>#N/A</v>
      </c>
      <c r="J53" s="53" t="e">
        <f>Table14[[#This Row],[MW Proyectada (Barra A)]]+Table14[[#This Row],[MW Proyectada (Barra B)]]</f>
        <v>#N/A</v>
      </c>
    </row>
    <row r="54" spans="2:10" x14ac:dyDescent="0.25">
      <c r="B54" s="91">
        <f>Table110[[#This Row],[Fecha]]</f>
        <v>45614.208333333212</v>
      </c>
      <c r="C54" s="52">
        <f>Table110[[#This Row],[Hora]]</f>
        <v>2.2083333333333339</v>
      </c>
      <c r="D54" s="92">
        <f>Table14[[#This Row],[Fecha]]</f>
        <v>45614.208333333212</v>
      </c>
      <c r="E54" s="53" t="e">
        <f>Table110[[#This Row],[Viento m/s]]</f>
        <v>#N/A</v>
      </c>
      <c r="F54" s="96" t="e">
        <f>VLOOKUP(Table14[[#This Row],[FECHA /HORA]],TBL_CalcDarwin[],46,0)</f>
        <v>#N/A</v>
      </c>
      <c r="G54" s="53" t="e">
        <f>VLOOKUP(Table14[[#This Row],[FECHA /HORA]],TBL_CalcDarwin[],47,0)</f>
        <v>#N/A</v>
      </c>
      <c r="H54" s="95" t="e">
        <f>VLOOKUP(Table14[[#This Row],[FECHA /HORA]],TBL_CalcDarwin[],44,0)</f>
        <v>#N/A</v>
      </c>
      <c r="I54" s="95" t="e">
        <f>VLOOKUP(Table14[[#This Row],[FECHA /HORA]],TBL_CalcDarwin[],45,0)</f>
        <v>#N/A</v>
      </c>
      <c r="J54" s="53" t="e">
        <f>Table14[[#This Row],[MW Proyectada (Barra A)]]+Table14[[#This Row],[MW Proyectada (Barra B)]]</f>
        <v>#N/A</v>
      </c>
    </row>
    <row r="55" spans="2:10" x14ac:dyDescent="0.25">
      <c r="B55" s="91">
        <f>Table110[[#This Row],[Fecha]]</f>
        <v>45614.249999999876</v>
      </c>
      <c r="C55" s="52">
        <f>Table110[[#This Row],[Hora]]</f>
        <v>2.2500000000000004</v>
      </c>
      <c r="D55" s="92">
        <f>Table14[[#This Row],[Fecha]]</f>
        <v>45614.249999999876</v>
      </c>
      <c r="E55" s="53" t="e">
        <f>Table110[[#This Row],[Viento m/s]]</f>
        <v>#N/A</v>
      </c>
      <c r="F55" s="96" t="e">
        <f>VLOOKUP(Table14[[#This Row],[FECHA /HORA]],TBL_CalcDarwin[],46,0)</f>
        <v>#N/A</v>
      </c>
      <c r="G55" s="53" t="e">
        <f>VLOOKUP(Table14[[#This Row],[FECHA /HORA]],TBL_CalcDarwin[],47,0)</f>
        <v>#N/A</v>
      </c>
      <c r="H55" s="95" t="e">
        <f>VLOOKUP(Table14[[#This Row],[FECHA /HORA]],TBL_CalcDarwin[],44,0)</f>
        <v>#N/A</v>
      </c>
      <c r="I55" s="95" t="e">
        <f>VLOOKUP(Table14[[#This Row],[FECHA /HORA]],TBL_CalcDarwin[],45,0)</f>
        <v>#N/A</v>
      </c>
      <c r="J55" s="53" t="e">
        <f>Table14[[#This Row],[MW Proyectada (Barra A)]]+Table14[[#This Row],[MW Proyectada (Barra B)]]</f>
        <v>#N/A</v>
      </c>
    </row>
    <row r="56" spans="2:10" x14ac:dyDescent="0.25">
      <c r="B56" s="91">
        <f>Table110[[#This Row],[Fecha]]</f>
        <v>45614.291666666541</v>
      </c>
      <c r="C56" s="52">
        <f>Table110[[#This Row],[Hora]]</f>
        <v>2.291666666666667</v>
      </c>
      <c r="D56" s="92">
        <f>Table14[[#This Row],[Fecha]]</f>
        <v>45614.291666666541</v>
      </c>
      <c r="E56" s="53" t="e">
        <f>Table110[[#This Row],[Viento m/s]]</f>
        <v>#N/A</v>
      </c>
      <c r="F56" s="96" t="e">
        <f>VLOOKUP(Table14[[#This Row],[FECHA /HORA]],TBL_CalcDarwin[],46,0)</f>
        <v>#N/A</v>
      </c>
      <c r="G56" s="53" t="e">
        <f>VLOOKUP(Table14[[#This Row],[FECHA /HORA]],TBL_CalcDarwin[],47,0)</f>
        <v>#N/A</v>
      </c>
      <c r="H56" s="95" t="e">
        <f>VLOOKUP(Table14[[#This Row],[FECHA /HORA]],TBL_CalcDarwin[],44,0)</f>
        <v>#N/A</v>
      </c>
      <c r="I56" s="95" t="e">
        <f>VLOOKUP(Table14[[#This Row],[FECHA /HORA]],TBL_CalcDarwin[],45,0)</f>
        <v>#N/A</v>
      </c>
      <c r="J56" s="53" t="e">
        <f>Table14[[#This Row],[MW Proyectada (Barra A)]]+Table14[[#This Row],[MW Proyectada (Barra B)]]</f>
        <v>#N/A</v>
      </c>
    </row>
    <row r="57" spans="2:10" x14ac:dyDescent="0.25">
      <c r="B57" s="91">
        <f>Table110[[#This Row],[Fecha]]</f>
        <v>45614.333333333205</v>
      </c>
      <c r="C57" s="52">
        <f>Table110[[#This Row],[Hora]]</f>
        <v>2.3333333333333335</v>
      </c>
      <c r="D57" s="92">
        <f>Table14[[#This Row],[Fecha]]</f>
        <v>45614.333333333205</v>
      </c>
      <c r="E57" s="53" t="e">
        <f>Table110[[#This Row],[Viento m/s]]</f>
        <v>#N/A</v>
      </c>
      <c r="F57" s="96" t="e">
        <f>VLOOKUP(Table14[[#This Row],[FECHA /HORA]],TBL_CalcDarwin[],46,0)</f>
        <v>#N/A</v>
      </c>
      <c r="G57" s="53" t="e">
        <f>VLOOKUP(Table14[[#This Row],[FECHA /HORA]],TBL_CalcDarwin[],47,0)</f>
        <v>#N/A</v>
      </c>
      <c r="H57" s="95" t="e">
        <f>VLOOKUP(Table14[[#This Row],[FECHA /HORA]],TBL_CalcDarwin[],44,0)</f>
        <v>#N/A</v>
      </c>
      <c r="I57" s="95" t="e">
        <f>VLOOKUP(Table14[[#This Row],[FECHA /HORA]],TBL_CalcDarwin[],45,0)</f>
        <v>#N/A</v>
      </c>
      <c r="J57" s="53" t="e">
        <f>Table14[[#This Row],[MW Proyectada (Barra A)]]+Table14[[#This Row],[MW Proyectada (Barra B)]]</f>
        <v>#N/A</v>
      </c>
    </row>
    <row r="58" spans="2:10" x14ac:dyDescent="0.25">
      <c r="B58" s="91">
        <f>Table110[[#This Row],[Fecha]]</f>
        <v>45614.374999999869</v>
      </c>
      <c r="C58" s="52">
        <f>Table110[[#This Row],[Hora]]</f>
        <v>2.375</v>
      </c>
      <c r="D58" s="92">
        <f>Table14[[#This Row],[Fecha]]</f>
        <v>45614.374999999869</v>
      </c>
      <c r="E58" s="53" t="e">
        <f>Table110[[#This Row],[Viento m/s]]</f>
        <v>#N/A</v>
      </c>
      <c r="F58" s="96" t="e">
        <f>VLOOKUP(Table14[[#This Row],[FECHA /HORA]],TBL_CalcDarwin[],46,0)</f>
        <v>#N/A</v>
      </c>
      <c r="G58" s="53" t="e">
        <f>VLOOKUP(Table14[[#This Row],[FECHA /HORA]],TBL_CalcDarwin[],47,0)</f>
        <v>#N/A</v>
      </c>
      <c r="H58" s="95" t="e">
        <f>VLOOKUP(Table14[[#This Row],[FECHA /HORA]],TBL_CalcDarwin[],44,0)</f>
        <v>#N/A</v>
      </c>
      <c r="I58" s="95" t="e">
        <f>VLOOKUP(Table14[[#This Row],[FECHA /HORA]],TBL_CalcDarwin[],45,0)</f>
        <v>#N/A</v>
      </c>
      <c r="J58" s="53" t="e">
        <f>Table14[[#This Row],[MW Proyectada (Barra A)]]+Table14[[#This Row],[MW Proyectada (Barra B)]]</f>
        <v>#N/A</v>
      </c>
    </row>
    <row r="59" spans="2:10" x14ac:dyDescent="0.25">
      <c r="B59" s="91">
        <f>Table110[[#This Row],[Fecha]]</f>
        <v>45614.416666666533</v>
      </c>
      <c r="C59" s="52">
        <f>Table110[[#This Row],[Hora]]</f>
        <v>2.4166666666666665</v>
      </c>
      <c r="D59" s="92">
        <f>Table14[[#This Row],[Fecha]]</f>
        <v>45614.416666666533</v>
      </c>
      <c r="E59" s="53" t="e">
        <f>Table110[[#This Row],[Viento m/s]]</f>
        <v>#N/A</v>
      </c>
      <c r="F59" s="96" t="e">
        <f>VLOOKUP(Table14[[#This Row],[FECHA /HORA]],TBL_CalcDarwin[],46,0)</f>
        <v>#N/A</v>
      </c>
      <c r="G59" s="53" t="e">
        <f>VLOOKUP(Table14[[#This Row],[FECHA /HORA]],TBL_CalcDarwin[],47,0)</f>
        <v>#N/A</v>
      </c>
      <c r="H59" s="95" t="e">
        <f>VLOOKUP(Table14[[#This Row],[FECHA /HORA]],TBL_CalcDarwin[],44,0)</f>
        <v>#N/A</v>
      </c>
      <c r="I59" s="95" t="e">
        <f>VLOOKUP(Table14[[#This Row],[FECHA /HORA]],TBL_CalcDarwin[],45,0)</f>
        <v>#N/A</v>
      </c>
      <c r="J59" s="53" t="e">
        <f>Table14[[#This Row],[MW Proyectada (Barra A)]]+Table14[[#This Row],[MW Proyectada (Barra B)]]</f>
        <v>#N/A</v>
      </c>
    </row>
    <row r="60" spans="2:10" x14ac:dyDescent="0.25">
      <c r="B60" s="91">
        <f>Table110[[#This Row],[Fecha]]</f>
        <v>45614.458333333198</v>
      </c>
      <c r="C60" s="52">
        <f>Table110[[#This Row],[Hora]]</f>
        <v>2.458333333333333</v>
      </c>
      <c r="D60" s="92">
        <f>Table14[[#This Row],[Fecha]]</f>
        <v>45614.458333333198</v>
      </c>
      <c r="E60" s="53" t="e">
        <f>Table110[[#This Row],[Viento m/s]]</f>
        <v>#N/A</v>
      </c>
      <c r="F60" s="96" t="e">
        <f>VLOOKUP(Table14[[#This Row],[FECHA /HORA]],TBL_CalcDarwin[],46,0)</f>
        <v>#N/A</v>
      </c>
      <c r="G60" s="53" t="e">
        <f>VLOOKUP(Table14[[#This Row],[FECHA /HORA]],TBL_CalcDarwin[],47,0)</f>
        <v>#N/A</v>
      </c>
      <c r="H60" s="95" t="e">
        <f>VLOOKUP(Table14[[#This Row],[FECHA /HORA]],TBL_CalcDarwin[],44,0)</f>
        <v>#N/A</v>
      </c>
      <c r="I60" s="95" t="e">
        <f>VLOOKUP(Table14[[#This Row],[FECHA /HORA]],TBL_CalcDarwin[],45,0)</f>
        <v>#N/A</v>
      </c>
      <c r="J60" s="53" t="e">
        <f>Table14[[#This Row],[MW Proyectada (Barra A)]]+Table14[[#This Row],[MW Proyectada (Barra B)]]</f>
        <v>#N/A</v>
      </c>
    </row>
    <row r="61" spans="2:10" x14ac:dyDescent="0.25">
      <c r="B61" s="91">
        <f>Table110[[#This Row],[Fecha]]</f>
        <v>45614.499999999862</v>
      </c>
      <c r="C61" s="52">
        <f>Table110[[#This Row],[Hora]]</f>
        <v>2.4999999999999996</v>
      </c>
      <c r="D61" s="92">
        <f>Table14[[#This Row],[Fecha]]</f>
        <v>45614.499999999862</v>
      </c>
      <c r="E61" s="53" t="e">
        <f>Table110[[#This Row],[Viento m/s]]</f>
        <v>#N/A</v>
      </c>
      <c r="F61" s="96" t="e">
        <f>VLOOKUP(Table14[[#This Row],[FECHA /HORA]],TBL_CalcDarwin[],46,0)</f>
        <v>#N/A</v>
      </c>
      <c r="G61" s="53" t="e">
        <f>VLOOKUP(Table14[[#This Row],[FECHA /HORA]],TBL_CalcDarwin[],47,0)</f>
        <v>#N/A</v>
      </c>
      <c r="H61" s="95" t="e">
        <f>VLOOKUP(Table14[[#This Row],[FECHA /HORA]],TBL_CalcDarwin[],44,0)</f>
        <v>#N/A</v>
      </c>
      <c r="I61" s="95" t="e">
        <f>VLOOKUP(Table14[[#This Row],[FECHA /HORA]],TBL_CalcDarwin[],45,0)</f>
        <v>#N/A</v>
      </c>
      <c r="J61" s="53" t="e">
        <f>Table14[[#This Row],[MW Proyectada (Barra A)]]+Table14[[#This Row],[MW Proyectada (Barra B)]]</f>
        <v>#N/A</v>
      </c>
    </row>
    <row r="62" spans="2:10" x14ac:dyDescent="0.25">
      <c r="B62" s="91">
        <f>Table110[[#This Row],[Fecha]]</f>
        <v>45614.541666666526</v>
      </c>
      <c r="C62" s="52">
        <f>Table110[[#This Row],[Hora]]</f>
        <v>2.5416666666666661</v>
      </c>
      <c r="D62" s="92">
        <f>Table14[[#This Row],[Fecha]]</f>
        <v>45614.541666666526</v>
      </c>
      <c r="E62" s="53" t="e">
        <f>Table110[[#This Row],[Viento m/s]]</f>
        <v>#N/A</v>
      </c>
      <c r="F62" s="96" t="e">
        <f>VLOOKUP(Table14[[#This Row],[FECHA /HORA]],TBL_CalcDarwin[],46,0)</f>
        <v>#N/A</v>
      </c>
      <c r="G62" s="53" t="e">
        <f>VLOOKUP(Table14[[#This Row],[FECHA /HORA]],TBL_CalcDarwin[],47,0)</f>
        <v>#N/A</v>
      </c>
      <c r="H62" s="95" t="e">
        <f>VLOOKUP(Table14[[#This Row],[FECHA /HORA]],TBL_CalcDarwin[],44,0)</f>
        <v>#N/A</v>
      </c>
      <c r="I62" s="95" t="e">
        <f>VLOOKUP(Table14[[#This Row],[FECHA /HORA]],TBL_CalcDarwin[],45,0)</f>
        <v>#N/A</v>
      </c>
      <c r="J62" s="53" t="e">
        <f>Table14[[#This Row],[MW Proyectada (Barra A)]]+Table14[[#This Row],[MW Proyectada (Barra B)]]</f>
        <v>#N/A</v>
      </c>
    </row>
    <row r="63" spans="2:10" x14ac:dyDescent="0.25">
      <c r="B63" s="91">
        <f>Table110[[#This Row],[Fecha]]</f>
        <v>45614.58333333319</v>
      </c>
      <c r="C63" s="52">
        <f>Table110[[#This Row],[Hora]]</f>
        <v>2.5833333333333326</v>
      </c>
      <c r="D63" s="92">
        <f>Table14[[#This Row],[Fecha]]</f>
        <v>45614.58333333319</v>
      </c>
      <c r="E63" s="53" t="e">
        <f>Table110[[#This Row],[Viento m/s]]</f>
        <v>#N/A</v>
      </c>
      <c r="F63" s="96" t="e">
        <f>VLOOKUP(Table14[[#This Row],[FECHA /HORA]],TBL_CalcDarwin[],46,0)</f>
        <v>#N/A</v>
      </c>
      <c r="G63" s="53" t="e">
        <f>VLOOKUP(Table14[[#This Row],[FECHA /HORA]],TBL_CalcDarwin[],47,0)</f>
        <v>#N/A</v>
      </c>
      <c r="H63" s="95" t="e">
        <f>VLOOKUP(Table14[[#This Row],[FECHA /HORA]],TBL_CalcDarwin[],44,0)</f>
        <v>#N/A</v>
      </c>
      <c r="I63" s="95" t="e">
        <f>VLOOKUP(Table14[[#This Row],[FECHA /HORA]],TBL_CalcDarwin[],45,0)</f>
        <v>#N/A</v>
      </c>
      <c r="J63" s="53" t="e">
        <f>Table14[[#This Row],[MW Proyectada (Barra A)]]+Table14[[#This Row],[MW Proyectada (Barra B)]]</f>
        <v>#N/A</v>
      </c>
    </row>
    <row r="64" spans="2:10" x14ac:dyDescent="0.25">
      <c r="B64" s="91">
        <f>Table110[[#This Row],[Fecha]]</f>
        <v>45614.624999999854</v>
      </c>
      <c r="C64" s="52">
        <f>Table110[[#This Row],[Hora]]</f>
        <v>2.6249999999999991</v>
      </c>
      <c r="D64" s="92">
        <f>Table14[[#This Row],[Fecha]]</f>
        <v>45614.624999999854</v>
      </c>
      <c r="E64" s="53" t="e">
        <f>Table110[[#This Row],[Viento m/s]]</f>
        <v>#N/A</v>
      </c>
      <c r="F64" s="96" t="e">
        <f>VLOOKUP(Table14[[#This Row],[FECHA /HORA]],TBL_CalcDarwin[],46,0)</f>
        <v>#N/A</v>
      </c>
      <c r="G64" s="53" t="e">
        <f>VLOOKUP(Table14[[#This Row],[FECHA /HORA]],TBL_CalcDarwin[],47,0)</f>
        <v>#N/A</v>
      </c>
      <c r="H64" s="95" t="e">
        <f>VLOOKUP(Table14[[#This Row],[FECHA /HORA]],TBL_CalcDarwin[],44,0)</f>
        <v>#N/A</v>
      </c>
      <c r="I64" s="95" t="e">
        <f>VLOOKUP(Table14[[#This Row],[FECHA /HORA]],TBL_CalcDarwin[],45,0)</f>
        <v>#N/A</v>
      </c>
      <c r="J64" s="53" t="e">
        <f>Table14[[#This Row],[MW Proyectada (Barra A)]]+Table14[[#This Row],[MW Proyectada (Barra B)]]</f>
        <v>#N/A</v>
      </c>
    </row>
    <row r="65" spans="2:10" x14ac:dyDescent="0.25">
      <c r="B65" s="91">
        <f>Table110[[#This Row],[Fecha]]</f>
        <v>45614.666666666519</v>
      </c>
      <c r="C65" s="52">
        <f>Table110[[#This Row],[Hora]]</f>
        <v>2.6666666666666656</v>
      </c>
      <c r="D65" s="92">
        <f>Table14[[#This Row],[Fecha]]</f>
        <v>45614.666666666519</v>
      </c>
      <c r="E65" s="53" t="e">
        <f>Table110[[#This Row],[Viento m/s]]</f>
        <v>#N/A</v>
      </c>
      <c r="F65" s="96" t="e">
        <f>VLOOKUP(Table14[[#This Row],[FECHA /HORA]],TBL_CalcDarwin[],46,0)</f>
        <v>#N/A</v>
      </c>
      <c r="G65" s="53" t="e">
        <f>VLOOKUP(Table14[[#This Row],[FECHA /HORA]],TBL_CalcDarwin[],47,0)</f>
        <v>#N/A</v>
      </c>
      <c r="H65" s="95" t="e">
        <f>VLOOKUP(Table14[[#This Row],[FECHA /HORA]],TBL_CalcDarwin[],44,0)</f>
        <v>#N/A</v>
      </c>
      <c r="I65" s="95" t="e">
        <f>VLOOKUP(Table14[[#This Row],[FECHA /HORA]],TBL_CalcDarwin[],45,0)</f>
        <v>#N/A</v>
      </c>
      <c r="J65" s="53" t="e">
        <f>Table14[[#This Row],[MW Proyectada (Barra A)]]+Table14[[#This Row],[MW Proyectada (Barra B)]]</f>
        <v>#N/A</v>
      </c>
    </row>
    <row r="66" spans="2:10" x14ac:dyDescent="0.25">
      <c r="B66" s="91">
        <f>Table110[[#This Row],[Fecha]]</f>
        <v>45614.708333333183</v>
      </c>
      <c r="C66" s="52">
        <f>Table110[[#This Row],[Hora]]</f>
        <v>2.7083333333333321</v>
      </c>
      <c r="D66" s="92">
        <f>Table14[[#This Row],[Fecha]]</f>
        <v>45614.708333333183</v>
      </c>
      <c r="E66" s="53" t="e">
        <f>Table110[[#This Row],[Viento m/s]]</f>
        <v>#N/A</v>
      </c>
      <c r="F66" s="96" t="e">
        <f>VLOOKUP(Table14[[#This Row],[FECHA /HORA]],TBL_CalcDarwin[],46,0)</f>
        <v>#N/A</v>
      </c>
      <c r="G66" s="53" t="e">
        <f>VLOOKUP(Table14[[#This Row],[FECHA /HORA]],TBL_CalcDarwin[],47,0)</f>
        <v>#N/A</v>
      </c>
      <c r="H66" s="95" t="e">
        <f>VLOOKUP(Table14[[#This Row],[FECHA /HORA]],TBL_CalcDarwin[],44,0)</f>
        <v>#N/A</v>
      </c>
      <c r="I66" s="95" t="e">
        <f>VLOOKUP(Table14[[#This Row],[FECHA /HORA]],TBL_CalcDarwin[],45,0)</f>
        <v>#N/A</v>
      </c>
      <c r="J66" s="53" t="e">
        <f>Table14[[#This Row],[MW Proyectada (Barra A)]]+Table14[[#This Row],[MW Proyectada (Barra B)]]</f>
        <v>#N/A</v>
      </c>
    </row>
    <row r="67" spans="2:10" x14ac:dyDescent="0.25">
      <c r="B67" s="91">
        <f>Table110[[#This Row],[Fecha]]</f>
        <v>45614.749999999847</v>
      </c>
      <c r="C67" s="52">
        <f>Table110[[#This Row],[Hora]]</f>
        <v>2.7499999999999987</v>
      </c>
      <c r="D67" s="92">
        <f>Table14[[#This Row],[Fecha]]</f>
        <v>45614.749999999847</v>
      </c>
      <c r="E67" s="53" t="e">
        <f>Table110[[#This Row],[Viento m/s]]</f>
        <v>#N/A</v>
      </c>
      <c r="F67" s="96" t="e">
        <f>VLOOKUP(Table14[[#This Row],[FECHA /HORA]],TBL_CalcDarwin[],46,0)</f>
        <v>#N/A</v>
      </c>
      <c r="G67" s="53" t="e">
        <f>VLOOKUP(Table14[[#This Row],[FECHA /HORA]],TBL_CalcDarwin[],47,0)</f>
        <v>#N/A</v>
      </c>
      <c r="H67" s="95" t="e">
        <f>VLOOKUP(Table14[[#This Row],[FECHA /HORA]],TBL_CalcDarwin[],44,0)</f>
        <v>#N/A</v>
      </c>
      <c r="I67" s="95" t="e">
        <f>VLOOKUP(Table14[[#This Row],[FECHA /HORA]],TBL_CalcDarwin[],45,0)</f>
        <v>#N/A</v>
      </c>
      <c r="J67" s="53" t="e">
        <f>Table14[[#This Row],[MW Proyectada (Barra A)]]+Table14[[#This Row],[MW Proyectada (Barra B)]]</f>
        <v>#N/A</v>
      </c>
    </row>
    <row r="68" spans="2:10" x14ac:dyDescent="0.25">
      <c r="B68" s="91">
        <f>Table110[[#This Row],[Fecha]]</f>
        <v>45614.791666666511</v>
      </c>
      <c r="C68" s="52">
        <f>Table110[[#This Row],[Hora]]</f>
        <v>2.7916666666666652</v>
      </c>
      <c r="D68" s="92">
        <f>Table14[[#This Row],[Fecha]]</f>
        <v>45614.791666666511</v>
      </c>
      <c r="E68" s="53" t="e">
        <f>Table110[[#This Row],[Viento m/s]]</f>
        <v>#N/A</v>
      </c>
      <c r="F68" s="96" t="e">
        <f>VLOOKUP(Table14[[#This Row],[FECHA /HORA]],TBL_CalcDarwin[],46,0)</f>
        <v>#N/A</v>
      </c>
      <c r="G68" s="53" t="e">
        <f>VLOOKUP(Table14[[#This Row],[FECHA /HORA]],TBL_CalcDarwin[],47,0)</f>
        <v>#N/A</v>
      </c>
      <c r="H68" s="95" t="e">
        <f>VLOOKUP(Table14[[#This Row],[FECHA /HORA]],TBL_CalcDarwin[],44,0)</f>
        <v>#N/A</v>
      </c>
      <c r="I68" s="95" t="e">
        <f>VLOOKUP(Table14[[#This Row],[FECHA /HORA]],TBL_CalcDarwin[],45,0)</f>
        <v>#N/A</v>
      </c>
      <c r="J68" s="53" t="e">
        <f>Table14[[#This Row],[MW Proyectada (Barra A)]]+Table14[[#This Row],[MW Proyectada (Barra B)]]</f>
        <v>#N/A</v>
      </c>
    </row>
    <row r="69" spans="2:10" x14ac:dyDescent="0.25">
      <c r="B69" s="91">
        <f>Table110[[#This Row],[Fecha]]</f>
        <v>45614.833333333176</v>
      </c>
      <c r="C69" s="52">
        <f>Table110[[#This Row],[Hora]]</f>
        <v>2.8333333333333317</v>
      </c>
      <c r="D69" s="92">
        <f>Table14[[#This Row],[Fecha]]</f>
        <v>45614.833333333176</v>
      </c>
      <c r="E69" s="53" t="e">
        <f>Table110[[#This Row],[Viento m/s]]</f>
        <v>#N/A</v>
      </c>
      <c r="F69" s="96" t="e">
        <f>VLOOKUP(Table14[[#This Row],[FECHA /HORA]],TBL_CalcDarwin[],46,0)</f>
        <v>#N/A</v>
      </c>
      <c r="G69" s="53" t="e">
        <f>VLOOKUP(Table14[[#This Row],[FECHA /HORA]],TBL_CalcDarwin[],47,0)</f>
        <v>#N/A</v>
      </c>
      <c r="H69" s="95" t="e">
        <f>VLOOKUP(Table14[[#This Row],[FECHA /HORA]],TBL_CalcDarwin[],44,0)</f>
        <v>#N/A</v>
      </c>
      <c r="I69" s="95" t="e">
        <f>VLOOKUP(Table14[[#This Row],[FECHA /HORA]],TBL_CalcDarwin[],45,0)</f>
        <v>#N/A</v>
      </c>
      <c r="J69" s="53" t="e">
        <f>Table14[[#This Row],[MW Proyectada (Barra A)]]+Table14[[#This Row],[MW Proyectada (Barra B)]]</f>
        <v>#N/A</v>
      </c>
    </row>
    <row r="70" spans="2:10" x14ac:dyDescent="0.25">
      <c r="B70" s="91">
        <f>Table110[[#This Row],[Fecha]]</f>
        <v>45614.87499999984</v>
      </c>
      <c r="C70" s="52">
        <f>Table110[[#This Row],[Hora]]</f>
        <v>2.8749999999999982</v>
      </c>
      <c r="D70" s="92">
        <f>Table14[[#This Row],[Fecha]]</f>
        <v>45614.87499999984</v>
      </c>
      <c r="E70" s="53" t="e">
        <f>Table110[[#This Row],[Viento m/s]]</f>
        <v>#N/A</v>
      </c>
      <c r="F70" s="96" t="e">
        <f>VLOOKUP(Table14[[#This Row],[FECHA /HORA]],TBL_CalcDarwin[],46,0)</f>
        <v>#N/A</v>
      </c>
      <c r="G70" s="53" t="e">
        <f>VLOOKUP(Table14[[#This Row],[FECHA /HORA]],TBL_CalcDarwin[],47,0)</f>
        <v>#N/A</v>
      </c>
      <c r="H70" s="95" t="e">
        <f>VLOOKUP(Table14[[#This Row],[FECHA /HORA]],TBL_CalcDarwin[],44,0)</f>
        <v>#N/A</v>
      </c>
      <c r="I70" s="95" t="e">
        <f>VLOOKUP(Table14[[#This Row],[FECHA /HORA]],TBL_CalcDarwin[],45,0)</f>
        <v>#N/A</v>
      </c>
      <c r="J70" s="53" t="e">
        <f>Table14[[#This Row],[MW Proyectada (Barra A)]]+Table14[[#This Row],[MW Proyectada (Barra B)]]</f>
        <v>#N/A</v>
      </c>
    </row>
    <row r="71" spans="2:10" x14ac:dyDescent="0.25">
      <c r="B71" s="91">
        <f>Table110[[#This Row],[Fecha]]</f>
        <v>45614.916666666504</v>
      </c>
      <c r="C71" s="52">
        <f>Table110[[#This Row],[Hora]]</f>
        <v>2.9166666666666647</v>
      </c>
      <c r="D71" s="92">
        <f>Table14[[#This Row],[Fecha]]</f>
        <v>45614.916666666504</v>
      </c>
      <c r="E71" s="53" t="e">
        <f>Table110[[#This Row],[Viento m/s]]</f>
        <v>#N/A</v>
      </c>
      <c r="F71" s="96" t="e">
        <f>VLOOKUP(Table14[[#This Row],[FECHA /HORA]],TBL_CalcDarwin[],46,0)</f>
        <v>#N/A</v>
      </c>
      <c r="G71" s="53" t="e">
        <f>VLOOKUP(Table14[[#This Row],[FECHA /HORA]],TBL_CalcDarwin[],47,0)</f>
        <v>#N/A</v>
      </c>
      <c r="H71" s="95" t="e">
        <f>VLOOKUP(Table14[[#This Row],[FECHA /HORA]],TBL_CalcDarwin[],44,0)</f>
        <v>#N/A</v>
      </c>
      <c r="I71" s="95" t="e">
        <f>VLOOKUP(Table14[[#This Row],[FECHA /HORA]],TBL_CalcDarwin[],45,0)</f>
        <v>#N/A</v>
      </c>
      <c r="J71" s="53" t="e">
        <f>Table14[[#This Row],[MW Proyectada (Barra A)]]+Table14[[#This Row],[MW Proyectada (Barra B)]]</f>
        <v>#N/A</v>
      </c>
    </row>
    <row r="72" spans="2:10" x14ac:dyDescent="0.25">
      <c r="B72" s="91">
        <f>Table110[[#This Row],[Fecha]]</f>
        <v>45614.958333333168</v>
      </c>
      <c r="C72" s="52">
        <f>Table110[[#This Row],[Hora]]</f>
        <v>2.9583333333333313</v>
      </c>
      <c r="D72" s="92">
        <f>Table14[[#This Row],[Fecha]]</f>
        <v>45614.958333333168</v>
      </c>
      <c r="E72" s="53" t="e">
        <f>Table110[[#This Row],[Viento m/s]]</f>
        <v>#N/A</v>
      </c>
      <c r="F72" s="96" t="e">
        <f>VLOOKUP(Table14[[#This Row],[FECHA /HORA]],TBL_CalcDarwin[],46,0)</f>
        <v>#N/A</v>
      </c>
      <c r="G72" s="53" t="e">
        <f>VLOOKUP(Table14[[#This Row],[FECHA /HORA]],TBL_CalcDarwin[],47,0)</f>
        <v>#N/A</v>
      </c>
      <c r="H72" s="95" t="e">
        <f>VLOOKUP(Table14[[#This Row],[FECHA /HORA]],TBL_CalcDarwin[],44,0)</f>
        <v>#N/A</v>
      </c>
      <c r="I72" s="95" t="e">
        <f>VLOOKUP(Table14[[#This Row],[FECHA /HORA]],TBL_CalcDarwin[],45,0)</f>
        <v>#N/A</v>
      </c>
      <c r="J72" s="53" t="e">
        <f>Table14[[#This Row],[MW Proyectada (Barra A)]]+Table14[[#This Row],[MW Proyectada (Barra B)]]</f>
        <v>#N/A</v>
      </c>
    </row>
    <row r="73" spans="2:10" x14ac:dyDescent="0.25">
      <c r="B73" s="91">
        <f>Table110[[#This Row],[Fecha]]</f>
        <v>45614.999999999833</v>
      </c>
      <c r="C73" s="52">
        <f>Table110[[#This Row],[Hora]]</f>
        <v>2.9999999999999978</v>
      </c>
      <c r="D73" s="92">
        <f>Table14[[#This Row],[Fecha]]</f>
        <v>45614.999999999833</v>
      </c>
      <c r="E73" s="53" t="e">
        <f>Table110[[#This Row],[Viento m/s]]</f>
        <v>#N/A</v>
      </c>
      <c r="F73" s="96" t="e">
        <f>VLOOKUP(Table14[[#This Row],[FECHA /HORA]],TBL_CalcDarwin[],46,0)</f>
        <v>#N/A</v>
      </c>
      <c r="G73" s="53" t="e">
        <f>VLOOKUP(Table14[[#This Row],[FECHA /HORA]],TBL_CalcDarwin[],47,0)</f>
        <v>#N/A</v>
      </c>
      <c r="H73" s="95" t="e">
        <f>VLOOKUP(Table14[[#This Row],[FECHA /HORA]],TBL_CalcDarwin[],44,0)</f>
        <v>#N/A</v>
      </c>
      <c r="I73" s="95" t="e">
        <f>VLOOKUP(Table14[[#This Row],[FECHA /HORA]],TBL_CalcDarwin[],45,0)</f>
        <v>#N/A</v>
      </c>
      <c r="J73" s="53" t="e">
        <f>Table14[[#This Row],[MW Proyectada (Barra A)]]+Table14[[#This Row],[MW Proyectada (Barra B)]]</f>
        <v>#N/A</v>
      </c>
    </row>
    <row r="74" spans="2:10" x14ac:dyDescent="0.25">
      <c r="B74" s="91">
        <f>Table110[[#This Row],[Fecha]]</f>
        <v>45615.041666666497</v>
      </c>
      <c r="C74" s="52">
        <f>Table110[[#This Row],[Hora]]</f>
        <v>3.0416666666666643</v>
      </c>
      <c r="D74" s="92">
        <f>Table14[[#This Row],[Fecha]]</f>
        <v>45615.041666666497</v>
      </c>
      <c r="E74" s="53" t="e">
        <f>Table110[[#This Row],[Viento m/s]]</f>
        <v>#N/A</v>
      </c>
      <c r="F74" s="96" t="e">
        <f>VLOOKUP(Table14[[#This Row],[FECHA /HORA]],TBL_CalcDarwin[],46,0)</f>
        <v>#N/A</v>
      </c>
      <c r="G74" s="53" t="e">
        <f>VLOOKUP(Table14[[#This Row],[FECHA /HORA]],TBL_CalcDarwin[],47,0)</f>
        <v>#N/A</v>
      </c>
      <c r="H74" s="95" t="e">
        <f>VLOOKUP(Table14[[#This Row],[FECHA /HORA]],TBL_CalcDarwin[],44,0)</f>
        <v>#N/A</v>
      </c>
      <c r="I74" s="95" t="e">
        <f>VLOOKUP(Table14[[#This Row],[FECHA /HORA]],TBL_CalcDarwin[],45,0)</f>
        <v>#N/A</v>
      </c>
      <c r="J74" s="53" t="e">
        <f>Table14[[#This Row],[MW Proyectada (Barra A)]]+Table14[[#This Row],[MW Proyectada (Barra B)]]</f>
        <v>#N/A</v>
      </c>
    </row>
    <row r="75" spans="2:10" x14ac:dyDescent="0.25">
      <c r="B75" s="91">
        <f>Table110[[#This Row],[Fecha]]</f>
        <v>45615.083333333161</v>
      </c>
      <c r="C75" s="52">
        <f>Table110[[#This Row],[Hora]]</f>
        <v>3.0833333333333308</v>
      </c>
      <c r="D75" s="92">
        <f>Table14[[#This Row],[Fecha]]</f>
        <v>45615.083333333161</v>
      </c>
      <c r="E75" s="53" t="e">
        <f>Table110[[#This Row],[Viento m/s]]</f>
        <v>#N/A</v>
      </c>
      <c r="F75" s="96" t="e">
        <f>VLOOKUP(Table14[[#This Row],[FECHA /HORA]],TBL_CalcDarwin[],46,0)</f>
        <v>#N/A</v>
      </c>
      <c r="G75" s="53" t="e">
        <f>VLOOKUP(Table14[[#This Row],[FECHA /HORA]],TBL_CalcDarwin[],47,0)</f>
        <v>#N/A</v>
      </c>
      <c r="H75" s="95" t="e">
        <f>VLOOKUP(Table14[[#This Row],[FECHA /HORA]],TBL_CalcDarwin[],44,0)</f>
        <v>#N/A</v>
      </c>
      <c r="I75" s="95" t="e">
        <f>VLOOKUP(Table14[[#This Row],[FECHA /HORA]],TBL_CalcDarwin[],45,0)</f>
        <v>#N/A</v>
      </c>
      <c r="J75" s="53" t="e">
        <f>Table14[[#This Row],[MW Proyectada (Barra A)]]+Table14[[#This Row],[MW Proyectada (Barra B)]]</f>
        <v>#N/A</v>
      </c>
    </row>
    <row r="76" spans="2:10" x14ac:dyDescent="0.25">
      <c r="B76" s="91">
        <f>Table110[[#This Row],[Fecha]]</f>
        <v>45615.124999999825</v>
      </c>
      <c r="C76" s="52">
        <f>Table110[[#This Row],[Hora]]</f>
        <v>3.1249999999999973</v>
      </c>
      <c r="D76" s="92">
        <f>Table14[[#This Row],[Fecha]]</f>
        <v>45615.124999999825</v>
      </c>
      <c r="E76" s="53" t="e">
        <f>Table110[[#This Row],[Viento m/s]]</f>
        <v>#N/A</v>
      </c>
      <c r="F76" s="96" t="e">
        <f>VLOOKUP(Table14[[#This Row],[FECHA /HORA]],TBL_CalcDarwin[],46,0)</f>
        <v>#N/A</v>
      </c>
      <c r="G76" s="53" t="e">
        <f>VLOOKUP(Table14[[#This Row],[FECHA /HORA]],TBL_CalcDarwin[],47,0)</f>
        <v>#N/A</v>
      </c>
      <c r="H76" s="95" t="e">
        <f>VLOOKUP(Table14[[#This Row],[FECHA /HORA]],TBL_CalcDarwin[],44,0)</f>
        <v>#N/A</v>
      </c>
      <c r="I76" s="95" t="e">
        <f>VLOOKUP(Table14[[#This Row],[FECHA /HORA]],TBL_CalcDarwin[],45,0)</f>
        <v>#N/A</v>
      </c>
      <c r="J76" s="53" t="e">
        <f>Table14[[#This Row],[MW Proyectada (Barra A)]]+Table14[[#This Row],[MW Proyectada (Barra B)]]</f>
        <v>#N/A</v>
      </c>
    </row>
    <row r="77" spans="2:10" x14ac:dyDescent="0.25">
      <c r="B77" s="91">
        <f>Table110[[#This Row],[Fecha]]</f>
        <v>45615.16666666649</v>
      </c>
      <c r="C77" s="52">
        <f>Table110[[#This Row],[Hora]]</f>
        <v>3.1666666666666639</v>
      </c>
      <c r="D77" s="92">
        <f>Table14[[#This Row],[Fecha]]</f>
        <v>45615.16666666649</v>
      </c>
      <c r="E77" s="53" t="e">
        <f>Table110[[#This Row],[Viento m/s]]</f>
        <v>#N/A</v>
      </c>
      <c r="F77" s="96" t="e">
        <f>VLOOKUP(Table14[[#This Row],[FECHA /HORA]],TBL_CalcDarwin[],46,0)</f>
        <v>#N/A</v>
      </c>
      <c r="G77" s="53" t="e">
        <f>VLOOKUP(Table14[[#This Row],[FECHA /HORA]],TBL_CalcDarwin[],47,0)</f>
        <v>#N/A</v>
      </c>
      <c r="H77" s="95" t="e">
        <f>VLOOKUP(Table14[[#This Row],[FECHA /HORA]],TBL_CalcDarwin[],44,0)</f>
        <v>#N/A</v>
      </c>
      <c r="I77" s="95" t="e">
        <f>VLOOKUP(Table14[[#This Row],[FECHA /HORA]],TBL_CalcDarwin[],45,0)</f>
        <v>#N/A</v>
      </c>
      <c r="J77" s="53" t="e">
        <f>Table14[[#This Row],[MW Proyectada (Barra A)]]+Table14[[#This Row],[MW Proyectada (Barra B)]]</f>
        <v>#N/A</v>
      </c>
    </row>
    <row r="78" spans="2:10" x14ac:dyDescent="0.25">
      <c r="B78" s="91">
        <f>Table110[[#This Row],[Fecha]]</f>
        <v>45615.208333333154</v>
      </c>
      <c r="C78" s="52">
        <f>Table110[[#This Row],[Hora]]</f>
        <v>3.2083333333333304</v>
      </c>
      <c r="D78" s="92">
        <f>Table14[[#This Row],[Fecha]]</f>
        <v>45615.208333333154</v>
      </c>
      <c r="E78" s="53" t="e">
        <f>Table110[[#This Row],[Viento m/s]]</f>
        <v>#N/A</v>
      </c>
      <c r="F78" s="96" t="e">
        <f>VLOOKUP(Table14[[#This Row],[FECHA /HORA]],TBL_CalcDarwin[],46,0)</f>
        <v>#N/A</v>
      </c>
      <c r="G78" s="53" t="e">
        <f>VLOOKUP(Table14[[#This Row],[FECHA /HORA]],TBL_CalcDarwin[],47,0)</f>
        <v>#N/A</v>
      </c>
      <c r="H78" s="95" t="e">
        <f>VLOOKUP(Table14[[#This Row],[FECHA /HORA]],TBL_CalcDarwin[],44,0)</f>
        <v>#N/A</v>
      </c>
      <c r="I78" s="95" t="e">
        <f>VLOOKUP(Table14[[#This Row],[FECHA /HORA]],TBL_CalcDarwin[],45,0)</f>
        <v>#N/A</v>
      </c>
      <c r="J78" s="53" t="e">
        <f>Table14[[#This Row],[MW Proyectada (Barra A)]]+Table14[[#This Row],[MW Proyectada (Barra B)]]</f>
        <v>#N/A</v>
      </c>
    </row>
    <row r="79" spans="2:10" x14ac:dyDescent="0.25">
      <c r="B79" s="91">
        <f>Table110[[#This Row],[Fecha]]</f>
        <v>45615.249999999818</v>
      </c>
      <c r="C79" s="52">
        <f>Table110[[#This Row],[Hora]]</f>
        <v>3.2499999999999969</v>
      </c>
      <c r="D79" s="92">
        <f>Table14[[#This Row],[Fecha]]</f>
        <v>45615.249999999818</v>
      </c>
      <c r="E79" s="53" t="e">
        <f>Table110[[#This Row],[Viento m/s]]</f>
        <v>#N/A</v>
      </c>
      <c r="F79" s="96" t="e">
        <f>VLOOKUP(Table14[[#This Row],[FECHA /HORA]],TBL_CalcDarwin[],46,0)</f>
        <v>#N/A</v>
      </c>
      <c r="G79" s="53" t="e">
        <f>VLOOKUP(Table14[[#This Row],[FECHA /HORA]],TBL_CalcDarwin[],47,0)</f>
        <v>#N/A</v>
      </c>
      <c r="H79" s="95" t="e">
        <f>VLOOKUP(Table14[[#This Row],[FECHA /HORA]],TBL_CalcDarwin[],44,0)</f>
        <v>#N/A</v>
      </c>
      <c r="I79" s="95" t="e">
        <f>VLOOKUP(Table14[[#This Row],[FECHA /HORA]],TBL_CalcDarwin[],45,0)</f>
        <v>#N/A</v>
      </c>
      <c r="J79" s="53" t="e">
        <f>Table14[[#This Row],[MW Proyectada (Barra A)]]+Table14[[#This Row],[MW Proyectada (Barra B)]]</f>
        <v>#N/A</v>
      </c>
    </row>
    <row r="80" spans="2:10" x14ac:dyDescent="0.25">
      <c r="B80" s="91">
        <f>Table110[[#This Row],[Fecha]]</f>
        <v>45615.291666666482</v>
      </c>
      <c r="C80" s="52">
        <f>Table110[[#This Row],[Hora]]</f>
        <v>3.2916666666666634</v>
      </c>
      <c r="D80" s="92">
        <f>Table14[[#This Row],[Fecha]]</f>
        <v>45615.291666666482</v>
      </c>
      <c r="E80" s="53" t="e">
        <f>Table110[[#This Row],[Viento m/s]]</f>
        <v>#N/A</v>
      </c>
      <c r="F80" s="96" t="e">
        <f>VLOOKUP(Table14[[#This Row],[FECHA /HORA]],TBL_CalcDarwin[],46,0)</f>
        <v>#N/A</v>
      </c>
      <c r="G80" s="53" t="e">
        <f>VLOOKUP(Table14[[#This Row],[FECHA /HORA]],TBL_CalcDarwin[],47,0)</f>
        <v>#N/A</v>
      </c>
      <c r="H80" s="95" t="e">
        <f>VLOOKUP(Table14[[#This Row],[FECHA /HORA]],TBL_CalcDarwin[],44,0)</f>
        <v>#N/A</v>
      </c>
      <c r="I80" s="95" t="e">
        <f>VLOOKUP(Table14[[#This Row],[FECHA /HORA]],TBL_CalcDarwin[],45,0)</f>
        <v>#N/A</v>
      </c>
      <c r="J80" s="53" t="e">
        <f>Table14[[#This Row],[MW Proyectada (Barra A)]]+Table14[[#This Row],[MW Proyectada (Barra B)]]</f>
        <v>#N/A</v>
      </c>
    </row>
    <row r="81" spans="2:10" x14ac:dyDescent="0.25">
      <c r="B81" s="91">
        <f>Table110[[#This Row],[Fecha]]</f>
        <v>45615.333333333147</v>
      </c>
      <c r="C81" s="52">
        <f>Table110[[#This Row],[Hora]]</f>
        <v>3.3333333333333299</v>
      </c>
      <c r="D81" s="92">
        <f>Table14[[#This Row],[Fecha]]</f>
        <v>45615.333333333147</v>
      </c>
      <c r="E81" s="53" t="e">
        <f>Table110[[#This Row],[Viento m/s]]</f>
        <v>#N/A</v>
      </c>
      <c r="F81" s="96" t="e">
        <f>VLOOKUP(Table14[[#This Row],[FECHA /HORA]],TBL_CalcDarwin[],46,0)</f>
        <v>#N/A</v>
      </c>
      <c r="G81" s="53" t="e">
        <f>VLOOKUP(Table14[[#This Row],[FECHA /HORA]],TBL_CalcDarwin[],47,0)</f>
        <v>#N/A</v>
      </c>
      <c r="H81" s="95" t="e">
        <f>VLOOKUP(Table14[[#This Row],[FECHA /HORA]],TBL_CalcDarwin[],44,0)</f>
        <v>#N/A</v>
      </c>
      <c r="I81" s="95" t="e">
        <f>VLOOKUP(Table14[[#This Row],[FECHA /HORA]],TBL_CalcDarwin[],45,0)</f>
        <v>#N/A</v>
      </c>
      <c r="J81" s="53" t="e">
        <f>Table14[[#This Row],[MW Proyectada (Barra A)]]+Table14[[#This Row],[MW Proyectada (Barra B)]]</f>
        <v>#N/A</v>
      </c>
    </row>
    <row r="82" spans="2:10" x14ac:dyDescent="0.25">
      <c r="B82" s="91">
        <f>Table110[[#This Row],[Fecha]]</f>
        <v>45615.374999999811</v>
      </c>
      <c r="C82" s="52">
        <f>Table110[[#This Row],[Hora]]</f>
        <v>3.3749999999999964</v>
      </c>
      <c r="D82" s="92">
        <f>Table14[[#This Row],[Fecha]]</f>
        <v>45615.374999999811</v>
      </c>
      <c r="E82" s="53" t="e">
        <f>Table110[[#This Row],[Viento m/s]]</f>
        <v>#N/A</v>
      </c>
      <c r="F82" s="96" t="e">
        <f>VLOOKUP(Table14[[#This Row],[FECHA /HORA]],TBL_CalcDarwin[],46,0)</f>
        <v>#N/A</v>
      </c>
      <c r="G82" s="53" t="e">
        <f>VLOOKUP(Table14[[#This Row],[FECHA /HORA]],TBL_CalcDarwin[],47,0)</f>
        <v>#N/A</v>
      </c>
      <c r="H82" s="95" t="e">
        <f>VLOOKUP(Table14[[#This Row],[FECHA /HORA]],TBL_CalcDarwin[],44,0)</f>
        <v>#N/A</v>
      </c>
      <c r="I82" s="95" t="e">
        <f>VLOOKUP(Table14[[#This Row],[FECHA /HORA]],TBL_CalcDarwin[],45,0)</f>
        <v>#N/A</v>
      </c>
      <c r="J82" s="53" t="e">
        <f>Table14[[#This Row],[MW Proyectada (Barra A)]]+Table14[[#This Row],[MW Proyectada (Barra B)]]</f>
        <v>#N/A</v>
      </c>
    </row>
    <row r="83" spans="2:10" x14ac:dyDescent="0.25">
      <c r="B83" s="91">
        <f>Table110[[#This Row],[Fecha]]</f>
        <v>45615.416666666475</v>
      </c>
      <c r="C83" s="52">
        <f>Table110[[#This Row],[Hora]]</f>
        <v>3.416666666666663</v>
      </c>
      <c r="D83" s="92">
        <f>Table14[[#This Row],[Fecha]]</f>
        <v>45615.416666666475</v>
      </c>
      <c r="E83" s="53" t="e">
        <f>Table110[[#This Row],[Viento m/s]]</f>
        <v>#N/A</v>
      </c>
      <c r="F83" s="96" t="e">
        <f>VLOOKUP(Table14[[#This Row],[FECHA /HORA]],TBL_CalcDarwin[],46,0)</f>
        <v>#N/A</v>
      </c>
      <c r="G83" s="53" t="e">
        <f>VLOOKUP(Table14[[#This Row],[FECHA /HORA]],TBL_CalcDarwin[],47,0)</f>
        <v>#N/A</v>
      </c>
      <c r="H83" s="95" t="e">
        <f>VLOOKUP(Table14[[#This Row],[FECHA /HORA]],TBL_CalcDarwin[],44,0)</f>
        <v>#N/A</v>
      </c>
      <c r="I83" s="95" t="e">
        <f>VLOOKUP(Table14[[#This Row],[FECHA /HORA]],TBL_CalcDarwin[],45,0)</f>
        <v>#N/A</v>
      </c>
      <c r="J83" s="53" t="e">
        <f>Table14[[#This Row],[MW Proyectada (Barra A)]]+Table14[[#This Row],[MW Proyectada (Barra B)]]</f>
        <v>#N/A</v>
      </c>
    </row>
    <row r="84" spans="2:10" x14ac:dyDescent="0.25">
      <c r="B84" s="91">
        <f>Table110[[#This Row],[Fecha]]</f>
        <v>45615.458333333139</v>
      </c>
      <c r="C84" s="52">
        <f>Table110[[#This Row],[Hora]]</f>
        <v>3.4583333333333295</v>
      </c>
      <c r="D84" s="92">
        <f>Table14[[#This Row],[Fecha]]</f>
        <v>45615.458333333139</v>
      </c>
      <c r="E84" s="53" t="e">
        <f>Table110[[#This Row],[Viento m/s]]</f>
        <v>#N/A</v>
      </c>
      <c r="F84" s="96" t="e">
        <f>VLOOKUP(Table14[[#This Row],[FECHA /HORA]],TBL_CalcDarwin[],46,0)</f>
        <v>#N/A</v>
      </c>
      <c r="G84" s="53" t="e">
        <f>VLOOKUP(Table14[[#This Row],[FECHA /HORA]],TBL_CalcDarwin[],47,0)</f>
        <v>#N/A</v>
      </c>
      <c r="H84" s="95" t="e">
        <f>VLOOKUP(Table14[[#This Row],[FECHA /HORA]],TBL_CalcDarwin[],44,0)</f>
        <v>#N/A</v>
      </c>
      <c r="I84" s="95" t="e">
        <f>VLOOKUP(Table14[[#This Row],[FECHA /HORA]],TBL_CalcDarwin[],45,0)</f>
        <v>#N/A</v>
      </c>
      <c r="J84" s="53" t="e">
        <f>Table14[[#This Row],[MW Proyectada (Barra A)]]+Table14[[#This Row],[MW Proyectada (Barra B)]]</f>
        <v>#N/A</v>
      </c>
    </row>
    <row r="85" spans="2:10" x14ac:dyDescent="0.25">
      <c r="B85" s="91">
        <f>Table110[[#This Row],[Fecha]]</f>
        <v>45615.499999999804</v>
      </c>
      <c r="C85" s="52">
        <f>Table110[[#This Row],[Hora]]</f>
        <v>3.499999999999996</v>
      </c>
      <c r="D85" s="92">
        <f>Table14[[#This Row],[Fecha]]</f>
        <v>45615.499999999804</v>
      </c>
      <c r="E85" s="53" t="e">
        <f>Table110[[#This Row],[Viento m/s]]</f>
        <v>#N/A</v>
      </c>
      <c r="F85" s="96" t="e">
        <f>VLOOKUP(Table14[[#This Row],[FECHA /HORA]],TBL_CalcDarwin[],46,0)</f>
        <v>#N/A</v>
      </c>
      <c r="G85" s="53" t="e">
        <f>VLOOKUP(Table14[[#This Row],[FECHA /HORA]],TBL_CalcDarwin[],47,0)</f>
        <v>#N/A</v>
      </c>
      <c r="H85" s="95" t="e">
        <f>VLOOKUP(Table14[[#This Row],[FECHA /HORA]],TBL_CalcDarwin[],44,0)</f>
        <v>#N/A</v>
      </c>
      <c r="I85" s="95" t="e">
        <f>VLOOKUP(Table14[[#This Row],[FECHA /HORA]],TBL_CalcDarwin[],45,0)</f>
        <v>#N/A</v>
      </c>
      <c r="J85" s="53" t="e">
        <f>Table14[[#This Row],[MW Proyectada (Barra A)]]+Table14[[#This Row],[MW Proyectada (Barra B)]]</f>
        <v>#N/A</v>
      </c>
    </row>
    <row r="86" spans="2:10" x14ac:dyDescent="0.25">
      <c r="B86" s="91">
        <f>Table110[[#This Row],[Fecha]]</f>
        <v>45615.541666666468</v>
      </c>
      <c r="C86" s="52">
        <f>Table110[[#This Row],[Hora]]</f>
        <v>3.5416666666666625</v>
      </c>
      <c r="D86" s="92">
        <f>Table14[[#This Row],[Fecha]]</f>
        <v>45615.541666666468</v>
      </c>
      <c r="E86" s="53" t="e">
        <f>Table110[[#This Row],[Viento m/s]]</f>
        <v>#N/A</v>
      </c>
      <c r="F86" s="96" t="e">
        <f>VLOOKUP(Table14[[#This Row],[FECHA /HORA]],TBL_CalcDarwin[],46,0)</f>
        <v>#N/A</v>
      </c>
      <c r="G86" s="53" t="e">
        <f>VLOOKUP(Table14[[#This Row],[FECHA /HORA]],TBL_CalcDarwin[],47,0)</f>
        <v>#N/A</v>
      </c>
      <c r="H86" s="95" t="e">
        <f>VLOOKUP(Table14[[#This Row],[FECHA /HORA]],TBL_CalcDarwin[],44,0)</f>
        <v>#N/A</v>
      </c>
      <c r="I86" s="95" t="e">
        <f>VLOOKUP(Table14[[#This Row],[FECHA /HORA]],TBL_CalcDarwin[],45,0)</f>
        <v>#N/A</v>
      </c>
      <c r="J86" s="53" t="e">
        <f>Table14[[#This Row],[MW Proyectada (Barra A)]]+Table14[[#This Row],[MW Proyectada (Barra B)]]</f>
        <v>#N/A</v>
      </c>
    </row>
    <row r="87" spans="2:10" x14ac:dyDescent="0.25">
      <c r="B87" s="91">
        <f>Table110[[#This Row],[Fecha]]</f>
        <v>45615.583333333132</v>
      </c>
      <c r="C87" s="52">
        <f>Table110[[#This Row],[Hora]]</f>
        <v>3.583333333333329</v>
      </c>
      <c r="D87" s="92">
        <f>Table14[[#This Row],[Fecha]]</f>
        <v>45615.583333333132</v>
      </c>
      <c r="E87" s="53" t="e">
        <f>Table110[[#This Row],[Viento m/s]]</f>
        <v>#N/A</v>
      </c>
      <c r="F87" s="96" t="e">
        <f>VLOOKUP(Table14[[#This Row],[FECHA /HORA]],TBL_CalcDarwin[],46,0)</f>
        <v>#N/A</v>
      </c>
      <c r="G87" s="53" t="e">
        <f>VLOOKUP(Table14[[#This Row],[FECHA /HORA]],TBL_CalcDarwin[],47,0)</f>
        <v>#N/A</v>
      </c>
      <c r="H87" s="95" t="e">
        <f>VLOOKUP(Table14[[#This Row],[FECHA /HORA]],TBL_CalcDarwin[],44,0)</f>
        <v>#N/A</v>
      </c>
      <c r="I87" s="95" t="e">
        <f>VLOOKUP(Table14[[#This Row],[FECHA /HORA]],TBL_CalcDarwin[],45,0)</f>
        <v>#N/A</v>
      </c>
      <c r="J87" s="53" t="e">
        <f>Table14[[#This Row],[MW Proyectada (Barra A)]]+Table14[[#This Row],[MW Proyectada (Barra B)]]</f>
        <v>#N/A</v>
      </c>
    </row>
    <row r="88" spans="2:10" x14ac:dyDescent="0.25">
      <c r="B88" s="91">
        <f>Table110[[#This Row],[Fecha]]</f>
        <v>45615.624999999796</v>
      </c>
      <c r="C88" s="52">
        <f>Table110[[#This Row],[Hora]]</f>
        <v>3.6249999999999956</v>
      </c>
      <c r="D88" s="92">
        <f>Table14[[#This Row],[Fecha]]</f>
        <v>45615.624999999796</v>
      </c>
      <c r="E88" s="53" t="e">
        <f>Table110[[#This Row],[Viento m/s]]</f>
        <v>#N/A</v>
      </c>
      <c r="F88" s="96" t="e">
        <f>VLOOKUP(Table14[[#This Row],[FECHA /HORA]],TBL_CalcDarwin[],46,0)</f>
        <v>#N/A</v>
      </c>
      <c r="G88" s="53" t="e">
        <f>VLOOKUP(Table14[[#This Row],[FECHA /HORA]],TBL_CalcDarwin[],47,0)</f>
        <v>#N/A</v>
      </c>
      <c r="H88" s="95" t="e">
        <f>VLOOKUP(Table14[[#This Row],[FECHA /HORA]],TBL_CalcDarwin[],44,0)</f>
        <v>#N/A</v>
      </c>
      <c r="I88" s="95" t="e">
        <f>VLOOKUP(Table14[[#This Row],[FECHA /HORA]],TBL_CalcDarwin[],45,0)</f>
        <v>#N/A</v>
      </c>
      <c r="J88" s="53" t="e">
        <f>Table14[[#This Row],[MW Proyectada (Barra A)]]+Table14[[#This Row],[MW Proyectada (Barra B)]]</f>
        <v>#N/A</v>
      </c>
    </row>
    <row r="89" spans="2:10" x14ac:dyDescent="0.25">
      <c r="B89" s="91">
        <f>Table110[[#This Row],[Fecha]]</f>
        <v>45615.666666666461</v>
      </c>
      <c r="C89" s="52">
        <f>Table110[[#This Row],[Hora]]</f>
        <v>3.6666666666666621</v>
      </c>
      <c r="D89" s="92">
        <f>Table14[[#This Row],[Fecha]]</f>
        <v>45615.666666666461</v>
      </c>
      <c r="E89" s="53" t="e">
        <f>Table110[[#This Row],[Viento m/s]]</f>
        <v>#N/A</v>
      </c>
      <c r="F89" s="96" t="e">
        <f>VLOOKUP(Table14[[#This Row],[FECHA /HORA]],TBL_CalcDarwin[],46,0)</f>
        <v>#N/A</v>
      </c>
      <c r="G89" s="53" t="e">
        <f>VLOOKUP(Table14[[#This Row],[FECHA /HORA]],TBL_CalcDarwin[],47,0)</f>
        <v>#N/A</v>
      </c>
      <c r="H89" s="95" t="e">
        <f>VLOOKUP(Table14[[#This Row],[FECHA /HORA]],TBL_CalcDarwin[],44,0)</f>
        <v>#N/A</v>
      </c>
      <c r="I89" s="95" t="e">
        <f>VLOOKUP(Table14[[#This Row],[FECHA /HORA]],TBL_CalcDarwin[],45,0)</f>
        <v>#N/A</v>
      </c>
      <c r="J89" s="53" t="e">
        <f>Table14[[#This Row],[MW Proyectada (Barra A)]]+Table14[[#This Row],[MW Proyectada (Barra B)]]</f>
        <v>#N/A</v>
      </c>
    </row>
    <row r="90" spans="2:10" x14ac:dyDescent="0.25">
      <c r="B90" s="91">
        <f>Table110[[#This Row],[Fecha]]</f>
        <v>45615.708333333125</v>
      </c>
      <c r="C90" s="52">
        <f>Table110[[#This Row],[Hora]]</f>
        <v>3.7083333333333286</v>
      </c>
      <c r="D90" s="92">
        <f>Table14[[#This Row],[Fecha]]</f>
        <v>45615.708333333125</v>
      </c>
      <c r="E90" s="53" t="e">
        <f>Table110[[#This Row],[Viento m/s]]</f>
        <v>#N/A</v>
      </c>
      <c r="F90" s="96" t="e">
        <f>VLOOKUP(Table14[[#This Row],[FECHA /HORA]],TBL_CalcDarwin[],46,0)</f>
        <v>#N/A</v>
      </c>
      <c r="G90" s="53" t="e">
        <f>VLOOKUP(Table14[[#This Row],[FECHA /HORA]],TBL_CalcDarwin[],47,0)</f>
        <v>#N/A</v>
      </c>
      <c r="H90" s="95" t="e">
        <f>VLOOKUP(Table14[[#This Row],[FECHA /HORA]],TBL_CalcDarwin[],44,0)</f>
        <v>#N/A</v>
      </c>
      <c r="I90" s="95" t="e">
        <f>VLOOKUP(Table14[[#This Row],[FECHA /HORA]],TBL_CalcDarwin[],45,0)</f>
        <v>#N/A</v>
      </c>
      <c r="J90" s="53" t="e">
        <f>Table14[[#This Row],[MW Proyectada (Barra A)]]+Table14[[#This Row],[MW Proyectada (Barra B)]]</f>
        <v>#N/A</v>
      </c>
    </row>
    <row r="91" spans="2:10" x14ac:dyDescent="0.25">
      <c r="B91" s="91">
        <f>Table110[[#This Row],[Fecha]]</f>
        <v>45615.749999999789</v>
      </c>
      <c r="C91" s="52">
        <f>Table110[[#This Row],[Hora]]</f>
        <v>3.7499999999999951</v>
      </c>
      <c r="D91" s="92">
        <f>Table14[[#This Row],[Fecha]]</f>
        <v>45615.749999999789</v>
      </c>
      <c r="E91" s="53" t="e">
        <f>Table110[[#This Row],[Viento m/s]]</f>
        <v>#N/A</v>
      </c>
      <c r="F91" s="96" t="e">
        <f>VLOOKUP(Table14[[#This Row],[FECHA /HORA]],TBL_CalcDarwin[],46,0)</f>
        <v>#N/A</v>
      </c>
      <c r="G91" s="53" t="e">
        <f>VLOOKUP(Table14[[#This Row],[FECHA /HORA]],TBL_CalcDarwin[],47,0)</f>
        <v>#N/A</v>
      </c>
      <c r="H91" s="95" t="e">
        <f>VLOOKUP(Table14[[#This Row],[FECHA /HORA]],TBL_CalcDarwin[],44,0)</f>
        <v>#N/A</v>
      </c>
      <c r="I91" s="95" t="e">
        <f>VLOOKUP(Table14[[#This Row],[FECHA /HORA]],TBL_CalcDarwin[],45,0)</f>
        <v>#N/A</v>
      </c>
      <c r="J91" s="53" t="e">
        <f>Table14[[#This Row],[MW Proyectada (Barra A)]]+Table14[[#This Row],[MW Proyectada (Barra B)]]</f>
        <v>#N/A</v>
      </c>
    </row>
    <row r="92" spans="2:10" x14ac:dyDescent="0.25">
      <c r="B92" s="91">
        <f>Table110[[#This Row],[Fecha]]</f>
        <v>45615.791666666453</v>
      </c>
      <c r="C92" s="52">
        <f>Table110[[#This Row],[Hora]]</f>
        <v>3.7916666666666616</v>
      </c>
      <c r="D92" s="92">
        <f>Table14[[#This Row],[Fecha]]</f>
        <v>45615.791666666453</v>
      </c>
      <c r="E92" s="53" t="e">
        <f>Table110[[#This Row],[Viento m/s]]</f>
        <v>#N/A</v>
      </c>
      <c r="F92" s="96" t="e">
        <f>VLOOKUP(Table14[[#This Row],[FECHA /HORA]],TBL_CalcDarwin[],46,0)</f>
        <v>#N/A</v>
      </c>
      <c r="G92" s="53" t="e">
        <f>VLOOKUP(Table14[[#This Row],[FECHA /HORA]],TBL_CalcDarwin[],47,0)</f>
        <v>#N/A</v>
      </c>
      <c r="H92" s="95" t="e">
        <f>VLOOKUP(Table14[[#This Row],[FECHA /HORA]],TBL_CalcDarwin[],44,0)</f>
        <v>#N/A</v>
      </c>
      <c r="I92" s="95" t="e">
        <f>VLOOKUP(Table14[[#This Row],[FECHA /HORA]],TBL_CalcDarwin[],45,0)</f>
        <v>#N/A</v>
      </c>
      <c r="J92" s="53" t="e">
        <f>Table14[[#This Row],[MW Proyectada (Barra A)]]+Table14[[#This Row],[MW Proyectada (Barra B)]]</f>
        <v>#N/A</v>
      </c>
    </row>
    <row r="93" spans="2:10" x14ac:dyDescent="0.25">
      <c r="B93" s="91">
        <f>Table110[[#This Row],[Fecha]]</f>
        <v>45615.833333333117</v>
      </c>
      <c r="C93" s="52">
        <f>Table110[[#This Row],[Hora]]</f>
        <v>3.8333333333333282</v>
      </c>
      <c r="D93" s="92">
        <f>Table14[[#This Row],[Fecha]]</f>
        <v>45615.833333333117</v>
      </c>
      <c r="E93" s="53" t="e">
        <f>Table110[[#This Row],[Viento m/s]]</f>
        <v>#N/A</v>
      </c>
      <c r="F93" s="96" t="e">
        <f>VLOOKUP(Table14[[#This Row],[FECHA /HORA]],TBL_CalcDarwin[],46,0)</f>
        <v>#N/A</v>
      </c>
      <c r="G93" s="53" t="e">
        <f>VLOOKUP(Table14[[#This Row],[FECHA /HORA]],TBL_CalcDarwin[],47,0)</f>
        <v>#N/A</v>
      </c>
      <c r="H93" s="95" t="e">
        <f>VLOOKUP(Table14[[#This Row],[FECHA /HORA]],TBL_CalcDarwin[],44,0)</f>
        <v>#N/A</v>
      </c>
      <c r="I93" s="95" t="e">
        <f>VLOOKUP(Table14[[#This Row],[FECHA /HORA]],TBL_CalcDarwin[],45,0)</f>
        <v>#N/A</v>
      </c>
      <c r="J93" s="53" t="e">
        <f>Table14[[#This Row],[MW Proyectada (Barra A)]]+Table14[[#This Row],[MW Proyectada (Barra B)]]</f>
        <v>#N/A</v>
      </c>
    </row>
    <row r="94" spans="2:10" x14ac:dyDescent="0.25">
      <c r="B94" s="91">
        <f>Table110[[#This Row],[Fecha]]</f>
        <v>45615.874999999782</v>
      </c>
      <c r="C94" s="52">
        <f>Table110[[#This Row],[Hora]]</f>
        <v>3.8749999999999947</v>
      </c>
      <c r="D94" s="92">
        <f>Table14[[#This Row],[Fecha]]</f>
        <v>45615.874999999782</v>
      </c>
      <c r="E94" s="53" t="e">
        <f>Table110[[#This Row],[Viento m/s]]</f>
        <v>#N/A</v>
      </c>
      <c r="F94" s="96" t="e">
        <f>VLOOKUP(Table14[[#This Row],[FECHA /HORA]],TBL_CalcDarwin[],46,0)</f>
        <v>#N/A</v>
      </c>
      <c r="G94" s="53" t="e">
        <f>VLOOKUP(Table14[[#This Row],[FECHA /HORA]],TBL_CalcDarwin[],47,0)</f>
        <v>#N/A</v>
      </c>
      <c r="H94" s="95" t="e">
        <f>VLOOKUP(Table14[[#This Row],[FECHA /HORA]],TBL_CalcDarwin[],44,0)</f>
        <v>#N/A</v>
      </c>
      <c r="I94" s="95" t="e">
        <f>VLOOKUP(Table14[[#This Row],[FECHA /HORA]],TBL_CalcDarwin[],45,0)</f>
        <v>#N/A</v>
      </c>
      <c r="J94" s="53" t="e">
        <f>Table14[[#This Row],[MW Proyectada (Barra A)]]+Table14[[#This Row],[MW Proyectada (Barra B)]]</f>
        <v>#N/A</v>
      </c>
    </row>
    <row r="95" spans="2:10" x14ac:dyDescent="0.25">
      <c r="B95" s="91">
        <f>Table110[[#This Row],[Fecha]]</f>
        <v>45615.916666666446</v>
      </c>
      <c r="C95" s="52">
        <f>Table110[[#This Row],[Hora]]</f>
        <v>3.9166666666666612</v>
      </c>
      <c r="D95" s="92">
        <f>Table14[[#This Row],[Fecha]]</f>
        <v>45615.916666666446</v>
      </c>
      <c r="E95" s="53" t="e">
        <f>Table110[[#This Row],[Viento m/s]]</f>
        <v>#N/A</v>
      </c>
      <c r="F95" s="96" t="e">
        <f>VLOOKUP(Table14[[#This Row],[FECHA /HORA]],TBL_CalcDarwin[],46,0)</f>
        <v>#N/A</v>
      </c>
      <c r="G95" s="53" t="e">
        <f>VLOOKUP(Table14[[#This Row],[FECHA /HORA]],TBL_CalcDarwin[],47,0)</f>
        <v>#N/A</v>
      </c>
      <c r="H95" s="95" t="e">
        <f>VLOOKUP(Table14[[#This Row],[FECHA /HORA]],TBL_CalcDarwin[],44,0)</f>
        <v>#N/A</v>
      </c>
      <c r="I95" s="95" t="e">
        <f>VLOOKUP(Table14[[#This Row],[FECHA /HORA]],TBL_CalcDarwin[],45,0)</f>
        <v>#N/A</v>
      </c>
      <c r="J95" s="53" t="e">
        <f>Table14[[#This Row],[MW Proyectada (Barra A)]]+Table14[[#This Row],[MW Proyectada (Barra B)]]</f>
        <v>#N/A</v>
      </c>
    </row>
    <row r="96" spans="2:10" x14ac:dyDescent="0.25">
      <c r="B96" s="91">
        <f>Table110[[#This Row],[Fecha]]</f>
        <v>45615.95833333311</v>
      </c>
      <c r="C96" s="52">
        <f>Table110[[#This Row],[Hora]]</f>
        <v>3.9583333333333277</v>
      </c>
      <c r="D96" s="92">
        <f>Table14[[#This Row],[Fecha]]</f>
        <v>45615.95833333311</v>
      </c>
      <c r="E96" s="53" t="e">
        <f>Table110[[#This Row],[Viento m/s]]</f>
        <v>#N/A</v>
      </c>
      <c r="F96" s="96" t="e">
        <f>VLOOKUP(Table14[[#This Row],[FECHA /HORA]],TBL_CalcDarwin[],46,0)</f>
        <v>#N/A</v>
      </c>
      <c r="G96" s="53" t="e">
        <f>VLOOKUP(Table14[[#This Row],[FECHA /HORA]],TBL_CalcDarwin[],47,0)</f>
        <v>#N/A</v>
      </c>
      <c r="H96" s="95" t="e">
        <f>VLOOKUP(Table14[[#This Row],[FECHA /HORA]],TBL_CalcDarwin[],44,0)</f>
        <v>#N/A</v>
      </c>
      <c r="I96" s="95" t="e">
        <f>VLOOKUP(Table14[[#This Row],[FECHA /HORA]],TBL_CalcDarwin[],45,0)</f>
        <v>#N/A</v>
      </c>
      <c r="J96" s="53" t="e">
        <f>Table14[[#This Row],[MW Proyectada (Barra A)]]+Table14[[#This Row],[MW Proyectada (Barra B)]]</f>
        <v>#N/A</v>
      </c>
    </row>
    <row r="97" spans="2:10" x14ac:dyDescent="0.25">
      <c r="B97" s="91">
        <f>Table110[[#This Row],[Fecha]]</f>
        <v>45615.999999999774</v>
      </c>
      <c r="C97" s="52">
        <f>Table110[[#This Row],[Hora]]</f>
        <v>3.9999999999999942</v>
      </c>
      <c r="D97" s="92">
        <f>Table14[[#This Row],[Fecha]]</f>
        <v>45615.999999999774</v>
      </c>
      <c r="E97" s="53" t="e">
        <f>Table110[[#This Row],[Viento m/s]]</f>
        <v>#N/A</v>
      </c>
      <c r="F97" s="96" t="e">
        <f>VLOOKUP(Table14[[#This Row],[FECHA /HORA]],TBL_CalcDarwin[],46,0)</f>
        <v>#N/A</v>
      </c>
      <c r="G97" s="53" t="e">
        <f>VLOOKUP(Table14[[#This Row],[FECHA /HORA]],TBL_CalcDarwin[],47,0)</f>
        <v>#N/A</v>
      </c>
      <c r="H97" s="95" t="e">
        <f>VLOOKUP(Table14[[#This Row],[FECHA /HORA]],TBL_CalcDarwin[],44,0)</f>
        <v>#N/A</v>
      </c>
      <c r="I97" s="95" t="e">
        <f>VLOOKUP(Table14[[#This Row],[FECHA /HORA]],TBL_CalcDarwin[],45,0)</f>
        <v>#N/A</v>
      </c>
      <c r="J97" s="53" t="e">
        <f>Table14[[#This Row],[MW Proyectada (Barra A)]]+Table14[[#This Row],[MW Proyectada (Barra B)]]</f>
        <v>#N/A</v>
      </c>
    </row>
    <row r="98" spans="2:10" x14ac:dyDescent="0.25">
      <c r="B98" s="91">
        <f>Table110[[#This Row],[Fecha]]</f>
        <v>45616.041666666439</v>
      </c>
      <c r="C98" s="52">
        <f>Table110[[#This Row],[Hora]]</f>
        <v>4.0416666666666607</v>
      </c>
      <c r="D98" s="92">
        <f>Table14[[#This Row],[Fecha]]</f>
        <v>45616.041666666439</v>
      </c>
      <c r="E98" s="53" t="e">
        <f>Table110[[#This Row],[Viento m/s]]</f>
        <v>#N/A</v>
      </c>
      <c r="F98" s="97" t="e">
        <f>VLOOKUP(Table14[[#This Row],[FECHA /HORA]],TBL_CalcDarwin[],46,0)</f>
        <v>#N/A</v>
      </c>
      <c r="G98" s="53" t="e">
        <f>VLOOKUP(Table14[[#This Row],[FECHA /HORA]],TBL_CalcDarwin[],47,0)</f>
        <v>#N/A</v>
      </c>
      <c r="H98" s="95" t="e">
        <f>VLOOKUP(Table14[[#This Row],[FECHA /HORA]],TBL_CalcDarwin[],44,0)</f>
        <v>#N/A</v>
      </c>
      <c r="I98" s="95" t="e">
        <f>VLOOKUP(Table14[[#This Row],[FECHA /HORA]],TBL_CalcDarwin[],45,0)</f>
        <v>#N/A</v>
      </c>
      <c r="J98" s="53" t="e">
        <f>Table14[[#This Row],[MW Proyectada (Barra A)]]+Table14[[#This Row],[MW Proyectada (Barra B)]]</f>
        <v>#N/A</v>
      </c>
    </row>
    <row r="99" spans="2:10" x14ac:dyDescent="0.25">
      <c r="B99" s="91">
        <f>Table110[[#This Row],[Fecha]]</f>
        <v>45616.083333333103</v>
      </c>
      <c r="C99" s="52">
        <f>Table110[[#This Row],[Hora]]</f>
        <v>4.0833333333333277</v>
      </c>
      <c r="D99" s="92">
        <f>Table14[[#This Row],[Fecha]]</f>
        <v>45616.083333333103</v>
      </c>
      <c r="E99" s="53" t="e">
        <f>Table110[[#This Row],[Viento m/s]]</f>
        <v>#N/A</v>
      </c>
      <c r="F99" s="96" t="e">
        <f>VLOOKUP(Table14[[#This Row],[FECHA /HORA]],TBL_CalcDarwin[],46,0)</f>
        <v>#N/A</v>
      </c>
      <c r="G99" s="53" t="e">
        <f>VLOOKUP(Table14[[#This Row],[FECHA /HORA]],TBL_CalcDarwin[],47,0)</f>
        <v>#N/A</v>
      </c>
      <c r="H99" s="95" t="e">
        <f>VLOOKUP(Table14[[#This Row],[FECHA /HORA]],TBL_CalcDarwin[],44,0)</f>
        <v>#N/A</v>
      </c>
      <c r="I99" s="95" t="e">
        <f>VLOOKUP(Table14[[#This Row],[FECHA /HORA]],TBL_CalcDarwin[],45,0)</f>
        <v>#N/A</v>
      </c>
      <c r="J99" s="53" t="e">
        <f>Table14[[#This Row],[MW Proyectada (Barra A)]]+Table14[[#This Row],[MW Proyectada (Barra B)]]</f>
        <v>#N/A</v>
      </c>
    </row>
    <row r="100" spans="2:10" x14ac:dyDescent="0.25">
      <c r="B100" s="91">
        <f>Table110[[#This Row],[Fecha]]</f>
        <v>45616.124999999767</v>
      </c>
      <c r="C100" s="52">
        <f>Table110[[#This Row],[Hora]]</f>
        <v>4.1249999999999947</v>
      </c>
      <c r="D100" s="92">
        <f>Table14[[#This Row],[Fecha]]</f>
        <v>45616.124999999767</v>
      </c>
      <c r="E100" s="53" t="e">
        <f>Table110[[#This Row],[Viento m/s]]</f>
        <v>#N/A</v>
      </c>
      <c r="F100" s="96" t="e">
        <f>VLOOKUP(Table14[[#This Row],[FECHA /HORA]],TBL_CalcDarwin[],46,0)</f>
        <v>#N/A</v>
      </c>
      <c r="G100" s="53" t="e">
        <f>VLOOKUP(Table14[[#This Row],[FECHA /HORA]],TBL_CalcDarwin[],47,0)</f>
        <v>#N/A</v>
      </c>
      <c r="H100" s="95" t="e">
        <f>VLOOKUP(Table14[[#This Row],[FECHA /HORA]],TBL_CalcDarwin[],44,0)</f>
        <v>#N/A</v>
      </c>
      <c r="I100" s="95" t="e">
        <f>VLOOKUP(Table14[[#This Row],[FECHA /HORA]],TBL_CalcDarwin[],45,0)</f>
        <v>#N/A</v>
      </c>
      <c r="J100" s="53" t="e">
        <f>Table14[[#This Row],[MW Proyectada (Barra A)]]+Table14[[#This Row],[MW Proyectada (Barra B)]]</f>
        <v>#N/A</v>
      </c>
    </row>
    <row r="101" spans="2:10" x14ac:dyDescent="0.25">
      <c r="B101" s="91">
        <f>Table110[[#This Row],[Fecha]]</f>
        <v>45616.166666666431</v>
      </c>
      <c r="C101" s="52">
        <f>Table110[[#This Row],[Hora]]</f>
        <v>4.1666666666666616</v>
      </c>
      <c r="D101" s="92">
        <f>Table14[[#This Row],[Fecha]]</f>
        <v>45616.166666666431</v>
      </c>
      <c r="E101" s="53" t="e">
        <f>Table110[[#This Row],[Viento m/s]]</f>
        <v>#N/A</v>
      </c>
      <c r="F101" s="96" t="e">
        <f>VLOOKUP(Table14[[#This Row],[FECHA /HORA]],TBL_CalcDarwin[],46,0)</f>
        <v>#N/A</v>
      </c>
      <c r="G101" s="53" t="e">
        <f>VLOOKUP(Table14[[#This Row],[FECHA /HORA]],TBL_CalcDarwin[],47,0)</f>
        <v>#N/A</v>
      </c>
      <c r="H101" s="95" t="e">
        <f>VLOOKUP(Table14[[#This Row],[FECHA /HORA]],TBL_CalcDarwin[],44,0)</f>
        <v>#N/A</v>
      </c>
      <c r="I101" s="95" t="e">
        <f>VLOOKUP(Table14[[#This Row],[FECHA /HORA]],TBL_CalcDarwin[],45,0)</f>
        <v>#N/A</v>
      </c>
      <c r="J101" s="53" t="e">
        <f>Table14[[#This Row],[MW Proyectada (Barra A)]]+Table14[[#This Row],[MW Proyectada (Barra B)]]</f>
        <v>#N/A</v>
      </c>
    </row>
    <row r="102" spans="2:10" x14ac:dyDescent="0.25">
      <c r="B102" s="91">
        <f>Table110[[#This Row],[Fecha]]</f>
        <v>45616.208333333096</v>
      </c>
      <c r="C102" s="52">
        <f>Table110[[#This Row],[Hora]]</f>
        <v>4.2083333333333286</v>
      </c>
      <c r="D102" s="92">
        <f>Table14[[#This Row],[Fecha]]</f>
        <v>45616.208333333096</v>
      </c>
      <c r="E102" s="53" t="e">
        <f>Table110[[#This Row],[Viento m/s]]</f>
        <v>#N/A</v>
      </c>
      <c r="F102" s="96" t="e">
        <f>VLOOKUP(Table14[[#This Row],[FECHA /HORA]],TBL_CalcDarwin[],46,0)</f>
        <v>#N/A</v>
      </c>
      <c r="G102" s="53" t="e">
        <f>VLOOKUP(Table14[[#This Row],[FECHA /HORA]],TBL_CalcDarwin[],47,0)</f>
        <v>#N/A</v>
      </c>
      <c r="H102" s="95" t="e">
        <f>VLOOKUP(Table14[[#This Row],[FECHA /HORA]],TBL_CalcDarwin[],44,0)</f>
        <v>#N/A</v>
      </c>
      <c r="I102" s="95" t="e">
        <f>VLOOKUP(Table14[[#This Row],[FECHA /HORA]],TBL_CalcDarwin[],45,0)</f>
        <v>#N/A</v>
      </c>
      <c r="J102" s="53" t="e">
        <f>Table14[[#This Row],[MW Proyectada (Barra A)]]+Table14[[#This Row],[MW Proyectada (Barra B)]]</f>
        <v>#N/A</v>
      </c>
    </row>
    <row r="103" spans="2:10" x14ac:dyDescent="0.25">
      <c r="B103" s="91">
        <f>Table110[[#This Row],[Fecha]]</f>
        <v>45616.24999999976</v>
      </c>
      <c r="C103" s="52">
        <f>Table110[[#This Row],[Hora]]</f>
        <v>4.2499999999999956</v>
      </c>
      <c r="D103" s="92">
        <f>Table14[[#This Row],[Fecha]]</f>
        <v>45616.24999999976</v>
      </c>
      <c r="E103" s="53" t="e">
        <f>Table110[[#This Row],[Viento m/s]]</f>
        <v>#N/A</v>
      </c>
      <c r="F103" s="96" t="e">
        <f>VLOOKUP(Table14[[#This Row],[FECHA /HORA]],TBL_CalcDarwin[],46,0)</f>
        <v>#N/A</v>
      </c>
      <c r="G103" s="53" t="e">
        <f>VLOOKUP(Table14[[#This Row],[FECHA /HORA]],TBL_CalcDarwin[],47,0)</f>
        <v>#N/A</v>
      </c>
      <c r="H103" s="95" t="e">
        <f>VLOOKUP(Table14[[#This Row],[FECHA /HORA]],TBL_CalcDarwin[],44,0)</f>
        <v>#N/A</v>
      </c>
      <c r="I103" s="95" t="e">
        <f>VLOOKUP(Table14[[#This Row],[FECHA /HORA]],TBL_CalcDarwin[],45,0)</f>
        <v>#N/A</v>
      </c>
      <c r="J103" s="53" t="e">
        <f>Table14[[#This Row],[MW Proyectada (Barra A)]]+Table14[[#This Row],[MW Proyectada (Barra B)]]</f>
        <v>#N/A</v>
      </c>
    </row>
    <row r="104" spans="2:10" x14ac:dyDescent="0.25">
      <c r="B104" s="91">
        <f>Table110[[#This Row],[Fecha]]</f>
        <v>45616.291666666424</v>
      </c>
      <c r="C104" s="52">
        <f>Table110[[#This Row],[Hora]]</f>
        <v>4.2916666666666625</v>
      </c>
      <c r="D104" s="92">
        <f>Table14[[#This Row],[Fecha]]</f>
        <v>45616.291666666424</v>
      </c>
      <c r="E104" s="53" t="e">
        <f>Table110[[#This Row],[Viento m/s]]</f>
        <v>#N/A</v>
      </c>
      <c r="F104" s="96" t="e">
        <f>VLOOKUP(Table14[[#This Row],[FECHA /HORA]],TBL_CalcDarwin[],46,0)</f>
        <v>#N/A</v>
      </c>
      <c r="G104" s="53" t="e">
        <f>VLOOKUP(Table14[[#This Row],[FECHA /HORA]],TBL_CalcDarwin[],47,0)</f>
        <v>#N/A</v>
      </c>
      <c r="H104" s="95" t="e">
        <f>VLOOKUP(Table14[[#This Row],[FECHA /HORA]],TBL_CalcDarwin[],44,0)</f>
        <v>#N/A</v>
      </c>
      <c r="I104" s="95" t="e">
        <f>VLOOKUP(Table14[[#This Row],[FECHA /HORA]],TBL_CalcDarwin[],45,0)</f>
        <v>#N/A</v>
      </c>
      <c r="J104" s="53" t="e">
        <f>Table14[[#This Row],[MW Proyectada (Barra A)]]+Table14[[#This Row],[MW Proyectada (Barra B)]]</f>
        <v>#N/A</v>
      </c>
    </row>
    <row r="105" spans="2:10" x14ac:dyDescent="0.25">
      <c r="B105" s="91">
        <f>Table110[[#This Row],[Fecha]]</f>
        <v>45616.333333333088</v>
      </c>
      <c r="C105" s="52">
        <f>Table110[[#This Row],[Hora]]</f>
        <v>4.3333333333333295</v>
      </c>
      <c r="D105" s="92">
        <f>Table14[[#This Row],[Fecha]]</f>
        <v>45616.333333333088</v>
      </c>
      <c r="E105" s="53" t="e">
        <f>Table110[[#This Row],[Viento m/s]]</f>
        <v>#N/A</v>
      </c>
      <c r="F105" s="96" t="e">
        <f>VLOOKUP(Table14[[#This Row],[FECHA /HORA]],TBL_CalcDarwin[],46,0)</f>
        <v>#N/A</v>
      </c>
      <c r="G105" s="53" t="e">
        <f>VLOOKUP(Table14[[#This Row],[FECHA /HORA]],TBL_CalcDarwin[],47,0)</f>
        <v>#N/A</v>
      </c>
      <c r="H105" s="95" t="e">
        <f>VLOOKUP(Table14[[#This Row],[FECHA /HORA]],TBL_CalcDarwin[],44,0)</f>
        <v>#N/A</v>
      </c>
      <c r="I105" s="95" t="e">
        <f>VLOOKUP(Table14[[#This Row],[FECHA /HORA]],TBL_CalcDarwin[],45,0)</f>
        <v>#N/A</v>
      </c>
      <c r="J105" s="53" t="e">
        <f>Table14[[#This Row],[MW Proyectada (Barra A)]]+Table14[[#This Row],[MW Proyectada (Barra B)]]</f>
        <v>#N/A</v>
      </c>
    </row>
    <row r="106" spans="2:10" x14ac:dyDescent="0.25">
      <c r="B106" s="91">
        <f>Table110[[#This Row],[Fecha]]</f>
        <v>45616.374999999753</v>
      </c>
      <c r="C106" s="52">
        <f>Table110[[#This Row],[Hora]]</f>
        <v>4.3749999999999964</v>
      </c>
      <c r="D106" s="92">
        <f>Table14[[#This Row],[Fecha]]</f>
        <v>45616.374999999753</v>
      </c>
      <c r="E106" s="53" t="e">
        <f>Table110[[#This Row],[Viento m/s]]</f>
        <v>#N/A</v>
      </c>
      <c r="F106" s="96" t="e">
        <f>VLOOKUP(Table14[[#This Row],[FECHA /HORA]],TBL_CalcDarwin[],46,0)</f>
        <v>#N/A</v>
      </c>
      <c r="G106" s="53" t="e">
        <f>VLOOKUP(Table14[[#This Row],[FECHA /HORA]],TBL_CalcDarwin[],47,0)</f>
        <v>#N/A</v>
      </c>
      <c r="H106" s="95" t="e">
        <f>VLOOKUP(Table14[[#This Row],[FECHA /HORA]],TBL_CalcDarwin[],44,0)</f>
        <v>#N/A</v>
      </c>
      <c r="I106" s="95" t="e">
        <f>VLOOKUP(Table14[[#This Row],[FECHA /HORA]],TBL_CalcDarwin[],45,0)</f>
        <v>#N/A</v>
      </c>
      <c r="J106" s="53" t="e">
        <f>Table14[[#This Row],[MW Proyectada (Barra A)]]+Table14[[#This Row],[MW Proyectada (Barra B)]]</f>
        <v>#N/A</v>
      </c>
    </row>
    <row r="107" spans="2:10" x14ac:dyDescent="0.25">
      <c r="B107" s="91">
        <f>Table110[[#This Row],[Fecha]]</f>
        <v>45616.416666666417</v>
      </c>
      <c r="C107" s="52">
        <f>Table110[[#This Row],[Hora]]</f>
        <v>4.4166666666666634</v>
      </c>
      <c r="D107" s="92">
        <f>Table14[[#This Row],[Fecha]]</f>
        <v>45616.416666666417</v>
      </c>
      <c r="E107" s="53" t="e">
        <f>Table110[[#This Row],[Viento m/s]]</f>
        <v>#N/A</v>
      </c>
      <c r="F107" s="96" t="e">
        <f>VLOOKUP(Table14[[#This Row],[FECHA /HORA]],TBL_CalcDarwin[],46,0)</f>
        <v>#N/A</v>
      </c>
      <c r="G107" s="53" t="e">
        <f>VLOOKUP(Table14[[#This Row],[FECHA /HORA]],TBL_CalcDarwin[],47,0)</f>
        <v>#N/A</v>
      </c>
      <c r="H107" s="95" t="e">
        <f>VLOOKUP(Table14[[#This Row],[FECHA /HORA]],TBL_CalcDarwin[],44,0)</f>
        <v>#N/A</v>
      </c>
      <c r="I107" s="95" t="e">
        <f>VLOOKUP(Table14[[#This Row],[FECHA /HORA]],TBL_CalcDarwin[],45,0)</f>
        <v>#N/A</v>
      </c>
      <c r="J107" s="53" t="e">
        <f>Table14[[#This Row],[MW Proyectada (Barra A)]]+Table14[[#This Row],[MW Proyectada (Barra B)]]</f>
        <v>#N/A</v>
      </c>
    </row>
    <row r="108" spans="2:10" x14ac:dyDescent="0.25">
      <c r="B108" s="91">
        <f>Table110[[#This Row],[Fecha]]</f>
        <v>45616.458333333081</v>
      </c>
      <c r="C108" s="52">
        <f>Table110[[#This Row],[Hora]]</f>
        <v>4.4583333333333304</v>
      </c>
      <c r="D108" s="92">
        <f>Table14[[#This Row],[Fecha]]</f>
        <v>45616.458333333081</v>
      </c>
      <c r="E108" s="53" t="e">
        <f>Table110[[#This Row],[Viento m/s]]</f>
        <v>#N/A</v>
      </c>
      <c r="F108" s="96" t="e">
        <f>VLOOKUP(Table14[[#This Row],[FECHA /HORA]],TBL_CalcDarwin[],46,0)</f>
        <v>#N/A</v>
      </c>
      <c r="G108" s="53" t="e">
        <f>VLOOKUP(Table14[[#This Row],[FECHA /HORA]],TBL_CalcDarwin[],47,0)</f>
        <v>#N/A</v>
      </c>
      <c r="H108" s="95" t="e">
        <f>VLOOKUP(Table14[[#This Row],[FECHA /HORA]],TBL_CalcDarwin[],44,0)</f>
        <v>#N/A</v>
      </c>
      <c r="I108" s="95" t="e">
        <f>VLOOKUP(Table14[[#This Row],[FECHA /HORA]],TBL_CalcDarwin[],45,0)</f>
        <v>#N/A</v>
      </c>
      <c r="J108" s="53" t="e">
        <f>Table14[[#This Row],[MW Proyectada (Barra A)]]+Table14[[#This Row],[MW Proyectada (Barra B)]]</f>
        <v>#N/A</v>
      </c>
    </row>
    <row r="109" spans="2:10" x14ac:dyDescent="0.25">
      <c r="B109" s="91">
        <f>Table110[[#This Row],[Fecha]]</f>
        <v>45616.499999999745</v>
      </c>
      <c r="C109" s="52">
        <f>Table110[[#This Row],[Hora]]</f>
        <v>4.4999999999999973</v>
      </c>
      <c r="D109" s="92">
        <f>Table14[[#This Row],[Fecha]]</f>
        <v>45616.499999999745</v>
      </c>
      <c r="E109" s="53" t="e">
        <f>Table110[[#This Row],[Viento m/s]]</f>
        <v>#N/A</v>
      </c>
      <c r="F109" s="96" t="e">
        <f>VLOOKUP(Table14[[#This Row],[FECHA /HORA]],TBL_CalcDarwin[],46,0)</f>
        <v>#N/A</v>
      </c>
      <c r="G109" s="53" t="e">
        <f>VLOOKUP(Table14[[#This Row],[FECHA /HORA]],TBL_CalcDarwin[],47,0)</f>
        <v>#N/A</v>
      </c>
      <c r="H109" s="95" t="e">
        <f>VLOOKUP(Table14[[#This Row],[FECHA /HORA]],TBL_CalcDarwin[],44,0)</f>
        <v>#N/A</v>
      </c>
      <c r="I109" s="95" t="e">
        <f>VLOOKUP(Table14[[#This Row],[FECHA /HORA]],TBL_CalcDarwin[],45,0)</f>
        <v>#N/A</v>
      </c>
      <c r="J109" s="53" t="e">
        <f>Table14[[#This Row],[MW Proyectada (Barra A)]]+Table14[[#This Row],[MW Proyectada (Barra B)]]</f>
        <v>#N/A</v>
      </c>
    </row>
    <row r="110" spans="2:10" x14ac:dyDescent="0.25">
      <c r="B110" s="91">
        <f>Table110[[#This Row],[Fecha]]</f>
        <v>45616.54166666641</v>
      </c>
      <c r="C110" s="52">
        <f>Table110[[#This Row],[Hora]]</f>
        <v>4.5416666666666643</v>
      </c>
      <c r="D110" s="92">
        <f>Table14[[#This Row],[Fecha]]</f>
        <v>45616.54166666641</v>
      </c>
      <c r="E110" s="53" t="e">
        <f>Table110[[#This Row],[Viento m/s]]</f>
        <v>#N/A</v>
      </c>
      <c r="F110" s="96" t="e">
        <f>VLOOKUP(Table14[[#This Row],[FECHA /HORA]],TBL_CalcDarwin[],46,0)</f>
        <v>#N/A</v>
      </c>
      <c r="G110" s="53" t="e">
        <f>VLOOKUP(Table14[[#This Row],[FECHA /HORA]],TBL_CalcDarwin[],47,0)</f>
        <v>#N/A</v>
      </c>
      <c r="H110" s="95" t="e">
        <f>VLOOKUP(Table14[[#This Row],[FECHA /HORA]],TBL_CalcDarwin[],44,0)</f>
        <v>#N/A</v>
      </c>
      <c r="I110" s="95" t="e">
        <f>VLOOKUP(Table14[[#This Row],[FECHA /HORA]],TBL_CalcDarwin[],45,0)</f>
        <v>#N/A</v>
      </c>
      <c r="J110" s="53" t="e">
        <f>Table14[[#This Row],[MW Proyectada (Barra A)]]+Table14[[#This Row],[MW Proyectada (Barra B)]]</f>
        <v>#N/A</v>
      </c>
    </row>
    <row r="111" spans="2:10" x14ac:dyDescent="0.25">
      <c r="B111" s="91">
        <f>Table110[[#This Row],[Fecha]]</f>
        <v>45616.583333333074</v>
      </c>
      <c r="C111" s="52">
        <f>Table110[[#This Row],[Hora]]</f>
        <v>4.5833333333333313</v>
      </c>
      <c r="D111" s="92">
        <f>Table14[[#This Row],[Fecha]]</f>
        <v>45616.583333333074</v>
      </c>
      <c r="E111" s="53" t="e">
        <f>Table110[[#This Row],[Viento m/s]]</f>
        <v>#N/A</v>
      </c>
      <c r="F111" s="96" t="e">
        <f>VLOOKUP(Table14[[#This Row],[FECHA /HORA]],TBL_CalcDarwin[],46,0)</f>
        <v>#N/A</v>
      </c>
      <c r="G111" s="53" t="e">
        <f>VLOOKUP(Table14[[#This Row],[FECHA /HORA]],TBL_CalcDarwin[],47,0)</f>
        <v>#N/A</v>
      </c>
      <c r="H111" s="95" t="e">
        <f>VLOOKUP(Table14[[#This Row],[FECHA /HORA]],TBL_CalcDarwin[],44,0)</f>
        <v>#N/A</v>
      </c>
      <c r="I111" s="95" t="e">
        <f>VLOOKUP(Table14[[#This Row],[FECHA /HORA]],TBL_CalcDarwin[],45,0)</f>
        <v>#N/A</v>
      </c>
      <c r="J111" s="53" t="e">
        <f>Table14[[#This Row],[MW Proyectada (Barra A)]]+Table14[[#This Row],[MW Proyectada (Barra B)]]</f>
        <v>#N/A</v>
      </c>
    </row>
    <row r="112" spans="2:10" x14ac:dyDescent="0.25">
      <c r="B112" s="91">
        <f>Table110[[#This Row],[Fecha]]</f>
        <v>45616.624999999738</v>
      </c>
      <c r="C112" s="52">
        <f>Table110[[#This Row],[Hora]]</f>
        <v>4.6249999999999982</v>
      </c>
      <c r="D112" s="92">
        <f>Table14[[#This Row],[Fecha]]</f>
        <v>45616.624999999738</v>
      </c>
      <c r="E112" s="53" t="e">
        <f>Table110[[#This Row],[Viento m/s]]</f>
        <v>#N/A</v>
      </c>
      <c r="F112" s="96" t="e">
        <f>VLOOKUP(Table14[[#This Row],[FECHA /HORA]],TBL_CalcDarwin[],46,0)</f>
        <v>#N/A</v>
      </c>
      <c r="G112" s="53" t="e">
        <f>VLOOKUP(Table14[[#This Row],[FECHA /HORA]],TBL_CalcDarwin[],47,0)</f>
        <v>#N/A</v>
      </c>
      <c r="H112" s="95" t="e">
        <f>VLOOKUP(Table14[[#This Row],[FECHA /HORA]],TBL_CalcDarwin[],44,0)</f>
        <v>#N/A</v>
      </c>
      <c r="I112" s="95" t="e">
        <f>VLOOKUP(Table14[[#This Row],[FECHA /HORA]],TBL_CalcDarwin[],45,0)</f>
        <v>#N/A</v>
      </c>
      <c r="J112" s="53" t="e">
        <f>Table14[[#This Row],[MW Proyectada (Barra A)]]+Table14[[#This Row],[MW Proyectada (Barra B)]]</f>
        <v>#N/A</v>
      </c>
    </row>
    <row r="113" spans="2:10" x14ac:dyDescent="0.25">
      <c r="B113" s="91">
        <f>Table110[[#This Row],[Fecha]]</f>
        <v>45616.666666666402</v>
      </c>
      <c r="C113" s="52">
        <f>Table110[[#This Row],[Hora]]</f>
        <v>4.6666666666666652</v>
      </c>
      <c r="D113" s="92">
        <f>Table14[[#This Row],[Fecha]]</f>
        <v>45616.666666666402</v>
      </c>
      <c r="E113" s="53" t="e">
        <f>Table110[[#This Row],[Viento m/s]]</f>
        <v>#N/A</v>
      </c>
      <c r="F113" s="96" t="e">
        <f>VLOOKUP(Table14[[#This Row],[FECHA /HORA]],TBL_CalcDarwin[],46,0)</f>
        <v>#N/A</v>
      </c>
      <c r="G113" s="53" t="e">
        <f>VLOOKUP(Table14[[#This Row],[FECHA /HORA]],TBL_CalcDarwin[],47,0)</f>
        <v>#N/A</v>
      </c>
      <c r="H113" s="95" t="e">
        <f>VLOOKUP(Table14[[#This Row],[FECHA /HORA]],TBL_CalcDarwin[],44,0)</f>
        <v>#N/A</v>
      </c>
      <c r="I113" s="95" t="e">
        <f>VLOOKUP(Table14[[#This Row],[FECHA /HORA]],TBL_CalcDarwin[],45,0)</f>
        <v>#N/A</v>
      </c>
      <c r="J113" s="53" t="e">
        <f>Table14[[#This Row],[MW Proyectada (Barra A)]]+Table14[[#This Row],[MW Proyectada (Barra B)]]</f>
        <v>#N/A</v>
      </c>
    </row>
    <row r="114" spans="2:10" x14ac:dyDescent="0.25">
      <c r="B114" s="91">
        <f>Table110[[#This Row],[Fecha]]</f>
        <v>45616.708333333067</v>
      </c>
      <c r="C114" s="52">
        <f>Table110[[#This Row],[Hora]]</f>
        <v>4.7083333333333321</v>
      </c>
      <c r="D114" s="92">
        <f>Table14[[#This Row],[Fecha]]</f>
        <v>45616.708333333067</v>
      </c>
      <c r="E114" s="53" t="e">
        <f>Table110[[#This Row],[Viento m/s]]</f>
        <v>#N/A</v>
      </c>
      <c r="F114" s="96" t="e">
        <f>VLOOKUP(Table14[[#This Row],[FECHA /HORA]],TBL_CalcDarwin[],46,0)</f>
        <v>#N/A</v>
      </c>
      <c r="G114" s="53" t="e">
        <f>VLOOKUP(Table14[[#This Row],[FECHA /HORA]],TBL_CalcDarwin[],47,0)</f>
        <v>#N/A</v>
      </c>
      <c r="H114" s="95" t="e">
        <f>VLOOKUP(Table14[[#This Row],[FECHA /HORA]],TBL_CalcDarwin[],44,0)</f>
        <v>#N/A</v>
      </c>
      <c r="I114" s="95" t="e">
        <f>VLOOKUP(Table14[[#This Row],[FECHA /HORA]],TBL_CalcDarwin[],45,0)</f>
        <v>#N/A</v>
      </c>
      <c r="J114" s="53" t="e">
        <f>Table14[[#This Row],[MW Proyectada (Barra A)]]+Table14[[#This Row],[MW Proyectada (Barra B)]]</f>
        <v>#N/A</v>
      </c>
    </row>
    <row r="115" spans="2:10" x14ac:dyDescent="0.25">
      <c r="B115" s="91">
        <f>Table110[[#This Row],[Fecha]]</f>
        <v>45616.749999999731</v>
      </c>
      <c r="C115" s="52">
        <f>Table110[[#This Row],[Hora]]</f>
        <v>4.7499999999999991</v>
      </c>
      <c r="D115" s="92">
        <f>Table14[[#This Row],[Fecha]]</f>
        <v>45616.749999999731</v>
      </c>
      <c r="E115" s="53" t="e">
        <f>Table110[[#This Row],[Viento m/s]]</f>
        <v>#N/A</v>
      </c>
      <c r="F115" s="96" t="e">
        <f>VLOOKUP(Table14[[#This Row],[FECHA /HORA]],TBL_CalcDarwin[],46,0)</f>
        <v>#N/A</v>
      </c>
      <c r="G115" s="53" t="e">
        <f>VLOOKUP(Table14[[#This Row],[FECHA /HORA]],TBL_CalcDarwin[],47,0)</f>
        <v>#N/A</v>
      </c>
      <c r="H115" s="95" t="e">
        <f>VLOOKUP(Table14[[#This Row],[FECHA /HORA]],TBL_CalcDarwin[],44,0)</f>
        <v>#N/A</v>
      </c>
      <c r="I115" s="95" t="e">
        <f>VLOOKUP(Table14[[#This Row],[FECHA /HORA]],TBL_CalcDarwin[],45,0)</f>
        <v>#N/A</v>
      </c>
      <c r="J115" s="53" t="e">
        <f>Table14[[#This Row],[MW Proyectada (Barra A)]]+Table14[[#This Row],[MW Proyectada (Barra B)]]</f>
        <v>#N/A</v>
      </c>
    </row>
    <row r="116" spans="2:10" x14ac:dyDescent="0.25">
      <c r="B116" s="91">
        <f>Table110[[#This Row],[Fecha]]</f>
        <v>45616.791666666395</v>
      </c>
      <c r="C116" s="52">
        <f>Table110[[#This Row],[Hora]]</f>
        <v>4.7916666666666661</v>
      </c>
      <c r="D116" s="92">
        <f>Table14[[#This Row],[Fecha]]</f>
        <v>45616.791666666395</v>
      </c>
      <c r="E116" s="53" t="e">
        <f>Table110[[#This Row],[Viento m/s]]</f>
        <v>#N/A</v>
      </c>
      <c r="F116" s="96" t="e">
        <f>VLOOKUP(Table14[[#This Row],[FECHA /HORA]],TBL_CalcDarwin[],46,0)</f>
        <v>#N/A</v>
      </c>
      <c r="G116" s="53" t="e">
        <f>VLOOKUP(Table14[[#This Row],[FECHA /HORA]],TBL_CalcDarwin[],47,0)</f>
        <v>#N/A</v>
      </c>
      <c r="H116" s="95" t="e">
        <f>VLOOKUP(Table14[[#This Row],[FECHA /HORA]],TBL_CalcDarwin[],44,0)</f>
        <v>#N/A</v>
      </c>
      <c r="I116" s="95" t="e">
        <f>VLOOKUP(Table14[[#This Row],[FECHA /HORA]],TBL_CalcDarwin[],45,0)</f>
        <v>#N/A</v>
      </c>
      <c r="J116" s="53" t="e">
        <f>Table14[[#This Row],[MW Proyectada (Barra A)]]+Table14[[#This Row],[MW Proyectada (Barra B)]]</f>
        <v>#N/A</v>
      </c>
    </row>
    <row r="117" spans="2:10" x14ac:dyDescent="0.25">
      <c r="B117" s="91">
        <f>Table110[[#This Row],[Fecha]]</f>
        <v>45616.833333333059</v>
      </c>
      <c r="C117" s="52">
        <f>Table110[[#This Row],[Hora]]</f>
        <v>4.833333333333333</v>
      </c>
      <c r="D117" s="92">
        <f>Table14[[#This Row],[Fecha]]</f>
        <v>45616.833333333059</v>
      </c>
      <c r="E117" s="53" t="e">
        <f>Table110[[#This Row],[Viento m/s]]</f>
        <v>#N/A</v>
      </c>
      <c r="F117" s="96" t="e">
        <f>VLOOKUP(Table14[[#This Row],[FECHA /HORA]],TBL_CalcDarwin[],46,0)</f>
        <v>#N/A</v>
      </c>
      <c r="G117" s="53" t="e">
        <f>VLOOKUP(Table14[[#This Row],[FECHA /HORA]],TBL_CalcDarwin[],47,0)</f>
        <v>#N/A</v>
      </c>
      <c r="H117" s="95" t="e">
        <f>VLOOKUP(Table14[[#This Row],[FECHA /HORA]],TBL_CalcDarwin[],44,0)</f>
        <v>#N/A</v>
      </c>
      <c r="I117" s="95" t="e">
        <f>VLOOKUP(Table14[[#This Row],[FECHA /HORA]],TBL_CalcDarwin[],45,0)</f>
        <v>#N/A</v>
      </c>
      <c r="J117" s="53" t="e">
        <f>Table14[[#This Row],[MW Proyectada (Barra A)]]+Table14[[#This Row],[MW Proyectada (Barra B)]]</f>
        <v>#N/A</v>
      </c>
    </row>
    <row r="118" spans="2:10" x14ac:dyDescent="0.25">
      <c r="B118" s="91">
        <f>Table110[[#This Row],[Fecha]]</f>
        <v>45616.874999999724</v>
      </c>
      <c r="C118" s="52">
        <f>Table110[[#This Row],[Hora]]</f>
        <v>4.875</v>
      </c>
      <c r="D118" s="92">
        <f>Table14[[#This Row],[Fecha]]</f>
        <v>45616.874999999724</v>
      </c>
      <c r="E118" s="53" t="e">
        <f>Table110[[#This Row],[Viento m/s]]</f>
        <v>#N/A</v>
      </c>
      <c r="F118" s="96" t="e">
        <f>VLOOKUP(Table14[[#This Row],[FECHA /HORA]],TBL_CalcDarwin[],46,0)</f>
        <v>#N/A</v>
      </c>
      <c r="G118" s="53" t="e">
        <f>VLOOKUP(Table14[[#This Row],[FECHA /HORA]],TBL_CalcDarwin[],47,0)</f>
        <v>#N/A</v>
      </c>
      <c r="H118" s="95" t="e">
        <f>VLOOKUP(Table14[[#This Row],[FECHA /HORA]],TBL_CalcDarwin[],44,0)</f>
        <v>#N/A</v>
      </c>
      <c r="I118" s="95" t="e">
        <f>VLOOKUP(Table14[[#This Row],[FECHA /HORA]],TBL_CalcDarwin[],45,0)</f>
        <v>#N/A</v>
      </c>
      <c r="J118" s="53" t="e">
        <f>Table14[[#This Row],[MW Proyectada (Barra A)]]+Table14[[#This Row],[MW Proyectada (Barra B)]]</f>
        <v>#N/A</v>
      </c>
    </row>
    <row r="119" spans="2:10" x14ac:dyDescent="0.25">
      <c r="B119" s="91">
        <f>Table110[[#This Row],[Fecha]]</f>
        <v>45616.916666666388</v>
      </c>
      <c r="C119" s="52">
        <f>Table110[[#This Row],[Hora]]</f>
        <v>4.916666666666667</v>
      </c>
      <c r="D119" s="92">
        <f>Table14[[#This Row],[Fecha]]</f>
        <v>45616.916666666388</v>
      </c>
      <c r="E119" s="53" t="e">
        <f>Table110[[#This Row],[Viento m/s]]</f>
        <v>#N/A</v>
      </c>
      <c r="F119" s="96" t="e">
        <f>VLOOKUP(Table14[[#This Row],[FECHA /HORA]],TBL_CalcDarwin[],46,0)</f>
        <v>#N/A</v>
      </c>
      <c r="G119" s="53" t="e">
        <f>VLOOKUP(Table14[[#This Row],[FECHA /HORA]],TBL_CalcDarwin[],47,0)</f>
        <v>#N/A</v>
      </c>
      <c r="H119" s="95" t="e">
        <f>VLOOKUP(Table14[[#This Row],[FECHA /HORA]],TBL_CalcDarwin[],44,0)</f>
        <v>#N/A</v>
      </c>
      <c r="I119" s="95" t="e">
        <f>VLOOKUP(Table14[[#This Row],[FECHA /HORA]],TBL_CalcDarwin[],45,0)</f>
        <v>#N/A</v>
      </c>
      <c r="J119" s="53" t="e">
        <f>Table14[[#This Row],[MW Proyectada (Barra A)]]+Table14[[#This Row],[MW Proyectada (Barra B)]]</f>
        <v>#N/A</v>
      </c>
    </row>
    <row r="120" spans="2:10" x14ac:dyDescent="0.25">
      <c r="B120" s="91">
        <f>Table110[[#This Row],[Fecha]]</f>
        <v>45616.958333333052</v>
      </c>
      <c r="C120" s="52">
        <f>Table110[[#This Row],[Hora]]</f>
        <v>4.9583333333333339</v>
      </c>
      <c r="D120" s="92">
        <f>Table14[[#This Row],[Fecha]]</f>
        <v>45616.958333333052</v>
      </c>
      <c r="E120" s="53" t="e">
        <f>Table110[[#This Row],[Viento m/s]]</f>
        <v>#N/A</v>
      </c>
      <c r="F120" s="96" t="e">
        <f>VLOOKUP(Table14[[#This Row],[FECHA /HORA]],TBL_CalcDarwin[],46,0)</f>
        <v>#N/A</v>
      </c>
      <c r="G120" s="53" t="e">
        <f>VLOOKUP(Table14[[#This Row],[FECHA /HORA]],TBL_CalcDarwin[],47,0)</f>
        <v>#N/A</v>
      </c>
      <c r="H120" s="95" t="e">
        <f>VLOOKUP(Table14[[#This Row],[FECHA /HORA]],TBL_CalcDarwin[],44,0)</f>
        <v>#N/A</v>
      </c>
      <c r="I120" s="95" t="e">
        <f>VLOOKUP(Table14[[#This Row],[FECHA /HORA]],TBL_CalcDarwin[],45,0)</f>
        <v>#N/A</v>
      </c>
      <c r="J120" s="53" t="e">
        <f>Table14[[#This Row],[MW Proyectada (Barra A)]]+Table14[[#This Row],[MW Proyectada (Barra B)]]</f>
        <v>#N/A</v>
      </c>
    </row>
    <row r="121" spans="2:10" x14ac:dyDescent="0.25">
      <c r="B121" s="91">
        <f>Table110[[#This Row],[Fecha]]</f>
        <v>45616.999999999716</v>
      </c>
      <c r="C121" s="52">
        <f>Table110[[#This Row],[Hora]]</f>
        <v>5.0000000000000009</v>
      </c>
      <c r="D121" s="92">
        <f>Table14[[#This Row],[Fecha]]</f>
        <v>45616.999999999716</v>
      </c>
      <c r="E121" s="53" t="e">
        <f>Table110[[#This Row],[Viento m/s]]</f>
        <v>#N/A</v>
      </c>
      <c r="F121" s="96" t="e">
        <f>VLOOKUP(Table14[[#This Row],[FECHA /HORA]],TBL_CalcDarwin[],46,0)</f>
        <v>#N/A</v>
      </c>
      <c r="G121" s="53" t="e">
        <f>VLOOKUP(Table14[[#This Row],[FECHA /HORA]],TBL_CalcDarwin[],47,0)</f>
        <v>#N/A</v>
      </c>
      <c r="H121" s="95" t="e">
        <f>VLOOKUP(Table14[[#This Row],[FECHA /HORA]],TBL_CalcDarwin[],44,0)</f>
        <v>#N/A</v>
      </c>
      <c r="I121" s="95" t="e">
        <f>VLOOKUP(Table14[[#This Row],[FECHA /HORA]],TBL_CalcDarwin[],45,0)</f>
        <v>#N/A</v>
      </c>
      <c r="J121" s="53" t="e">
        <f>Table14[[#This Row],[MW Proyectada (Barra A)]]+Table14[[#This Row],[MW Proyectada (Barra B)]]</f>
        <v>#N/A</v>
      </c>
    </row>
    <row r="122" spans="2:10" x14ac:dyDescent="0.25">
      <c r="B122" s="91">
        <f>Table110[[#This Row],[Fecha]]</f>
        <v>45617.04166666638</v>
      </c>
      <c r="C122" s="52">
        <f>Table110[[#This Row],[Hora]]</f>
        <v>5.0416666666666679</v>
      </c>
      <c r="D122" s="92">
        <f>Table14[[#This Row],[Fecha]]</f>
        <v>45617.04166666638</v>
      </c>
      <c r="E122" s="53" t="e">
        <f>Table110[[#This Row],[Viento m/s]]</f>
        <v>#N/A</v>
      </c>
      <c r="F122" s="96" t="e">
        <f>VLOOKUP(Table14[[#This Row],[FECHA /HORA]],TBL_CalcDarwin[],46,0)</f>
        <v>#N/A</v>
      </c>
      <c r="G122" s="53" t="e">
        <f>VLOOKUP(Table14[[#This Row],[FECHA /HORA]],TBL_CalcDarwin[],47,0)</f>
        <v>#N/A</v>
      </c>
      <c r="H122" s="95" t="e">
        <f>VLOOKUP(Table14[[#This Row],[FECHA /HORA]],TBL_CalcDarwin[],44,0)</f>
        <v>#N/A</v>
      </c>
      <c r="I122" s="95" t="e">
        <f>VLOOKUP(Table14[[#This Row],[FECHA /HORA]],TBL_CalcDarwin[],45,0)</f>
        <v>#N/A</v>
      </c>
      <c r="J122" s="53" t="e">
        <f>Table14[[#This Row],[MW Proyectada (Barra A)]]+Table14[[#This Row],[MW Proyectada (Barra B)]]</f>
        <v>#N/A</v>
      </c>
    </row>
    <row r="123" spans="2:10" x14ac:dyDescent="0.25">
      <c r="B123" s="91">
        <f>Table110[[#This Row],[Fecha]]</f>
        <v>45617.083333333045</v>
      </c>
      <c r="C123" s="52">
        <f>Table110[[#This Row],[Hora]]</f>
        <v>5.0833333333333348</v>
      </c>
      <c r="D123" s="92">
        <f>Table14[[#This Row],[Fecha]]</f>
        <v>45617.083333333045</v>
      </c>
      <c r="E123" s="53" t="e">
        <f>Table110[[#This Row],[Viento m/s]]</f>
        <v>#N/A</v>
      </c>
      <c r="F123" s="96" t="e">
        <f>VLOOKUP(Table14[[#This Row],[FECHA /HORA]],TBL_CalcDarwin[],46,0)</f>
        <v>#N/A</v>
      </c>
      <c r="G123" s="53" t="e">
        <f>VLOOKUP(Table14[[#This Row],[FECHA /HORA]],TBL_CalcDarwin[],47,0)</f>
        <v>#N/A</v>
      </c>
      <c r="H123" s="95" t="e">
        <f>VLOOKUP(Table14[[#This Row],[FECHA /HORA]],TBL_CalcDarwin[],44,0)</f>
        <v>#N/A</v>
      </c>
      <c r="I123" s="95" t="e">
        <f>VLOOKUP(Table14[[#This Row],[FECHA /HORA]],TBL_CalcDarwin[],45,0)</f>
        <v>#N/A</v>
      </c>
      <c r="J123" s="53" t="e">
        <f>Table14[[#This Row],[MW Proyectada (Barra A)]]+Table14[[#This Row],[MW Proyectada (Barra B)]]</f>
        <v>#N/A</v>
      </c>
    </row>
    <row r="124" spans="2:10" x14ac:dyDescent="0.25">
      <c r="B124" s="91">
        <f>Table110[[#This Row],[Fecha]]</f>
        <v>45617.124999999709</v>
      </c>
      <c r="C124" s="52">
        <f>Table110[[#This Row],[Hora]]</f>
        <v>5.1250000000000018</v>
      </c>
      <c r="D124" s="92">
        <f>Table14[[#This Row],[Fecha]]</f>
        <v>45617.124999999709</v>
      </c>
      <c r="E124" s="53" t="e">
        <f>Table110[[#This Row],[Viento m/s]]</f>
        <v>#N/A</v>
      </c>
      <c r="F124" s="96" t="e">
        <f>VLOOKUP(Table14[[#This Row],[FECHA /HORA]],TBL_CalcDarwin[],46,0)</f>
        <v>#N/A</v>
      </c>
      <c r="G124" s="53" t="e">
        <f>VLOOKUP(Table14[[#This Row],[FECHA /HORA]],TBL_CalcDarwin[],47,0)</f>
        <v>#N/A</v>
      </c>
      <c r="H124" s="95" t="e">
        <f>VLOOKUP(Table14[[#This Row],[FECHA /HORA]],TBL_CalcDarwin[],44,0)</f>
        <v>#N/A</v>
      </c>
      <c r="I124" s="95" t="e">
        <f>VLOOKUP(Table14[[#This Row],[FECHA /HORA]],TBL_CalcDarwin[],45,0)</f>
        <v>#N/A</v>
      </c>
      <c r="J124" s="53" t="e">
        <f>Table14[[#This Row],[MW Proyectada (Barra A)]]+Table14[[#This Row],[MW Proyectada (Barra B)]]</f>
        <v>#N/A</v>
      </c>
    </row>
    <row r="125" spans="2:10" x14ac:dyDescent="0.25">
      <c r="B125" s="91">
        <f>Table110[[#This Row],[Fecha]]</f>
        <v>45617.166666666373</v>
      </c>
      <c r="C125" s="52">
        <f>Table110[[#This Row],[Hora]]</f>
        <v>5.1666666666666687</v>
      </c>
      <c r="D125" s="92">
        <f>Table14[[#This Row],[Fecha]]</f>
        <v>45617.166666666373</v>
      </c>
      <c r="E125" s="53" t="e">
        <f>Table110[[#This Row],[Viento m/s]]</f>
        <v>#N/A</v>
      </c>
      <c r="F125" s="96" t="e">
        <f>VLOOKUP(Table14[[#This Row],[FECHA /HORA]],TBL_CalcDarwin[],46,0)</f>
        <v>#N/A</v>
      </c>
      <c r="G125" s="53" t="e">
        <f>VLOOKUP(Table14[[#This Row],[FECHA /HORA]],TBL_CalcDarwin[],47,0)</f>
        <v>#N/A</v>
      </c>
      <c r="H125" s="95" t="e">
        <f>VLOOKUP(Table14[[#This Row],[FECHA /HORA]],TBL_CalcDarwin[],44,0)</f>
        <v>#N/A</v>
      </c>
      <c r="I125" s="95" t="e">
        <f>VLOOKUP(Table14[[#This Row],[FECHA /HORA]],TBL_CalcDarwin[],45,0)</f>
        <v>#N/A</v>
      </c>
      <c r="J125" s="53" t="e">
        <f>Table14[[#This Row],[MW Proyectada (Barra A)]]+Table14[[#This Row],[MW Proyectada (Barra B)]]</f>
        <v>#N/A</v>
      </c>
    </row>
    <row r="126" spans="2:10" x14ac:dyDescent="0.25">
      <c r="B126" s="91">
        <f>Table110[[#This Row],[Fecha]]</f>
        <v>45617.208333333037</v>
      </c>
      <c r="C126" s="52">
        <f>Table110[[#This Row],[Hora]]</f>
        <v>5.2083333333333357</v>
      </c>
      <c r="D126" s="92">
        <f>Table14[[#This Row],[Fecha]]</f>
        <v>45617.208333333037</v>
      </c>
      <c r="E126" s="53" t="e">
        <f>Table110[[#This Row],[Viento m/s]]</f>
        <v>#N/A</v>
      </c>
      <c r="F126" s="96" t="e">
        <f>VLOOKUP(Table14[[#This Row],[FECHA /HORA]],TBL_CalcDarwin[],46,0)</f>
        <v>#N/A</v>
      </c>
      <c r="G126" s="53" t="e">
        <f>VLOOKUP(Table14[[#This Row],[FECHA /HORA]],TBL_CalcDarwin[],47,0)</f>
        <v>#N/A</v>
      </c>
      <c r="H126" s="95" t="e">
        <f>VLOOKUP(Table14[[#This Row],[FECHA /HORA]],TBL_CalcDarwin[],44,0)</f>
        <v>#N/A</v>
      </c>
      <c r="I126" s="95" t="e">
        <f>VLOOKUP(Table14[[#This Row],[FECHA /HORA]],TBL_CalcDarwin[],45,0)</f>
        <v>#N/A</v>
      </c>
      <c r="J126" s="53" t="e">
        <f>Table14[[#This Row],[MW Proyectada (Barra A)]]+Table14[[#This Row],[MW Proyectada (Barra B)]]</f>
        <v>#N/A</v>
      </c>
    </row>
    <row r="127" spans="2:10" x14ac:dyDescent="0.25">
      <c r="B127" s="91">
        <f>Table110[[#This Row],[Fecha]]</f>
        <v>45617.249999999702</v>
      </c>
      <c r="C127" s="52">
        <f>Table110[[#This Row],[Hora]]</f>
        <v>5.2500000000000027</v>
      </c>
      <c r="D127" s="92">
        <f>Table14[[#This Row],[Fecha]]</f>
        <v>45617.249999999702</v>
      </c>
      <c r="E127" s="53" t="e">
        <f>Table110[[#This Row],[Viento m/s]]</f>
        <v>#N/A</v>
      </c>
      <c r="F127" s="96" t="e">
        <f>VLOOKUP(Table14[[#This Row],[FECHA /HORA]],TBL_CalcDarwin[],46,0)</f>
        <v>#N/A</v>
      </c>
      <c r="G127" s="53" t="e">
        <f>VLOOKUP(Table14[[#This Row],[FECHA /HORA]],TBL_CalcDarwin[],47,0)</f>
        <v>#N/A</v>
      </c>
      <c r="H127" s="95" t="e">
        <f>VLOOKUP(Table14[[#This Row],[FECHA /HORA]],TBL_CalcDarwin[],44,0)</f>
        <v>#N/A</v>
      </c>
      <c r="I127" s="95" t="e">
        <f>VLOOKUP(Table14[[#This Row],[FECHA /HORA]],TBL_CalcDarwin[],45,0)</f>
        <v>#N/A</v>
      </c>
      <c r="J127" s="53" t="e">
        <f>Table14[[#This Row],[MW Proyectada (Barra A)]]+Table14[[#This Row],[MW Proyectada (Barra B)]]</f>
        <v>#N/A</v>
      </c>
    </row>
    <row r="128" spans="2:10" x14ac:dyDescent="0.25">
      <c r="B128" s="91">
        <f>Table110[[#This Row],[Fecha]]</f>
        <v>45617.291666666366</v>
      </c>
      <c r="C128" s="52">
        <f>Table110[[#This Row],[Hora]]</f>
        <v>5.2916666666666696</v>
      </c>
      <c r="D128" s="92">
        <f>Table14[[#This Row],[Fecha]]</f>
        <v>45617.291666666366</v>
      </c>
      <c r="E128" s="53" t="e">
        <f>Table110[[#This Row],[Viento m/s]]</f>
        <v>#N/A</v>
      </c>
      <c r="F128" s="96" t="e">
        <f>VLOOKUP(Table14[[#This Row],[FECHA /HORA]],TBL_CalcDarwin[],46,0)</f>
        <v>#N/A</v>
      </c>
      <c r="G128" s="53" t="e">
        <f>VLOOKUP(Table14[[#This Row],[FECHA /HORA]],TBL_CalcDarwin[],47,0)</f>
        <v>#N/A</v>
      </c>
      <c r="H128" s="95" t="e">
        <f>VLOOKUP(Table14[[#This Row],[FECHA /HORA]],TBL_CalcDarwin[],44,0)</f>
        <v>#N/A</v>
      </c>
      <c r="I128" s="95" t="e">
        <f>VLOOKUP(Table14[[#This Row],[FECHA /HORA]],TBL_CalcDarwin[],45,0)</f>
        <v>#N/A</v>
      </c>
      <c r="J128" s="53" t="e">
        <f>Table14[[#This Row],[MW Proyectada (Barra A)]]+Table14[[#This Row],[MW Proyectada (Barra B)]]</f>
        <v>#N/A</v>
      </c>
    </row>
    <row r="129" spans="2:10" x14ac:dyDescent="0.25">
      <c r="B129" s="91">
        <f>Table110[[#This Row],[Fecha]]</f>
        <v>45617.33333333303</v>
      </c>
      <c r="C129" s="52">
        <f>Table110[[#This Row],[Hora]]</f>
        <v>5.3333333333333366</v>
      </c>
      <c r="D129" s="92">
        <f>Table14[[#This Row],[Fecha]]</f>
        <v>45617.33333333303</v>
      </c>
      <c r="E129" s="53" t="e">
        <f>Table110[[#This Row],[Viento m/s]]</f>
        <v>#N/A</v>
      </c>
      <c r="F129" s="96" t="e">
        <f>VLOOKUP(Table14[[#This Row],[FECHA /HORA]],TBL_CalcDarwin[],46,0)</f>
        <v>#N/A</v>
      </c>
      <c r="G129" s="53" t="e">
        <f>VLOOKUP(Table14[[#This Row],[FECHA /HORA]],TBL_CalcDarwin[],47,0)</f>
        <v>#N/A</v>
      </c>
      <c r="H129" s="95" t="e">
        <f>VLOOKUP(Table14[[#This Row],[FECHA /HORA]],TBL_CalcDarwin[],44,0)</f>
        <v>#N/A</v>
      </c>
      <c r="I129" s="95" t="e">
        <f>VLOOKUP(Table14[[#This Row],[FECHA /HORA]],TBL_CalcDarwin[],45,0)</f>
        <v>#N/A</v>
      </c>
      <c r="J129" s="53" t="e">
        <f>Table14[[#This Row],[MW Proyectada (Barra A)]]+Table14[[#This Row],[MW Proyectada (Barra B)]]</f>
        <v>#N/A</v>
      </c>
    </row>
    <row r="130" spans="2:10" x14ac:dyDescent="0.25">
      <c r="B130" s="91">
        <f>Table110[[#This Row],[Fecha]]</f>
        <v>45617.374999999694</v>
      </c>
      <c r="C130" s="52">
        <f>Table110[[#This Row],[Hora]]</f>
        <v>5.3750000000000036</v>
      </c>
      <c r="D130" s="92">
        <f>Table14[[#This Row],[Fecha]]</f>
        <v>45617.374999999694</v>
      </c>
      <c r="E130" s="53" t="e">
        <f>Table110[[#This Row],[Viento m/s]]</f>
        <v>#N/A</v>
      </c>
      <c r="F130" s="96" t="e">
        <f>VLOOKUP(Table14[[#This Row],[FECHA /HORA]],TBL_CalcDarwin[],46,0)</f>
        <v>#N/A</v>
      </c>
      <c r="G130" s="53" t="e">
        <f>VLOOKUP(Table14[[#This Row],[FECHA /HORA]],TBL_CalcDarwin[],47,0)</f>
        <v>#N/A</v>
      </c>
      <c r="H130" s="95" t="e">
        <f>VLOOKUP(Table14[[#This Row],[FECHA /HORA]],TBL_CalcDarwin[],44,0)</f>
        <v>#N/A</v>
      </c>
      <c r="I130" s="95" t="e">
        <f>VLOOKUP(Table14[[#This Row],[FECHA /HORA]],TBL_CalcDarwin[],45,0)</f>
        <v>#N/A</v>
      </c>
      <c r="J130" s="53" t="e">
        <f>Table14[[#This Row],[MW Proyectada (Barra A)]]+Table14[[#This Row],[MW Proyectada (Barra B)]]</f>
        <v>#N/A</v>
      </c>
    </row>
    <row r="131" spans="2:10" x14ac:dyDescent="0.25">
      <c r="B131" s="91">
        <f>Table110[[#This Row],[Fecha]]</f>
        <v>45617.416666666359</v>
      </c>
      <c r="C131" s="52">
        <f>Table110[[#This Row],[Hora]]</f>
        <v>5.4166666666666705</v>
      </c>
      <c r="D131" s="92">
        <f>Table14[[#This Row],[Fecha]]</f>
        <v>45617.416666666359</v>
      </c>
      <c r="E131" s="53" t="e">
        <f>Table110[[#This Row],[Viento m/s]]</f>
        <v>#N/A</v>
      </c>
      <c r="F131" s="96" t="e">
        <f>VLOOKUP(Table14[[#This Row],[FECHA /HORA]],TBL_CalcDarwin[],46,0)</f>
        <v>#N/A</v>
      </c>
      <c r="G131" s="53" t="e">
        <f>VLOOKUP(Table14[[#This Row],[FECHA /HORA]],TBL_CalcDarwin[],47,0)</f>
        <v>#N/A</v>
      </c>
      <c r="H131" s="95" t="e">
        <f>VLOOKUP(Table14[[#This Row],[FECHA /HORA]],TBL_CalcDarwin[],44,0)</f>
        <v>#N/A</v>
      </c>
      <c r="I131" s="95" t="e">
        <f>VLOOKUP(Table14[[#This Row],[FECHA /HORA]],TBL_CalcDarwin[],45,0)</f>
        <v>#N/A</v>
      </c>
      <c r="J131" s="53" t="e">
        <f>Table14[[#This Row],[MW Proyectada (Barra A)]]+Table14[[#This Row],[MW Proyectada (Barra B)]]</f>
        <v>#N/A</v>
      </c>
    </row>
    <row r="132" spans="2:10" x14ac:dyDescent="0.25">
      <c r="B132" s="91">
        <f>Table110[[#This Row],[Fecha]]</f>
        <v>45617.458333333023</v>
      </c>
      <c r="C132" s="52">
        <f>Table110[[#This Row],[Hora]]</f>
        <v>5.4583333333333375</v>
      </c>
      <c r="D132" s="92">
        <f>Table14[[#This Row],[Fecha]]</f>
        <v>45617.458333333023</v>
      </c>
      <c r="E132" s="53" t="e">
        <f>Table110[[#This Row],[Viento m/s]]</f>
        <v>#N/A</v>
      </c>
      <c r="F132" s="96" t="e">
        <f>VLOOKUP(Table14[[#This Row],[FECHA /HORA]],TBL_CalcDarwin[],46,0)</f>
        <v>#N/A</v>
      </c>
      <c r="G132" s="53" t="e">
        <f>VLOOKUP(Table14[[#This Row],[FECHA /HORA]],TBL_CalcDarwin[],47,0)</f>
        <v>#N/A</v>
      </c>
      <c r="H132" s="95" t="e">
        <f>VLOOKUP(Table14[[#This Row],[FECHA /HORA]],TBL_CalcDarwin[],44,0)</f>
        <v>#N/A</v>
      </c>
      <c r="I132" s="95" t="e">
        <f>VLOOKUP(Table14[[#This Row],[FECHA /HORA]],TBL_CalcDarwin[],45,0)</f>
        <v>#N/A</v>
      </c>
      <c r="J132" s="53" t="e">
        <f>Table14[[#This Row],[MW Proyectada (Barra A)]]+Table14[[#This Row],[MW Proyectada (Barra B)]]</f>
        <v>#N/A</v>
      </c>
    </row>
    <row r="133" spans="2:10" x14ac:dyDescent="0.25">
      <c r="B133" s="91">
        <f>Table110[[#This Row],[Fecha]]</f>
        <v>45617.499999999687</v>
      </c>
      <c r="C133" s="52">
        <f>Table110[[#This Row],[Hora]]</f>
        <v>5.5000000000000044</v>
      </c>
      <c r="D133" s="92">
        <f>Table14[[#This Row],[Fecha]]</f>
        <v>45617.499999999687</v>
      </c>
      <c r="E133" s="53" t="e">
        <f>Table110[[#This Row],[Viento m/s]]</f>
        <v>#N/A</v>
      </c>
      <c r="F133" s="96" t="e">
        <f>VLOOKUP(Table14[[#This Row],[FECHA /HORA]],TBL_CalcDarwin[],46,0)</f>
        <v>#N/A</v>
      </c>
      <c r="G133" s="53" t="e">
        <f>VLOOKUP(Table14[[#This Row],[FECHA /HORA]],TBL_CalcDarwin[],47,0)</f>
        <v>#N/A</v>
      </c>
      <c r="H133" s="95" t="e">
        <f>VLOOKUP(Table14[[#This Row],[FECHA /HORA]],TBL_CalcDarwin[],44,0)</f>
        <v>#N/A</v>
      </c>
      <c r="I133" s="95" t="e">
        <f>VLOOKUP(Table14[[#This Row],[FECHA /HORA]],TBL_CalcDarwin[],45,0)</f>
        <v>#N/A</v>
      </c>
      <c r="J133" s="53" t="e">
        <f>Table14[[#This Row],[MW Proyectada (Barra A)]]+Table14[[#This Row],[MW Proyectada (Barra B)]]</f>
        <v>#N/A</v>
      </c>
    </row>
    <row r="134" spans="2:10" x14ac:dyDescent="0.25">
      <c r="B134" s="91">
        <f>Table110[[#This Row],[Fecha]]</f>
        <v>45617.541666666351</v>
      </c>
      <c r="C134" s="52">
        <f>Table110[[#This Row],[Hora]]</f>
        <v>5.5416666666666714</v>
      </c>
      <c r="D134" s="92">
        <f>Table14[[#This Row],[Fecha]]</f>
        <v>45617.541666666351</v>
      </c>
      <c r="E134" s="53" t="e">
        <f>Table110[[#This Row],[Viento m/s]]</f>
        <v>#N/A</v>
      </c>
      <c r="F134" s="96" t="e">
        <f>VLOOKUP(Table14[[#This Row],[FECHA /HORA]],TBL_CalcDarwin[],46,0)</f>
        <v>#N/A</v>
      </c>
      <c r="G134" s="53" t="e">
        <f>VLOOKUP(Table14[[#This Row],[FECHA /HORA]],TBL_CalcDarwin[],47,0)</f>
        <v>#N/A</v>
      </c>
      <c r="H134" s="95" t="e">
        <f>VLOOKUP(Table14[[#This Row],[FECHA /HORA]],TBL_CalcDarwin[],44,0)</f>
        <v>#N/A</v>
      </c>
      <c r="I134" s="95" t="e">
        <f>VLOOKUP(Table14[[#This Row],[FECHA /HORA]],TBL_CalcDarwin[],45,0)</f>
        <v>#N/A</v>
      </c>
      <c r="J134" s="53" t="e">
        <f>Table14[[#This Row],[MW Proyectada (Barra A)]]+Table14[[#This Row],[MW Proyectada (Barra B)]]</f>
        <v>#N/A</v>
      </c>
    </row>
    <row r="135" spans="2:10" x14ac:dyDescent="0.25">
      <c r="B135" s="91">
        <f>Table110[[#This Row],[Fecha]]</f>
        <v>45617.583333333016</v>
      </c>
      <c r="C135" s="52">
        <f>Table110[[#This Row],[Hora]]</f>
        <v>5.5833333333333384</v>
      </c>
      <c r="D135" s="92">
        <f>Table14[[#This Row],[Fecha]]</f>
        <v>45617.583333333016</v>
      </c>
      <c r="E135" s="53" t="e">
        <f>Table110[[#This Row],[Viento m/s]]</f>
        <v>#N/A</v>
      </c>
      <c r="F135" s="96" t="e">
        <f>VLOOKUP(Table14[[#This Row],[FECHA /HORA]],TBL_CalcDarwin[],46,0)</f>
        <v>#N/A</v>
      </c>
      <c r="G135" s="53" t="e">
        <f>VLOOKUP(Table14[[#This Row],[FECHA /HORA]],TBL_CalcDarwin[],47,0)</f>
        <v>#N/A</v>
      </c>
      <c r="H135" s="95" t="e">
        <f>VLOOKUP(Table14[[#This Row],[FECHA /HORA]],TBL_CalcDarwin[],44,0)</f>
        <v>#N/A</v>
      </c>
      <c r="I135" s="95" t="e">
        <f>VLOOKUP(Table14[[#This Row],[FECHA /HORA]],TBL_CalcDarwin[],45,0)</f>
        <v>#N/A</v>
      </c>
      <c r="J135" s="53" t="e">
        <f>Table14[[#This Row],[MW Proyectada (Barra A)]]+Table14[[#This Row],[MW Proyectada (Barra B)]]</f>
        <v>#N/A</v>
      </c>
    </row>
    <row r="136" spans="2:10" x14ac:dyDescent="0.25">
      <c r="B136" s="91">
        <f>Table110[[#This Row],[Fecha]]</f>
        <v>45617.62499999968</v>
      </c>
      <c r="C136" s="52">
        <f>Table110[[#This Row],[Hora]]</f>
        <v>5.6250000000000053</v>
      </c>
      <c r="D136" s="92">
        <f>Table14[[#This Row],[Fecha]]</f>
        <v>45617.62499999968</v>
      </c>
      <c r="E136" s="53" t="e">
        <f>Table110[[#This Row],[Viento m/s]]</f>
        <v>#N/A</v>
      </c>
      <c r="F136" s="96" t="e">
        <f>VLOOKUP(Table14[[#This Row],[FECHA /HORA]],TBL_CalcDarwin[],46,0)</f>
        <v>#N/A</v>
      </c>
      <c r="G136" s="53" t="e">
        <f>VLOOKUP(Table14[[#This Row],[FECHA /HORA]],TBL_CalcDarwin[],47,0)</f>
        <v>#N/A</v>
      </c>
      <c r="H136" s="95" t="e">
        <f>VLOOKUP(Table14[[#This Row],[FECHA /HORA]],TBL_CalcDarwin[],44,0)</f>
        <v>#N/A</v>
      </c>
      <c r="I136" s="95" t="e">
        <f>VLOOKUP(Table14[[#This Row],[FECHA /HORA]],TBL_CalcDarwin[],45,0)</f>
        <v>#N/A</v>
      </c>
      <c r="J136" s="53" t="e">
        <f>Table14[[#This Row],[MW Proyectada (Barra A)]]+Table14[[#This Row],[MW Proyectada (Barra B)]]</f>
        <v>#N/A</v>
      </c>
    </row>
    <row r="137" spans="2:10" x14ac:dyDescent="0.25">
      <c r="B137" s="91">
        <f>Table110[[#This Row],[Fecha]]</f>
        <v>45617.666666666344</v>
      </c>
      <c r="C137" s="52">
        <f>Table110[[#This Row],[Hora]]</f>
        <v>5.6666666666666723</v>
      </c>
      <c r="D137" s="92">
        <f>Table14[[#This Row],[Fecha]]</f>
        <v>45617.666666666344</v>
      </c>
      <c r="E137" s="53" t="e">
        <f>Table110[[#This Row],[Viento m/s]]</f>
        <v>#N/A</v>
      </c>
      <c r="F137" s="96" t="e">
        <f>VLOOKUP(Table14[[#This Row],[FECHA /HORA]],TBL_CalcDarwin[],46,0)</f>
        <v>#N/A</v>
      </c>
      <c r="G137" s="53" t="e">
        <f>VLOOKUP(Table14[[#This Row],[FECHA /HORA]],TBL_CalcDarwin[],47,0)</f>
        <v>#N/A</v>
      </c>
      <c r="H137" s="95" t="e">
        <f>VLOOKUP(Table14[[#This Row],[FECHA /HORA]],TBL_CalcDarwin[],44,0)</f>
        <v>#N/A</v>
      </c>
      <c r="I137" s="95" t="e">
        <f>VLOOKUP(Table14[[#This Row],[FECHA /HORA]],TBL_CalcDarwin[],45,0)</f>
        <v>#N/A</v>
      </c>
      <c r="J137" s="53" t="e">
        <f>Table14[[#This Row],[MW Proyectada (Barra A)]]+Table14[[#This Row],[MW Proyectada (Barra B)]]</f>
        <v>#N/A</v>
      </c>
    </row>
    <row r="138" spans="2:10" x14ac:dyDescent="0.25">
      <c r="B138" s="91">
        <f>Table110[[#This Row],[Fecha]]</f>
        <v>45617.708333333008</v>
      </c>
      <c r="C138" s="52">
        <f>Table110[[#This Row],[Hora]]</f>
        <v>5.7083333333333393</v>
      </c>
      <c r="D138" s="92">
        <f>Table14[[#This Row],[Fecha]]</f>
        <v>45617.708333333008</v>
      </c>
      <c r="E138" s="53" t="e">
        <f>Table110[[#This Row],[Viento m/s]]</f>
        <v>#N/A</v>
      </c>
      <c r="F138" s="96" t="e">
        <f>VLOOKUP(Table14[[#This Row],[FECHA /HORA]],TBL_CalcDarwin[],46,0)</f>
        <v>#N/A</v>
      </c>
      <c r="G138" s="53" t="e">
        <f>VLOOKUP(Table14[[#This Row],[FECHA /HORA]],TBL_CalcDarwin[],47,0)</f>
        <v>#N/A</v>
      </c>
      <c r="H138" s="95" t="e">
        <f>VLOOKUP(Table14[[#This Row],[FECHA /HORA]],TBL_CalcDarwin[],44,0)</f>
        <v>#N/A</v>
      </c>
      <c r="I138" s="95" t="e">
        <f>VLOOKUP(Table14[[#This Row],[FECHA /HORA]],TBL_CalcDarwin[],45,0)</f>
        <v>#N/A</v>
      </c>
      <c r="J138" s="53" t="e">
        <f>Table14[[#This Row],[MW Proyectada (Barra A)]]+Table14[[#This Row],[MW Proyectada (Barra B)]]</f>
        <v>#N/A</v>
      </c>
    </row>
    <row r="139" spans="2:10" x14ac:dyDescent="0.25">
      <c r="B139" s="91">
        <f>Table110[[#This Row],[Fecha]]</f>
        <v>45617.749999999673</v>
      </c>
      <c r="C139" s="52">
        <f>Table110[[#This Row],[Hora]]</f>
        <v>5.7500000000000062</v>
      </c>
      <c r="D139" s="92">
        <f>Table14[[#This Row],[Fecha]]</f>
        <v>45617.749999999673</v>
      </c>
      <c r="E139" s="53" t="e">
        <f>Table110[[#This Row],[Viento m/s]]</f>
        <v>#N/A</v>
      </c>
      <c r="F139" s="96" t="e">
        <f>VLOOKUP(Table14[[#This Row],[FECHA /HORA]],TBL_CalcDarwin[],46,0)</f>
        <v>#N/A</v>
      </c>
      <c r="G139" s="53" t="e">
        <f>VLOOKUP(Table14[[#This Row],[FECHA /HORA]],TBL_CalcDarwin[],47,0)</f>
        <v>#N/A</v>
      </c>
      <c r="H139" s="95" t="e">
        <f>VLOOKUP(Table14[[#This Row],[FECHA /HORA]],TBL_CalcDarwin[],44,0)</f>
        <v>#N/A</v>
      </c>
      <c r="I139" s="95" t="e">
        <f>VLOOKUP(Table14[[#This Row],[FECHA /HORA]],TBL_CalcDarwin[],45,0)</f>
        <v>#N/A</v>
      </c>
      <c r="J139" s="53" t="e">
        <f>Table14[[#This Row],[MW Proyectada (Barra A)]]+Table14[[#This Row],[MW Proyectada (Barra B)]]</f>
        <v>#N/A</v>
      </c>
    </row>
    <row r="140" spans="2:10" x14ac:dyDescent="0.25">
      <c r="B140" s="91">
        <f>Table110[[#This Row],[Fecha]]</f>
        <v>45617.791666666337</v>
      </c>
      <c r="C140" s="52">
        <f>Table110[[#This Row],[Hora]]</f>
        <v>5.7916666666666732</v>
      </c>
      <c r="D140" s="92">
        <f>Table14[[#This Row],[Fecha]]</f>
        <v>45617.791666666337</v>
      </c>
      <c r="E140" s="53" t="e">
        <f>Table110[[#This Row],[Viento m/s]]</f>
        <v>#N/A</v>
      </c>
      <c r="F140" s="96" t="e">
        <f>VLOOKUP(Table14[[#This Row],[FECHA /HORA]],TBL_CalcDarwin[],46,0)</f>
        <v>#N/A</v>
      </c>
      <c r="G140" s="53" t="e">
        <f>VLOOKUP(Table14[[#This Row],[FECHA /HORA]],TBL_CalcDarwin[],47,0)</f>
        <v>#N/A</v>
      </c>
      <c r="H140" s="95" t="e">
        <f>VLOOKUP(Table14[[#This Row],[FECHA /HORA]],TBL_CalcDarwin[],44,0)</f>
        <v>#N/A</v>
      </c>
      <c r="I140" s="95" t="e">
        <f>VLOOKUP(Table14[[#This Row],[FECHA /HORA]],TBL_CalcDarwin[],45,0)</f>
        <v>#N/A</v>
      </c>
      <c r="J140" s="53" t="e">
        <f>Table14[[#This Row],[MW Proyectada (Barra A)]]+Table14[[#This Row],[MW Proyectada (Barra B)]]</f>
        <v>#N/A</v>
      </c>
    </row>
    <row r="141" spans="2:10" x14ac:dyDescent="0.25">
      <c r="B141" s="91">
        <f>Table110[[#This Row],[Fecha]]</f>
        <v>45617.833333333001</v>
      </c>
      <c r="C141" s="52">
        <f>Table110[[#This Row],[Hora]]</f>
        <v>5.8333333333333401</v>
      </c>
      <c r="D141" s="92">
        <f>Table14[[#This Row],[Fecha]]</f>
        <v>45617.833333333001</v>
      </c>
      <c r="E141" s="53" t="e">
        <f>Table110[[#This Row],[Viento m/s]]</f>
        <v>#N/A</v>
      </c>
      <c r="F141" s="96" t="e">
        <f>VLOOKUP(Table14[[#This Row],[FECHA /HORA]],TBL_CalcDarwin[],46,0)</f>
        <v>#N/A</v>
      </c>
      <c r="G141" s="53" t="e">
        <f>VLOOKUP(Table14[[#This Row],[FECHA /HORA]],TBL_CalcDarwin[],47,0)</f>
        <v>#N/A</v>
      </c>
      <c r="H141" s="95" t="e">
        <f>VLOOKUP(Table14[[#This Row],[FECHA /HORA]],TBL_CalcDarwin[],44,0)</f>
        <v>#N/A</v>
      </c>
      <c r="I141" s="95" t="e">
        <f>VLOOKUP(Table14[[#This Row],[FECHA /HORA]],TBL_CalcDarwin[],45,0)</f>
        <v>#N/A</v>
      </c>
      <c r="J141" s="53" t="e">
        <f>Table14[[#This Row],[MW Proyectada (Barra A)]]+Table14[[#This Row],[MW Proyectada (Barra B)]]</f>
        <v>#N/A</v>
      </c>
    </row>
    <row r="142" spans="2:10" x14ac:dyDescent="0.25">
      <c r="B142" s="91">
        <f>Table110[[#This Row],[Fecha]]</f>
        <v>45617.874999999665</v>
      </c>
      <c r="C142" s="52">
        <f>Table110[[#This Row],[Hora]]</f>
        <v>5.8750000000000071</v>
      </c>
      <c r="D142" s="92">
        <f>Table14[[#This Row],[Fecha]]</f>
        <v>45617.874999999665</v>
      </c>
      <c r="E142" s="53" t="e">
        <f>Table110[[#This Row],[Viento m/s]]</f>
        <v>#N/A</v>
      </c>
      <c r="F142" s="96" t="e">
        <f>VLOOKUP(Table14[[#This Row],[FECHA /HORA]],TBL_CalcDarwin[],46,0)</f>
        <v>#N/A</v>
      </c>
      <c r="G142" s="53" t="e">
        <f>VLOOKUP(Table14[[#This Row],[FECHA /HORA]],TBL_CalcDarwin[],47,0)</f>
        <v>#N/A</v>
      </c>
      <c r="H142" s="95" t="e">
        <f>VLOOKUP(Table14[[#This Row],[FECHA /HORA]],TBL_CalcDarwin[],44,0)</f>
        <v>#N/A</v>
      </c>
      <c r="I142" s="95" t="e">
        <f>VLOOKUP(Table14[[#This Row],[FECHA /HORA]],TBL_CalcDarwin[],45,0)</f>
        <v>#N/A</v>
      </c>
      <c r="J142" s="53" t="e">
        <f>Table14[[#This Row],[MW Proyectada (Barra A)]]+Table14[[#This Row],[MW Proyectada (Barra B)]]</f>
        <v>#N/A</v>
      </c>
    </row>
    <row r="143" spans="2:10" x14ac:dyDescent="0.25">
      <c r="B143" s="91">
        <f>Table110[[#This Row],[Fecha]]</f>
        <v>45617.91666666633</v>
      </c>
      <c r="C143" s="52">
        <f>Table110[[#This Row],[Hora]]</f>
        <v>5.9166666666666741</v>
      </c>
      <c r="D143" s="92">
        <f>Table14[[#This Row],[Fecha]]</f>
        <v>45617.91666666633</v>
      </c>
      <c r="E143" s="53" t="e">
        <f>Table110[[#This Row],[Viento m/s]]</f>
        <v>#N/A</v>
      </c>
      <c r="F143" s="96" t="e">
        <f>VLOOKUP(Table14[[#This Row],[FECHA /HORA]],TBL_CalcDarwin[],46,0)</f>
        <v>#N/A</v>
      </c>
      <c r="G143" s="53" t="e">
        <f>VLOOKUP(Table14[[#This Row],[FECHA /HORA]],TBL_CalcDarwin[],47,0)</f>
        <v>#N/A</v>
      </c>
      <c r="H143" s="95" t="e">
        <f>VLOOKUP(Table14[[#This Row],[FECHA /HORA]],TBL_CalcDarwin[],44,0)</f>
        <v>#N/A</v>
      </c>
      <c r="I143" s="95" t="e">
        <f>VLOOKUP(Table14[[#This Row],[FECHA /HORA]],TBL_CalcDarwin[],45,0)</f>
        <v>#N/A</v>
      </c>
      <c r="J143" s="53" t="e">
        <f>Table14[[#This Row],[MW Proyectada (Barra A)]]+Table14[[#This Row],[MW Proyectada (Barra B)]]</f>
        <v>#N/A</v>
      </c>
    </row>
    <row r="144" spans="2:10" x14ac:dyDescent="0.25">
      <c r="B144" s="91">
        <f>Table110[[#This Row],[Fecha]]</f>
        <v>45617.958333332994</v>
      </c>
      <c r="C144" s="52">
        <f>Table110[[#This Row],[Hora]]</f>
        <v>5.958333333333341</v>
      </c>
      <c r="D144" s="92">
        <f>Table14[[#This Row],[Fecha]]</f>
        <v>45617.958333332994</v>
      </c>
      <c r="E144" s="53" t="e">
        <f>Table110[[#This Row],[Viento m/s]]</f>
        <v>#N/A</v>
      </c>
      <c r="F144" s="96" t="e">
        <f>VLOOKUP(Table14[[#This Row],[FECHA /HORA]],TBL_CalcDarwin[],46,0)</f>
        <v>#N/A</v>
      </c>
      <c r="G144" s="53" t="e">
        <f>VLOOKUP(Table14[[#This Row],[FECHA /HORA]],TBL_CalcDarwin[],47,0)</f>
        <v>#N/A</v>
      </c>
      <c r="H144" s="95" t="e">
        <f>VLOOKUP(Table14[[#This Row],[FECHA /HORA]],TBL_CalcDarwin[],44,0)</f>
        <v>#N/A</v>
      </c>
      <c r="I144" s="95" t="e">
        <f>VLOOKUP(Table14[[#This Row],[FECHA /HORA]],TBL_CalcDarwin[],45,0)</f>
        <v>#N/A</v>
      </c>
      <c r="J144" s="53" t="e">
        <f>Table14[[#This Row],[MW Proyectada (Barra A)]]+Table14[[#This Row],[MW Proyectada (Barra B)]]</f>
        <v>#N/A</v>
      </c>
    </row>
    <row r="145" spans="2:10" x14ac:dyDescent="0.25">
      <c r="B145" s="91">
        <f>Table110[[#This Row],[Fecha]]</f>
        <v>45617.999999999658</v>
      </c>
      <c r="C145" s="52">
        <f>Table110[[#This Row],[Hora]]</f>
        <v>6.000000000000008</v>
      </c>
      <c r="D145" s="92">
        <f>Table14[[#This Row],[Fecha]]</f>
        <v>45617.999999999658</v>
      </c>
      <c r="E145" s="53" t="e">
        <f>Table110[[#This Row],[Viento m/s]]</f>
        <v>#N/A</v>
      </c>
      <c r="F145" s="96" t="e">
        <f>VLOOKUP(Table14[[#This Row],[FECHA /HORA]],TBL_CalcDarwin[],46,0)</f>
        <v>#N/A</v>
      </c>
      <c r="G145" s="53" t="e">
        <f>VLOOKUP(Table14[[#This Row],[FECHA /HORA]],TBL_CalcDarwin[],47,0)</f>
        <v>#N/A</v>
      </c>
      <c r="H145" s="95" t="e">
        <f>VLOOKUP(Table14[[#This Row],[FECHA /HORA]],TBL_CalcDarwin[],44,0)</f>
        <v>#N/A</v>
      </c>
      <c r="I145" s="95" t="e">
        <f>VLOOKUP(Table14[[#This Row],[FECHA /HORA]],TBL_CalcDarwin[],45,0)</f>
        <v>#N/A</v>
      </c>
      <c r="J145" s="53" t="e">
        <f>Table14[[#This Row],[MW Proyectada (Barra A)]]+Table14[[#This Row],[MW Proyectada (Barra B)]]</f>
        <v>#N/A</v>
      </c>
    </row>
    <row r="146" spans="2:10" x14ac:dyDescent="0.25">
      <c r="B146" s="91">
        <f>Table110[[#This Row],[Fecha]]</f>
        <v>45618.041666666322</v>
      </c>
      <c r="C146" s="52">
        <f>Table110[[#This Row],[Hora]]</f>
        <v>6.041666666666675</v>
      </c>
      <c r="D146" s="92">
        <f>Table14[[#This Row],[Fecha]]</f>
        <v>45618.041666666322</v>
      </c>
      <c r="E146" s="53" t="e">
        <f>Table110[[#This Row],[Viento m/s]]</f>
        <v>#N/A</v>
      </c>
      <c r="F146" s="97" t="e">
        <f>VLOOKUP(Table14[[#This Row],[FECHA /HORA]],TBL_CalcDarwin[],46,0)</f>
        <v>#N/A</v>
      </c>
      <c r="G146" s="53" t="e">
        <f>VLOOKUP(Table14[[#This Row],[FECHA /HORA]],TBL_CalcDarwin[],47,0)</f>
        <v>#N/A</v>
      </c>
      <c r="H146" s="95" t="e">
        <f>VLOOKUP(Table14[[#This Row],[FECHA /HORA]],TBL_CalcDarwin[],44,0)</f>
        <v>#N/A</v>
      </c>
      <c r="I146" s="95" t="e">
        <f>VLOOKUP(Table14[[#This Row],[FECHA /HORA]],TBL_CalcDarwin[],45,0)</f>
        <v>#N/A</v>
      </c>
      <c r="J146" s="53" t="e">
        <f>Table14[[#This Row],[MW Proyectada (Barra A)]]+Table14[[#This Row],[MW Proyectada (Barra B)]]</f>
        <v>#N/A</v>
      </c>
    </row>
    <row r="147" spans="2:10" x14ac:dyDescent="0.25">
      <c r="B147" s="91">
        <f>Table110[[#This Row],[Fecha]]</f>
        <v>45618.083333332987</v>
      </c>
      <c r="C147" s="52">
        <f>Table110[[#This Row],[Hora]]</f>
        <v>6.0833333333333419</v>
      </c>
      <c r="D147" s="92">
        <f>Table14[[#This Row],[Fecha]]</f>
        <v>45618.083333332987</v>
      </c>
      <c r="E147" s="53" t="e">
        <f>Table110[[#This Row],[Viento m/s]]</f>
        <v>#N/A</v>
      </c>
      <c r="F147" s="96" t="e">
        <f>VLOOKUP(Table14[[#This Row],[FECHA /HORA]],TBL_CalcDarwin[],46,0)</f>
        <v>#N/A</v>
      </c>
      <c r="G147" s="53" t="e">
        <f>VLOOKUP(Table14[[#This Row],[FECHA /HORA]],TBL_CalcDarwin[],47,0)</f>
        <v>#N/A</v>
      </c>
      <c r="H147" s="95" t="e">
        <f>VLOOKUP(Table14[[#This Row],[FECHA /HORA]],TBL_CalcDarwin[],44,0)</f>
        <v>#N/A</v>
      </c>
      <c r="I147" s="95" t="e">
        <f>VLOOKUP(Table14[[#This Row],[FECHA /HORA]],TBL_CalcDarwin[],45,0)</f>
        <v>#N/A</v>
      </c>
      <c r="J147" s="53" t="e">
        <f>Table14[[#This Row],[MW Proyectada (Barra A)]]+Table14[[#This Row],[MW Proyectada (Barra B)]]</f>
        <v>#N/A</v>
      </c>
    </row>
    <row r="148" spans="2:10" x14ac:dyDescent="0.25">
      <c r="B148" s="91">
        <f>Table110[[#This Row],[Fecha]]</f>
        <v>45618.124999999651</v>
      </c>
      <c r="C148" s="52">
        <f>Table110[[#This Row],[Hora]]</f>
        <v>6.1250000000000089</v>
      </c>
      <c r="D148" s="92">
        <f>Table14[[#This Row],[Fecha]]</f>
        <v>45618.124999999651</v>
      </c>
      <c r="E148" s="53" t="e">
        <f>Table110[[#This Row],[Viento m/s]]</f>
        <v>#N/A</v>
      </c>
      <c r="F148" s="96" t="e">
        <f>VLOOKUP(Table14[[#This Row],[FECHA /HORA]],TBL_CalcDarwin[],46,0)</f>
        <v>#N/A</v>
      </c>
      <c r="G148" s="53" t="e">
        <f>VLOOKUP(Table14[[#This Row],[FECHA /HORA]],TBL_CalcDarwin[],47,0)</f>
        <v>#N/A</v>
      </c>
      <c r="H148" s="95" t="e">
        <f>VLOOKUP(Table14[[#This Row],[FECHA /HORA]],TBL_CalcDarwin[],44,0)</f>
        <v>#N/A</v>
      </c>
      <c r="I148" s="95" t="e">
        <f>VLOOKUP(Table14[[#This Row],[FECHA /HORA]],TBL_CalcDarwin[],45,0)</f>
        <v>#N/A</v>
      </c>
      <c r="J148" s="53" t="e">
        <f>Table14[[#This Row],[MW Proyectada (Barra A)]]+Table14[[#This Row],[MW Proyectada (Barra B)]]</f>
        <v>#N/A</v>
      </c>
    </row>
    <row r="149" spans="2:10" x14ac:dyDescent="0.25">
      <c r="B149" s="91">
        <f>Table110[[#This Row],[Fecha]]</f>
        <v>45618.166666666315</v>
      </c>
      <c r="C149" s="52">
        <f>Table110[[#This Row],[Hora]]</f>
        <v>6.1666666666666758</v>
      </c>
      <c r="D149" s="92">
        <f>Table14[[#This Row],[Fecha]]</f>
        <v>45618.166666666315</v>
      </c>
      <c r="E149" s="53" t="e">
        <f>Table110[[#This Row],[Viento m/s]]</f>
        <v>#N/A</v>
      </c>
      <c r="F149" s="96" t="e">
        <f>VLOOKUP(Table14[[#This Row],[FECHA /HORA]],TBL_CalcDarwin[],46,0)</f>
        <v>#N/A</v>
      </c>
      <c r="G149" s="53" t="e">
        <f>VLOOKUP(Table14[[#This Row],[FECHA /HORA]],TBL_CalcDarwin[],47,0)</f>
        <v>#N/A</v>
      </c>
      <c r="H149" s="95" t="e">
        <f>VLOOKUP(Table14[[#This Row],[FECHA /HORA]],TBL_CalcDarwin[],44,0)</f>
        <v>#N/A</v>
      </c>
      <c r="I149" s="95" t="e">
        <f>VLOOKUP(Table14[[#This Row],[FECHA /HORA]],TBL_CalcDarwin[],45,0)</f>
        <v>#N/A</v>
      </c>
      <c r="J149" s="53" t="e">
        <f>Table14[[#This Row],[MW Proyectada (Barra A)]]+Table14[[#This Row],[MW Proyectada (Barra B)]]</f>
        <v>#N/A</v>
      </c>
    </row>
    <row r="150" spans="2:10" x14ac:dyDescent="0.25">
      <c r="B150" s="91">
        <f>Table110[[#This Row],[Fecha]]</f>
        <v>45618.208333332979</v>
      </c>
      <c r="C150" s="52">
        <f>Table110[[#This Row],[Hora]]</f>
        <v>6.2083333333333428</v>
      </c>
      <c r="D150" s="92">
        <f>Table14[[#This Row],[Fecha]]</f>
        <v>45618.208333332979</v>
      </c>
      <c r="E150" s="53" t="e">
        <f>Table110[[#This Row],[Viento m/s]]</f>
        <v>#N/A</v>
      </c>
      <c r="F150" s="96" t="e">
        <f>VLOOKUP(Table14[[#This Row],[FECHA /HORA]],TBL_CalcDarwin[],46,0)</f>
        <v>#N/A</v>
      </c>
      <c r="G150" s="53" t="e">
        <f>VLOOKUP(Table14[[#This Row],[FECHA /HORA]],TBL_CalcDarwin[],47,0)</f>
        <v>#N/A</v>
      </c>
      <c r="H150" s="95" t="e">
        <f>VLOOKUP(Table14[[#This Row],[FECHA /HORA]],TBL_CalcDarwin[],44,0)</f>
        <v>#N/A</v>
      </c>
      <c r="I150" s="95" t="e">
        <f>VLOOKUP(Table14[[#This Row],[FECHA /HORA]],TBL_CalcDarwin[],45,0)</f>
        <v>#N/A</v>
      </c>
      <c r="J150" s="53" t="e">
        <f>Table14[[#This Row],[MW Proyectada (Barra A)]]+Table14[[#This Row],[MW Proyectada (Barra B)]]</f>
        <v>#N/A</v>
      </c>
    </row>
    <row r="151" spans="2:10" x14ac:dyDescent="0.25">
      <c r="B151" s="91">
        <f>Table110[[#This Row],[Fecha]]</f>
        <v>45618.249999999643</v>
      </c>
      <c r="C151" s="52">
        <f>Table110[[#This Row],[Hora]]</f>
        <v>6.2500000000000098</v>
      </c>
      <c r="D151" s="92">
        <f>Table14[[#This Row],[Fecha]]</f>
        <v>45618.249999999643</v>
      </c>
      <c r="E151" s="53" t="e">
        <f>Table110[[#This Row],[Viento m/s]]</f>
        <v>#N/A</v>
      </c>
      <c r="F151" s="96" t="e">
        <f>VLOOKUP(Table14[[#This Row],[FECHA /HORA]],TBL_CalcDarwin[],46,0)</f>
        <v>#N/A</v>
      </c>
      <c r="G151" s="53" t="e">
        <f>VLOOKUP(Table14[[#This Row],[FECHA /HORA]],TBL_CalcDarwin[],47,0)</f>
        <v>#N/A</v>
      </c>
      <c r="H151" s="95" t="e">
        <f>VLOOKUP(Table14[[#This Row],[FECHA /HORA]],TBL_CalcDarwin[],44,0)</f>
        <v>#N/A</v>
      </c>
      <c r="I151" s="95" t="e">
        <f>VLOOKUP(Table14[[#This Row],[FECHA /HORA]],TBL_CalcDarwin[],45,0)</f>
        <v>#N/A</v>
      </c>
      <c r="J151" s="53" t="e">
        <f>Table14[[#This Row],[MW Proyectada (Barra A)]]+Table14[[#This Row],[MW Proyectada (Barra B)]]</f>
        <v>#N/A</v>
      </c>
    </row>
    <row r="152" spans="2:10" x14ac:dyDescent="0.25">
      <c r="B152" s="91">
        <f>Table110[[#This Row],[Fecha]]</f>
        <v>45618.291666666308</v>
      </c>
      <c r="C152" s="52">
        <f>Table110[[#This Row],[Hora]]</f>
        <v>6.2916666666666767</v>
      </c>
      <c r="D152" s="92">
        <f>Table14[[#This Row],[Fecha]]</f>
        <v>45618.291666666308</v>
      </c>
      <c r="E152" s="53" t="e">
        <f>Table110[[#This Row],[Viento m/s]]</f>
        <v>#N/A</v>
      </c>
      <c r="F152" s="96" t="e">
        <f>VLOOKUP(Table14[[#This Row],[FECHA /HORA]],TBL_CalcDarwin[],46,0)</f>
        <v>#N/A</v>
      </c>
      <c r="G152" s="53" t="e">
        <f>VLOOKUP(Table14[[#This Row],[FECHA /HORA]],TBL_CalcDarwin[],47,0)</f>
        <v>#N/A</v>
      </c>
      <c r="H152" s="95" t="e">
        <f>VLOOKUP(Table14[[#This Row],[FECHA /HORA]],TBL_CalcDarwin[],44,0)</f>
        <v>#N/A</v>
      </c>
      <c r="I152" s="95" t="e">
        <f>VLOOKUP(Table14[[#This Row],[FECHA /HORA]],TBL_CalcDarwin[],45,0)</f>
        <v>#N/A</v>
      </c>
      <c r="J152" s="53" t="e">
        <f>Table14[[#This Row],[MW Proyectada (Barra A)]]+Table14[[#This Row],[MW Proyectada (Barra B)]]</f>
        <v>#N/A</v>
      </c>
    </row>
    <row r="153" spans="2:10" x14ac:dyDescent="0.25">
      <c r="B153" s="91">
        <f>Table110[[#This Row],[Fecha]]</f>
        <v>45618.333333332972</v>
      </c>
      <c r="C153" s="52">
        <f>Table110[[#This Row],[Hora]]</f>
        <v>6.3333333333333437</v>
      </c>
      <c r="D153" s="92">
        <f>Table14[[#This Row],[Fecha]]</f>
        <v>45618.333333332972</v>
      </c>
      <c r="E153" s="53" t="e">
        <f>Table110[[#This Row],[Viento m/s]]</f>
        <v>#N/A</v>
      </c>
      <c r="F153" s="96" t="e">
        <f>VLOOKUP(Table14[[#This Row],[FECHA /HORA]],TBL_CalcDarwin[],46,0)</f>
        <v>#N/A</v>
      </c>
      <c r="G153" s="53" t="e">
        <f>VLOOKUP(Table14[[#This Row],[FECHA /HORA]],TBL_CalcDarwin[],47,0)</f>
        <v>#N/A</v>
      </c>
      <c r="H153" s="95" t="e">
        <f>VLOOKUP(Table14[[#This Row],[FECHA /HORA]],TBL_CalcDarwin[],44,0)</f>
        <v>#N/A</v>
      </c>
      <c r="I153" s="95" t="e">
        <f>VLOOKUP(Table14[[#This Row],[FECHA /HORA]],TBL_CalcDarwin[],45,0)</f>
        <v>#N/A</v>
      </c>
      <c r="J153" s="53" t="e">
        <f>Table14[[#This Row],[MW Proyectada (Barra A)]]+Table14[[#This Row],[MW Proyectada (Barra B)]]</f>
        <v>#N/A</v>
      </c>
    </row>
    <row r="154" spans="2:10" x14ac:dyDescent="0.25">
      <c r="B154" s="91">
        <f>Table110[[#This Row],[Fecha]]</f>
        <v>45618.374999999636</v>
      </c>
      <c r="C154" s="52">
        <f>Table110[[#This Row],[Hora]]</f>
        <v>6.3750000000000107</v>
      </c>
      <c r="D154" s="92">
        <f>Table14[[#This Row],[Fecha]]</f>
        <v>45618.374999999636</v>
      </c>
      <c r="E154" s="53" t="e">
        <f>Table110[[#This Row],[Viento m/s]]</f>
        <v>#N/A</v>
      </c>
      <c r="F154" s="96" t="e">
        <f>VLOOKUP(Table14[[#This Row],[FECHA /HORA]],TBL_CalcDarwin[],46,0)</f>
        <v>#N/A</v>
      </c>
      <c r="G154" s="53" t="e">
        <f>VLOOKUP(Table14[[#This Row],[FECHA /HORA]],TBL_CalcDarwin[],47,0)</f>
        <v>#N/A</v>
      </c>
      <c r="H154" s="95" t="e">
        <f>VLOOKUP(Table14[[#This Row],[FECHA /HORA]],TBL_CalcDarwin[],44,0)</f>
        <v>#N/A</v>
      </c>
      <c r="I154" s="95" t="e">
        <f>VLOOKUP(Table14[[#This Row],[FECHA /HORA]],TBL_CalcDarwin[],45,0)</f>
        <v>#N/A</v>
      </c>
      <c r="J154" s="53" t="e">
        <f>Table14[[#This Row],[MW Proyectada (Barra A)]]+Table14[[#This Row],[MW Proyectada (Barra B)]]</f>
        <v>#N/A</v>
      </c>
    </row>
    <row r="155" spans="2:10" x14ac:dyDescent="0.25">
      <c r="B155" s="91">
        <f>Table110[[#This Row],[Fecha]]</f>
        <v>45618.4166666663</v>
      </c>
      <c r="C155" s="52">
        <f>Table110[[#This Row],[Hora]]</f>
        <v>6.4166666666666776</v>
      </c>
      <c r="D155" s="92">
        <f>Table14[[#This Row],[Fecha]]</f>
        <v>45618.4166666663</v>
      </c>
      <c r="E155" s="53" t="e">
        <f>Table110[[#This Row],[Viento m/s]]</f>
        <v>#N/A</v>
      </c>
      <c r="F155" s="96" t="e">
        <f>VLOOKUP(Table14[[#This Row],[FECHA /HORA]],TBL_CalcDarwin[],46,0)</f>
        <v>#N/A</v>
      </c>
      <c r="G155" s="53" t="e">
        <f>VLOOKUP(Table14[[#This Row],[FECHA /HORA]],TBL_CalcDarwin[],47,0)</f>
        <v>#N/A</v>
      </c>
      <c r="H155" s="95" t="e">
        <f>VLOOKUP(Table14[[#This Row],[FECHA /HORA]],TBL_CalcDarwin[],44,0)</f>
        <v>#N/A</v>
      </c>
      <c r="I155" s="95" t="e">
        <f>VLOOKUP(Table14[[#This Row],[FECHA /HORA]],TBL_CalcDarwin[],45,0)</f>
        <v>#N/A</v>
      </c>
      <c r="J155" s="53" t="e">
        <f>Table14[[#This Row],[MW Proyectada (Barra A)]]+Table14[[#This Row],[MW Proyectada (Barra B)]]</f>
        <v>#N/A</v>
      </c>
    </row>
    <row r="156" spans="2:10" x14ac:dyDescent="0.25">
      <c r="B156" s="91">
        <f>Table110[[#This Row],[Fecha]]</f>
        <v>45618.458333332965</v>
      </c>
      <c r="C156" s="52">
        <f>Table110[[#This Row],[Hora]]</f>
        <v>6.4583333333333446</v>
      </c>
      <c r="D156" s="92">
        <f>Table14[[#This Row],[Fecha]]</f>
        <v>45618.458333332965</v>
      </c>
      <c r="E156" s="53" t="e">
        <f>Table110[[#This Row],[Viento m/s]]</f>
        <v>#N/A</v>
      </c>
      <c r="F156" s="96" t="e">
        <f>VLOOKUP(Table14[[#This Row],[FECHA /HORA]],TBL_CalcDarwin[],46,0)</f>
        <v>#N/A</v>
      </c>
      <c r="G156" s="53" t="e">
        <f>VLOOKUP(Table14[[#This Row],[FECHA /HORA]],TBL_CalcDarwin[],47,0)</f>
        <v>#N/A</v>
      </c>
      <c r="H156" s="95" t="e">
        <f>VLOOKUP(Table14[[#This Row],[FECHA /HORA]],TBL_CalcDarwin[],44,0)</f>
        <v>#N/A</v>
      </c>
      <c r="I156" s="95" t="e">
        <f>VLOOKUP(Table14[[#This Row],[FECHA /HORA]],TBL_CalcDarwin[],45,0)</f>
        <v>#N/A</v>
      </c>
      <c r="J156" s="53" t="e">
        <f>Table14[[#This Row],[MW Proyectada (Barra A)]]+Table14[[#This Row],[MW Proyectada (Barra B)]]</f>
        <v>#N/A</v>
      </c>
    </row>
    <row r="157" spans="2:10" x14ac:dyDescent="0.25">
      <c r="B157" s="91">
        <f>Table110[[#This Row],[Fecha]]</f>
        <v>45618.499999999629</v>
      </c>
      <c r="C157" s="52">
        <f>Table110[[#This Row],[Hora]]</f>
        <v>6.5000000000000115</v>
      </c>
      <c r="D157" s="92">
        <f>Table14[[#This Row],[Fecha]]</f>
        <v>45618.499999999629</v>
      </c>
      <c r="E157" s="53" t="e">
        <f>Table110[[#This Row],[Viento m/s]]</f>
        <v>#N/A</v>
      </c>
      <c r="F157" s="96" t="e">
        <f>VLOOKUP(Table14[[#This Row],[FECHA /HORA]],TBL_CalcDarwin[],46,0)</f>
        <v>#N/A</v>
      </c>
      <c r="G157" s="53" t="e">
        <f>VLOOKUP(Table14[[#This Row],[FECHA /HORA]],TBL_CalcDarwin[],47,0)</f>
        <v>#N/A</v>
      </c>
      <c r="H157" s="95" t="e">
        <f>VLOOKUP(Table14[[#This Row],[FECHA /HORA]],TBL_CalcDarwin[],44,0)</f>
        <v>#N/A</v>
      </c>
      <c r="I157" s="95" t="e">
        <f>VLOOKUP(Table14[[#This Row],[FECHA /HORA]],TBL_CalcDarwin[],45,0)</f>
        <v>#N/A</v>
      </c>
      <c r="J157" s="53" t="e">
        <f>Table14[[#This Row],[MW Proyectada (Barra A)]]+Table14[[#This Row],[MW Proyectada (Barra B)]]</f>
        <v>#N/A</v>
      </c>
    </row>
    <row r="158" spans="2:10" x14ac:dyDescent="0.25">
      <c r="B158" s="91">
        <f>Table110[[#This Row],[Fecha]]</f>
        <v>45618.541666666293</v>
      </c>
      <c r="C158" s="52">
        <f>Table110[[#This Row],[Hora]]</f>
        <v>6.5416666666666785</v>
      </c>
      <c r="D158" s="92">
        <f>Table14[[#This Row],[Fecha]]</f>
        <v>45618.541666666293</v>
      </c>
      <c r="E158" s="53" t="e">
        <f>Table110[[#This Row],[Viento m/s]]</f>
        <v>#N/A</v>
      </c>
      <c r="F158" s="96" t="e">
        <f>VLOOKUP(Table14[[#This Row],[FECHA /HORA]],TBL_CalcDarwin[],46,0)</f>
        <v>#N/A</v>
      </c>
      <c r="G158" s="53" t="e">
        <f>VLOOKUP(Table14[[#This Row],[FECHA /HORA]],TBL_CalcDarwin[],47,0)</f>
        <v>#N/A</v>
      </c>
      <c r="H158" s="95" t="e">
        <f>VLOOKUP(Table14[[#This Row],[FECHA /HORA]],TBL_CalcDarwin[],44,0)</f>
        <v>#N/A</v>
      </c>
      <c r="I158" s="95" t="e">
        <f>VLOOKUP(Table14[[#This Row],[FECHA /HORA]],TBL_CalcDarwin[],45,0)</f>
        <v>#N/A</v>
      </c>
      <c r="J158" s="53" t="e">
        <f>Table14[[#This Row],[MW Proyectada (Barra A)]]+Table14[[#This Row],[MW Proyectada (Barra B)]]</f>
        <v>#N/A</v>
      </c>
    </row>
    <row r="159" spans="2:10" x14ac:dyDescent="0.25">
      <c r="B159" s="91">
        <f>Table110[[#This Row],[Fecha]]</f>
        <v>45618.583333332957</v>
      </c>
      <c r="C159" s="52">
        <f>Table110[[#This Row],[Hora]]</f>
        <v>6.5833333333333455</v>
      </c>
      <c r="D159" s="92">
        <f>Table14[[#This Row],[Fecha]]</f>
        <v>45618.583333332957</v>
      </c>
      <c r="E159" s="53" t="e">
        <f>Table110[[#This Row],[Viento m/s]]</f>
        <v>#N/A</v>
      </c>
      <c r="F159" s="96" t="e">
        <f>VLOOKUP(Table14[[#This Row],[FECHA /HORA]],TBL_CalcDarwin[],46,0)</f>
        <v>#N/A</v>
      </c>
      <c r="G159" s="53" t="e">
        <f>VLOOKUP(Table14[[#This Row],[FECHA /HORA]],TBL_CalcDarwin[],47,0)</f>
        <v>#N/A</v>
      </c>
      <c r="H159" s="95" t="e">
        <f>VLOOKUP(Table14[[#This Row],[FECHA /HORA]],TBL_CalcDarwin[],44,0)</f>
        <v>#N/A</v>
      </c>
      <c r="I159" s="95" t="e">
        <f>VLOOKUP(Table14[[#This Row],[FECHA /HORA]],TBL_CalcDarwin[],45,0)</f>
        <v>#N/A</v>
      </c>
      <c r="J159" s="53" t="e">
        <f>Table14[[#This Row],[MW Proyectada (Barra A)]]+Table14[[#This Row],[MW Proyectada (Barra B)]]</f>
        <v>#N/A</v>
      </c>
    </row>
    <row r="160" spans="2:10" x14ac:dyDescent="0.25">
      <c r="B160" s="91">
        <f>Table110[[#This Row],[Fecha]]</f>
        <v>45618.624999999622</v>
      </c>
      <c r="C160" s="52">
        <f>Table110[[#This Row],[Hora]]</f>
        <v>6.6250000000000124</v>
      </c>
      <c r="D160" s="92">
        <f>Table14[[#This Row],[Fecha]]</f>
        <v>45618.624999999622</v>
      </c>
      <c r="E160" s="53" t="e">
        <f>Table110[[#This Row],[Viento m/s]]</f>
        <v>#N/A</v>
      </c>
      <c r="F160" s="96" t="e">
        <f>VLOOKUP(Table14[[#This Row],[FECHA /HORA]],TBL_CalcDarwin[],46,0)</f>
        <v>#N/A</v>
      </c>
      <c r="G160" s="53" t="e">
        <f>VLOOKUP(Table14[[#This Row],[FECHA /HORA]],TBL_CalcDarwin[],47,0)</f>
        <v>#N/A</v>
      </c>
      <c r="H160" s="95" t="e">
        <f>VLOOKUP(Table14[[#This Row],[FECHA /HORA]],TBL_CalcDarwin[],44,0)</f>
        <v>#N/A</v>
      </c>
      <c r="I160" s="95" t="e">
        <f>VLOOKUP(Table14[[#This Row],[FECHA /HORA]],TBL_CalcDarwin[],45,0)</f>
        <v>#N/A</v>
      </c>
      <c r="J160" s="53" t="e">
        <f>Table14[[#This Row],[MW Proyectada (Barra A)]]+Table14[[#This Row],[MW Proyectada (Barra B)]]</f>
        <v>#N/A</v>
      </c>
    </row>
    <row r="161" spans="2:10" x14ac:dyDescent="0.25">
      <c r="B161" s="91">
        <f>Table110[[#This Row],[Fecha]]</f>
        <v>45618.666666666286</v>
      </c>
      <c r="C161" s="52">
        <f>Table110[[#This Row],[Hora]]</f>
        <v>6.6666666666666794</v>
      </c>
      <c r="D161" s="92">
        <f>Table14[[#This Row],[Fecha]]</f>
        <v>45618.666666666286</v>
      </c>
      <c r="E161" s="53" t="e">
        <f>Table110[[#This Row],[Viento m/s]]</f>
        <v>#N/A</v>
      </c>
      <c r="F161" s="96" t="e">
        <f>VLOOKUP(Table14[[#This Row],[FECHA /HORA]],TBL_CalcDarwin[],46,0)</f>
        <v>#N/A</v>
      </c>
      <c r="G161" s="53" t="e">
        <f>VLOOKUP(Table14[[#This Row],[FECHA /HORA]],TBL_CalcDarwin[],47,0)</f>
        <v>#N/A</v>
      </c>
      <c r="H161" s="95" t="e">
        <f>VLOOKUP(Table14[[#This Row],[FECHA /HORA]],TBL_CalcDarwin[],44,0)</f>
        <v>#N/A</v>
      </c>
      <c r="I161" s="95" t="e">
        <f>VLOOKUP(Table14[[#This Row],[FECHA /HORA]],TBL_CalcDarwin[],45,0)</f>
        <v>#N/A</v>
      </c>
      <c r="J161" s="53" t="e">
        <f>Table14[[#This Row],[MW Proyectada (Barra A)]]+Table14[[#This Row],[MW Proyectada (Barra B)]]</f>
        <v>#N/A</v>
      </c>
    </row>
    <row r="162" spans="2:10" x14ac:dyDescent="0.25">
      <c r="B162" s="91">
        <f>Table110[[#This Row],[Fecha]]</f>
        <v>45618.70833333295</v>
      </c>
      <c r="C162" s="52">
        <f>Table110[[#This Row],[Hora]]</f>
        <v>6.7083333333333464</v>
      </c>
      <c r="D162" s="92">
        <f>Table14[[#This Row],[Fecha]]</f>
        <v>45618.70833333295</v>
      </c>
      <c r="E162" s="53" t="e">
        <f>Table110[[#This Row],[Viento m/s]]</f>
        <v>#N/A</v>
      </c>
      <c r="F162" s="96" t="e">
        <f>VLOOKUP(Table14[[#This Row],[FECHA /HORA]],TBL_CalcDarwin[],46,0)</f>
        <v>#N/A</v>
      </c>
      <c r="G162" s="53" t="e">
        <f>VLOOKUP(Table14[[#This Row],[FECHA /HORA]],TBL_CalcDarwin[],47,0)</f>
        <v>#N/A</v>
      </c>
      <c r="H162" s="95" t="e">
        <f>VLOOKUP(Table14[[#This Row],[FECHA /HORA]],TBL_CalcDarwin[],44,0)</f>
        <v>#N/A</v>
      </c>
      <c r="I162" s="95" t="e">
        <f>VLOOKUP(Table14[[#This Row],[FECHA /HORA]],TBL_CalcDarwin[],45,0)</f>
        <v>#N/A</v>
      </c>
      <c r="J162" s="53" t="e">
        <f>Table14[[#This Row],[MW Proyectada (Barra A)]]+Table14[[#This Row],[MW Proyectada (Barra B)]]</f>
        <v>#N/A</v>
      </c>
    </row>
    <row r="163" spans="2:10" x14ac:dyDescent="0.25">
      <c r="B163" s="91">
        <f>Table110[[#This Row],[Fecha]]</f>
        <v>45618.749999999614</v>
      </c>
      <c r="C163" s="52">
        <f>Table110[[#This Row],[Hora]]</f>
        <v>6.7500000000000133</v>
      </c>
      <c r="D163" s="92">
        <f>Table14[[#This Row],[Fecha]]</f>
        <v>45618.749999999614</v>
      </c>
      <c r="E163" s="53" t="e">
        <f>Table110[[#This Row],[Viento m/s]]</f>
        <v>#N/A</v>
      </c>
      <c r="F163" s="96" t="e">
        <f>VLOOKUP(Table14[[#This Row],[FECHA /HORA]],TBL_CalcDarwin[],46,0)</f>
        <v>#N/A</v>
      </c>
      <c r="G163" s="53" t="e">
        <f>VLOOKUP(Table14[[#This Row],[FECHA /HORA]],TBL_CalcDarwin[],47,0)</f>
        <v>#N/A</v>
      </c>
      <c r="H163" s="95" t="e">
        <f>VLOOKUP(Table14[[#This Row],[FECHA /HORA]],TBL_CalcDarwin[],44,0)</f>
        <v>#N/A</v>
      </c>
      <c r="I163" s="95" t="e">
        <f>VLOOKUP(Table14[[#This Row],[FECHA /HORA]],TBL_CalcDarwin[],45,0)</f>
        <v>#N/A</v>
      </c>
      <c r="J163" s="53" t="e">
        <f>Table14[[#This Row],[MW Proyectada (Barra A)]]+Table14[[#This Row],[MW Proyectada (Barra B)]]</f>
        <v>#N/A</v>
      </c>
    </row>
    <row r="164" spans="2:10" x14ac:dyDescent="0.25">
      <c r="B164" s="91">
        <f>Table110[[#This Row],[Fecha]]</f>
        <v>45618.791666666279</v>
      </c>
      <c r="C164" s="52">
        <f>Table110[[#This Row],[Hora]]</f>
        <v>6.7916666666666803</v>
      </c>
      <c r="D164" s="92">
        <f>Table14[[#This Row],[Fecha]]</f>
        <v>45618.791666666279</v>
      </c>
      <c r="E164" s="53" t="e">
        <f>Table110[[#This Row],[Viento m/s]]</f>
        <v>#N/A</v>
      </c>
      <c r="F164" s="96" t="e">
        <f>VLOOKUP(Table14[[#This Row],[FECHA /HORA]],TBL_CalcDarwin[],46,0)</f>
        <v>#N/A</v>
      </c>
      <c r="G164" s="53" t="e">
        <f>VLOOKUP(Table14[[#This Row],[FECHA /HORA]],TBL_CalcDarwin[],47,0)</f>
        <v>#N/A</v>
      </c>
      <c r="H164" s="95" t="e">
        <f>VLOOKUP(Table14[[#This Row],[FECHA /HORA]],TBL_CalcDarwin[],44,0)</f>
        <v>#N/A</v>
      </c>
      <c r="I164" s="95" t="e">
        <f>VLOOKUP(Table14[[#This Row],[FECHA /HORA]],TBL_CalcDarwin[],45,0)</f>
        <v>#N/A</v>
      </c>
      <c r="J164" s="53" t="e">
        <f>Table14[[#This Row],[MW Proyectada (Barra A)]]+Table14[[#This Row],[MW Proyectada (Barra B)]]</f>
        <v>#N/A</v>
      </c>
    </row>
    <row r="165" spans="2:10" x14ac:dyDescent="0.25">
      <c r="B165" s="91">
        <f>Table110[[#This Row],[Fecha]]</f>
        <v>45618.833333332943</v>
      </c>
      <c r="C165" s="52">
        <f>Table110[[#This Row],[Hora]]</f>
        <v>6.8333333333333472</v>
      </c>
      <c r="D165" s="92">
        <f>Table14[[#This Row],[Fecha]]</f>
        <v>45618.833333332943</v>
      </c>
      <c r="E165" s="53" t="e">
        <f>Table110[[#This Row],[Viento m/s]]</f>
        <v>#N/A</v>
      </c>
      <c r="F165" s="96" t="e">
        <f>VLOOKUP(Table14[[#This Row],[FECHA /HORA]],TBL_CalcDarwin[],46,0)</f>
        <v>#N/A</v>
      </c>
      <c r="G165" s="53" t="e">
        <f>VLOOKUP(Table14[[#This Row],[FECHA /HORA]],TBL_CalcDarwin[],47,0)</f>
        <v>#N/A</v>
      </c>
      <c r="H165" s="95" t="e">
        <f>VLOOKUP(Table14[[#This Row],[FECHA /HORA]],TBL_CalcDarwin[],44,0)</f>
        <v>#N/A</v>
      </c>
      <c r="I165" s="95" t="e">
        <f>VLOOKUP(Table14[[#This Row],[FECHA /HORA]],TBL_CalcDarwin[],45,0)</f>
        <v>#N/A</v>
      </c>
      <c r="J165" s="53" t="e">
        <f>Table14[[#This Row],[MW Proyectada (Barra A)]]+Table14[[#This Row],[MW Proyectada (Barra B)]]</f>
        <v>#N/A</v>
      </c>
    </row>
    <row r="166" spans="2:10" x14ac:dyDescent="0.25">
      <c r="B166" s="91">
        <f>Table110[[#This Row],[Fecha]]</f>
        <v>45618.874999999607</v>
      </c>
      <c r="C166" s="52">
        <f>Table110[[#This Row],[Hora]]</f>
        <v>6.8750000000000142</v>
      </c>
      <c r="D166" s="92">
        <f>Table14[[#This Row],[Fecha]]</f>
        <v>45618.874999999607</v>
      </c>
      <c r="E166" s="53" t="e">
        <f>Table110[[#This Row],[Viento m/s]]</f>
        <v>#N/A</v>
      </c>
      <c r="F166" s="96" t="e">
        <f>VLOOKUP(Table14[[#This Row],[FECHA /HORA]],TBL_CalcDarwin[],46,0)</f>
        <v>#N/A</v>
      </c>
      <c r="G166" s="53" t="e">
        <f>VLOOKUP(Table14[[#This Row],[FECHA /HORA]],TBL_CalcDarwin[],47,0)</f>
        <v>#N/A</v>
      </c>
      <c r="H166" s="95" t="e">
        <f>VLOOKUP(Table14[[#This Row],[FECHA /HORA]],TBL_CalcDarwin[],44,0)</f>
        <v>#N/A</v>
      </c>
      <c r="I166" s="95" t="e">
        <f>VLOOKUP(Table14[[#This Row],[FECHA /HORA]],TBL_CalcDarwin[],45,0)</f>
        <v>#N/A</v>
      </c>
      <c r="J166" s="53" t="e">
        <f>Table14[[#This Row],[MW Proyectada (Barra A)]]+Table14[[#This Row],[MW Proyectada (Barra B)]]</f>
        <v>#N/A</v>
      </c>
    </row>
    <row r="167" spans="2:10" x14ac:dyDescent="0.25">
      <c r="B167" s="91">
        <f>Table110[[#This Row],[Fecha]]</f>
        <v>45618.916666666271</v>
      </c>
      <c r="C167" s="52">
        <f>Table110[[#This Row],[Hora]]</f>
        <v>6.9166666666666812</v>
      </c>
      <c r="D167" s="92">
        <f>Table14[[#This Row],[Fecha]]</f>
        <v>45618.916666666271</v>
      </c>
      <c r="E167" s="53" t="e">
        <f>Table110[[#This Row],[Viento m/s]]</f>
        <v>#N/A</v>
      </c>
      <c r="F167" s="96" t="e">
        <f>VLOOKUP(Table14[[#This Row],[FECHA /HORA]],TBL_CalcDarwin[],46,0)</f>
        <v>#N/A</v>
      </c>
      <c r="G167" s="53" t="e">
        <f>VLOOKUP(Table14[[#This Row],[FECHA /HORA]],TBL_CalcDarwin[],47,0)</f>
        <v>#N/A</v>
      </c>
      <c r="H167" s="95" t="e">
        <f>VLOOKUP(Table14[[#This Row],[FECHA /HORA]],TBL_CalcDarwin[],44,0)</f>
        <v>#N/A</v>
      </c>
      <c r="I167" s="95" t="e">
        <f>VLOOKUP(Table14[[#This Row],[FECHA /HORA]],TBL_CalcDarwin[],45,0)</f>
        <v>#N/A</v>
      </c>
      <c r="J167" s="53" t="e">
        <f>Table14[[#This Row],[MW Proyectada (Barra A)]]+Table14[[#This Row],[MW Proyectada (Barra B)]]</f>
        <v>#N/A</v>
      </c>
    </row>
    <row r="168" spans="2:10" x14ac:dyDescent="0.25">
      <c r="B168" s="91">
        <f>Table110[[#This Row],[Fecha]]</f>
        <v>45618.958333332936</v>
      </c>
      <c r="C168" s="52">
        <f>Table110[[#This Row],[Hora]]</f>
        <v>6.9583333333333481</v>
      </c>
      <c r="D168" s="92">
        <f>Table14[[#This Row],[Fecha]]</f>
        <v>45618.958333332936</v>
      </c>
      <c r="E168" s="53" t="e">
        <f>Table110[[#This Row],[Viento m/s]]</f>
        <v>#N/A</v>
      </c>
      <c r="F168" s="96" t="e">
        <f>VLOOKUP(Table14[[#This Row],[FECHA /HORA]],TBL_CalcDarwin[],46,0)</f>
        <v>#N/A</v>
      </c>
      <c r="G168" s="53" t="e">
        <f>VLOOKUP(Table14[[#This Row],[FECHA /HORA]],TBL_CalcDarwin[],47,0)</f>
        <v>#N/A</v>
      </c>
      <c r="H168" s="95" t="e">
        <f>VLOOKUP(Table14[[#This Row],[FECHA /HORA]],TBL_CalcDarwin[],44,0)</f>
        <v>#N/A</v>
      </c>
      <c r="I168" s="95" t="e">
        <f>VLOOKUP(Table14[[#This Row],[FECHA /HORA]],TBL_CalcDarwin[],45,0)</f>
        <v>#N/A</v>
      </c>
      <c r="J168" s="53" t="e">
        <f>Table14[[#This Row],[MW Proyectada (Barra A)]]+Table14[[#This Row],[MW Proyectada (Barra B)]]</f>
        <v>#N/A</v>
      </c>
    </row>
    <row r="169" spans="2:10" x14ac:dyDescent="0.25">
      <c r="B169" s="91">
        <f>Table110[[#This Row],[Fecha]]</f>
        <v>45618.9999999996</v>
      </c>
      <c r="C169" s="52">
        <f>Table110[[#This Row],[Hora]]</f>
        <v>7.0000000000000151</v>
      </c>
      <c r="D169" s="92">
        <f>Table14[[#This Row],[Fecha]]</f>
        <v>45618.9999999996</v>
      </c>
      <c r="E169" s="53" t="e">
        <f>Table110[[#This Row],[Viento m/s]]</f>
        <v>#N/A</v>
      </c>
      <c r="F169" s="96" t="e">
        <f>VLOOKUP(Table14[[#This Row],[FECHA /HORA]],TBL_CalcDarwin[],46,0)</f>
        <v>#N/A</v>
      </c>
      <c r="G169" s="53" t="e">
        <f>VLOOKUP(Table14[[#This Row],[FECHA /HORA]],TBL_CalcDarwin[],47,0)</f>
        <v>#N/A</v>
      </c>
      <c r="H169" s="95" t="e">
        <f>VLOOKUP(Table14[[#This Row],[FECHA /HORA]],TBL_CalcDarwin[],44,0)</f>
        <v>#N/A</v>
      </c>
      <c r="I169" s="95" t="e">
        <f>VLOOKUP(Table14[[#This Row],[FECHA /HORA]],TBL_CalcDarwin[],45,0)</f>
        <v>#N/A</v>
      </c>
      <c r="J169" s="53" t="e">
        <f>Table14[[#This Row],[MW Proyectada (Barra A)]]+Table14[[#This Row],[MW Proyectada (Barra B)]]</f>
        <v>#N/A</v>
      </c>
    </row>
    <row r="170" spans="2:10" x14ac:dyDescent="0.25">
      <c r="B170" s="91">
        <f>Table110[[#This Row],[Fecha]]</f>
        <v>45619.041666666264</v>
      </c>
      <c r="C170" s="52">
        <f>Table110[[#This Row],[Hora]]</f>
        <v>7.0416666666666821</v>
      </c>
      <c r="D170" s="92">
        <f>Table14[[#This Row],[Fecha]]</f>
        <v>45619.041666666264</v>
      </c>
      <c r="E170" s="53" t="e">
        <f>Table110[[#This Row],[Viento m/s]]</f>
        <v>#N/A</v>
      </c>
      <c r="F170" s="96" t="e">
        <f>VLOOKUP(Table14[[#This Row],[FECHA /HORA]],TBL_CalcDarwin[],46,0)</f>
        <v>#N/A</v>
      </c>
      <c r="G170" s="53" t="e">
        <f>VLOOKUP(Table14[[#This Row],[FECHA /HORA]],TBL_CalcDarwin[],47,0)</f>
        <v>#N/A</v>
      </c>
      <c r="H170" s="95" t="e">
        <f>VLOOKUP(Table14[[#This Row],[FECHA /HORA]],TBL_CalcDarwin[],44,0)</f>
        <v>#N/A</v>
      </c>
      <c r="I170" s="95" t="e">
        <f>VLOOKUP(Table14[[#This Row],[FECHA /HORA]],TBL_CalcDarwin[],45,0)</f>
        <v>#N/A</v>
      </c>
      <c r="J170" s="53" t="e">
        <f>Table14[[#This Row],[MW Proyectada (Barra A)]]+Table14[[#This Row],[MW Proyectada (Barra B)]]</f>
        <v>#N/A</v>
      </c>
    </row>
    <row r="171" spans="2:10" x14ac:dyDescent="0.25">
      <c r="B171" s="91">
        <f>Table110[[#This Row],[Fecha]]</f>
        <v>45619.083333332928</v>
      </c>
      <c r="C171" s="52">
        <f>Table110[[#This Row],[Hora]]</f>
        <v>7.083333333333349</v>
      </c>
      <c r="D171" s="92">
        <f>Table14[[#This Row],[Fecha]]</f>
        <v>45619.083333332928</v>
      </c>
      <c r="E171" s="53" t="e">
        <f>Table110[[#This Row],[Viento m/s]]</f>
        <v>#N/A</v>
      </c>
      <c r="F171" s="96" t="e">
        <f>VLOOKUP(Table14[[#This Row],[FECHA /HORA]],TBL_CalcDarwin[],46,0)</f>
        <v>#N/A</v>
      </c>
      <c r="G171" s="53" t="e">
        <f>VLOOKUP(Table14[[#This Row],[FECHA /HORA]],TBL_CalcDarwin[],47,0)</f>
        <v>#N/A</v>
      </c>
      <c r="H171" s="95" t="e">
        <f>VLOOKUP(Table14[[#This Row],[FECHA /HORA]],TBL_CalcDarwin[],44,0)</f>
        <v>#N/A</v>
      </c>
      <c r="I171" s="95" t="e">
        <f>VLOOKUP(Table14[[#This Row],[FECHA /HORA]],TBL_CalcDarwin[],45,0)</f>
        <v>#N/A</v>
      </c>
      <c r="J171" s="53" t="e">
        <f>Table14[[#This Row],[MW Proyectada (Barra A)]]+Table14[[#This Row],[MW Proyectada (Barra B)]]</f>
        <v>#N/A</v>
      </c>
    </row>
    <row r="172" spans="2:10" x14ac:dyDescent="0.25">
      <c r="B172" s="91">
        <f>Table110[[#This Row],[Fecha]]</f>
        <v>45619.124999999593</v>
      </c>
      <c r="C172" s="52">
        <f>Table110[[#This Row],[Hora]]</f>
        <v>7.125000000000016</v>
      </c>
      <c r="D172" s="92">
        <f>Table14[[#This Row],[Fecha]]</f>
        <v>45619.124999999593</v>
      </c>
      <c r="E172" s="53" t="e">
        <f>Table110[[#This Row],[Viento m/s]]</f>
        <v>#N/A</v>
      </c>
      <c r="F172" s="96" t="e">
        <f>VLOOKUP(Table14[[#This Row],[FECHA /HORA]],TBL_CalcDarwin[],46,0)</f>
        <v>#N/A</v>
      </c>
      <c r="G172" s="53" t="e">
        <f>VLOOKUP(Table14[[#This Row],[FECHA /HORA]],TBL_CalcDarwin[],47,0)</f>
        <v>#N/A</v>
      </c>
      <c r="H172" s="95" t="e">
        <f>VLOOKUP(Table14[[#This Row],[FECHA /HORA]],TBL_CalcDarwin[],44,0)</f>
        <v>#N/A</v>
      </c>
      <c r="I172" s="95" t="e">
        <f>VLOOKUP(Table14[[#This Row],[FECHA /HORA]],TBL_CalcDarwin[],45,0)</f>
        <v>#N/A</v>
      </c>
      <c r="J172" s="53" t="e">
        <f>Table14[[#This Row],[MW Proyectada (Barra A)]]+Table14[[#This Row],[MW Proyectada (Barra B)]]</f>
        <v>#N/A</v>
      </c>
    </row>
    <row r="173" spans="2:10" x14ac:dyDescent="0.25">
      <c r="B173" s="91">
        <f>Table110[[#This Row],[Fecha]]</f>
        <v>45619.166666666257</v>
      </c>
      <c r="C173" s="52">
        <f>Table110[[#This Row],[Hora]]</f>
        <v>7.1666666666666829</v>
      </c>
      <c r="D173" s="92">
        <f>Table14[[#This Row],[Fecha]]</f>
        <v>45619.166666666257</v>
      </c>
      <c r="E173" s="53" t="e">
        <f>Table110[[#This Row],[Viento m/s]]</f>
        <v>#N/A</v>
      </c>
      <c r="F173" s="96" t="e">
        <f>VLOOKUP(Table14[[#This Row],[FECHA /HORA]],TBL_CalcDarwin[],46,0)</f>
        <v>#N/A</v>
      </c>
      <c r="G173" s="53" t="e">
        <f>VLOOKUP(Table14[[#This Row],[FECHA /HORA]],TBL_CalcDarwin[],47,0)</f>
        <v>#N/A</v>
      </c>
      <c r="H173" s="95" t="e">
        <f>VLOOKUP(Table14[[#This Row],[FECHA /HORA]],TBL_CalcDarwin[],44,0)</f>
        <v>#N/A</v>
      </c>
      <c r="I173" s="95" t="e">
        <f>VLOOKUP(Table14[[#This Row],[FECHA /HORA]],TBL_CalcDarwin[],45,0)</f>
        <v>#N/A</v>
      </c>
      <c r="J173" s="53" t="e">
        <f>Table14[[#This Row],[MW Proyectada (Barra A)]]+Table14[[#This Row],[MW Proyectada (Barra B)]]</f>
        <v>#N/A</v>
      </c>
    </row>
    <row r="174" spans="2:10" x14ac:dyDescent="0.25">
      <c r="B174" s="91">
        <f>Table110[[#This Row],[Fecha]]</f>
        <v>45619.208333332921</v>
      </c>
      <c r="C174" s="52">
        <f>Table110[[#This Row],[Hora]]</f>
        <v>7.2083333333333499</v>
      </c>
      <c r="D174" s="92">
        <f>Table14[[#This Row],[Fecha]]</f>
        <v>45619.208333332921</v>
      </c>
      <c r="E174" s="53" t="e">
        <f>Table110[[#This Row],[Viento m/s]]</f>
        <v>#N/A</v>
      </c>
      <c r="F174" s="96" t="e">
        <f>VLOOKUP(Table14[[#This Row],[FECHA /HORA]],TBL_CalcDarwin[],46,0)</f>
        <v>#N/A</v>
      </c>
      <c r="G174" s="53" t="e">
        <f>VLOOKUP(Table14[[#This Row],[FECHA /HORA]],TBL_CalcDarwin[],47,0)</f>
        <v>#N/A</v>
      </c>
      <c r="H174" s="95" t="e">
        <f>VLOOKUP(Table14[[#This Row],[FECHA /HORA]],TBL_CalcDarwin[],44,0)</f>
        <v>#N/A</v>
      </c>
      <c r="I174" s="95" t="e">
        <f>VLOOKUP(Table14[[#This Row],[FECHA /HORA]],TBL_CalcDarwin[],45,0)</f>
        <v>#N/A</v>
      </c>
      <c r="J174" s="53" t="e">
        <f>Table14[[#This Row],[MW Proyectada (Barra A)]]+Table14[[#This Row],[MW Proyectada (Barra B)]]</f>
        <v>#N/A</v>
      </c>
    </row>
    <row r="175" spans="2:10" x14ac:dyDescent="0.25">
      <c r="B175" s="91">
        <f>Table110[[#This Row],[Fecha]]</f>
        <v>45619.249999999585</v>
      </c>
      <c r="C175" s="52">
        <f>Table110[[#This Row],[Hora]]</f>
        <v>7.2500000000000169</v>
      </c>
      <c r="D175" s="92">
        <f>Table14[[#This Row],[Fecha]]</f>
        <v>45619.249999999585</v>
      </c>
      <c r="E175" s="53" t="e">
        <f>Table110[[#This Row],[Viento m/s]]</f>
        <v>#N/A</v>
      </c>
      <c r="F175" s="96" t="e">
        <f>VLOOKUP(Table14[[#This Row],[FECHA /HORA]],TBL_CalcDarwin[],46,0)</f>
        <v>#N/A</v>
      </c>
      <c r="G175" s="53" t="e">
        <f>VLOOKUP(Table14[[#This Row],[FECHA /HORA]],TBL_CalcDarwin[],47,0)</f>
        <v>#N/A</v>
      </c>
      <c r="H175" s="95" t="e">
        <f>VLOOKUP(Table14[[#This Row],[FECHA /HORA]],TBL_CalcDarwin[],44,0)</f>
        <v>#N/A</v>
      </c>
      <c r="I175" s="95" t="e">
        <f>VLOOKUP(Table14[[#This Row],[FECHA /HORA]],TBL_CalcDarwin[],45,0)</f>
        <v>#N/A</v>
      </c>
      <c r="J175" s="53" t="e">
        <f>Table14[[#This Row],[MW Proyectada (Barra A)]]+Table14[[#This Row],[MW Proyectada (Barra B)]]</f>
        <v>#N/A</v>
      </c>
    </row>
    <row r="176" spans="2:10" x14ac:dyDescent="0.25">
      <c r="B176" s="91">
        <f>Table110[[#This Row],[Fecha]]</f>
        <v>45619.29166666625</v>
      </c>
      <c r="C176" s="52">
        <f>Table110[[#This Row],[Hora]]</f>
        <v>7.2916666666666838</v>
      </c>
      <c r="D176" s="92">
        <f>Table14[[#This Row],[Fecha]]</f>
        <v>45619.29166666625</v>
      </c>
      <c r="E176" s="53" t="e">
        <f>Table110[[#This Row],[Viento m/s]]</f>
        <v>#N/A</v>
      </c>
      <c r="F176" s="96" t="e">
        <f>VLOOKUP(Table14[[#This Row],[FECHA /HORA]],TBL_CalcDarwin[],46,0)</f>
        <v>#N/A</v>
      </c>
      <c r="G176" s="53" t="e">
        <f>VLOOKUP(Table14[[#This Row],[FECHA /HORA]],TBL_CalcDarwin[],47,0)</f>
        <v>#N/A</v>
      </c>
      <c r="H176" s="95" t="e">
        <f>VLOOKUP(Table14[[#This Row],[FECHA /HORA]],TBL_CalcDarwin[],44,0)</f>
        <v>#N/A</v>
      </c>
      <c r="I176" s="95" t="e">
        <f>VLOOKUP(Table14[[#This Row],[FECHA /HORA]],TBL_CalcDarwin[],45,0)</f>
        <v>#N/A</v>
      </c>
      <c r="J176" s="53" t="e">
        <f>Table14[[#This Row],[MW Proyectada (Barra A)]]+Table14[[#This Row],[MW Proyectada (Barra B)]]</f>
        <v>#N/A</v>
      </c>
    </row>
    <row r="177" spans="2:10" x14ac:dyDescent="0.25">
      <c r="B177" s="91">
        <f>Table110[[#This Row],[Fecha]]</f>
        <v>45619.333333332914</v>
      </c>
      <c r="C177" s="52">
        <f>Table110[[#This Row],[Hora]]</f>
        <v>7.3333333333333508</v>
      </c>
      <c r="D177" s="92">
        <f>Table14[[#This Row],[Fecha]]</f>
        <v>45619.333333332914</v>
      </c>
      <c r="E177" s="53" t="e">
        <f>Table110[[#This Row],[Viento m/s]]</f>
        <v>#N/A</v>
      </c>
      <c r="F177" s="96" t="e">
        <f>VLOOKUP(Table14[[#This Row],[FECHA /HORA]],TBL_CalcDarwin[],46,0)</f>
        <v>#N/A</v>
      </c>
      <c r="G177" s="53" t="e">
        <f>VLOOKUP(Table14[[#This Row],[FECHA /HORA]],TBL_CalcDarwin[],47,0)</f>
        <v>#N/A</v>
      </c>
      <c r="H177" s="95" t="e">
        <f>VLOOKUP(Table14[[#This Row],[FECHA /HORA]],TBL_CalcDarwin[],44,0)</f>
        <v>#N/A</v>
      </c>
      <c r="I177" s="95" t="e">
        <f>VLOOKUP(Table14[[#This Row],[FECHA /HORA]],TBL_CalcDarwin[],45,0)</f>
        <v>#N/A</v>
      </c>
      <c r="J177" s="53" t="e">
        <f>Table14[[#This Row],[MW Proyectada (Barra A)]]+Table14[[#This Row],[MW Proyectada (Barra B)]]</f>
        <v>#N/A</v>
      </c>
    </row>
    <row r="178" spans="2:10" x14ac:dyDescent="0.25">
      <c r="B178" s="91">
        <f>Table110[[#This Row],[Fecha]]</f>
        <v>45619.374999999578</v>
      </c>
      <c r="C178" s="52">
        <f>Table110[[#This Row],[Hora]]</f>
        <v>7.3750000000000178</v>
      </c>
      <c r="D178" s="92">
        <f>Table14[[#This Row],[Fecha]]</f>
        <v>45619.374999999578</v>
      </c>
      <c r="E178" s="53" t="e">
        <f>Table110[[#This Row],[Viento m/s]]</f>
        <v>#N/A</v>
      </c>
      <c r="F178" s="96" t="e">
        <f>VLOOKUP(Table14[[#This Row],[FECHA /HORA]],TBL_CalcDarwin[],46,0)</f>
        <v>#N/A</v>
      </c>
      <c r="G178" s="53" t="e">
        <f>VLOOKUP(Table14[[#This Row],[FECHA /HORA]],TBL_CalcDarwin[],47,0)</f>
        <v>#N/A</v>
      </c>
      <c r="H178" s="95" t="e">
        <f>VLOOKUP(Table14[[#This Row],[FECHA /HORA]],TBL_CalcDarwin[],44,0)</f>
        <v>#N/A</v>
      </c>
      <c r="I178" s="95" t="e">
        <f>VLOOKUP(Table14[[#This Row],[FECHA /HORA]],TBL_CalcDarwin[],45,0)</f>
        <v>#N/A</v>
      </c>
      <c r="J178" s="53" t="e">
        <f>Table14[[#This Row],[MW Proyectada (Barra A)]]+Table14[[#This Row],[MW Proyectada (Barra B)]]</f>
        <v>#N/A</v>
      </c>
    </row>
    <row r="179" spans="2:10" x14ac:dyDescent="0.25">
      <c r="B179" s="91">
        <f>Table110[[#This Row],[Fecha]]</f>
        <v>45619.416666666242</v>
      </c>
      <c r="C179" s="52">
        <f>Table110[[#This Row],[Hora]]</f>
        <v>7.4166666666666847</v>
      </c>
      <c r="D179" s="92">
        <f>Table14[[#This Row],[Fecha]]</f>
        <v>45619.416666666242</v>
      </c>
      <c r="E179" s="53" t="e">
        <f>Table110[[#This Row],[Viento m/s]]</f>
        <v>#N/A</v>
      </c>
      <c r="F179" s="96" t="e">
        <f>VLOOKUP(Table14[[#This Row],[FECHA /HORA]],TBL_CalcDarwin[],46,0)</f>
        <v>#N/A</v>
      </c>
      <c r="G179" s="53" t="e">
        <f>VLOOKUP(Table14[[#This Row],[FECHA /HORA]],TBL_CalcDarwin[],47,0)</f>
        <v>#N/A</v>
      </c>
      <c r="H179" s="95" t="e">
        <f>VLOOKUP(Table14[[#This Row],[FECHA /HORA]],TBL_CalcDarwin[],44,0)</f>
        <v>#N/A</v>
      </c>
      <c r="I179" s="95" t="e">
        <f>VLOOKUP(Table14[[#This Row],[FECHA /HORA]],TBL_CalcDarwin[],45,0)</f>
        <v>#N/A</v>
      </c>
      <c r="J179" s="53" t="e">
        <f>Table14[[#This Row],[MW Proyectada (Barra A)]]+Table14[[#This Row],[MW Proyectada (Barra B)]]</f>
        <v>#N/A</v>
      </c>
    </row>
    <row r="180" spans="2:10" x14ac:dyDescent="0.25">
      <c r="B180" s="91">
        <f>Table110[[#This Row],[Fecha]]</f>
        <v>45619.458333332906</v>
      </c>
      <c r="C180" s="52">
        <f>Table110[[#This Row],[Hora]]</f>
        <v>7.4583333333333517</v>
      </c>
      <c r="D180" s="92">
        <f>Table14[[#This Row],[Fecha]]</f>
        <v>45619.458333332906</v>
      </c>
      <c r="E180" s="53" t="e">
        <f>Table110[[#This Row],[Viento m/s]]</f>
        <v>#N/A</v>
      </c>
      <c r="F180" s="96" t="e">
        <f>VLOOKUP(Table14[[#This Row],[FECHA /HORA]],TBL_CalcDarwin[],46,0)</f>
        <v>#N/A</v>
      </c>
      <c r="G180" s="53" t="e">
        <f>VLOOKUP(Table14[[#This Row],[FECHA /HORA]],TBL_CalcDarwin[],47,0)</f>
        <v>#N/A</v>
      </c>
      <c r="H180" s="95" t="e">
        <f>VLOOKUP(Table14[[#This Row],[FECHA /HORA]],TBL_CalcDarwin[],44,0)</f>
        <v>#N/A</v>
      </c>
      <c r="I180" s="95" t="e">
        <f>VLOOKUP(Table14[[#This Row],[FECHA /HORA]],TBL_CalcDarwin[],45,0)</f>
        <v>#N/A</v>
      </c>
      <c r="J180" s="53" t="e">
        <f>Table14[[#This Row],[MW Proyectada (Barra A)]]+Table14[[#This Row],[MW Proyectada (Barra B)]]</f>
        <v>#N/A</v>
      </c>
    </row>
    <row r="181" spans="2:10" x14ac:dyDescent="0.25">
      <c r="B181" s="91">
        <f>Table110[[#This Row],[Fecha]]</f>
        <v>45619.499999999571</v>
      </c>
      <c r="C181" s="52">
        <f>Table110[[#This Row],[Hora]]</f>
        <v>7.5000000000000187</v>
      </c>
      <c r="D181" s="92">
        <f>Table14[[#This Row],[Fecha]]</f>
        <v>45619.499999999571</v>
      </c>
      <c r="E181" s="53" t="e">
        <f>Table110[[#This Row],[Viento m/s]]</f>
        <v>#N/A</v>
      </c>
      <c r="F181" s="96" t="e">
        <f>VLOOKUP(Table14[[#This Row],[FECHA /HORA]],TBL_CalcDarwin[],46,0)</f>
        <v>#N/A</v>
      </c>
      <c r="G181" s="53" t="e">
        <f>VLOOKUP(Table14[[#This Row],[FECHA /HORA]],TBL_CalcDarwin[],47,0)</f>
        <v>#N/A</v>
      </c>
      <c r="H181" s="95" t="e">
        <f>VLOOKUP(Table14[[#This Row],[FECHA /HORA]],TBL_CalcDarwin[],44,0)</f>
        <v>#N/A</v>
      </c>
      <c r="I181" s="95" t="e">
        <f>VLOOKUP(Table14[[#This Row],[FECHA /HORA]],TBL_CalcDarwin[],45,0)</f>
        <v>#N/A</v>
      </c>
      <c r="J181" s="53" t="e">
        <f>Table14[[#This Row],[MW Proyectada (Barra A)]]+Table14[[#This Row],[MW Proyectada (Barra B)]]</f>
        <v>#N/A</v>
      </c>
    </row>
    <row r="182" spans="2:10" x14ac:dyDescent="0.25">
      <c r="B182" s="91">
        <f>Table110[[#This Row],[Fecha]]</f>
        <v>45619.541666666235</v>
      </c>
      <c r="C182" s="52">
        <f>Table110[[#This Row],[Hora]]</f>
        <v>7.5416666666666856</v>
      </c>
      <c r="D182" s="92">
        <f>Table14[[#This Row],[Fecha]]</f>
        <v>45619.541666666235</v>
      </c>
      <c r="E182" s="53" t="e">
        <f>Table110[[#This Row],[Viento m/s]]</f>
        <v>#N/A</v>
      </c>
      <c r="F182" s="96" t="e">
        <f>VLOOKUP(Table14[[#This Row],[FECHA /HORA]],TBL_CalcDarwin[],46,0)</f>
        <v>#N/A</v>
      </c>
      <c r="G182" s="53" t="e">
        <f>VLOOKUP(Table14[[#This Row],[FECHA /HORA]],TBL_CalcDarwin[],47,0)</f>
        <v>#N/A</v>
      </c>
      <c r="H182" s="95" t="e">
        <f>VLOOKUP(Table14[[#This Row],[FECHA /HORA]],TBL_CalcDarwin[],44,0)</f>
        <v>#N/A</v>
      </c>
      <c r="I182" s="95" t="e">
        <f>VLOOKUP(Table14[[#This Row],[FECHA /HORA]],TBL_CalcDarwin[],45,0)</f>
        <v>#N/A</v>
      </c>
      <c r="J182" s="53" t="e">
        <f>Table14[[#This Row],[MW Proyectada (Barra A)]]+Table14[[#This Row],[MW Proyectada (Barra B)]]</f>
        <v>#N/A</v>
      </c>
    </row>
    <row r="183" spans="2:10" x14ac:dyDescent="0.25">
      <c r="B183" s="91">
        <f>Table110[[#This Row],[Fecha]]</f>
        <v>45619.583333332899</v>
      </c>
      <c r="C183" s="52">
        <f>Table110[[#This Row],[Hora]]</f>
        <v>7.5833333333333526</v>
      </c>
      <c r="D183" s="92">
        <f>Table14[[#This Row],[Fecha]]</f>
        <v>45619.583333332899</v>
      </c>
      <c r="E183" s="53" t="e">
        <f>Table110[[#This Row],[Viento m/s]]</f>
        <v>#N/A</v>
      </c>
      <c r="F183" s="96" t="e">
        <f>VLOOKUP(Table14[[#This Row],[FECHA /HORA]],TBL_CalcDarwin[],46,0)</f>
        <v>#N/A</v>
      </c>
      <c r="G183" s="53" t="e">
        <f>VLOOKUP(Table14[[#This Row],[FECHA /HORA]],TBL_CalcDarwin[],47,0)</f>
        <v>#N/A</v>
      </c>
      <c r="H183" s="95" t="e">
        <f>VLOOKUP(Table14[[#This Row],[FECHA /HORA]],TBL_CalcDarwin[],44,0)</f>
        <v>#N/A</v>
      </c>
      <c r="I183" s="95" t="e">
        <f>VLOOKUP(Table14[[#This Row],[FECHA /HORA]],TBL_CalcDarwin[],45,0)</f>
        <v>#N/A</v>
      </c>
      <c r="J183" s="53" t="e">
        <f>Table14[[#This Row],[MW Proyectada (Barra A)]]+Table14[[#This Row],[MW Proyectada (Barra B)]]</f>
        <v>#N/A</v>
      </c>
    </row>
    <row r="184" spans="2:10" x14ac:dyDescent="0.25">
      <c r="B184" s="91">
        <f>Table110[[#This Row],[Fecha]]</f>
        <v>45619.624999999563</v>
      </c>
      <c r="C184" s="52">
        <f>Table110[[#This Row],[Hora]]</f>
        <v>7.6250000000000195</v>
      </c>
      <c r="D184" s="92">
        <f>Table14[[#This Row],[Fecha]]</f>
        <v>45619.624999999563</v>
      </c>
      <c r="E184" s="53" t="e">
        <f>Table110[[#This Row],[Viento m/s]]</f>
        <v>#N/A</v>
      </c>
      <c r="F184" s="96" t="e">
        <f>VLOOKUP(Table14[[#This Row],[FECHA /HORA]],TBL_CalcDarwin[],46,0)</f>
        <v>#N/A</v>
      </c>
      <c r="G184" s="53" t="e">
        <f>VLOOKUP(Table14[[#This Row],[FECHA /HORA]],TBL_CalcDarwin[],47,0)</f>
        <v>#N/A</v>
      </c>
      <c r="H184" s="95" t="e">
        <f>VLOOKUP(Table14[[#This Row],[FECHA /HORA]],TBL_CalcDarwin[],44,0)</f>
        <v>#N/A</v>
      </c>
      <c r="I184" s="95" t="e">
        <f>VLOOKUP(Table14[[#This Row],[FECHA /HORA]],TBL_CalcDarwin[],45,0)</f>
        <v>#N/A</v>
      </c>
      <c r="J184" s="53" t="e">
        <f>Table14[[#This Row],[MW Proyectada (Barra A)]]+Table14[[#This Row],[MW Proyectada (Barra B)]]</f>
        <v>#N/A</v>
      </c>
    </row>
    <row r="185" spans="2:10" x14ac:dyDescent="0.25">
      <c r="B185" s="91">
        <f>Table110[[#This Row],[Fecha]]</f>
        <v>45619.666666666228</v>
      </c>
      <c r="C185" s="52">
        <f>Table110[[#This Row],[Hora]]</f>
        <v>7.6666666666666865</v>
      </c>
      <c r="D185" s="92">
        <f>Table14[[#This Row],[Fecha]]</f>
        <v>45619.666666666228</v>
      </c>
      <c r="E185" s="53" t="e">
        <f>Table110[[#This Row],[Viento m/s]]</f>
        <v>#N/A</v>
      </c>
      <c r="F185" s="96" t="e">
        <f>VLOOKUP(Table14[[#This Row],[FECHA /HORA]],TBL_CalcDarwin[],46,0)</f>
        <v>#N/A</v>
      </c>
      <c r="G185" s="53" t="e">
        <f>VLOOKUP(Table14[[#This Row],[FECHA /HORA]],TBL_CalcDarwin[],47,0)</f>
        <v>#N/A</v>
      </c>
      <c r="H185" s="95" t="e">
        <f>VLOOKUP(Table14[[#This Row],[FECHA /HORA]],TBL_CalcDarwin[],44,0)</f>
        <v>#N/A</v>
      </c>
      <c r="I185" s="95" t="e">
        <f>VLOOKUP(Table14[[#This Row],[FECHA /HORA]],TBL_CalcDarwin[],45,0)</f>
        <v>#N/A</v>
      </c>
      <c r="J185" s="53" t="e">
        <f>Table14[[#This Row],[MW Proyectada (Barra A)]]+Table14[[#This Row],[MW Proyectada (Barra B)]]</f>
        <v>#N/A</v>
      </c>
    </row>
    <row r="186" spans="2:10" x14ac:dyDescent="0.25">
      <c r="B186" s="91">
        <f>Table110[[#This Row],[Fecha]]</f>
        <v>45619.708333332892</v>
      </c>
      <c r="C186" s="52">
        <f>Table110[[#This Row],[Hora]]</f>
        <v>7.7083333333333535</v>
      </c>
      <c r="D186" s="92">
        <f>Table14[[#This Row],[Fecha]]</f>
        <v>45619.708333332892</v>
      </c>
      <c r="E186" s="53" t="e">
        <f>Table110[[#This Row],[Viento m/s]]</f>
        <v>#N/A</v>
      </c>
      <c r="F186" s="96" t="e">
        <f>VLOOKUP(Table14[[#This Row],[FECHA /HORA]],TBL_CalcDarwin[],46,0)</f>
        <v>#N/A</v>
      </c>
      <c r="G186" s="53" t="e">
        <f>VLOOKUP(Table14[[#This Row],[FECHA /HORA]],TBL_CalcDarwin[],47,0)</f>
        <v>#N/A</v>
      </c>
      <c r="H186" s="95" t="e">
        <f>VLOOKUP(Table14[[#This Row],[FECHA /HORA]],TBL_CalcDarwin[],44,0)</f>
        <v>#N/A</v>
      </c>
      <c r="I186" s="95" t="e">
        <f>VLOOKUP(Table14[[#This Row],[FECHA /HORA]],TBL_CalcDarwin[],45,0)</f>
        <v>#N/A</v>
      </c>
      <c r="J186" s="53" t="e">
        <f>Table14[[#This Row],[MW Proyectada (Barra A)]]+Table14[[#This Row],[MW Proyectada (Barra B)]]</f>
        <v>#N/A</v>
      </c>
    </row>
    <row r="187" spans="2:10" x14ac:dyDescent="0.25">
      <c r="B187" s="91">
        <f>Table110[[#This Row],[Fecha]]</f>
        <v>45619.749999999556</v>
      </c>
      <c r="C187" s="52">
        <f>Table110[[#This Row],[Hora]]</f>
        <v>7.7500000000000204</v>
      </c>
      <c r="D187" s="92">
        <f>Table14[[#This Row],[Fecha]]</f>
        <v>45619.749999999556</v>
      </c>
      <c r="E187" s="53" t="e">
        <f>Table110[[#This Row],[Viento m/s]]</f>
        <v>#N/A</v>
      </c>
      <c r="F187" s="96" t="e">
        <f>VLOOKUP(Table14[[#This Row],[FECHA /HORA]],TBL_CalcDarwin[],46,0)</f>
        <v>#N/A</v>
      </c>
      <c r="G187" s="53" t="e">
        <f>VLOOKUP(Table14[[#This Row],[FECHA /HORA]],TBL_CalcDarwin[],47,0)</f>
        <v>#N/A</v>
      </c>
      <c r="H187" s="95" t="e">
        <f>VLOOKUP(Table14[[#This Row],[FECHA /HORA]],TBL_CalcDarwin[],44,0)</f>
        <v>#N/A</v>
      </c>
      <c r="I187" s="95" t="e">
        <f>VLOOKUP(Table14[[#This Row],[FECHA /HORA]],TBL_CalcDarwin[],45,0)</f>
        <v>#N/A</v>
      </c>
      <c r="J187" s="53" t="e">
        <f>Table14[[#This Row],[MW Proyectada (Barra A)]]+Table14[[#This Row],[MW Proyectada (Barra B)]]</f>
        <v>#N/A</v>
      </c>
    </row>
    <row r="188" spans="2:10" x14ac:dyDescent="0.25">
      <c r="B188" s="91">
        <f>Table110[[#This Row],[Fecha]]</f>
        <v>45619.79166666622</v>
      </c>
      <c r="C188" s="52">
        <f>Table110[[#This Row],[Hora]]</f>
        <v>7.7916666666666874</v>
      </c>
      <c r="D188" s="92">
        <f>Table14[[#This Row],[Fecha]]</f>
        <v>45619.79166666622</v>
      </c>
      <c r="E188" s="53" t="e">
        <f>Table110[[#This Row],[Viento m/s]]</f>
        <v>#N/A</v>
      </c>
      <c r="F188" s="96" t="e">
        <f>VLOOKUP(Table14[[#This Row],[FECHA /HORA]],TBL_CalcDarwin[],46,0)</f>
        <v>#N/A</v>
      </c>
      <c r="G188" s="53" t="e">
        <f>VLOOKUP(Table14[[#This Row],[FECHA /HORA]],TBL_CalcDarwin[],47,0)</f>
        <v>#N/A</v>
      </c>
      <c r="H188" s="95" t="e">
        <f>VLOOKUP(Table14[[#This Row],[FECHA /HORA]],TBL_CalcDarwin[],44,0)</f>
        <v>#N/A</v>
      </c>
      <c r="I188" s="95" t="e">
        <f>VLOOKUP(Table14[[#This Row],[FECHA /HORA]],TBL_CalcDarwin[],45,0)</f>
        <v>#N/A</v>
      </c>
      <c r="J188" s="53" t="e">
        <f>Table14[[#This Row],[MW Proyectada (Barra A)]]+Table14[[#This Row],[MW Proyectada (Barra B)]]</f>
        <v>#N/A</v>
      </c>
    </row>
    <row r="189" spans="2:10" x14ac:dyDescent="0.25">
      <c r="B189" s="91">
        <f>Table110[[#This Row],[Fecha]]</f>
        <v>45619.833333332885</v>
      </c>
      <c r="C189" s="52">
        <f>Table110[[#This Row],[Hora]]</f>
        <v>7.8333333333333544</v>
      </c>
      <c r="D189" s="92">
        <f>Table14[[#This Row],[Fecha]]</f>
        <v>45619.833333332885</v>
      </c>
      <c r="E189" s="53" t="e">
        <f>Table110[[#This Row],[Viento m/s]]</f>
        <v>#N/A</v>
      </c>
      <c r="F189" s="96" t="e">
        <f>VLOOKUP(Table14[[#This Row],[FECHA /HORA]],TBL_CalcDarwin[],46,0)</f>
        <v>#N/A</v>
      </c>
      <c r="G189" s="53" t="e">
        <f>VLOOKUP(Table14[[#This Row],[FECHA /HORA]],TBL_CalcDarwin[],47,0)</f>
        <v>#N/A</v>
      </c>
      <c r="H189" s="95" t="e">
        <f>VLOOKUP(Table14[[#This Row],[FECHA /HORA]],TBL_CalcDarwin[],44,0)</f>
        <v>#N/A</v>
      </c>
      <c r="I189" s="95" t="e">
        <f>VLOOKUP(Table14[[#This Row],[FECHA /HORA]],TBL_CalcDarwin[],45,0)</f>
        <v>#N/A</v>
      </c>
      <c r="J189" s="53" t="e">
        <f>Table14[[#This Row],[MW Proyectada (Barra A)]]+Table14[[#This Row],[MW Proyectada (Barra B)]]</f>
        <v>#N/A</v>
      </c>
    </row>
    <row r="190" spans="2:10" x14ac:dyDescent="0.25">
      <c r="B190" s="91">
        <f>Table110[[#This Row],[Fecha]]</f>
        <v>45619.874999999549</v>
      </c>
      <c r="C190" s="52">
        <f>Table110[[#This Row],[Hora]]</f>
        <v>7.8750000000000213</v>
      </c>
      <c r="D190" s="92">
        <f>Table14[[#This Row],[Fecha]]</f>
        <v>45619.874999999549</v>
      </c>
      <c r="E190" s="53" t="e">
        <f>Table110[[#This Row],[Viento m/s]]</f>
        <v>#N/A</v>
      </c>
      <c r="F190" s="96" t="e">
        <f>VLOOKUP(Table14[[#This Row],[FECHA /HORA]],TBL_CalcDarwin[],46,0)</f>
        <v>#N/A</v>
      </c>
      <c r="G190" s="53" t="e">
        <f>VLOOKUP(Table14[[#This Row],[FECHA /HORA]],TBL_CalcDarwin[],47,0)</f>
        <v>#N/A</v>
      </c>
      <c r="H190" s="95" t="e">
        <f>VLOOKUP(Table14[[#This Row],[FECHA /HORA]],TBL_CalcDarwin[],44,0)</f>
        <v>#N/A</v>
      </c>
      <c r="I190" s="95" t="e">
        <f>VLOOKUP(Table14[[#This Row],[FECHA /HORA]],TBL_CalcDarwin[],45,0)</f>
        <v>#N/A</v>
      </c>
      <c r="J190" s="53" t="e">
        <f>Table14[[#This Row],[MW Proyectada (Barra A)]]+Table14[[#This Row],[MW Proyectada (Barra B)]]</f>
        <v>#N/A</v>
      </c>
    </row>
    <row r="191" spans="2:10" x14ac:dyDescent="0.25">
      <c r="B191" s="91">
        <f>Table110[[#This Row],[Fecha]]</f>
        <v>45619.916666666213</v>
      </c>
      <c r="C191" s="52">
        <f>Table110[[#This Row],[Hora]]</f>
        <v>7.9166666666666883</v>
      </c>
      <c r="D191" s="92">
        <f>Table14[[#This Row],[Fecha]]</f>
        <v>45619.916666666213</v>
      </c>
      <c r="E191" s="53" t="e">
        <f>Table110[[#This Row],[Viento m/s]]</f>
        <v>#N/A</v>
      </c>
      <c r="F191" s="96" t="e">
        <f>VLOOKUP(Table14[[#This Row],[FECHA /HORA]],TBL_CalcDarwin[],46,0)</f>
        <v>#N/A</v>
      </c>
      <c r="G191" s="53" t="e">
        <f>VLOOKUP(Table14[[#This Row],[FECHA /HORA]],TBL_CalcDarwin[],47,0)</f>
        <v>#N/A</v>
      </c>
      <c r="H191" s="95" t="e">
        <f>VLOOKUP(Table14[[#This Row],[FECHA /HORA]],TBL_CalcDarwin[],44,0)</f>
        <v>#N/A</v>
      </c>
      <c r="I191" s="95" t="e">
        <f>VLOOKUP(Table14[[#This Row],[FECHA /HORA]],TBL_CalcDarwin[],45,0)</f>
        <v>#N/A</v>
      </c>
      <c r="J191" s="53" t="e">
        <f>Table14[[#This Row],[MW Proyectada (Barra A)]]+Table14[[#This Row],[MW Proyectada (Barra B)]]</f>
        <v>#N/A</v>
      </c>
    </row>
    <row r="192" spans="2:10" x14ac:dyDescent="0.25">
      <c r="B192" s="91">
        <f>Table110[[#This Row],[Fecha]]</f>
        <v>45619.958333332877</v>
      </c>
      <c r="C192" s="52">
        <f>Table110[[#This Row],[Hora]]</f>
        <v>7.9583333333333552</v>
      </c>
      <c r="D192" s="92">
        <f>Table14[[#This Row],[Fecha]]</f>
        <v>45619.958333332877</v>
      </c>
      <c r="E192" s="53" t="e">
        <f>Table110[[#This Row],[Viento m/s]]</f>
        <v>#N/A</v>
      </c>
      <c r="F192" s="96" t="e">
        <f>VLOOKUP(Table14[[#This Row],[FECHA /HORA]],TBL_CalcDarwin[],46,0)</f>
        <v>#N/A</v>
      </c>
      <c r="G192" s="53" t="e">
        <f>VLOOKUP(Table14[[#This Row],[FECHA /HORA]],TBL_CalcDarwin[],47,0)</f>
        <v>#N/A</v>
      </c>
      <c r="H192" s="95" t="e">
        <f>VLOOKUP(Table14[[#This Row],[FECHA /HORA]],TBL_CalcDarwin[],44,0)</f>
        <v>#N/A</v>
      </c>
      <c r="I192" s="95" t="e">
        <f>VLOOKUP(Table14[[#This Row],[FECHA /HORA]],TBL_CalcDarwin[],45,0)</f>
        <v>#N/A</v>
      </c>
      <c r="J192" s="53" t="e">
        <f>Table14[[#This Row],[MW Proyectada (Barra A)]]+Table14[[#This Row],[MW Proyectada (Barra B)]]</f>
        <v>#N/A</v>
      </c>
    </row>
    <row r="193" spans="2:10" x14ac:dyDescent="0.25">
      <c r="B193" s="91">
        <f>Table110[[#This Row],[Fecha]]</f>
        <v>45619.999999999542</v>
      </c>
      <c r="C193" s="52">
        <f>Table110[[#This Row],[Hora]]</f>
        <v>8.0000000000000213</v>
      </c>
      <c r="D193" s="92">
        <f>Table14[[#This Row],[Fecha]]</f>
        <v>45619.999999999542</v>
      </c>
      <c r="E193" s="53" t="e">
        <f>Table110[[#This Row],[Viento m/s]]</f>
        <v>#N/A</v>
      </c>
      <c r="F193" s="96" t="e">
        <f>VLOOKUP(Table14[[#This Row],[FECHA /HORA]],TBL_CalcDarwin[],46,0)</f>
        <v>#N/A</v>
      </c>
      <c r="G193" s="53" t="e">
        <f>VLOOKUP(Table14[[#This Row],[FECHA /HORA]],TBL_CalcDarwin[],47,0)</f>
        <v>#N/A</v>
      </c>
      <c r="H193" s="95" t="e">
        <f>VLOOKUP(Table14[[#This Row],[FECHA /HORA]],TBL_CalcDarwin[],44,0)</f>
        <v>#N/A</v>
      </c>
      <c r="I193" s="95" t="e">
        <f>VLOOKUP(Table14[[#This Row],[FECHA /HORA]],TBL_CalcDarwin[],45,0)</f>
        <v>#N/A</v>
      </c>
      <c r="J193" s="53" t="e">
        <f>Table14[[#This Row],[MW Proyectada (Barra A)]]+Table14[[#This Row],[MW Proyectada (Barra B)]]</f>
        <v>#N/A</v>
      </c>
    </row>
    <row r="194" spans="2:10" x14ac:dyDescent="0.25">
      <c r="B194" s="91">
        <f>Table110[[#This Row],[Fecha]]</f>
        <v>45620.041666666206</v>
      </c>
      <c r="C194" s="52">
        <f>Table110[[#This Row],[Hora]]</f>
        <v>8.0416666666666874</v>
      </c>
      <c r="D194" s="92">
        <f>Table14[[#This Row],[Fecha]]</f>
        <v>45620.041666666206</v>
      </c>
      <c r="E194" s="53" t="e">
        <f>Table110[[#This Row],[Viento m/s]]</f>
        <v>#N/A</v>
      </c>
      <c r="F194" s="97" t="e">
        <f>VLOOKUP(Table14[[#This Row],[FECHA /HORA]],TBL_CalcDarwin[],46,0)</f>
        <v>#N/A</v>
      </c>
      <c r="G194" s="53" t="e">
        <f>VLOOKUP(Table14[[#This Row],[FECHA /HORA]],TBL_CalcDarwin[],47,0)</f>
        <v>#N/A</v>
      </c>
      <c r="H194" s="95" t="e">
        <f>VLOOKUP(Table14[[#This Row],[FECHA /HORA]],TBL_CalcDarwin[],44,0)</f>
        <v>#N/A</v>
      </c>
      <c r="I194" s="95" t="e">
        <f>VLOOKUP(Table14[[#This Row],[FECHA /HORA]],TBL_CalcDarwin[],45,0)</f>
        <v>#N/A</v>
      </c>
      <c r="J194" s="53" t="e">
        <f>Table14[[#This Row],[MW Proyectada (Barra A)]]+Table14[[#This Row],[MW Proyectada (Barra B)]]</f>
        <v>#N/A</v>
      </c>
    </row>
    <row r="195" spans="2:10" x14ac:dyDescent="0.25">
      <c r="B195" s="91">
        <f>Table110[[#This Row],[Fecha]]</f>
        <v>45620.08333333287</v>
      </c>
      <c r="C195" s="52">
        <f>Table110[[#This Row],[Hora]]</f>
        <v>8.0833333333333535</v>
      </c>
      <c r="D195" s="92">
        <f>Table14[[#This Row],[Fecha]]</f>
        <v>45620.08333333287</v>
      </c>
      <c r="E195" s="53" t="e">
        <f>Table110[[#This Row],[Viento m/s]]</f>
        <v>#N/A</v>
      </c>
      <c r="F195" s="96" t="e">
        <f>VLOOKUP(Table14[[#This Row],[FECHA /HORA]],TBL_CalcDarwin[],46,0)</f>
        <v>#N/A</v>
      </c>
      <c r="G195" s="53" t="e">
        <f>VLOOKUP(Table14[[#This Row],[FECHA /HORA]],TBL_CalcDarwin[],47,0)</f>
        <v>#N/A</v>
      </c>
      <c r="H195" s="95" t="e">
        <f>VLOOKUP(Table14[[#This Row],[FECHA /HORA]],TBL_CalcDarwin[],44,0)</f>
        <v>#N/A</v>
      </c>
      <c r="I195" s="95" t="e">
        <f>VLOOKUP(Table14[[#This Row],[FECHA /HORA]],TBL_CalcDarwin[],45,0)</f>
        <v>#N/A</v>
      </c>
      <c r="J195" s="53" t="e">
        <f>Table14[[#This Row],[MW Proyectada (Barra A)]]+Table14[[#This Row],[MW Proyectada (Barra B)]]</f>
        <v>#N/A</v>
      </c>
    </row>
    <row r="196" spans="2:10" x14ac:dyDescent="0.25">
      <c r="B196" s="91">
        <f>Table110[[#This Row],[Fecha]]</f>
        <v>45620.124999999534</v>
      </c>
      <c r="C196" s="52">
        <f>Table110[[#This Row],[Hora]]</f>
        <v>8.1250000000000195</v>
      </c>
      <c r="D196" s="92">
        <f>Table14[[#This Row],[Fecha]]</f>
        <v>45620.124999999534</v>
      </c>
      <c r="E196" s="53" t="e">
        <f>Table110[[#This Row],[Viento m/s]]</f>
        <v>#N/A</v>
      </c>
      <c r="F196" s="96" t="e">
        <f>VLOOKUP(Table14[[#This Row],[FECHA /HORA]],TBL_CalcDarwin[],46,0)</f>
        <v>#N/A</v>
      </c>
      <c r="G196" s="53" t="e">
        <f>VLOOKUP(Table14[[#This Row],[FECHA /HORA]],TBL_CalcDarwin[],47,0)</f>
        <v>#N/A</v>
      </c>
      <c r="H196" s="95" t="e">
        <f>VLOOKUP(Table14[[#This Row],[FECHA /HORA]],TBL_CalcDarwin[],44,0)</f>
        <v>#N/A</v>
      </c>
      <c r="I196" s="95" t="e">
        <f>VLOOKUP(Table14[[#This Row],[FECHA /HORA]],TBL_CalcDarwin[],45,0)</f>
        <v>#N/A</v>
      </c>
      <c r="J196" s="53" t="e">
        <f>Table14[[#This Row],[MW Proyectada (Barra A)]]+Table14[[#This Row],[MW Proyectada (Barra B)]]</f>
        <v>#N/A</v>
      </c>
    </row>
    <row r="197" spans="2:10" x14ac:dyDescent="0.25">
      <c r="B197" s="91">
        <f>Table110[[#This Row],[Fecha]]</f>
        <v>45620.166666666199</v>
      </c>
      <c r="C197" s="52">
        <f>Table110[[#This Row],[Hora]]</f>
        <v>8.1666666666666856</v>
      </c>
      <c r="D197" s="92">
        <f>Table14[[#This Row],[Fecha]]</f>
        <v>45620.166666666199</v>
      </c>
      <c r="E197" s="53" t="e">
        <f>Table110[[#This Row],[Viento m/s]]</f>
        <v>#N/A</v>
      </c>
      <c r="F197" s="96" t="e">
        <f>VLOOKUP(Table14[[#This Row],[FECHA /HORA]],TBL_CalcDarwin[],46,0)</f>
        <v>#N/A</v>
      </c>
      <c r="G197" s="53" t="e">
        <f>VLOOKUP(Table14[[#This Row],[FECHA /HORA]],TBL_CalcDarwin[],47,0)</f>
        <v>#N/A</v>
      </c>
      <c r="H197" s="95" t="e">
        <f>VLOOKUP(Table14[[#This Row],[FECHA /HORA]],TBL_CalcDarwin[],44,0)</f>
        <v>#N/A</v>
      </c>
      <c r="I197" s="95" t="e">
        <f>VLOOKUP(Table14[[#This Row],[FECHA /HORA]],TBL_CalcDarwin[],45,0)</f>
        <v>#N/A</v>
      </c>
      <c r="J197" s="53" t="e">
        <f>Table14[[#This Row],[MW Proyectada (Barra A)]]+Table14[[#This Row],[MW Proyectada (Barra B)]]</f>
        <v>#N/A</v>
      </c>
    </row>
    <row r="198" spans="2:10" x14ac:dyDescent="0.25">
      <c r="B198" s="91">
        <f>Table110[[#This Row],[Fecha]]</f>
        <v>45620.208333332863</v>
      </c>
      <c r="C198" s="52">
        <f>Table110[[#This Row],[Hora]]</f>
        <v>8.2083333333333517</v>
      </c>
      <c r="D198" s="92">
        <f>Table14[[#This Row],[Fecha]]</f>
        <v>45620.208333332863</v>
      </c>
      <c r="E198" s="53" t="e">
        <f>Table110[[#This Row],[Viento m/s]]</f>
        <v>#N/A</v>
      </c>
      <c r="F198" s="96" t="e">
        <f>VLOOKUP(Table14[[#This Row],[FECHA /HORA]],TBL_CalcDarwin[],46,0)</f>
        <v>#N/A</v>
      </c>
      <c r="G198" s="53" t="e">
        <f>VLOOKUP(Table14[[#This Row],[FECHA /HORA]],TBL_CalcDarwin[],47,0)</f>
        <v>#N/A</v>
      </c>
      <c r="H198" s="95" t="e">
        <f>VLOOKUP(Table14[[#This Row],[FECHA /HORA]],TBL_CalcDarwin[],44,0)</f>
        <v>#N/A</v>
      </c>
      <c r="I198" s="95" t="e">
        <f>VLOOKUP(Table14[[#This Row],[FECHA /HORA]],TBL_CalcDarwin[],45,0)</f>
        <v>#N/A</v>
      </c>
      <c r="J198" s="53" t="e">
        <f>Table14[[#This Row],[MW Proyectada (Barra A)]]+Table14[[#This Row],[MW Proyectada (Barra B)]]</f>
        <v>#N/A</v>
      </c>
    </row>
    <row r="199" spans="2:10" x14ac:dyDescent="0.25">
      <c r="B199" s="91">
        <f>Table110[[#This Row],[Fecha]]</f>
        <v>45620.249999999527</v>
      </c>
      <c r="C199" s="52">
        <f>Table110[[#This Row],[Hora]]</f>
        <v>8.2500000000000178</v>
      </c>
      <c r="D199" s="92">
        <f>Table14[[#This Row],[Fecha]]</f>
        <v>45620.249999999527</v>
      </c>
      <c r="E199" s="53" t="e">
        <f>Table110[[#This Row],[Viento m/s]]</f>
        <v>#N/A</v>
      </c>
      <c r="F199" s="96" t="e">
        <f>VLOOKUP(Table14[[#This Row],[FECHA /HORA]],TBL_CalcDarwin[],46,0)</f>
        <v>#N/A</v>
      </c>
      <c r="G199" s="53" t="e">
        <f>VLOOKUP(Table14[[#This Row],[FECHA /HORA]],TBL_CalcDarwin[],47,0)</f>
        <v>#N/A</v>
      </c>
      <c r="H199" s="95" t="e">
        <f>VLOOKUP(Table14[[#This Row],[FECHA /HORA]],TBL_CalcDarwin[],44,0)</f>
        <v>#N/A</v>
      </c>
      <c r="I199" s="95" t="e">
        <f>VLOOKUP(Table14[[#This Row],[FECHA /HORA]],TBL_CalcDarwin[],45,0)</f>
        <v>#N/A</v>
      </c>
      <c r="J199" s="53" t="e">
        <f>Table14[[#This Row],[MW Proyectada (Barra A)]]+Table14[[#This Row],[MW Proyectada (Barra B)]]</f>
        <v>#N/A</v>
      </c>
    </row>
    <row r="200" spans="2:10" x14ac:dyDescent="0.25">
      <c r="B200" s="91">
        <f>Table110[[#This Row],[Fecha]]</f>
        <v>45620.291666666191</v>
      </c>
      <c r="C200" s="52">
        <f>Table110[[#This Row],[Hora]]</f>
        <v>8.2916666666666838</v>
      </c>
      <c r="D200" s="92">
        <f>Table14[[#This Row],[Fecha]]</f>
        <v>45620.291666666191</v>
      </c>
      <c r="E200" s="53" t="e">
        <f>Table110[[#This Row],[Viento m/s]]</f>
        <v>#N/A</v>
      </c>
      <c r="F200" s="96" t="e">
        <f>VLOOKUP(Table14[[#This Row],[FECHA /HORA]],TBL_CalcDarwin[],46,0)</f>
        <v>#N/A</v>
      </c>
      <c r="G200" s="53" t="e">
        <f>VLOOKUP(Table14[[#This Row],[FECHA /HORA]],TBL_CalcDarwin[],47,0)</f>
        <v>#N/A</v>
      </c>
      <c r="H200" s="95" t="e">
        <f>VLOOKUP(Table14[[#This Row],[FECHA /HORA]],TBL_CalcDarwin[],44,0)</f>
        <v>#N/A</v>
      </c>
      <c r="I200" s="95" t="e">
        <f>VLOOKUP(Table14[[#This Row],[FECHA /HORA]],TBL_CalcDarwin[],45,0)</f>
        <v>#N/A</v>
      </c>
      <c r="J200" s="53" t="e">
        <f>Table14[[#This Row],[MW Proyectada (Barra A)]]+Table14[[#This Row],[MW Proyectada (Barra B)]]</f>
        <v>#N/A</v>
      </c>
    </row>
    <row r="201" spans="2:10" x14ac:dyDescent="0.25">
      <c r="B201" s="91">
        <f>Table110[[#This Row],[Fecha]]</f>
        <v>45620.333333332856</v>
      </c>
      <c r="C201" s="52">
        <f>Table110[[#This Row],[Hora]]</f>
        <v>8.3333333333333499</v>
      </c>
      <c r="D201" s="92">
        <f>Table14[[#This Row],[Fecha]]</f>
        <v>45620.333333332856</v>
      </c>
      <c r="E201" s="53" t="e">
        <f>Table110[[#This Row],[Viento m/s]]</f>
        <v>#N/A</v>
      </c>
      <c r="F201" s="96" t="e">
        <f>VLOOKUP(Table14[[#This Row],[FECHA /HORA]],TBL_CalcDarwin[],46,0)</f>
        <v>#N/A</v>
      </c>
      <c r="G201" s="53" t="e">
        <f>VLOOKUP(Table14[[#This Row],[FECHA /HORA]],TBL_CalcDarwin[],47,0)</f>
        <v>#N/A</v>
      </c>
      <c r="H201" s="95" t="e">
        <f>VLOOKUP(Table14[[#This Row],[FECHA /HORA]],TBL_CalcDarwin[],44,0)</f>
        <v>#N/A</v>
      </c>
      <c r="I201" s="95" t="e">
        <f>VLOOKUP(Table14[[#This Row],[FECHA /HORA]],TBL_CalcDarwin[],45,0)</f>
        <v>#N/A</v>
      </c>
      <c r="J201" s="53" t="e">
        <f>Table14[[#This Row],[MW Proyectada (Barra A)]]+Table14[[#This Row],[MW Proyectada (Barra B)]]</f>
        <v>#N/A</v>
      </c>
    </row>
    <row r="202" spans="2:10" x14ac:dyDescent="0.25">
      <c r="B202" s="91">
        <f>Table110[[#This Row],[Fecha]]</f>
        <v>45620.37499999952</v>
      </c>
      <c r="C202" s="52">
        <f>Table110[[#This Row],[Hora]]</f>
        <v>8.375000000000016</v>
      </c>
      <c r="D202" s="92">
        <f>Table14[[#This Row],[Fecha]]</f>
        <v>45620.37499999952</v>
      </c>
      <c r="E202" s="53" t="e">
        <f>Table110[[#This Row],[Viento m/s]]</f>
        <v>#N/A</v>
      </c>
      <c r="F202" s="96" t="e">
        <f>VLOOKUP(Table14[[#This Row],[FECHA /HORA]],TBL_CalcDarwin[],46,0)</f>
        <v>#N/A</v>
      </c>
      <c r="G202" s="53" t="e">
        <f>VLOOKUP(Table14[[#This Row],[FECHA /HORA]],TBL_CalcDarwin[],47,0)</f>
        <v>#N/A</v>
      </c>
      <c r="H202" s="95" t="e">
        <f>VLOOKUP(Table14[[#This Row],[FECHA /HORA]],TBL_CalcDarwin[],44,0)</f>
        <v>#N/A</v>
      </c>
      <c r="I202" s="95" t="e">
        <f>VLOOKUP(Table14[[#This Row],[FECHA /HORA]],TBL_CalcDarwin[],45,0)</f>
        <v>#N/A</v>
      </c>
      <c r="J202" s="53" t="e">
        <f>Table14[[#This Row],[MW Proyectada (Barra A)]]+Table14[[#This Row],[MW Proyectada (Barra B)]]</f>
        <v>#N/A</v>
      </c>
    </row>
    <row r="203" spans="2:10" x14ac:dyDescent="0.25">
      <c r="B203" s="91">
        <f>Table110[[#This Row],[Fecha]]</f>
        <v>45620.416666666184</v>
      </c>
      <c r="C203" s="52">
        <f>Table110[[#This Row],[Hora]]</f>
        <v>8.4166666666666821</v>
      </c>
      <c r="D203" s="92">
        <f>Table14[[#This Row],[Fecha]]</f>
        <v>45620.416666666184</v>
      </c>
      <c r="E203" s="53" t="e">
        <f>Table110[[#This Row],[Viento m/s]]</f>
        <v>#N/A</v>
      </c>
      <c r="F203" s="96" t="e">
        <f>VLOOKUP(Table14[[#This Row],[FECHA /HORA]],TBL_CalcDarwin[],46,0)</f>
        <v>#N/A</v>
      </c>
      <c r="G203" s="53" t="e">
        <f>VLOOKUP(Table14[[#This Row],[FECHA /HORA]],TBL_CalcDarwin[],47,0)</f>
        <v>#N/A</v>
      </c>
      <c r="H203" s="95" t="e">
        <f>VLOOKUP(Table14[[#This Row],[FECHA /HORA]],TBL_CalcDarwin[],44,0)</f>
        <v>#N/A</v>
      </c>
      <c r="I203" s="95" t="e">
        <f>VLOOKUP(Table14[[#This Row],[FECHA /HORA]],TBL_CalcDarwin[],45,0)</f>
        <v>#N/A</v>
      </c>
      <c r="J203" s="53" t="e">
        <f>Table14[[#This Row],[MW Proyectada (Barra A)]]+Table14[[#This Row],[MW Proyectada (Barra B)]]</f>
        <v>#N/A</v>
      </c>
    </row>
    <row r="204" spans="2:10" x14ac:dyDescent="0.25">
      <c r="B204" s="91">
        <f>Table110[[#This Row],[Fecha]]</f>
        <v>45620.458333332848</v>
      </c>
      <c r="C204" s="52">
        <f>Table110[[#This Row],[Hora]]</f>
        <v>8.4583333333333481</v>
      </c>
      <c r="D204" s="92">
        <f>Table14[[#This Row],[Fecha]]</f>
        <v>45620.458333332848</v>
      </c>
      <c r="E204" s="53" t="e">
        <f>Table110[[#This Row],[Viento m/s]]</f>
        <v>#N/A</v>
      </c>
      <c r="F204" s="96" t="e">
        <f>VLOOKUP(Table14[[#This Row],[FECHA /HORA]],TBL_CalcDarwin[],46,0)</f>
        <v>#N/A</v>
      </c>
      <c r="G204" s="53" t="e">
        <f>VLOOKUP(Table14[[#This Row],[FECHA /HORA]],TBL_CalcDarwin[],47,0)</f>
        <v>#N/A</v>
      </c>
      <c r="H204" s="95" t="e">
        <f>VLOOKUP(Table14[[#This Row],[FECHA /HORA]],TBL_CalcDarwin[],44,0)</f>
        <v>#N/A</v>
      </c>
      <c r="I204" s="95" t="e">
        <f>VLOOKUP(Table14[[#This Row],[FECHA /HORA]],TBL_CalcDarwin[],45,0)</f>
        <v>#N/A</v>
      </c>
      <c r="J204" s="53" t="e">
        <f>Table14[[#This Row],[MW Proyectada (Barra A)]]+Table14[[#This Row],[MW Proyectada (Barra B)]]</f>
        <v>#N/A</v>
      </c>
    </row>
    <row r="205" spans="2:10" x14ac:dyDescent="0.25">
      <c r="B205" s="91">
        <f>Table110[[#This Row],[Fecha]]</f>
        <v>45620.499999999513</v>
      </c>
      <c r="C205" s="52">
        <f>Table110[[#This Row],[Hora]]</f>
        <v>8.5000000000000142</v>
      </c>
      <c r="D205" s="92">
        <f>Table14[[#This Row],[Fecha]]</f>
        <v>45620.499999999513</v>
      </c>
      <c r="E205" s="53" t="e">
        <f>Table110[[#This Row],[Viento m/s]]</f>
        <v>#N/A</v>
      </c>
      <c r="F205" s="96" t="e">
        <f>VLOOKUP(Table14[[#This Row],[FECHA /HORA]],TBL_CalcDarwin[],46,0)</f>
        <v>#N/A</v>
      </c>
      <c r="G205" s="53" t="e">
        <f>VLOOKUP(Table14[[#This Row],[FECHA /HORA]],TBL_CalcDarwin[],47,0)</f>
        <v>#N/A</v>
      </c>
      <c r="H205" s="95" t="e">
        <f>VLOOKUP(Table14[[#This Row],[FECHA /HORA]],TBL_CalcDarwin[],44,0)</f>
        <v>#N/A</v>
      </c>
      <c r="I205" s="95" t="e">
        <f>VLOOKUP(Table14[[#This Row],[FECHA /HORA]],TBL_CalcDarwin[],45,0)</f>
        <v>#N/A</v>
      </c>
      <c r="J205" s="53" t="e">
        <f>Table14[[#This Row],[MW Proyectada (Barra A)]]+Table14[[#This Row],[MW Proyectada (Barra B)]]</f>
        <v>#N/A</v>
      </c>
    </row>
    <row r="206" spans="2:10" x14ac:dyDescent="0.25">
      <c r="B206" s="91">
        <f>Table110[[#This Row],[Fecha]]</f>
        <v>45620.541666666177</v>
      </c>
      <c r="C206" s="52">
        <f>Table110[[#This Row],[Hora]]</f>
        <v>8.5416666666666803</v>
      </c>
      <c r="D206" s="92">
        <f>Table14[[#This Row],[Fecha]]</f>
        <v>45620.541666666177</v>
      </c>
      <c r="E206" s="53" t="e">
        <f>Table110[[#This Row],[Viento m/s]]</f>
        <v>#N/A</v>
      </c>
      <c r="F206" s="96" t="e">
        <f>VLOOKUP(Table14[[#This Row],[FECHA /HORA]],TBL_CalcDarwin[],46,0)</f>
        <v>#N/A</v>
      </c>
      <c r="G206" s="53" t="e">
        <f>VLOOKUP(Table14[[#This Row],[FECHA /HORA]],TBL_CalcDarwin[],47,0)</f>
        <v>#N/A</v>
      </c>
      <c r="H206" s="95" t="e">
        <f>VLOOKUP(Table14[[#This Row],[FECHA /HORA]],TBL_CalcDarwin[],44,0)</f>
        <v>#N/A</v>
      </c>
      <c r="I206" s="95" t="e">
        <f>VLOOKUP(Table14[[#This Row],[FECHA /HORA]],TBL_CalcDarwin[],45,0)</f>
        <v>#N/A</v>
      </c>
      <c r="J206" s="53" t="e">
        <f>Table14[[#This Row],[MW Proyectada (Barra A)]]+Table14[[#This Row],[MW Proyectada (Barra B)]]</f>
        <v>#N/A</v>
      </c>
    </row>
    <row r="207" spans="2:10" x14ac:dyDescent="0.25">
      <c r="B207" s="91">
        <f>Table110[[#This Row],[Fecha]]</f>
        <v>45620.583333332841</v>
      </c>
      <c r="C207" s="52">
        <f>Table110[[#This Row],[Hora]]</f>
        <v>8.5833333333333464</v>
      </c>
      <c r="D207" s="92">
        <f>Table14[[#This Row],[Fecha]]</f>
        <v>45620.583333332841</v>
      </c>
      <c r="E207" s="53" t="e">
        <f>Table110[[#This Row],[Viento m/s]]</f>
        <v>#N/A</v>
      </c>
      <c r="F207" s="96" t="e">
        <f>VLOOKUP(Table14[[#This Row],[FECHA /HORA]],TBL_CalcDarwin[],46,0)</f>
        <v>#N/A</v>
      </c>
      <c r="G207" s="53" t="e">
        <f>VLOOKUP(Table14[[#This Row],[FECHA /HORA]],TBL_CalcDarwin[],47,0)</f>
        <v>#N/A</v>
      </c>
      <c r="H207" s="95" t="e">
        <f>VLOOKUP(Table14[[#This Row],[FECHA /HORA]],TBL_CalcDarwin[],44,0)</f>
        <v>#N/A</v>
      </c>
      <c r="I207" s="95" t="e">
        <f>VLOOKUP(Table14[[#This Row],[FECHA /HORA]],TBL_CalcDarwin[],45,0)</f>
        <v>#N/A</v>
      </c>
      <c r="J207" s="53" t="e">
        <f>Table14[[#This Row],[MW Proyectada (Barra A)]]+Table14[[#This Row],[MW Proyectada (Barra B)]]</f>
        <v>#N/A</v>
      </c>
    </row>
    <row r="208" spans="2:10" x14ac:dyDescent="0.25">
      <c r="B208" s="91">
        <f>Table110[[#This Row],[Fecha]]</f>
        <v>45620.624999999505</v>
      </c>
      <c r="C208" s="52">
        <f>Table110[[#This Row],[Hora]]</f>
        <v>8.6250000000000124</v>
      </c>
      <c r="D208" s="92">
        <f>Table14[[#This Row],[Fecha]]</f>
        <v>45620.624999999505</v>
      </c>
      <c r="E208" s="53" t="e">
        <f>Table110[[#This Row],[Viento m/s]]</f>
        <v>#N/A</v>
      </c>
      <c r="F208" s="96" t="e">
        <f>VLOOKUP(Table14[[#This Row],[FECHA /HORA]],TBL_CalcDarwin[],46,0)</f>
        <v>#N/A</v>
      </c>
      <c r="G208" s="53" t="e">
        <f>VLOOKUP(Table14[[#This Row],[FECHA /HORA]],TBL_CalcDarwin[],47,0)</f>
        <v>#N/A</v>
      </c>
      <c r="H208" s="95" t="e">
        <f>VLOOKUP(Table14[[#This Row],[FECHA /HORA]],TBL_CalcDarwin[],44,0)</f>
        <v>#N/A</v>
      </c>
      <c r="I208" s="95" t="e">
        <f>VLOOKUP(Table14[[#This Row],[FECHA /HORA]],TBL_CalcDarwin[],45,0)</f>
        <v>#N/A</v>
      </c>
      <c r="J208" s="53" t="e">
        <f>Table14[[#This Row],[MW Proyectada (Barra A)]]+Table14[[#This Row],[MW Proyectada (Barra B)]]</f>
        <v>#N/A</v>
      </c>
    </row>
    <row r="209" spans="2:10" x14ac:dyDescent="0.25">
      <c r="B209" s="91">
        <f>Table110[[#This Row],[Fecha]]</f>
        <v>45620.666666666169</v>
      </c>
      <c r="C209" s="52">
        <f>Table110[[#This Row],[Hora]]</f>
        <v>8.6666666666666785</v>
      </c>
      <c r="D209" s="92">
        <f>Table14[[#This Row],[Fecha]]</f>
        <v>45620.666666666169</v>
      </c>
      <c r="E209" s="53" t="e">
        <f>Table110[[#This Row],[Viento m/s]]</f>
        <v>#N/A</v>
      </c>
      <c r="F209" s="96" t="e">
        <f>VLOOKUP(Table14[[#This Row],[FECHA /HORA]],TBL_CalcDarwin[],46,0)</f>
        <v>#N/A</v>
      </c>
      <c r="G209" s="53" t="e">
        <f>VLOOKUP(Table14[[#This Row],[FECHA /HORA]],TBL_CalcDarwin[],47,0)</f>
        <v>#N/A</v>
      </c>
      <c r="H209" s="95" t="e">
        <f>VLOOKUP(Table14[[#This Row],[FECHA /HORA]],TBL_CalcDarwin[],44,0)</f>
        <v>#N/A</v>
      </c>
      <c r="I209" s="95" t="e">
        <f>VLOOKUP(Table14[[#This Row],[FECHA /HORA]],TBL_CalcDarwin[],45,0)</f>
        <v>#N/A</v>
      </c>
      <c r="J209" s="53" t="e">
        <f>Table14[[#This Row],[MW Proyectada (Barra A)]]+Table14[[#This Row],[MW Proyectada (Barra B)]]</f>
        <v>#N/A</v>
      </c>
    </row>
    <row r="210" spans="2:10" x14ac:dyDescent="0.25">
      <c r="B210" s="91">
        <f>Table110[[#This Row],[Fecha]]</f>
        <v>45620.708333332834</v>
      </c>
      <c r="C210" s="52">
        <f>Table110[[#This Row],[Hora]]</f>
        <v>8.7083333333333446</v>
      </c>
      <c r="D210" s="92">
        <f>Table14[[#This Row],[Fecha]]</f>
        <v>45620.708333332834</v>
      </c>
      <c r="E210" s="53" t="e">
        <f>Table110[[#This Row],[Viento m/s]]</f>
        <v>#N/A</v>
      </c>
      <c r="F210" s="96" t="e">
        <f>VLOOKUP(Table14[[#This Row],[FECHA /HORA]],TBL_CalcDarwin[],46,0)</f>
        <v>#N/A</v>
      </c>
      <c r="G210" s="53" t="e">
        <f>VLOOKUP(Table14[[#This Row],[FECHA /HORA]],TBL_CalcDarwin[],47,0)</f>
        <v>#N/A</v>
      </c>
      <c r="H210" s="95" t="e">
        <f>VLOOKUP(Table14[[#This Row],[FECHA /HORA]],TBL_CalcDarwin[],44,0)</f>
        <v>#N/A</v>
      </c>
      <c r="I210" s="95" t="e">
        <f>VLOOKUP(Table14[[#This Row],[FECHA /HORA]],TBL_CalcDarwin[],45,0)</f>
        <v>#N/A</v>
      </c>
      <c r="J210" s="53" t="e">
        <f>Table14[[#This Row],[MW Proyectada (Barra A)]]+Table14[[#This Row],[MW Proyectada (Barra B)]]</f>
        <v>#N/A</v>
      </c>
    </row>
    <row r="211" spans="2:10" x14ac:dyDescent="0.25">
      <c r="B211" s="91">
        <f>Table110[[#This Row],[Fecha]]</f>
        <v>45620.749999999498</v>
      </c>
      <c r="C211" s="52">
        <f>Table110[[#This Row],[Hora]]</f>
        <v>8.7500000000000107</v>
      </c>
      <c r="D211" s="92">
        <f>Table14[[#This Row],[Fecha]]</f>
        <v>45620.749999999498</v>
      </c>
      <c r="E211" s="53" t="e">
        <f>Table110[[#This Row],[Viento m/s]]</f>
        <v>#N/A</v>
      </c>
      <c r="F211" s="96" t="e">
        <f>VLOOKUP(Table14[[#This Row],[FECHA /HORA]],TBL_CalcDarwin[],46,0)</f>
        <v>#N/A</v>
      </c>
      <c r="G211" s="53" t="e">
        <f>VLOOKUP(Table14[[#This Row],[FECHA /HORA]],TBL_CalcDarwin[],47,0)</f>
        <v>#N/A</v>
      </c>
      <c r="H211" s="95" t="e">
        <f>VLOOKUP(Table14[[#This Row],[FECHA /HORA]],TBL_CalcDarwin[],44,0)</f>
        <v>#N/A</v>
      </c>
      <c r="I211" s="95" t="e">
        <f>VLOOKUP(Table14[[#This Row],[FECHA /HORA]],TBL_CalcDarwin[],45,0)</f>
        <v>#N/A</v>
      </c>
      <c r="J211" s="53" t="e">
        <f>Table14[[#This Row],[MW Proyectada (Barra A)]]+Table14[[#This Row],[MW Proyectada (Barra B)]]</f>
        <v>#N/A</v>
      </c>
    </row>
    <row r="212" spans="2:10" x14ac:dyDescent="0.25">
      <c r="B212" s="91">
        <f>Table110[[#This Row],[Fecha]]</f>
        <v>45620.791666666162</v>
      </c>
      <c r="C212" s="52">
        <f>Table110[[#This Row],[Hora]]</f>
        <v>8.7916666666666767</v>
      </c>
      <c r="D212" s="92">
        <f>Table14[[#This Row],[Fecha]]</f>
        <v>45620.791666666162</v>
      </c>
      <c r="E212" s="53" t="e">
        <f>Table110[[#This Row],[Viento m/s]]</f>
        <v>#N/A</v>
      </c>
      <c r="F212" s="96" t="e">
        <f>VLOOKUP(Table14[[#This Row],[FECHA /HORA]],TBL_CalcDarwin[],46,0)</f>
        <v>#N/A</v>
      </c>
      <c r="G212" s="53" t="e">
        <f>VLOOKUP(Table14[[#This Row],[FECHA /HORA]],TBL_CalcDarwin[],47,0)</f>
        <v>#N/A</v>
      </c>
      <c r="H212" s="95" t="e">
        <f>VLOOKUP(Table14[[#This Row],[FECHA /HORA]],TBL_CalcDarwin[],44,0)</f>
        <v>#N/A</v>
      </c>
      <c r="I212" s="95" t="e">
        <f>VLOOKUP(Table14[[#This Row],[FECHA /HORA]],TBL_CalcDarwin[],45,0)</f>
        <v>#N/A</v>
      </c>
      <c r="J212" s="53" t="e">
        <f>Table14[[#This Row],[MW Proyectada (Barra A)]]+Table14[[#This Row],[MW Proyectada (Barra B)]]</f>
        <v>#N/A</v>
      </c>
    </row>
    <row r="213" spans="2:10" x14ac:dyDescent="0.25">
      <c r="B213" s="91">
        <f>Table110[[#This Row],[Fecha]]</f>
        <v>45620.833333332826</v>
      </c>
      <c r="C213" s="52">
        <f>Table110[[#This Row],[Hora]]</f>
        <v>8.8333333333333428</v>
      </c>
      <c r="D213" s="92">
        <f>Table14[[#This Row],[Fecha]]</f>
        <v>45620.833333332826</v>
      </c>
      <c r="E213" s="53" t="e">
        <f>Table110[[#This Row],[Viento m/s]]</f>
        <v>#N/A</v>
      </c>
      <c r="F213" s="96" t="e">
        <f>VLOOKUP(Table14[[#This Row],[FECHA /HORA]],TBL_CalcDarwin[],46,0)</f>
        <v>#N/A</v>
      </c>
      <c r="G213" s="53" t="e">
        <f>VLOOKUP(Table14[[#This Row],[FECHA /HORA]],TBL_CalcDarwin[],47,0)</f>
        <v>#N/A</v>
      </c>
      <c r="H213" s="95" t="e">
        <f>VLOOKUP(Table14[[#This Row],[FECHA /HORA]],TBL_CalcDarwin[],44,0)</f>
        <v>#N/A</v>
      </c>
      <c r="I213" s="95" t="e">
        <f>VLOOKUP(Table14[[#This Row],[FECHA /HORA]],TBL_CalcDarwin[],45,0)</f>
        <v>#N/A</v>
      </c>
      <c r="J213" s="53" t="e">
        <f>Table14[[#This Row],[MW Proyectada (Barra A)]]+Table14[[#This Row],[MW Proyectada (Barra B)]]</f>
        <v>#N/A</v>
      </c>
    </row>
    <row r="214" spans="2:10" x14ac:dyDescent="0.25">
      <c r="B214" s="91">
        <f>Table110[[#This Row],[Fecha]]</f>
        <v>45620.874999999491</v>
      </c>
      <c r="C214" s="52">
        <f>Table110[[#This Row],[Hora]]</f>
        <v>8.8750000000000089</v>
      </c>
      <c r="D214" s="92">
        <f>Table14[[#This Row],[Fecha]]</f>
        <v>45620.874999999491</v>
      </c>
      <c r="E214" s="53" t="e">
        <f>Table110[[#This Row],[Viento m/s]]</f>
        <v>#N/A</v>
      </c>
      <c r="F214" s="96" t="e">
        <f>VLOOKUP(Table14[[#This Row],[FECHA /HORA]],TBL_CalcDarwin[],46,0)</f>
        <v>#N/A</v>
      </c>
      <c r="G214" s="53" t="e">
        <f>VLOOKUP(Table14[[#This Row],[FECHA /HORA]],TBL_CalcDarwin[],47,0)</f>
        <v>#N/A</v>
      </c>
      <c r="H214" s="95" t="e">
        <f>VLOOKUP(Table14[[#This Row],[FECHA /HORA]],TBL_CalcDarwin[],44,0)</f>
        <v>#N/A</v>
      </c>
      <c r="I214" s="95" t="e">
        <f>VLOOKUP(Table14[[#This Row],[FECHA /HORA]],TBL_CalcDarwin[],45,0)</f>
        <v>#N/A</v>
      </c>
      <c r="J214" s="53" t="e">
        <f>Table14[[#This Row],[MW Proyectada (Barra A)]]+Table14[[#This Row],[MW Proyectada (Barra B)]]</f>
        <v>#N/A</v>
      </c>
    </row>
    <row r="215" spans="2:10" x14ac:dyDescent="0.25">
      <c r="B215" s="91">
        <f>Table110[[#This Row],[Fecha]]</f>
        <v>45620.916666666155</v>
      </c>
      <c r="C215" s="52">
        <f>Table110[[#This Row],[Hora]]</f>
        <v>8.916666666666675</v>
      </c>
      <c r="D215" s="92">
        <f>Table14[[#This Row],[Fecha]]</f>
        <v>45620.916666666155</v>
      </c>
      <c r="E215" s="53" t="e">
        <f>Table110[[#This Row],[Viento m/s]]</f>
        <v>#N/A</v>
      </c>
      <c r="F215" s="96" t="e">
        <f>VLOOKUP(Table14[[#This Row],[FECHA /HORA]],TBL_CalcDarwin[],46,0)</f>
        <v>#N/A</v>
      </c>
      <c r="G215" s="53" t="e">
        <f>VLOOKUP(Table14[[#This Row],[FECHA /HORA]],TBL_CalcDarwin[],47,0)</f>
        <v>#N/A</v>
      </c>
      <c r="H215" s="95" t="e">
        <f>VLOOKUP(Table14[[#This Row],[FECHA /HORA]],TBL_CalcDarwin[],44,0)</f>
        <v>#N/A</v>
      </c>
      <c r="I215" s="95" t="e">
        <f>VLOOKUP(Table14[[#This Row],[FECHA /HORA]],TBL_CalcDarwin[],45,0)</f>
        <v>#N/A</v>
      </c>
      <c r="J215" s="53" t="e">
        <f>Table14[[#This Row],[MW Proyectada (Barra A)]]+Table14[[#This Row],[MW Proyectada (Barra B)]]</f>
        <v>#N/A</v>
      </c>
    </row>
    <row r="216" spans="2:10" x14ac:dyDescent="0.25">
      <c r="B216" s="91">
        <f>Table110[[#This Row],[Fecha]]</f>
        <v>45620.958333332819</v>
      </c>
      <c r="C216" s="52">
        <f>Table110[[#This Row],[Hora]]</f>
        <v>8.958333333333341</v>
      </c>
      <c r="D216" s="92">
        <f>Table14[[#This Row],[Fecha]]</f>
        <v>45620.958333332819</v>
      </c>
      <c r="E216" s="53" t="e">
        <f>Table110[[#This Row],[Viento m/s]]</f>
        <v>#N/A</v>
      </c>
      <c r="F216" s="96" t="e">
        <f>VLOOKUP(Table14[[#This Row],[FECHA /HORA]],TBL_CalcDarwin[],46,0)</f>
        <v>#N/A</v>
      </c>
      <c r="G216" s="53" t="e">
        <f>VLOOKUP(Table14[[#This Row],[FECHA /HORA]],TBL_CalcDarwin[],47,0)</f>
        <v>#N/A</v>
      </c>
      <c r="H216" s="95" t="e">
        <f>VLOOKUP(Table14[[#This Row],[FECHA /HORA]],TBL_CalcDarwin[],44,0)</f>
        <v>#N/A</v>
      </c>
      <c r="I216" s="95" t="e">
        <f>VLOOKUP(Table14[[#This Row],[FECHA /HORA]],TBL_CalcDarwin[],45,0)</f>
        <v>#N/A</v>
      </c>
      <c r="J216" s="53" t="e">
        <f>Table14[[#This Row],[MW Proyectada (Barra A)]]+Table14[[#This Row],[MW Proyectada (Barra B)]]</f>
        <v>#N/A</v>
      </c>
    </row>
    <row r="217" spans="2:10" x14ac:dyDescent="0.25">
      <c r="B217" s="91">
        <f>Table110[[#This Row],[Fecha]]</f>
        <v>45620.999999999483</v>
      </c>
      <c r="C217" s="52">
        <f>Table110[[#This Row],[Hora]]</f>
        <v>9.0000000000000071</v>
      </c>
      <c r="D217" s="92">
        <f>Table14[[#This Row],[Fecha]]</f>
        <v>45620.999999999483</v>
      </c>
      <c r="E217" s="53" t="e">
        <f>Table110[[#This Row],[Viento m/s]]</f>
        <v>#N/A</v>
      </c>
      <c r="F217" s="96" t="e">
        <f>VLOOKUP(Table14[[#This Row],[FECHA /HORA]],TBL_CalcDarwin[],46,0)</f>
        <v>#N/A</v>
      </c>
      <c r="G217" s="53" t="e">
        <f>VLOOKUP(Table14[[#This Row],[FECHA /HORA]],TBL_CalcDarwin[],47,0)</f>
        <v>#N/A</v>
      </c>
      <c r="H217" s="95" t="e">
        <f>VLOOKUP(Table14[[#This Row],[FECHA /HORA]],TBL_CalcDarwin[],44,0)</f>
        <v>#N/A</v>
      </c>
      <c r="I217" s="95" t="e">
        <f>VLOOKUP(Table14[[#This Row],[FECHA /HORA]],TBL_CalcDarwin[],45,0)</f>
        <v>#N/A</v>
      </c>
      <c r="J217" s="53" t="e">
        <f>Table14[[#This Row],[MW Proyectada (Barra A)]]+Table14[[#This Row],[MW Proyectada (Barra B)]]</f>
        <v>#N/A</v>
      </c>
    </row>
    <row r="218" spans="2:10" x14ac:dyDescent="0.25">
      <c r="B218" s="91">
        <f>Table110[[#This Row],[Fecha]]</f>
        <v>45621.041666666148</v>
      </c>
      <c r="C218" s="52">
        <f>Table110[[#This Row],[Hora]]</f>
        <v>9.0416666666666732</v>
      </c>
      <c r="D218" s="92">
        <f>Table14[[#This Row],[Fecha]]</f>
        <v>45621.041666666148</v>
      </c>
      <c r="E218" s="53" t="e">
        <f>Table110[[#This Row],[Viento m/s]]</f>
        <v>#N/A</v>
      </c>
      <c r="F218" s="96" t="e">
        <f>VLOOKUP(Table14[[#This Row],[FECHA /HORA]],TBL_CalcDarwin[],46,0)</f>
        <v>#N/A</v>
      </c>
      <c r="G218" s="53" t="e">
        <f>VLOOKUP(Table14[[#This Row],[FECHA /HORA]],TBL_CalcDarwin[],47,0)</f>
        <v>#N/A</v>
      </c>
      <c r="H218" s="95" t="e">
        <f>VLOOKUP(Table14[[#This Row],[FECHA /HORA]],TBL_CalcDarwin[],44,0)</f>
        <v>#N/A</v>
      </c>
      <c r="I218" s="95" t="e">
        <f>VLOOKUP(Table14[[#This Row],[FECHA /HORA]],TBL_CalcDarwin[],45,0)</f>
        <v>#N/A</v>
      </c>
      <c r="J218" s="53" t="e">
        <f>Table14[[#This Row],[MW Proyectada (Barra A)]]+Table14[[#This Row],[MW Proyectada (Barra B)]]</f>
        <v>#N/A</v>
      </c>
    </row>
    <row r="219" spans="2:10" x14ac:dyDescent="0.25">
      <c r="B219" s="91">
        <f>Table110[[#This Row],[Fecha]]</f>
        <v>45621.083333332812</v>
      </c>
      <c r="C219" s="52">
        <f>Table110[[#This Row],[Hora]]</f>
        <v>9.0833333333333393</v>
      </c>
      <c r="D219" s="92">
        <f>Table14[[#This Row],[Fecha]]</f>
        <v>45621.083333332812</v>
      </c>
      <c r="E219" s="53" t="e">
        <f>Table110[[#This Row],[Viento m/s]]</f>
        <v>#N/A</v>
      </c>
      <c r="F219" s="96" t="e">
        <f>VLOOKUP(Table14[[#This Row],[FECHA /HORA]],TBL_CalcDarwin[],46,0)</f>
        <v>#N/A</v>
      </c>
      <c r="G219" s="53" t="e">
        <f>VLOOKUP(Table14[[#This Row],[FECHA /HORA]],TBL_CalcDarwin[],47,0)</f>
        <v>#N/A</v>
      </c>
      <c r="H219" s="95" t="e">
        <f>VLOOKUP(Table14[[#This Row],[FECHA /HORA]],TBL_CalcDarwin[],44,0)</f>
        <v>#N/A</v>
      </c>
      <c r="I219" s="95" t="e">
        <f>VLOOKUP(Table14[[#This Row],[FECHA /HORA]],TBL_CalcDarwin[],45,0)</f>
        <v>#N/A</v>
      </c>
      <c r="J219" s="53" t="e">
        <f>Table14[[#This Row],[MW Proyectada (Barra A)]]+Table14[[#This Row],[MW Proyectada (Barra B)]]</f>
        <v>#N/A</v>
      </c>
    </row>
    <row r="220" spans="2:10" x14ac:dyDescent="0.25">
      <c r="B220" s="91">
        <f>Table110[[#This Row],[Fecha]]</f>
        <v>45621.124999999476</v>
      </c>
      <c r="C220" s="52">
        <f>Table110[[#This Row],[Hora]]</f>
        <v>9.1250000000000053</v>
      </c>
      <c r="D220" s="92">
        <f>Table14[[#This Row],[Fecha]]</f>
        <v>45621.124999999476</v>
      </c>
      <c r="E220" s="53" t="e">
        <f>Table110[[#This Row],[Viento m/s]]</f>
        <v>#N/A</v>
      </c>
      <c r="F220" s="96" t="e">
        <f>VLOOKUP(Table14[[#This Row],[FECHA /HORA]],TBL_CalcDarwin[],46,0)</f>
        <v>#N/A</v>
      </c>
      <c r="G220" s="53" t="e">
        <f>VLOOKUP(Table14[[#This Row],[FECHA /HORA]],TBL_CalcDarwin[],47,0)</f>
        <v>#N/A</v>
      </c>
      <c r="H220" s="95" t="e">
        <f>VLOOKUP(Table14[[#This Row],[FECHA /HORA]],TBL_CalcDarwin[],44,0)</f>
        <v>#N/A</v>
      </c>
      <c r="I220" s="95" t="e">
        <f>VLOOKUP(Table14[[#This Row],[FECHA /HORA]],TBL_CalcDarwin[],45,0)</f>
        <v>#N/A</v>
      </c>
      <c r="J220" s="53" t="e">
        <f>Table14[[#This Row],[MW Proyectada (Barra A)]]+Table14[[#This Row],[MW Proyectada (Barra B)]]</f>
        <v>#N/A</v>
      </c>
    </row>
    <row r="221" spans="2:10" x14ac:dyDescent="0.25">
      <c r="B221" s="91">
        <f>Table110[[#This Row],[Fecha]]</f>
        <v>45621.16666666614</v>
      </c>
      <c r="C221" s="52">
        <f>Table110[[#This Row],[Hora]]</f>
        <v>9.1666666666666714</v>
      </c>
      <c r="D221" s="92">
        <f>Table14[[#This Row],[Fecha]]</f>
        <v>45621.16666666614</v>
      </c>
      <c r="E221" s="53" t="e">
        <f>Table110[[#This Row],[Viento m/s]]</f>
        <v>#N/A</v>
      </c>
      <c r="F221" s="96" t="e">
        <f>VLOOKUP(Table14[[#This Row],[FECHA /HORA]],TBL_CalcDarwin[],46,0)</f>
        <v>#N/A</v>
      </c>
      <c r="G221" s="53" t="e">
        <f>VLOOKUP(Table14[[#This Row],[FECHA /HORA]],TBL_CalcDarwin[],47,0)</f>
        <v>#N/A</v>
      </c>
      <c r="H221" s="95" t="e">
        <f>VLOOKUP(Table14[[#This Row],[FECHA /HORA]],TBL_CalcDarwin[],44,0)</f>
        <v>#N/A</v>
      </c>
      <c r="I221" s="95" t="e">
        <f>VLOOKUP(Table14[[#This Row],[FECHA /HORA]],TBL_CalcDarwin[],45,0)</f>
        <v>#N/A</v>
      </c>
      <c r="J221" s="53" t="e">
        <f>Table14[[#This Row],[MW Proyectada (Barra A)]]+Table14[[#This Row],[MW Proyectada (Barra B)]]</f>
        <v>#N/A</v>
      </c>
    </row>
    <row r="222" spans="2:10" x14ac:dyDescent="0.25">
      <c r="B222" s="91">
        <f>Table110[[#This Row],[Fecha]]</f>
        <v>45621.208333332805</v>
      </c>
      <c r="C222" s="52">
        <f>Table110[[#This Row],[Hora]]</f>
        <v>9.2083333333333375</v>
      </c>
      <c r="D222" s="92">
        <f>Table14[[#This Row],[Fecha]]</f>
        <v>45621.208333332805</v>
      </c>
      <c r="E222" s="53" t="e">
        <f>Table110[[#This Row],[Viento m/s]]</f>
        <v>#N/A</v>
      </c>
      <c r="F222" s="96" t="e">
        <f>VLOOKUP(Table14[[#This Row],[FECHA /HORA]],TBL_CalcDarwin[],46,0)</f>
        <v>#N/A</v>
      </c>
      <c r="G222" s="53" t="e">
        <f>VLOOKUP(Table14[[#This Row],[FECHA /HORA]],TBL_CalcDarwin[],47,0)</f>
        <v>#N/A</v>
      </c>
      <c r="H222" s="95" t="e">
        <f>VLOOKUP(Table14[[#This Row],[FECHA /HORA]],TBL_CalcDarwin[],44,0)</f>
        <v>#N/A</v>
      </c>
      <c r="I222" s="95" t="e">
        <f>VLOOKUP(Table14[[#This Row],[FECHA /HORA]],TBL_CalcDarwin[],45,0)</f>
        <v>#N/A</v>
      </c>
      <c r="J222" s="53" t="e">
        <f>Table14[[#This Row],[MW Proyectada (Barra A)]]+Table14[[#This Row],[MW Proyectada (Barra B)]]</f>
        <v>#N/A</v>
      </c>
    </row>
    <row r="223" spans="2:10" x14ac:dyDescent="0.25">
      <c r="B223" s="91">
        <f>Table110[[#This Row],[Fecha]]</f>
        <v>45621.249999999469</v>
      </c>
      <c r="C223" s="52">
        <f>Table110[[#This Row],[Hora]]</f>
        <v>9.2500000000000036</v>
      </c>
      <c r="D223" s="92">
        <f>Table14[[#This Row],[Fecha]]</f>
        <v>45621.249999999469</v>
      </c>
      <c r="E223" s="53" t="e">
        <f>Table110[[#This Row],[Viento m/s]]</f>
        <v>#N/A</v>
      </c>
      <c r="F223" s="96" t="e">
        <f>VLOOKUP(Table14[[#This Row],[FECHA /HORA]],TBL_CalcDarwin[],46,0)</f>
        <v>#N/A</v>
      </c>
      <c r="G223" s="53" t="e">
        <f>VLOOKUP(Table14[[#This Row],[FECHA /HORA]],TBL_CalcDarwin[],47,0)</f>
        <v>#N/A</v>
      </c>
      <c r="H223" s="95" t="e">
        <f>VLOOKUP(Table14[[#This Row],[FECHA /HORA]],TBL_CalcDarwin[],44,0)</f>
        <v>#N/A</v>
      </c>
      <c r="I223" s="95" t="e">
        <f>VLOOKUP(Table14[[#This Row],[FECHA /HORA]],TBL_CalcDarwin[],45,0)</f>
        <v>#N/A</v>
      </c>
      <c r="J223" s="53" t="e">
        <f>Table14[[#This Row],[MW Proyectada (Barra A)]]+Table14[[#This Row],[MW Proyectada (Barra B)]]</f>
        <v>#N/A</v>
      </c>
    </row>
    <row r="224" spans="2:10" x14ac:dyDescent="0.25">
      <c r="B224" s="91">
        <f>Table110[[#This Row],[Fecha]]</f>
        <v>45621.291666666133</v>
      </c>
      <c r="C224" s="52">
        <f>Table110[[#This Row],[Hora]]</f>
        <v>9.2916666666666696</v>
      </c>
      <c r="D224" s="92">
        <f>Table14[[#This Row],[Fecha]]</f>
        <v>45621.291666666133</v>
      </c>
      <c r="E224" s="53" t="e">
        <f>Table110[[#This Row],[Viento m/s]]</f>
        <v>#N/A</v>
      </c>
      <c r="F224" s="96" t="e">
        <f>VLOOKUP(Table14[[#This Row],[FECHA /HORA]],TBL_CalcDarwin[],46,0)</f>
        <v>#N/A</v>
      </c>
      <c r="G224" s="53" t="e">
        <f>VLOOKUP(Table14[[#This Row],[FECHA /HORA]],TBL_CalcDarwin[],47,0)</f>
        <v>#N/A</v>
      </c>
      <c r="H224" s="95" t="e">
        <f>VLOOKUP(Table14[[#This Row],[FECHA /HORA]],TBL_CalcDarwin[],44,0)</f>
        <v>#N/A</v>
      </c>
      <c r="I224" s="95" t="e">
        <f>VLOOKUP(Table14[[#This Row],[FECHA /HORA]],TBL_CalcDarwin[],45,0)</f>
        <v>#N/A</v>
      </c>
      <c r="J224" s="53" t="e">
        <f>Table14[[#This Row],[MW Proyectada (Barra A)]]+Table14[[#This Row],[MW Proyectada (Barra B)]]</f>
        <v>#N/A</v>
      </c>
    </row>
    <row r="225" spans="2:10" x14ac:dyDescent="0.25">
      <c r="B225" s="91">
        <f>Table110[[#This Row],[Fecha]]</f>
        <v>45621.333333332797</v>
      </c>
      <c r="C225" s="52">
        <f>Table110[[#This Row],[Hora]]</f>
        <v>9.3333333333333357</v>
      </c>
      <c r="D225" s="92">
        <f>Table14[[#This Row],[Fecha]]</f>
        <v>45621.333333332797</v>
      </c>
      <c r="E225" s="53" t="e">
        <f>Table110[[#This Row],[Viento m/s]]</f>
        <v>#N/A</v>
      </c>
      <c r="F225" s="96" t="e">
        <f>VLOOKUP(Table14[[#This Row],[FECHA /HORA]],TBL_CalcDarwin[],46,0)</f>
        <v>#N/A</v>
      </c>
      <c r="G225" s="53" t="e">
        <f>VLOOKUP(Table14[[#This Row],[FECHA /HORA]],TBL_CalcDarwin[],47,0)</f>
        <v>#N/A</v>
      </c>
      <c r="H225" s="95" t="e">
        <f>VLOOKUP(Table14[[#This Row],[FECHA /HORA]],TBL_CalcDarwin[],44,0)</f>
        <v>#N/A</v>
      </c>
      <c r="I225" s="95" t="e">
        <f>VLOOKUP(Table14[[#This Row],[FECHA /HORA]],TBL_CalcDarwin[],45,0)</f>
        <v>#N/A</v>
      </c>
      <c r="J225" s="53" t="e">
        <f>Table14[[#This Row],[MW Proyectada (Barra A)]]+Table14[[#This Row],[MW Proyectada (Barra B)]]</f>
        <v>#N/A</v>
      </c>
    </row>
    <row r="226" spans="2:10" x14ac:dyDescent="0.25">
      <c r="B226" s="91">
        <f>Table110[[#This Row],[Fecha]]</f>
        <v>45621.374999999462</v>
      </c>
      <c r="C226" s="52">
        <f>Table110[[#This Row],[Hora]]</f>
        <v>9.3750000000000018</v>
      </c>
      <c r="D226" s="92">
        <f>Table14[[#This Row],[Fecha]]</f>
        <v>45621.374999999462</v>
      </c>
      <c r="E226" s="53" t="e">
        <f>Table110[[#This Row],[Viento m/s]]</f>
        <v>#N/A</v>
      </c>
      <c r="F226" s="96" t="e">
        <f>VLOOKUP(Table14[[#This Row],[FECHA /HORA]],TBL_CalcDarwin[],46,0)</f>
        <v>#N/A</v>
      </c>
      <c r="G226" s="53" t="e">
        <f>VLOOKUP(Table14[[#This Row],[FECHA /HORA]],TBL_CalcDarwin[],47,0)</f>
        <v>#N/A</v>
      </c>
      <c r="H226" s="95" t="e">
        <f>VLOOKUP(Table14[[#This Row],[FECHA /HORA]],TBL_CalcDarwin[],44,0)</f>
        <v>#N/A</v>
      </c>
      <c r="I226" s="95" t="e">
        <f>VLOOKUP(Table14[[#This Row],[FECHA /HORA]],TBL_CalcDarwin[],45,0)</f>
        <v>#N/A</v>
      </c>
      <c r="J226" s="53" t="e">
        <f>Table14[[#This Row],[MW Proyectada (Barra A)]]+Table14[[#This Row],[MW Proyectada (Barra B)]]</f>
        <v>#N/A</v>
      </c>
    </row>
    <row r="227" spans="2:10" x14ac:dyDescent="0.25">
      <c r="B227" s="91">
        <f>Table110[[#This Row],[Fecha]]</f>
        <v>45621.416666666126</v>
      </c>
      <c r="C227" s="52">
        <f>Table110[[#This Row],[Hora]]</f>
        <v>9.4166666666666679</v>
      </c>
      <c r="D227" s="92">
        <f>Table14[[#This Row],[Fecha]]</f>
        <v>45621.416666666126</v>
      </c>
      <c r="E227" s="53" t="e">
        <f>Table110[[#This Row],[Viento m/s]]</f>
        <v>#N/A</v>
      </c>
      <c r="F227" s="96" t="e">
        <f>VLOOKUP(Table14[[#This Row],[FECHA /HORA]],TBL_CalcDarwin[],46,0)</f>
        <v>#N/A</v>
      </c>
      <c r="G227" s="53" t="e">
        <f>VLOOKUP(Table14[[#This Row],[FECHA /HORA]],TBL_CalcDarwin[],47,0)</f>
        <v>#N/A</v>
      </c>
      <c r="H227" s="95" t="e">
        <f>VLOOKUP(Table14[[#This Row],[FECHA /HORA]],TBL_CalcDarwin[],44,0)</f>
        <v>#N/A</v>
      </c>
      <c r="I227" s="95" t="e">
        <f>VLOOKUP(Table14[[#This Row],[FECHA /HORA]],TBL_CalcDarwin[],45,0)</f>
        <v>#N/A</v>
      </c>
      <c r="J227" s="53" t="e">
        <f>Table14[[#This Row],[MW Proyectada (Barra A)]]+Table14[[#This Row],[MW Proyectada (Barra B)]]</f>
        <v>#N/A</v>
      </c>
    </row>
    <row r="228" spans="2:10" x14ac:dyDescent="0.25">
      <c r="B228" s="91">
        <f>Table110[[#This Row],[Fecha]]</f>
        <v>45621.45833333279</v>
      </c>
      <c r="C228" s="52">
        <f>Table110[[#This Row],[Hora]]</f>
        <v>9.4583333333333339</v>
      </c>
      <c r="D228" s="92">
        <f>Table14[[#This Row],[Fecha]]</f>
        <v>45621.45833333279</v>
      </c>
      <c r="E228" s="53" t="e">
        <f>Table110[[#This Row],[Viento m/s]]</f>
        <v>#N/A</v>
      </c>
      <c r="F228" s="96" t="e">
        <f>VLOOKUP(Table14[[#This Row],[FECHA /HORA]],TBL_CalcDarwin[],46,0)</f>
        <v>#N/A</v>
      </c>
      <c r="G228" s="53" t="e">
        <f>VLOOKUP(Table14[[#This Row],[FECHA /HORA]],TBL_CalcDarwin[],47,0)</f>
        <v>#N/A</v>
      </c>
      <c r="H228" s="95" t="e">
        <f>VLOOKUP(Table14[[#This Row],[FECHA /HORA]],TBL_CalcDarwin[],44,0)</f>
        <v>#N/A</v>
      </c>
      <c r="I228" s="95" t="e">
        <f>VLOOKUP(Table14[[#This Row],[FECHA /HORA]],TBL_CalcDarwin[],45,0)</f>
        <v>#N/A</v>
      </c>
      <c r="J228" s="53" t="e">
        <f>Table14[[#This Row],[MW Proyectada (Barra A)]]+Table14[[#This Row],[MW Proyectada (Barra B)]]</f>
        <v>#N/A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10</vt:i4>
      </vt:variant>
      <vt:variant>
        <vt:lpstr>Charts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14" baseType="lpstr">
      <vt:lpstr>PC</vt:lpstr>
      <vt:lpstr>Plantilla Datos</vt:lpstr>
      <vt:lpstr>Plantilla AEG ES</vt:lpstr>
      <vt:lpstr>Windy_web</vt:lpstr>
      <vt:lpstr>Wyndy Procesada</vt:lpstr>
      <vt:lpstr>Darwin Procesada</vt:lpstr>
      <vt:lpstr>CCE PLOM Diario</vt:lpstr>
      <vt:lpstr>CCE PLOME Diario</vt:lpstr>
      <vt:lpstr>CCE PLOM 10d</vt:lpstr>
      <vt:lpstr>CCE PLOME 10d</vt:lpstr>
      <vt:lpstr>DIAGRAMA PE Punta Lomitas</vt:lpstr>
      <vt:lpstr>DIAGRAMA PLOME 10d</vt:lpstr>
      <vt:lpstr>Data_Darwin</vt:lpstr>
      <vt:lpstr>Data_Wind_Scada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JALIXTO Freddy (ENGIE Energía Perú S.A.)</dc:creator>
  <cp:lastModifiedBy>ABRIL Espencer (ENGIE Energía Perú S.A.)</cp:lastModifiedBy>
  <dcterms:created xsi:type="dcterms:W3CDTF">2023-05-09T14:33:27Z</dcterms:created>
  <dcterms:modified xsi:type="dcterms:W3CDTF">2024-11-17T05:52:20Z</dcterms:modified>
</cp:coreProperties>
</file>