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Historias" sheetId="2" r:id="rId4"/>
    <sheet state="visible" name="Settings" sheetId="3" r:id="rId5"/>
    <sheet state="visible" name="Resumen" sheetId="4" r:id="rId6"/>
  </sheets>
  <definedNames>
    <definedName hidden="1" localSheetId="1" name="_xlnm._FilterDatabase">Historias!$A$4:$H$199</definedName>
  </definedNames>
  <calcPr/>
</workbook>
</file>

<file path=xl/sharedStrings.xml><?xml version="1.0" encoding="utf-8"?>
<sst xmlns="http://schemas.openxmlformats.org/spreadsheetml/2006/main" count="214" uniqueCount="103">
  <si>
    <t>Rellenar sólo celdas con fondo amarillo</t>
  </si>
  <si>
    <t>Planificadas</t>
  </si>
  <si>
    <t>Realizadas</t>
  </si>
  <si>
    <t>Reales</t>
  </si>
  <si>
    <t>Equipo</t>
  </si>
  <si>
    <t>Historia</t>
  </si>
  <si>
    <t>Netas</t>
  </si>
  <si>
    <t>Comentario</t>
  </si>
  <si>
    <t>Día</t>
  </si>
  <si>
    <t>Horas Netas</t>
  </si>
  <si>
    <t>Horas Reales</t>
  </si>
  <si>
    <t>RAFAEL GUZMAN VALVERDE</t>
  </si>
  <si>
    <t>Planificación</t>
  </si>
  <si>
    <t>DANIEL CALDERON GONZALEZ</t>
  </si>
  <si>
    <t>MARIA AGUADO MARTINEZ</t>
  </si>
  <si>
    <t>CARLOS GARCIA SEGURA</t>
  </si>
  <si>
    <t>Diagrama de actividad/estados</t>
  </si>
  <si>
    <t>Adaptar código casos prácticos</t>
  </si>
  <si>
    <t>Entender guión de prácticas</t>
  </si>
  <si>
    <t>Hacer código SolveGoal</t>
  </si>
  <si>
    <t>Completar código SolveProblem</t>
  </si>
  <si>
    <t>Preparar código JoinSession</t>
  </si>
  <si>
    <t>Añadir NPC</t>
  </si>
  <si>
    <t>Comprobar funcionamiento</t>
  </si>
  <si>
    <t>Impementar REPORT</t>
  </si>
  <si>
    <t>Mejorar tiempo de ejecucion</t>
  </si>
  <si>
    <t>Arreglar funcionamiento SOB2</t>
  </si>
  <si>
    <t>Diagrama de clases</t>
  </si>
  <si>
    <t>Revisión+mejora de código</t>
  </si>
  <si>
    <t xml:space="preserve">Planificación final de prácticas </t>
  </si>
  <si>
    <t>Diagrama de secuencia</t>
  </si>
  <si>
    <t>Memoria</t>
  </si>
  <si>
    <t>Solucionar Problema Sorpresa</t>
  </si>
  <si>
    <t>Intento de mejora goAvoid</t>
  </si>
  <si>
    <t>Crear vídeo y presentacion</t>
  </si>
  <si>
    <t>Sprint</t>
  </si>
  <si>
    <t>Número de miembros</t>
  </si>
  <si>
    <t>Horas prácticas</t>
  </si>
  <si>
    <t>Team</t>
  </si>
  <si>
    <t>Horas totales</t>
  </si>
  <si>
    <t>Líder</t>
  </si>
  <si>
    <t>Inicio Sprint</t>
  </si>
  <si>
    <t>Final Sprint</t>
  </si>
  <si>
    <t>Horas</t>
  </si>
  <si>
    <t>Disponibles</t>
  </si>
  <si>
    <t>Sprint backlog</t>
  </si>
  <si>
    <t>Descripción</t>
  </si>
  <si>
    <t>Validación</t>
  </si>
  <si>
    <t>Planificación de las historias del sprint</t>
  </si>
  <si>
    <t>Entender el objetivo de la práctica y los cambios con respecto a los casos prácticos</t>
  </si>
  <si>
    <t>Especificación de agentes</t>
  </si>
  <si>
    <t>Definir los estados del agente</t>
  </si>
  <si>
    <t>Definir el diagrama de clases del proyecto. ¿Quién posee qué información?</t>
  </si>
  <si>
    <t>Realizar un diagrama de estados para el agente.</t>
  </si>
  <si>
    <t>Diagrama de secuencia para la comunicación entre los agentes</t>
  </si>
  <si>
    <t>Incluir el código de los cp4, 5 y 6 en una sola clase</t>
  </si>
  <si>
    <t>Modificar el código actual para incluir las nuevas funcionalidades</t>
  </si>
  <si>
    <t xml:space="preserve">Implementar el almacenamiento de la información después de los LIST y preparar el envío de mensajes al agente seleccionado </t>
  </si>
  <si>
    <t>Definir procedimiento de actuación dependiendo del tipo de goal en el que estemos</t>
  </si>
  <si>
    <t>Solucionar todos los goals de la misión</t>
  </si>
  <si>
    <t>Completar función CloseProblem</t>
  </si>
  <si>
    <t>Probar el código en todos los problemas disponibles</t>
  </si>
  <si>
    <t>Memoria de la práctica</t>
  </si>
  <si>
    <t>Crear video del lab1</t>
  </si>
  <si>
    <t>Disminuir el tiempo que tarda el droide en resolver un problema</t>
  </si>
  <si>
    <t>Arreglar el fallo que hacia que el agente al llegar al borde del mapa fuera hacia el lado contrario al que tenia que ir</t>
  </si>
  <si>
    <t>Reunión para planificar la semana final antes de la entrega, a falta de la documentación y el vídeo</t>
  </si>
  <si>
    <t>Depurar código e intentar corregir el error del closeproblem</t>
  </si>
  <si>
    <t>Modificar el codigo actual para que sea capaz de solucionar este ultimo problema asi como todos los anteriores</t>
  </si>
  <si>
    <t>Al solucionar el último problema obtuvimos fallos en los anteriores, se ha intentado solucionar este error pero no se ha conseguido.</t>
  </si>
  <si>
    <t>Días</t>
  </si>
  <si>
    <t>Burndown</t>
  </si>
  <si>
    <t>Restan</t>
  </si>
  <si>
    <t>Miembro</t>
  </si>
  <si>
    <t>Desvío total</t>
  </si>
  <si>
    <t>Desvío promedio</t>
  </si>
  <si>
    <t>|COL(h)|</t>
  </si>
  <si>
    <t>% Equipo</t>
  </si>
  <si>
    <t>P(p)</t>
  </si>
  <si>
    <t>D(p)</t>
  </si>
  <si>
    <t>I(p)</t>
  </si>
  <si>
    <t>E(h)</t>
  </si>
  <si>
    <t>E(P)</t>
  </si>
  <si>
    <t>Tarea</t>
  </si>
  <si>
    <t>Estado</t>
  </si>
  <si>
    <t>Desvío</t>
  </si>
  <si>
    <t>[0%-25%)</t>
  </si>
  <si>
    <t>[25%-50%)</t>
  </si>
  <si>
    <t>[50%-75%)</t>
  </si>
  <si>
    <t>[75%-100%)</t>
  </si>
  <si>
    <t>-100%+100%</t>
  </si>
  <si>
    <t>Dial</t>
  </si>
  <si>
    <t>[0,1]</t>
  </si>
  <si>
    <t>C</t>
  </si>
  <si>
    <t>ED(p) (E)</t>
  </si>
  <si>
    <t>EDA(p) [E]</t>
  </si>
  <si>
    <t>A(p)</t>
  </si>
  <si>
    <t>S(p)</t>
  </si>
  <si>
    <t>Fecha</t>
  </si>
  <si>
    <t>Stdev</t>
  </si>
  <si>
    <t>Medna</t>
  </si>
  <si>
    <t>Max</t>
  </si>
  <si>
    <t>E(h) 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</si>
</sst>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/MM/yy"/>
    <numFmt numFmtId="166" formatCode="D/M/YYYY"/>
    <numFmt numFmtId="167" formatCode="d/MM/yyyy"/>
  </numFmts>
  <fonts count="20">
    <font>
      <sz val="10.0"/>
      <color rgb="FF000000"/>
      <name val="Arial"/>
    </font>
    <font>
      <b/>
      <sz val="10.0"/>
    </font>
    <font/>
    <font>
      <sz val="11.0"/>
      <color rgb="FF000000"/>
      <name val="Inconsolata"/>
    </font>
    <font>
      <b/>
      <name val="Arial"/>
    </font>
    <font>
      <name val="Arial"/>
    </font>
    <font>
      <b/>
      <color rgb="FFFFFFFF"/>
      <name val="Arial"/>
    </font>
    <font>
      <sz val="10.0"/>
      <color rgb="FFFFFFFF"/>
    </font>
    <font>
      <sz val="8.0"/>
    </font>
    <font>
      <b/>
      <color rgb="FF1155CC"/>
    </font>
    <font>
      <b/>
      <color rgb="FFFF0000"/>
    </font>
    <font>
      <b/>
      <color rgb="FFF1C232"/>
    </font>
    <font>
      <b/>
      <color rgb="FFFF0000"/>
      <name val="Arial"/>
    </font>
    <font>
      <b/>
      <color rgb="FFF1C232"/>
      <name val="Arial"/>
    </font>
    <font>
      <color rgb="FFFFFFFF"/>
      <name val="Arial"/>
    </font>
    <font>
      <u/>
      <color rgb="FF1155CC"/>
      <name val="Arial"/>
    </font>
    <font>
      <color rgb="FF000000"/>
      <name val="Arial"/>
    </font>
    <font>
      <b/>
      <color rgb="FFFFFFFF"/>
    </font>
    <font>
      <sz val="11.0"/>
      <name val="Inconsolata"/>
    </font>
    <font>
      <color rgb="FFB7B7B7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2" fontId="3" numFmtId="0" xfId="0" applyAlignment="1" applyFill="1" applyFont="1">
      <alignment shrinkToFit="0" wrapText="1"/>
    </xf>
    <xf borderId="4" fillId="0" fontId="4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4" fillId="0" fontId="2" numFmtId="0" xfId="0" applyAlignment="1" applyBorder="1" applyFont="1">
      <alignment shrinkToFit="0" wrapText="1"/>
    </xf>
    <xf borderId="5" fillId="3" fontId="6" numFmtId="0" xfId="0" applyAlignment="1" applyBorder="1" applyFill="1" applyFont="1">
      <alignment horizontal="center" shrinkToFit="0" vertical="bottom" wrapText="1"/>
    </xf>
    <xf borderId="6" fillId="4" fontId="6" numFmtId="0" xfId="0" applyAlignment="1" applyBorder="1" applyFill="1" applyFont="1">
      <alignment horizontal="center" shrinkToFit="0" vertical="bottom" wrapText="1"/>
    </xf>
    <xf borderId="4" fillId="5" fontId="4" numFmtId="2" xfId="0" applyAlignment="1" applyBorder="1" applyFill="1" applyFont="1" applyNumberFormat="1">
      <alignment horizontal="center" shrinkToFit="0" vertical="bottom" wrapText="1"/>
    </xf>
    <xf borderId="7" fillId="0" fontId="5" numFmtId="0" xfId="0" applyAlignment="1" applyBorder="1" applyFont="1">
      <alignment horizontal="left" shrinkToFit="0" vertical="bottom" wrapText="1"/>
    </xf>
    <xf borderId="8" fillId="6" fontId="7" numFmtId="0" xfId="0" applyAlignment="1" applyBorder="1" applyFill="1" applyFont="1">
      <alignment readingOrder="0" shrinkToFit="0" vertical="top" wrapText="1"/>
    </xf>
    <xf borderId="7" fillId="0" fontId="2" numFmtId="0" xfId="0" applyAlignment="1" applyBorder="1" applyFont="1">
      <alignment shrinkToFit="0" wrapText="1"/>
    </xf>
    <xf borderId="8" fillId="2" fontId="2" numFmtId="0" xfId="0" applyAlignment="1" applyBorder="1" applyFont="1">
      <alignment readingOrder="0" shrinkToFit="0" wrapText="1"/>
    </xf>
    <xf borderId="8" fillId="2" fontId="8" numFmtId="0" xfId="0" applyAlignment="1" applyBorder="1" applyFont="1">
      <alignment readingOrder="0" shrinkToFit="0" wrapText="1"/>
    </xf>
    <xf borderId="8" fillId="7" fontId="9" numFmtId="2" xfId="0" applyAlignment="1" applyBorder="1" applyFill="1" applyFont="1" applyNumberFormat="1">
      <alignment shrinkToFit="0" wrapText="1"/>
    </xf>
    <xf borderId="8" fillId="7" fontId="10" numFmtId="2" xfId="0" applyAlignment="1" applyBorder="1" applyFont="1" applyNumberFormat="1">
      <alignment shrinkToFit="0" wrapText="1"/>
    </xf>
    <xf borderId="8" fillId="2" fontId="2" numFmtId="14" xfId="0" applyAlignment="1" applyBorder="1" applyFont="1" applyNumberFormat="1">
      <alignment readingOrder="0" shrinkToFit="0" wrapText="1"/>
    </xf>
    <xf borderId="8" fillId="2" fontId="10" numFmtId="0" xfId="0" applyAlignment="1" applyBorder="1" applyFont="1">
      <alignment readingOrder="0" shrinkToFit="0" wrapText="1"/>
    </xf>
    <xf borderId="8" fillId="2" fontId="11" numFmtId="0" xfId="0" applyAlignment="1" applyBorder="1" applyFont="1">
      <alignment readingOrder="0" shrinkToFit="0" wrapText="1"/>
    </xf>
    <xf borderId="8" fillId="2" fontId="10" numFmtId="2" xfId="0" applyAlignment="1" applyBorder="1" applyFont="1" applyNumberFormat="1">
      <alignment readingOrder="0" shrinkToFit="0" wrapText="1"/>
    </xf>
    <xf borderId="8" fillId="2" fontId="11" numFmtId="2" xfId="0" applyAlignment="1" applyBorder="1" applyFont="1" applyNumberFormat="1">
      <alignment readingOrder="0" shrinkToFit="0" wrapText="1"/>
    </xf>
    <xf borderId="8" fillId="2" fontId="2" numFmtId="0" xfId="0" applyAlignment="1" applyBorder="1" applyFont="1">
      <alignment shrinkToFit="0" wrapText="1"/>
    </xf>
    <xf borderId="7" fillId="0" fontId="2" numFmtId="0" xfId="0" applyAlignment="1" applyBorder="1" applyFont="1">
      <alignment readingOrder="0" shrinkToFit="0" wrapText="1"/>
    </xf>
    <xf borderId="8" fillId="2" fontId="2" numFmtId="164" xfId="0" applyAlignment="1" applyBorder="1" applyFont="1" applyNumberFormat="1">
      <alignment readingOrder="0" shrinkToFit="0" wrapText="1"/>
    </xf>
    <xf borderId="8" fillId="2" fontId="12" numFmtId="2" xfId="0" applyAlignment="1" applyBorder="1" applyFont="1" applyNumberFormat="1">
      <alignment horizontal="right" readingOrder="0" shrinkToFit="0" wrapText="1"/>
    </xf>
    <xf borderId="8" fillId="2" fontId="13" numFmtId="2" xfId="0" applyAlignment="1" applyBorder="1" applyFont="1" applyNumberFormat="1">
      <alignment horizontal="right" readingOrder="0" shrinkToFit="0" wrapText="1"/>
    </xf>
    <xf borderId="8" fillId="2" fontId="8" numFmtId="0" xfId="0" applyAlignment="1" applyBorder="1" applyFont="1">
      <alignment shrinkToFit="0" wrapText="1"/>
    </xf>
    <xf borderId="8" fillId="2" fontId="10" numFmtId="2" xfId="0" applyAlignment="1" applyBorder="1" applyFont="1" applyNumberFormat="1">
      <alignment shrinkToFit="0" wrapText="1"/>
    </xf>
    <xf borderId="8" fillId="2" fontId="11" numFmtId="2" xfId="0" applyAlignment="1" applyBorder="1" applyFont="1" applyNumberFormat="1">
      <alignment shrinkToFit="0" wrapText="1"/>
    </xf>
    <xf borderId="4" fillId="6" fontId="14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horizontal="right" shrinkToFit="0" vertical="bottom" wrapText="1"/>
    </xf>
    <xf borderId="6" fillId="2" fontId="5" numFmtId="0" xfId="0" applyAlignment="1" applyBorder="1" applyFont="1">
      <alignment horizontal="right" readingOrder="0" shrinkToFit="0" vertical="bottom" wrapText="1"/>
    </xf>
    <xf borderId="0" fillId="0" fontId="4" numFmtId="0" xfId="0" applyAlignment="1" applyFont="1">
      <alignment shrinkToFit="0" vertical="bottom" wrapText="1"/>
    </xf>
    <xf borderId="8" fillId="6" fontId="7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shrinkToFit="0" wrapText="1"/>
    </xf>
    <xf borderId="6" fillId="3" fontId="6" numFmtId="0" xfId="0" applyAlignment="1" applyBorder="1" applyFont="1">
      <alignment horizontal="right" shrinkToFit="0" vertical="bottom" wrapText="1"/>
    </xf>
    <xf borderId="0" fillId="0" fontId="15" numFmtId="0" xfId="0" applyAlignment="1" applyFont="1">
      <alignment shrinkToFit="0" vertical="bottom" wrapText="1"/>
    </xf>
    <xf borderId="8" fillId="8" fontId="2" numFmtId="0" xfId="0" applyAlignment="1" applyBorder="1" applyFill="1" applyFont="1">
      <alignment readingOrder="0" shrinkToFit="0" wrapText="1"/>
    </xf>
    <xf borderId="7" fillId="0" fontId="2" numFmtId="0" xfId="0" applyAlignment="1" applyBorder="1" applyFont="1">
      <alignment readingOrder="0" shrinkToFit="0" wrapText="1"/>
    </xf>
    <xf borderId="9" fillId="9" fontId="14" numFmtId="0" xfId="0" applyAlignment="1" applyBorder="1" applyFill="1" applyFont="1">
      <alignment shrinkToFit="0" vertical="bottom" wrapText="1"/>
    </xf>
    <xf borderId="6" fillId="2" fontId="5" numFmtId="165" xfId="0" applyAlignment="1" applyBorder="1" applyFont="1" applyNumberFormat="1">
      <alignment horizontal="right" readingOrder="0" shrinkToFit="0" vertical="bottom" wrapText="1"/>
    </xf>
    <xf borderId="11" fillId="0" fontId="2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5" fillId="6" fontId="14" numFmtId="0" xfId="0" applyAlignment="1" applyBorder="1" applyFont="1">
      <alignment shrinkToFit="0" vertical="bottom" wrapText="1"/>
    </xf>
    <xf borderId="6" fillId="6" fontId="14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5" fillId="2" fontId="5" numFmtId="0" xfId="0" applyAlignment="1" applyBorder="1" applyFont="1">
      <alignment shrinkToFit="0" vertical="bottom" wrapText="1"/>
    </xf>
    <xf borderId="6" fillId="2" fontId="5" numFmtId="0" xfId="0" applyAlignment="1" applyBorder="1" applyFont="1">
      <alignment shrinkToFit="0" vertical="bottom" wrapText="1"/>
    </xf>
    <xf borderId="5" fillId="2" fontId="5" numFmtId="0" xfId="0" applyAlignment="1" applyBorder="1" applyFont="1">
      <alignment readingOrder="0" shrinkToFit="0" vertical="bottom" wrapText="1"/>
    </xf>
    <xf borderId="6" fillId="2" fontId="5" numFmtId="0" xfId="0" applyAlignment="1" applyBorder="1" applyFont="1">
      <alignment readingOrder="0" shrinkToFit="0" vertical="bottom" wrapText="1"/>
    </xf>
    <xf borderId="6" fillId="2" fontId="5" numFmtId="0" xfId="0" applyAlignment="1" applyBorder="1" applyFont="1">
      <alignment horizontal="right" shrinkToFit="0" vertical="bottom" wrapText="1"/>
    </xf>
    <xf borderId="5" fillId="2" fontId="16" numFmtId="0" xfId="0" applyAlignment="1" applyBorder="1" applyFont="1">
      <alignment readingOrder="0" shrinkToFit="0" vertical="bottom" wrapText="1"/>
    </xf>
    <xf borderId="6" fillId="2" fontId="16" numFmtId="0" xfId="0" applyAlignment="1" applyBorder="1" applyFont="1">
      <alignment readingOrder="0" shrinkToFit="0" vertical="bottom" wrapText="1"/>
    </xf>
    <xf borderId="6" fillId="2" fontId="5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horizontal="center" shrinkToFit="0" vertical="bottom" wrapText="1"/>
    </xf>
    <xf borderId="4" fillId="4" fontId="6" numFmtId="0" xfId="0" applyAlignment="1" applyBorder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4" fillId="4" fontId="6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0" fillId="0" fontId="17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6" fillId="6" fontId="14" numFmtId="0" xfId="0" applyAlignment="1" applyBorder="1" applyFont="1">
      <alignment horizontal="center" shrinkToFit="0" vertical="bottom" wrapText="1"/>
    </xf>
    <xf borderId="9" fillId="0" fontId="5" numFmtId="0" xfId="0" applyAlignment="1" applyBorder="1" applyFont="1">
      <alignment shrinkToFit="0" vertical="bottom" wrapText="1"/>
    </xf>
    <xf borderId="4" fillId="6" fontId="14" numFmtId="0" xfId="0" applyAlignment="1" applyBorder="1" applyFont="1">
      <alignment shrinkToFit="0" vertical="bottom" wrapText="1"/>
    </xf>
    <xf borderId="9" fillId="0" fontId="5" numFmtId="0" xfId="0" applyAlignment="1" applyBorder="1" applyFont="1">
      <alignment shrinkToFit="0" vertical="bottom" wrapText="1"/>
    </xf>
    <xf borderId="6" fillId="7" fontId="5" numFmtId="166" xfId="0" applyAlignment="1" applyBorder="1" applyFont="1" applyNumberFormat="1">
      <alignment horizontal="center" shrinkToFit="0" vertical="bottom" wrapText="1"/>
    </xf>
    <xf borderId="6" fillId="7" fontId="5" numFmtId="3" xfId="0" applyAlignment="1" applyBorder="1" applyFont="1" applyNumberFormat="1">
      <alignment horizontal="center" shrinkToFit="0" vertical="bottom" wrapText="1"/>
    </xf>
    <xf borderId="6" fillId="7" fontId="5" numFmtId="0" xfId="0" applyAlignment="1" applyBorder="1" applyFont="1">
      <alignment horizontal="center" shrinkToFit="0" vertical="bottom" wrapText="1"/>
    </xf>
    <xf borderId="6" fillId="7" fontId="5" numFmtId="0" xfId="0" applyAlignment="1" applyBorder="1" applyFont="1">
      <alignment shrinkToFit="0" vertical="bottom" wrapText="1"/>
    </xf>
    <xf borderId="6" fillId="7" fontId="5" numFmtId="0" xfId="0" applyAlignment="1" applyBorder="1" applyFont="1">
      <alignment horizontal="right" shrinkToFit="0" vertical="bottom" wrapText="1"/>
    </xf>
    <xf borderId="9" fillId="7" fontId="5" numFmtId="9" xfId="0" applyAlignment="1" applyBorder="1" applyFont="1" applyNumberFormat="1">
      <alignment horizontal="right" shrinkToFit="0" vertical="bottom" wrapText="1"/>
    </xf>
    <xf borderId="0" fillId="7" fontId="5" numFmtId="9" xfId="0" applyAlignment="1" applyFont="1" applyNumberFormat="1">
      <alignment shrinkToFit="0" vertical="bottom" wrapText="1"/>
    </xf>
    <xf borderId="0" fillId="7" fontId="5" numFmtId="0" xfId="0" applyAlignment="1" applyFont="1">
      <alignment horizontal="right" shrinkToFit="0" vertical="bottom" wrapText="1"/>
    </xf>
    <xf borderId="0" fillId="7" fontId="5" numFmtId="0" xfId="0" applyAlignment="1" applyFont="1">
      <alignment shrinkToFit="0" vertical="bottom" wrapText="1"/>
    </xf>
    <xf borderId="0" fillId="0" fontId="5" numFmtId="10" xfId="0" applyAlignment="1" applyFont="1" applyNumberFormat="1">
      <alignment horizontal="right" shrinkToFit="0" vertical="bottom" wrapText="1"/>
    </xf>
    <xf borderId="4" fillId="4" fontId="14" numFmtId="0" xfId="0" applyAlignment="1" applyBorder="1" applyFont="1">
      <alignment shrinkToFit="0" vertical="bottom" wrapText="1"/>
    </xf>
    <xf borderId="4" fillId="0" fontId="5" numFmtId="10" xfId="0" applyAlignment="1" applyBorder="1" applyFont="1" applyNumberFormat="1">
      <alignment horizontal="right" shrinkToFit="0" vertical="bottom" wrapText="1"/>
    </xf>
    <xf borderId="4" fillId="4" fontId="14" numFmtId="0" xfId="0" applyAlignment="1" applyBorder="1" applyFont="1">
      <alignment shrinkToFit="0" vertical="bottom" wrapText="1"/>
    </xf>
    <xf borderId="6" fillId="6" fontId="14" numFmtId="0" xfId="0" applyAlignment="1" applyBorder="1" applyFont="1">
      <alignment shrinkToFit="0" vertical="bottom" wrapText="1"/>
    </xf>
    <xf borderId="6" fillId="6" fontId="14" numFmtId="10" xfId="0" applyAlignment="1" applyBorder="1" applyFont="1" applyNumberFormat="1">
      <alignment shrinkToFit="0" vertical="bottom" wrapText="1"/>
    </xf>
    <xf borderId="6" fillId="7" fontId="5" numFmtId="0" xfId="0" applyAlignment="1" applyBorder="1" applyFont="1">
      <alignment shrinkToFit="0" vertical="bottom" wrapText="1"/>
    </xf>
    <xf borderId="9" fillId="7" fontId="5" numFmtId="0" xfId="0" applyAlignment="1" applyBorder="1" applyFont="1">
      <alignment shrinkToFit="0" vertical="bottom" wrapText="1"/>
    </xf>
    <xf borderId="6" fillId="10" fontId="5" numFmtId="0" xfId="0" applyAlignment="1" applyBorder="1" applyFill="1" applyFont="1">
      <alignment horizontal="center" shrinkToFit="0" vertical="bottom" wrapText="1"/>
    </xf>
    <xf borderId="6" fillId="7" fontId="5" numFmtId="10" xfId="0" applyAlignment="1" applyBorder="1" applyFont="1" applyNumberFormat="1">
      <alignment horizontal="right" shrinkToFit="0" vertical="bottom" wrapText="1"/>
    </xf>
    <xf borderId="6" fillId="7" fontId="5" numFmtId="4" xfId="0" applyAlignment="1" applyBorder="1" applyFont="1" applyNumberFormat="1">
      <alignment horizontal="right" shrinkToFit="0" vertical="bottom" wrapText="1"/>
    </xf>
    <xf borderId="0" fillId="7" fontId="5" numFmtId="10" xfId="0" applyAlignment="1" applyFont="1" applyNumberFormat="1">
      <alignment horizontal="right" shrinkToFit="0" vertical="bottom" wrapText="1"/>
    </xf>
    <xf borderId="9" fillId="7" fontId="5" numFmtId="4" xfId="0" applyAlignment="1" applyBorder="1" applyFont="1" applyNumberFormat="1">
      <alignment shrinkToFit="0" vertical="bottom" wrapText="1"/>
    </xf>
    <xf borderId="0" fillId="7" fontId="5" numFmtId="4" xfId="0" applyAlignment="1" applyFont="1" applyNumberFormat="1">
      <alignment shrinkToFit="0" vertical="bottom" wrapText="1"/>
    </xf>
    <xf borderId="6" fillId="11" fontId="5" numFmtId="0" xfId="0" applyAlignment="1" applyBorder="1" applyFill="1" applyFont="1">
      <alignment horizontal="center" shrinkToFit="0" vertical="bottom" wrapText="1"/>
    </xf>
    <xf borderId="6" fillId="7" fontId="5" numFmtId="4" xfId="0" applyAlignment="1" applyBorder="1" applyFont="1" applyNumberFormat="1">
      <alignment horizontal="center" shrinkToFit="0" vertical="bottom" wrapText="1"/>
    </xf>
    <xf borderId="6" fillId="7" fontId="5" numFmtId="4" xfId="0" applyAlignment="1" applyBorder="1" applyFont="1" applyNumberFormat="1">
      <alignment shrinkToFit="0" vertical="bottom" wrapText="1"/>
    </xf>
    <xf borderId="6" fillId="12" fontId="5" numFmtId="0" xfId="0" applyAlignment="1" applyBorder="1" applyFill="1" applyFont="1">
      <alignment horizontal="center" shrinkToFit="0" vertical="bottom" wrapText="1"/>
    </xf>
    <xf borderId="9" fillId="7" fontId="5" numFmtId="9" xfId="0" applyAlignment="1" applyBorder="1" applyFont="1" applyNumberFormat="1">
      <alignment shrinkToFit="0" vertical="bottom" wrapText="1"/>
    </xf>
    <xf borderId="6" fillId="7" fontId="5" numFmtId="10" xfId="0" applyAlignment="1" applyBorder="1" applyFont="1" applyNumberFormat="1">
      <alignment shrinkToFit="0" vertical="bottom" wrapText="1"/>
    </xf>
    <xf borderId="0" fillId="7" fontId="5" numFmtId="10" xfId="0" applyAlignment="1" applyFont="1" applyNumberFormat="1">
      <alignment shrinkToFit="0" vertical="bottom" wrapText="1"/>
    </xf>
    <xf borderId="6" fillId="7" fontId="5" numFmtId="0" xfId="0" applyAlignment="1" applyBorder="1" applyFont="1">
      <alignment horizontal="center" shrinkToFit="0" vertical="bottom" wrapText="1"/>
    </xf>
    <xf borderId="9" fillId="7" fontId="5" numFmtId="0" xfId="0" applyAlignment="1" applyBorder="1" applyFont="1">
      <alignment shrinkToFit="0" vertical="bottom" wrapText="1"/>
    </xf>
    <xf borderId="4" fillId="7" fontId="5" numFmtId="0" xfId="0" applyAlignment="1" applyBorder="1" applyFont="1">
      <alignment shrinkToFit="0" vertical="bottom" wrapText="1"/>
    </xf>
    <xf borderId="0" fillId="7" fontId="5" numFmtId="4" xfId="0" applyAlignment="1" applyFont="1" applyNumberFormat="1">
      <alignment horizontal="right" shrinkToFit="0" vertical="bottom" wrapText="1"/>
    </xf>
    <xf borderId="6" fillId="7" fontId="5" numFmtId="0" xfId="0" applyAlignment="1" applyBorder="1" applyFont="1">
      <alignment horizontal="right" shrinkToFit="0" vertical="bottom" wrapText="1"/>
    </xf>
    <xf borderId="4" fillId="0" fontId="5" numFmtId="4" xfId="0" applyAlignment="1" applyBorder="1" applyFont="1" applyNumberFormat="1">
      <alignment shrinkToFit="0" vertical="bottom" wrapText="1"/>
    </xf>
    <xf borderId="0" fillId="0" fontId="5" numFmtId="4" xfId="0" applyAlignment="1" applyFont="1" applyNumberFormat="1">
      <alignment shrinkToFit="0" vertical="bottom" wrapText="1"/>
    </xf>
    <xf borderId="0" fillId="4" fontId="14" numFmtId="4" xfId="0" applyAlignment="1" applyFont="1" applyNumberFormat="1">
      <alignment shrinkToFit="0" vertical="bottom" wrapText="0"/>
    </xf>
    <xf borderId="4" fillId="4" fontId="14" numFmtId="4" xfId="0" applyAlignment="1" applyBorder="1" applyFont="1" applyNumberFormat="1">
      <alignment shrinkToFit="0" vertical="bottom" wrapText="1"/>
    </xf>
    <xf borderId="6" fillId="7" fontId="5" numFmtId="0" xfId="0" applyAlignment="1" applyBorder="1" applyFont="1">
      <alignment horizontal="center" shrinkToFit="0" vertical="bottom" wrapText="1"/>
    </xf>
    <xf borderId="9" fillId="7" fontId="5" numFmtId="10" xfId="0" applyAlignment="1" applyBorder="1" applyFont="1" applyNumberFormat="1">
      <alignment shrinkToFit="0" vertical="bottom" wrapText="1"/>
    </xf>
    <xf borderId="0" fillId="0" fontId="5" numFmtId="14" xfId="0" applyAlignment="1" applyFont="1" applyNumberFormat="1">
      <alignment shrinkToFit="0" vertical="bottom" wrapText="1"/>
    </xf>
    <xf borderId="0" fillId="0" fontId="5" numFmtId="10" xfId="0" applyAlignment="1" applyFont="1" applyNumberFormat="1">
      <alignment shrinkToFit="0" vertical="bottom" wrapText="1"/>
    </xf>
    <xf borderId="6" fillId="7" fontId="5" numFmtId="165" xfId="0" applyAlignment="1" applyBorder="1" applyFont="1" applyNumberFormat="1">
      <alignment horizontal="center" shrinkToFit="0" vertical="bottom" wrapText="1"/>
    </xf>
    <xf borderId="0" fillId="0" fontId="5" numFmtId="167" xfId="0" applyAlignment="1" applyFont="1" applyNumberFormat="1">
      <alignment shrinkToFit="0" vertical="bottom" wrapText="1"/>
    </xf>
    <xf borderId="6" fillId="7" fontId="5" numFmtId="14" xfId="0" applyAlignment="1" applyBorder="1" applyFont="1" applyNumberFormat="1">
      <alignment horizontal="center" shrinkToFit="0" vertical="bottom" wrapText="1"/>
    </xf>
    <xf borderId="6" fillId="7" fontId="5" numFmtId="9" xfId="0" applyAlignment="1" applyBorder="1" applyFont="1" applyNumberFormat="1">
      <alignment horizontal="right" shrinkToFit="0" vertical="bottom" wrapText="1"/>
    </xf>
    <xf borderId="0" fillId="4" fontId="14" numFmtId="4" xfId="0" applyAlignment="1" applyFont="1" applyNumberFormat="1">
      <alignment horizontal="right" shrinkToFit="0" vertical="bottom" wrapText="1"/>
    </xf>
    <xf borderId="0" fillId="7" fontId="18" numFmtId="4" xfId="0" applyAlignment="1" applyFont="1" applyNumberFormat="1">
      <alignment shrinkToFit="0" vertical="bottom" wrapText="1"/>
    </xf>
    <xf borderId="0" fillId="7" fontId="18" numFmtId="10" xfId="0" applyAlignment="1" applyFont="1" applyNumberFormat="1">
      <alignment shrinkToFit="0" vertical="bottom" wrapText="1"/>
    </xf>
    <xf borderId="4" fillId="7" fontId="5" numFmtId="14" xfId="0" applyAlignment="1" applyBorder="1" applyFont="1" applyNumberFormat="1">
      <alignment horizontal="right" shrinkToFit="0" vertical="bottom" wrapText="1"/>
    </xf>
    <xf borderId="6" fillId="0" fontId="2" numFmtId="0" xfId="0" applyAlignment="1" applyBorder="1" applyFont="1">
      <alignment shrinkToFit="0" wrapText="1"/>
    </xf>
    <xf borderId="4" fillId="7" fontId="5" numFmtId="167" xfId="0" applyAlignment="1" applyBorder="1" applyFont="1" applyNumberFormat="1">
      <alignment horizontal="right" shrinkToFit="0" vertical="bottom" wrapText="1"/>
    </xf>
    <xf borderId="4" fillId="4" fontId="14" numFmtId="167" xfId="0" applyAlignment="1" applyBorder="1" applyFont="1" applyNumberFormat="1">
      <alignment shrinkToFit="0" vertical="bottom" wrapText="1"/>
    </xf>
    <xf borderId="4" fillId="4" fontId="5" numFmtId="4" xfId="0" applyAlignment="1" applyBorder="1" applyFont="1" applyNumberFormat="1">
      <alignment shrinkToFit="0" vertical="bottom" wrapText="1"/>
    </xf>
    <xf borderId="6" fillId="7" fontId="5" numFmtId="14" xfId="0" applyAlignment="1" applyBorder="1" applyFont="1" applyNumberFormat="1">
      <alignment shrinkToFit="0" vertical="bottom" wrapText="1"/>
    </xf>
    <xf borderId="6" fillId="7" fontId="5" numFmtId="166" xfId="0" applyAlignment="1" applyBorder="1" applyFont="1" applyNumberFormat="1">
      <alignment shrinkToFit="0" vertical="bottom" wrapText="1"/>
    </xf>
    <xf borderId="9" fillId="7" fontId="5" numFmtId="167" xfId="0" applyAlignment="1" applyBorder="1" applyFont="1" applyNumberFormat="1">
      <alignment shrinkToFit="0" vertical="bottom" wrapText="1"/>
    </xf>
    <xf borderId="6" fillId="7" fontId="5" numFmtId="165" xfId="0" applyAlignment="1" applyBorder="1" applyFont="1" applyNumberFormat="1">
      <alignment horizontal="right" shrinkToFit="0" vertical="bottom" wrapText="1"/>
    </xf>
    <xf borderId="6" fillId="7" fontId="18" numFmtId="0" xfId="0" applyAlignment="1" applyBorder="1" applyFont="1">
      <alignment horizontal="right" shrinkToFit="0" vertical="bottom" wrapText="1"/>
    </xf>
    <xf borderId="6" fillId="7" fontId="5" numFmtId="167" xfId="0" applyAlignment="1" applyBorder="1" applyFont="1" applyNumberFormat="1">
      <alignment horizontal="right" shrinkToFit="0" vertical="bottom" wrapText="1"/>
    </xf>
    <xf borderId="6" fillId="7" fontId="18" numFmtId="4" xfId="0" applyAlignment="1" applyBorder="1" applyFont="1" applyNumberFormat="1">
      <alignment horizontal="right" shrinkToFit="0" vertical="bottom" wrapText="1"/>
    </xf>
    <xf borderId="9" fillId="7" fontId="19" numFmtId="167" xfId="0" applyAlignment="1" applyBorder="1" applyFont="1" applyNumberFormat="1">
      <alignment horizontal="right" shrinkToFit="0" vertical="bottom" wrapText="1"/>
    </xf>
    <xf borderId="6" fillId="7" fontId="5" numFmtId="166" xfId="0" applyAlignment="1" applyBorder="1" applyFont="1" applyNumberFormat="1">
      <alignment horizontal="right" shrinkToFit="0" vertical="bottom" wrapText="1"/>
    </xf>
    <xf borderId="6" fillId="7" fontId="5" numFmtId="1" xfId="0" applyAlignment="1" applyBorder="1" applyFont="1" applyNumberFormat="1">
      <alignment horizontal="right" shrinkToFit="0" vertical="bottom" wrapText="1"/>
    </xf>
    <xf borderId="6" fillId="7" fontId="5" numFmtId="0" xfId="0" applyAlignment="1" applyBorder="1" applyFont="1">
      <alignment horizontal="right" shrinkToFit="0" vertical="bottom" wrapText="1"/>
    </xf>
    <xf borderId="6" fillId="7" fontId="5" numFmtId="167" xfId="0" applyAlignment="1" applyBorder="1" applyFont="1" applyNumberFormat="1">
      <alignment shrinkToFit="0" vertical="bottom" wrapText="1"/>
    </xf>
    <xf borderId="6" fillId="7" fontId="5" numFmtId="165" xfId="0" applyAlignment="1" applyBorder="1" applyFont="1" applyNumberFormat="1">
      <alignment shrinkToFit="0" vertical="bottom" wrapText="1"/>
    </xf>
    <xf borderId="9" fillId="4" fontId="14" numFmtId="49" xfId="0" applyAlignment="1" applyBorder="1" applyFont="1" applyNumberFormat="1">
      <alignment shrinkToFit="0" vertical="bottom" wrapText="1"/>
    </xf>
    <xf borderId="6" fillId="7" fontId="5" numFmtId="1" xfId="0" applyAlignment="1" applyBorder="1" applyFont="1" applyNumberFormat="1">
      <alignment horizontal="right" shrinkToFit="0" vertical="bottom" wrapText="1"/>
    </xf>
    <xf borderId="0" fillId="4" fontId="14" numFmtId="10" xfId="0" applyAlignment="1" applyFont="1" applyNumberFormat="1">
      <alignment shrinkToFit="0" vertical="bottom" wrapText="0"/>
    </xf>
    <xf borderId="0" fillId="0" fontId="5" numFmtId="0" xfId="0" applyAlignment="1" applyFont="1">
      <alignment horizontal="right" shrinkToFit="0" vertical="bottom" wrapText="1"/>
    </xf>
    <xf borderId="0" fillId="2" fontId="5" numFmtId="10" xfId="0" applyAlignment="1" applyFont="1" applyNumberForma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7" fontId="4" numFmtId="0" xfId="0" applyAlignment="1" applyFont="1">
      <alignment shrinkToFit="0" vertical="bottom" wrapText="1"/>
    </xf>
    <xf borderId="6" fillId="7" fontId="4" numFmtId="0" xfId="0" applyAlignment="1" applyBorder="1" applyFont="1">
      <alignment shrinkToFit="0" vertical="bottom" wrapText="1"/>
    </xf>
    <xf borderId="9" fillId="7" fontId="5" numFmtId="10" xfId="0" applyAlignment="1" applyBorder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4" fillId="4" fontId="5" numFmtId="166" xfId="0" applyAlignment="1" applyBorder="1" applyFont="1" applyNumberFormat="1">
      <alignment shrinkToFit="0" vertical="bottom" wrapText="1"/>
    </xf>
    <xf borderId="6" fillId="13" fontId="5" numFmtId="0" xfId="0" applyAlignment="1" applyBorder="1" applyFill="1" applyFont="1">
      <alignment shrinkToFit="0" vertical="bottom" wrapText="1"/>
    </xf>
    <xf borderId="6" fillId="13" fontId="5" numFmtId="0" xfId="0" applyAlignment="1" applyBorder="1" applyFont="1">
      <alignment shrinkToFit="0" vertical="bottom" wrapText="1"/>
    </xf>
    <xf borderId="6" fillId="13" fontId="5" numFmtId="0" xfId="0" applyAlignment="1" applyBorder="1" applyFont="1">
      <alignment shrinkToFit="0" vertical="bottom" wrapText="0"/>
    </xf>
    <xf borderId="6" fillId="13" fontId="5" numFmtId="0" xfId="0" applyAlignment="1" applyBorder="1" applyFont="1">
      <alignment horizontal="right" shrinkToFit="0" vertical="bottom" wrapText="1"/>
    </xf>
    <xf borderId="0" fillId="13" fontId="5" numFmtId="0" xfId="0" applyAlignment="1" applyFont="1">
      <alignment shrinkToFit="0" vertical="bottom" wrapText="1"/>
    </xf>
    <xf borderId="0" fillId="13" fontId="5" numFmtId="0" xfId="0" applyAlignment="1" applyFont="1">
      <alignment horizontal="right"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Burndonwn</a:t>
            </a:r>
          </a:p>
        </c:rich>
      </c:tx>
      <c:overlay val="0"/>
    </c:title>
    <c:plotArea>
      <c:layout>
        <c:manualLayout>
          <c:xMode val="edge"/>
          <c:yMode val="edge"/>
          <c:x val="0.17362"/>
          <c:y val="0.19063"/>
          <c:w val="0.62771"/>
          <c:h val="0.61875"/>
        </c:manualLayout>
      </c:layout>
      <c:lineChart>
        <c:ser>
          <c:idx val="0"/>
          <c:order val="0"/>
          <c:tx>
            <c:strRef>
              <c:f>Resumen!$C$2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Resumen!$B$3:$B$53</c:f>
            </c:strRef>
          </c:cat>
          <c:val>
            <c:numRef>
              <c:f>Resumen!$C$3:$C$53</c:f>
              <c:numCache/>
            </c:numRef>
          </c:val>
          <c:smooth val="0"/>
        </c:ser>
        <c:ser>
          <c:idx val="1"/>
          <c:order val="1"/>
          <c:tx>
            <c:strRef>
              <c:f>Resumen!$D$2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Resumen!$B$3:$B$53</c:f>
            </c:strRef>
          </c:cat>
          <c:val>
            <c:numRef>
              <c:f>Resumen!$D$3:$D$53</c:f>
              <c:numCache/>
            </c:numRef>
          </c:val>
          <c:smooth val="0"/>
        </c:ser>
        <c:axId val="1877445450"/>
        <c:axId val="1387573746"/>
      </c:lineChart>
      <c:catAx>
        <c:axId val="1877445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7573746"/>
      </c:catAx>
      <c:valAx>
        <c:axId val="1387573746"/>
        <c:scaling>
          <c:orientation val="minMax"/>
          <c:max val="1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7445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(Netas)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Resumen!$H$2:$H$10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Planning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Resumen!$H$14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Resumen!$G$15:$G$43</c:f>
            </c:strRef>
          </c:cat>
          <c:val>
            <c:numRef>
              <c:f>Resumen!$H$15:$H$43</c:f>
              <c:numCache/>
            </c:numRef>
          </c:val>
        </c:ser>
        <c:ser>
          <c:idx val="1"/>
          <c:order val="1"/>
          <c:tx>
            <c:strRef>
              <c:f>Resumen!$I$14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Resumen!$G$15:$G$43</c:f>
            </c:strRef>
          </c:cat>
          <c:val>
            <c:numRef>
              <c:f>Resumen!$I$15:$I$43</c:f>
              <c:numCache/>
            </c:numRef>
          </c:val>
        </c:ser>
        <c:ser>
          <c:idx val="2"/>
          <c:order val="2"/>
          <c:tx>
            <c:strRef>
              <c:f>Resumen!$J$14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Resumen!$G$15:$G$43</c:f>
            </c:strRef>
          </c:cat>
          <c:val>
            <c:numRef>
              <c:f>Resumen!$J$15:$J$43</c:f>
              <c:numCache/>
            </c:numRef>
          </c:val>
        </c:ser>
        <c:axId val="627871093"/>
        <c:axId val="434551215"/>
      </c:barChart>
      <c:catAx>
        <c:axId val="6278710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434551215"/>
      </c:catAx>
      <c:valAx>
        <c:axId val="434551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78710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(Reales)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Resumen!$G$2:$G$10</c:f>
            </c:strRef>
          </c:cat>
          <c:val>
            <c:numRef>
              <c:f>Resumen!$J$2:$J$10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Esfuerzo del equipo (Horas reales)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Resumen!$C$57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Resumen!$B$58:$B$114</c:f>
            </c:strRef>
          </c:cat>
          <c:val>
            <c:numRef>
              <c:f>Resumen!$C$58:$C$114</c:f>
              <c:numCache/>
            </c:numRef>
          </c:val>
        </c:ser>
        <c:ser>
          <c:idx val="1"/>
          <c:order val="1"/>
          <c:tx>
            <c:strRef>
              <c:f>Resumen!$D$57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Resumen!$B$58:$B$114</c:f>
            </c:strRef>
          </c:cat>
          <c:val>
            <c:numRef>
              <c:f>Resumen!$D$58:$D$114</c:f>
              <c:numCache/>
            </c:numRef>
          </c:val>
        </c:ser>
        <c:ser>
          <c:idx val="2"/>
          <c:order val="2"/>
          <c:tx>
            <c:strRef>
              <c:f>Resumen!$E$57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Resumen!$B$58:$B$114</c:f>
            </c:strRef>
          </c:cat>
          <c:val>
            <c:numRef>
              <c:f>Resumen!$E$58:$E$114</c:f>
              <c:numCache/>
            </c:numRef>
          </c:val>
        </c:ser>
        <c:ser>
          <c:idx val="3"/>
          <c:order val="3"/>
          <c:tx>
            <c:strRef>
              <c:f>Resumen!$F$57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Resumen!$B$58:$B$114</c:f>
            </c:strRef>
          </c:cat>
          <c:val>
            <c:numRef>
              <c:f>Resumen!$F$58:$F$114</c:f>
              <c:numCache/>
            </c:numRef>
          </c:val>
        </c:ser>
        <c:ser>
          <c:idx val="4"/>
          <c:order val="4"/>
          <c:tx>
            <c:strRef>
              <c:f>Resumen!$G$57</c:f>
            </c:strRef>
          </c:tx>
          <c:cat>
            <c:strRef>
              <c:f>Resumen!$B$58:$B$114</c:f>
            </c:strRef>
          </c:cat>
          <c:val>
            <c:numRef>
              <c:f>Resumen!$G$58:$G$114</c:f>
              <c:numCache/>
            </c:numRef>
          </c:val>
        </c:ser>
        <c:ser>
          <c:idx val="5"/>
          <c:order val="5"/>
          <c:tx>
            <c:strRef>
              <c:f>Resumen!$H$57</c:f>
            </c:strRef>
          </c:tx>
          <c:cat>
            <c:strRef>
              <c:f>Resumen!$B$58:$B$114</c:f>
            </c:strRef>
          </c:cat>
          <c:val>
            <c:numRef>
              <c:f>Resumen!$H$58:$H$114</c:f>
              <c:numCache/>
            </c:numRef>
          </c:val>
        </c:ser>
        <c:overlap val="100"/>
        <c:axId val="1212731036"/>
        <c:axId val="1065461839"/>
      </c:barChart>
      <c:catAx>
        <c:axId val="1212731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065461839"/>
      </c:catAx>
      <c:valAx>
        <c:axId val="1065461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2731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Esfuerzo relativo acumulado (horas reales)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Resumen!$L$56:$L$57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Resumen!$K$58:$K$114</c:f>
            </c:strRef>
          </c:cat>
          <c:val>
            <c:numRef>
              <c:f>Resumen!$L$58:$L$114</c:f>
              <c:numCache/>
            </c:numRef>
          </c:val>
          <c:smooth val="0"/>
        </c:ser>
        <c:ser>
          <c:idx val="1"/>
          <c:order val="1"/>
          <c:tx>
            <c:strRef>
              <c:f>Resumen!$M$56:$M$57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Resumen!$K$58:$K$114</c:f>
            </c:strRef>
          </c:cat>
          <c:val>
            <c:numRef>
              <c:f>Resumen!$M$58:$M$114</c:f>
              <c:numCache/>
            </c:numRef>
          </c:val>
          <c:smooth val="0"/>
        </c:ser>
        <c:ser>
          <c:idx val="2"/>
          <c:order val="2"/>
          <c:tx>
            <c:strRef>
              <c:f>Resumen!$N$56:$N$57</c:f>
            </c:strRef>
          </c:tx>
          <c:spPr>
            <a:ln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Resumen!$K$58:$K$114</c:f>
            </c:strRef>
          </c:cat>
          <c:val>
            <c:numRef>
              <c:f>Resumen!$N$58:$N$114</c:f>
              <c:numCache/>
            </c:numRef>
          </c:val>
          <c:smooth val="0"/>
        </c:ser>
        <c:ser>
          <c:idx val="3"/>
          <c:order val="3"/>
          <c:tx>
            <c:strRef>
              <c:f>Resumen!$O$56:$O$57</c:f>
            </c:strRef>
          </c:tx>
          <c:spPr>
            <a:ln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Resumen!$K$58:$K$114</c:f>
            </c:strRef>
          </c:cat>
          <c:val>
            <c:numRef>
              <c:f>Resumen!$O$58:$O$114</c:f>
              <c:numCache/>
            </c:numRef>
          </c:val>
          <c:smooth val="0"/>
        </c:ser>
        <c:ser>
          <c:idx val="4"/>
          <c:order val="4"/>
          <c:tx>
            <c:strRef>
              <c:f>Resumen!$P$56:$P$57</c:f>
            </c:strRef>
          </c:tx>
          <c:spPr>
            <a:ln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Resumen!$K$58:$K$114</c:f>
            </c:strRef>
          </c:cat>
          <c:val>
            <c:numRef>
              <c:f>Resumen!$P$58:$P$114</c:f>
              <c:numCache/>
            </c:numRef>
          </c:val>
          <c:smooth val="0"/>
        </c:ser>
        <c:ser>
          <c:idx val="5"/>
          <c:order val="5"/>
          <c:tx>
            <c:strRef>
              <c:f>Resumen!$Q$56:$Q$57</c:f>
            </c:strRef>
          </c:tx>
          <c:spPr>
            <a:ln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Resumen!$K$58:$K$114</c:f>
            </c:strRef>
          </c:cat>
          <c:val>
            <c:numRef>
              <c:f>Resumen!$Q$58:$Q$114</c:f>
              <c:numCache/>
            </c:numRef>
          </c:val>
          <c:smooth val="0"/>
        </c:ser>
        <c:axId val="1720977103"/>
        <c:axId val="776234711"/>
      </c:lineChart>
      <c:catAx>
        <c:axId val="172097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776234711"/>
      </c:catAx>
      <c:valAx>
        <c:axId val="776234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0977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Colaboratividad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Resumen!$R$14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Resumen!$G$15:$G$43</c:f>
            </c:strRef>
          </c:cat>
          <c:val>
            <c:numRef>
              <c:f>Resumen!$R$15:$R$43</c:f>
              <c:numCache/>
            </c:numRef>
          </c:val>
        </c:ser>
        <c:ser>
          <c:idx val="1"/>
          <c:order val="1"/>
          <c:tx>
            <c:strRef>
              <c:f>Resumen!$S$14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Resumen!$G$15:$G$43</c:f>
            </c:strRef>
          </c:cat>
          <c:val>
            <c:numRef>
              <c:f>Resumen!$S$15:$S$43</c:f>
              <c:numCache/>
            </c:numRef>
          </c:val>
        </c:ser>
        <c:ser>
          <c:idx val="2"/>
          <c:order val="2"/>
          <c:tx>
            <c:strRef>
              <c:f>Resumen!$T$14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Resumen!$G$15:$G$43</c:f>
            </c:strRef>
          </c:cat>
          <c:val>
            <c:numRef>
              <c:f>Resumen!$T$15:$T$43</c:f>
              <c:numCache/>
            </c:numRef>
          </c:val>
        </c:ser>
        <c:ser>
          <c:idx val="3"/>
          <c:order val="3"/>
          <c:tx>
            <c:strRef>
              <c:f>Resumen!$U$14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Resumen!$G$15:$G$43</c:f>
            </c:strRef>
          </c:cat>
          <c:val>
            <c:numRef>
              <c:f>Resumen!$U$15:$U$43</c:f>
              <c:numCache/>
            </c:numRef>
          </c:val>
        </c:ser>
        <c:ser>
          <c:idx val="4"/>
          <c:order val="4"/>
          <c:tx>
            <c:strRef>
              <c:f>Resumen!$V$14</c:f>
            </c:strRef>
          </c:tx>
          <c:cat>
            <c:strRef>
              <c:f>Resumen!$G$15:$G$43</c:f>
            </c:strRef>
          </c:cat>
          <c:val>
            <c:numRef>
              <c:f>Resumen!$V$15:$V$43</c:f>
              <c:numCache/>
            </c:numRef>
          </c:val>
        </c:ser>
        <c:overlap val="100"/>
        <c:axId val="1067518662"/>
        <c:axId val="428000963"/>
      </c:barChart>
      <c:catAx>
        <c:axId val="10675186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428000963"/>
      </c:catAx>
      <c:valAx>
        <c:axId val="4280009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675186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Team (Eficacia)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Resumen!$H$2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Resumen!$G$3:$G$7</c:f>
            </c:strRef>
          </c:cat>
          <c:val>
            <c:numRef>
              <c:f>Resumen!$H$3:$H$7</c:f>
              <c:numCache/>
            </c:numRef>
          </c:val>
        </c:ser>
        <c:ser>
          <c:idx val="1"/>
          <c:order val="1"/>
          <c:tx>
            <c:strRef>
              <c:f>Resumen!$J$2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Resumen!$G$3:$G$7</c:f>
            </c:strRef>
          </c:cat>
          <c:val>
            <c:numRef>
              <c:f>Resumen!$J$3:$J$7</c:f>
              <c:numCache/>
            </c:numRef>
          </c:val>
        </c:ser>
        <c:overlap val="100"/>
        <c:axId val="453903924"/>
        <c:axId val="546487705"/>
      </c:barChart>
      <c:catAx>
        <c:axId val="4539039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6487705"/>
      </c:catAx>
      <c:valAx>
        <c:axId val="5464877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3903924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Participatividad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Resumen!$B$138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Resumen!$C$138:$H$138</c:f>
              <c:numCache/>
            </c:numRef>
          </c:val>
        </c:ser>
        <c:ser>
          <c:idx val="1"/>
          <c:order val="1"/>
          <c:tx>
            <c:strRef>
              <c:f>Resumen!$B$139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Resumen!$C$139:$H$139</c:f>
              <c:numCache/>
            </c:numRef>
          </c:val>
        </c:ser>
        <c:ser>
          <c:idx val="2"/>
          <c:order val="2"/>
          <c:tx>
            <c:strRef>
              <c:f>Resumen!$B$140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Resumen!$C$140:$H$140</c:f>
              <c:numCache/>
            </c:numRef>
          </c:val>
        </c:ser>
        <c:ser>
          <c:idx val="3"/>
          <c:order val="3"/>
          <c:tx>
            <c:strRef>
              <c:f>Resumen!$B$141</c:f>
            </c:strRef>
          </c:tx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Resumen!$C$141:$H$141</c:f>
              <c:numCache/>
            </c:numRef>
          </c:val>
        </c:ser>
        <c:ser>
          <c:idx val="4"/>
          <c:order val="4"/>
          <c:tx>
            <c:strRef>
              <c:f>Resumen!$B$142</c:f>
            </c:strRef>
          </c:tx>
          <c:spPr>
            <a:solidFill>
              <a:srgbClr val="990099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Resumen!$C$142:$H$142</c:f>
              <c:numCache/>
            </c:numRef>
          </c:val>
        </c:ser>
        <c:ser>
          <c:idx val="5"/>
          <c:order val="5"/>
          <c:tx>
            <c:strRef>
              <c:f>Resumen!$B$143</c:f>
            </c:strRef>
          </c:tx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Resumen!$C$143:$H$143</c:f>
              <c:numCache/>
            </c:numRef>
          </c:val>
        </c:ser>
        <c:ser>
          <c:idx val="6"/>
          <c:order val="6"/>
          <c:tx>
            <c:strRef>
              <c:f>Resumen!$B$144</c:f>
            </c:strRef>
          </c:tx>
          <c:spPr>
            <a:solidFill>
              <a:srgbClr val="DD4477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Resumen!$C$144:$H$144</c:f>
              <c:numCache/>
            </c:numRef>
          </c:val>
        </c:ser>
        <c:ser>
          <c:idx val="7"/>
          <c:order val="7"/>
          <c:tx>
            <c:strRef>
              <c:f>Resumen!$B$145</c:f>
            </c:strRef>
          </c:tx>
          <c:spPr>
            <a:solidFill>
              <a:srgbClr val="66AA00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Resumen!$C$145:$H$145</c:f>
              <c:numCache/>
            </c:numRef>
          </c:val>
        </c:ser>
        <c:ser>
          <c:idx val="8"/>
          <c:order val="8"/>
          <c:tx>
            <c:strRef>
              <c:f>Resumen!$B$146</c:f>
            </c:strRef>
          </c:tx>
          <c:spPr>
            <a:solidFill>
              <a:srgbClr val="B82E2E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Resumen!$C$146:$H$146</c:f>
              <c:numCache/>
            </c:numRef>
          </c:val>
        </c:ser>
        <c:ser>
          <c:idx val="9"/>
          <c:order val="9"/>
          <c:tx>
            <c:strRef>
              <c:f>Resumen!$B$147</c:f>
            </c:strRef>
          </c:tx>
          <c:spPr>
            <a:solidFill>
              <a:srgbClr val="316395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Resumen!$C$147:$H$147</c:f>
              <c:numCache/>
            </c:numRef>
          </c:val>
        </c:ser>
        <c:ser>
          <c:idx val="10"/>
          <c:order val="10"/>
          <c:tx>
            <c:strRef>
              <c:f>Resumen!$B$148</c:f>
            </c:strRef>
          </c:tx>
          <c:spPr>
            <a:solidFill>
              <a:srgbClr val="994499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Resumen!$C$148:$H$148</c:f>
              <c:numCache/>
            </c:numRef>
          </c:val>
        </c:ser>
        <c:ser>
          <c:idx val="11"/>
          <c:order val="11"/>
          <c:tx>
            <c:strRef>
              <c:f>Resumen!$B$149</c:f>
            </c:strRef>
          </c:tx>
          <c:spPr>
            <a:solidFill>
              <a:srgbClr val="22AA99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Resumen!$C$149:$H$149</c:f>
              <c:numCache/>
            </c:numRef>
          </c:val>
        </c:ser>
        <c:ser>
          <c:idx val="12"/>
          <c:order val="12"/>
          <c:tx>
            <c:strRef>
              <c:f>Resumen!$B$150</c:f>
            </c:strRef>
          </c:tx>
          <c:spPr>
            <a:solidFill>
              <a:srgbClr val="AAAA11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Resumen!$C$150:$H$150</c:f>
              <c:numCache/>
            </c:numRef>
          </c:val>
        </c:ser>
        <c:ser>
          <c:idx val="13"/>
          <c:order val="13"/>
          <c:tx>
            <c:strRef>
              <c:f>Resumen!$B$151</c:f>
            </c:strRef>
          </c:tx>
          <c:spPr>
            <a:solidFill>
              <a:srgbClr val="6633CC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Resumen!$C$151:$H$151</c:f>
              <c:numCache/>
            </c:numRef>
          </c:val>
        </c:ser>
        <c:ser>
          <c:idx val="14"/>
          <c:order val="14"/>
          <c:tx>
            <c:strRef>
              <c:f>Resumen!$B$152</c:f>
            </c:strRef>
          </c:tx>
          <c:spPr>
            <a:solidFill>
              <a:srgbClr val="E67300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Resumen!$C$152:$H$152</c:f>
              <c:numCache/>
            </c:numRef>
          </c:val>
        </c:ser>
        <c:ser>
          <c:idx val="15"/>
          <c:order val="15"/>
          <c:tx>
            <c:strRef>
              <c:f>Resumen!$B$153</c:f>
            </c:strRef>
          </c:tx>
          <c:spPr>
            <a:solidFill>
              <a:srgbClr val="8B0707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Resumen!$C$153:$H$153</c:f>
              <c:numCache/>
            </c:numRef>
          </c:val>
        </c:ser>
        <c:ser>
          <c:idx val="16"/>
          <c:order val="16"/>
          <c:tx>
            <c:strRef>
              <c:f>Resumen!$B$154</c:f>
            </c:strRef>
          </c:tx>
          <c:spPr>
            <a:solidFill>
              <a:srgbClr val="651067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Resumen!$C$154:$H$154</c:f>
              <c:numCache/>
            </c:numRef>
          </c:val>
        </c:ser>
        <c:ser>
          <c:idx val="17"/>
          <c:order val="17"/>
          <c:tx>
            <c:strRef>
              <c:f>Resumen!$B$155</c:f>
            </c:strRef>
          </c:tx>
          <c:spPr>
            <a:solidFill>
              <a:srgbClr val="329262"/>
            </a:solidFill>
            <a:ln cmpd="sng">
              <a:solidFill>
                <a:srgbClr val="000000"/>
              </a:solidFill>
            </a:ln>
          </c:spPr>
          <c:cat>
            <c:strRef>
              <c:f>Resumen!$C$137:$H$137</c:f>
            </c:strRef>
          </c:cat>
          <c:val>
            <c:numRef>
              <c:f>Resumen!$C$155:$H$155</c:f>
              <c:numCache/>
            </c:numRef>
          </c:val>
        </c:ser>
        <c:ser>
          <c:idx val="18"/>
          <c:order val="18"/>
          <c:tx>
            <c:strRef>
              <c:f>Resumen!$B$156</c:f>
            </c:strRef>
          </c:tx>
          <c:cat>
            <c:strRef>
              <c:f>Resumen!$C$137:$H$137</c:f>
            </c:strRef>
          </c:cat>
          <c:val>
            <c:numRef>
              <c:f>Resumen!$C$156:$H$156</c:f>
              <c:numCache/>
            </c:numRef>
          </c:val>
        </c:ser>
        <c:ser>
          <c:idx val="19"/>
          <c:order val="19"/>
          <c:tx>
            <c:strRef>
              <c:f>Resumen!$B$157</c:f>
            </c:strRef>
          </c:tx>
          <c:cat>
            <c:strRef>
              <c:f>Resumen!$C$137:$H$137</c:f>
            </c:strRef>
          </c:cat>
          <c:val>
            <c:numRef>
              <c:f>Resumen!$C$157:$H$157</c:f>
              <c:numCache/>
            </c:numRef>
          </c:val>
        </c:ser>
        <c:ser>
          <c:idx val="20"/>
          <c:order val="20"/>
          <c:tx>
            <c:strRef>
              <c:f>Resumen!$B$158</c:f>
            </c:strRef>
          </c:tx>
          <c:cat>
            <c:strRef>
              <c:f>Resumen!$C$137:$H$137</c:f>
            </c:strRef>
          </c:cat>
          <c:val>
            <c:numRef>
              <c:f>Resumen!$C$158:$H$158</c:f>
              <c:numCache/>
            </c:numRef>
          </c:val>
        </c:ser>
        <c:ser>
          <c:idx val="21"/>
          <c:order val="21"/>
          <c:tx>
            <c:strRef>
              <c:f>Resumen!$B$159</c:f>
            </c:strRef>
          </c:tx>
          <c:cat>
            <c:strRef>
              <c:f>Resumen!$C$137:$H$137</c:f>
            </c:strRef>
          </c:cat>
          <c:val>
            <c:numRef>
              <c:f>Resumen!$C$159:$H$159</c:f>
              <c:numCache/>
            </c:numRef>
          </c:val>
        </c:ser>
        <c:ser>
          <c:idx val="22"/>
          <c:order val="22"/>
          <c:tx>
            <c:strRef>
              <c:f>Resumen!$B$160</c:f>
            </c:strRef>
          </c:tx>
          <c:cat>
            <c:strRef>
              <c:f>Resumen!$C$137:$H$137</c:f>
            </c:strRef>
          </c:cat>
          <c:val>
            <c:numRef>
              <c:f>Resumen!$C$160:$H$160</c:f>
              <c:numCache/>
            </c:numRef>
          </c:val>
        </c:ser>
        <c:ser>
          <c:idx val="23"/>
          <c:order val="23"/>
          <c:tx>
            <c:strRef>
              <c:f>Resumen!$B$161</c:f>
            </c:strRef>
          </c:tx>
          <c:cat>
            <c:strRef>
              <c:f>Resumen!$C$137:$H$137</c:f>
            </c:strRef>
          </c:cat>
          <c:val>
            <c:numRef>
              <c:f>Resumen!$C$161:$H$161</c:f>
              <c:numCache/>
            </c:numRef>
          </c:val>
        </c:ser>
        <c:ser>
          <c:idx val="24"/>
          <c:order val="24"/>
          <c:tx>
            <c:strRef>
              <c:f>Resumen!$B$162</c:f>
            </c:strRef>
          </c:tx>
          <c:cat>
            <c:strRef>
              <c:f>Resumen!$C$137:$H$137</c:f>
            </c:strRef>
          </c:cat>
          <c:val>
            <c:numRef>
              <c:f>Resumen!$C$162:$H$162</c:f>
              <c:numCache/>
            </c:numRef>
          </c:val>
        </c:ser>
        <c:ser>
          <c:idx val="25"/>
          <c:order val="25"/>
          <c:tx>
            <c:strRef>
              <c:f>Resumen!$B$163</c:f>
            </c:strRef>
          </c:tx>
          <c:cat>
            <c:strRef>
              <c:f>Resumen!$C$137:$H$137</c:f>
            </c:strRef>
          </c:cat>
          <c:val>
            <c:numRef>
              <c:f>Resumen!$C$163:$H$163</c:f>
              <c:numCache/>
            </c:numRef>
          </c:val>
        </c:ser>
        <c:ser>
          <c:idx val="26"/>
          <c:order val="26"/>
          <c:tx>
            <c:strRef>
              <c:f>Resumen!$B$164</c:f>
            </c:strRef>
          </c:tx>
          <c:cat>
            <c:strRef>
              <c:f>Resumen!$C$137:$H$137</c:f>
            </c:strRef>
          </c:cat>
          <c:val>
            <c:numRef>
              <c:f>Resumen!$C$164:$H$164</c:f>
              <c:numCache/>
            </c:numRef>
          </c:val>
        </c:ser>
        <c:ser>
          <c:idx val="27"/>
          <c:order val="27"/>
          <c:tx>
            <c:strRef>
              <c:f>Resumen!$B$165</c:f>
            </c:strRef>
          </c:tx>
          <c:cat>
            <c:strRef>
              <c:f>Resumen!$C$137:$H$137</c:f>
            </c:strRef>
          </c:cat>
          <c:val>
            <c:numRef>
              <c:f>Resumen!$C$165:$H$165</c:f>
              <c:numCache/>
            </c:numRef>
          </c:val>
        </c:ser>
        <c:ser>
          <c:idx val="28"/>
          <c:order val="28"/>
          <c:tx>
            <c:strRef>
              <c:f>Resumen!$B$166</c:f>
            </c:strRef>
          </c:tx>
          <c:cat>
            <c:strRef>
              <c:f>Resumen!$C$137:$H$137</c:f>
            </c:strRef>
          </c:cat>
          <c:val>
            <c:numRef>
              <c:f>Resumen!$C$166:$H$166</c:f>
              <c:numCache/>
            </c:numRef>
          </c:val>
        </c:ser>
        <c:ser>
          <c:idx val="29"/>
          <c:order val="29"/>
          <c:tx>
            <c:strRef>
              <c:f>Resumen!$B$167</c:f>
            </c:strRef>
          </c:tx>
          <c:cat>
            <c:strRef>
              <c:f>Resumen!$C$137:$H$137</c:f>
            </c:strRef>
          </c:cat>
          <c:val>
            <c:numRef>
              <c:f>Resumen!$C$167:$H$167</c:f>
              <c:numCache/>
            </c:numRef>
          </c:val>
        </c:ser>
        <c:ser>
          <c:idx val="30"/>
          <c:order val="30"/>
          <c:tx>
            <c:strRef>
              <c:f>Resumen!$B$168</c:f>
            </c:strRef>
          </c:tx>
          <c:cat>
            <c:strRef>
              <c:f>Resumen!$C$137:$H$137</c:f>
            </c:strRef>
          </c:cat>
          <c:val>
            <c:numRef>
              <c:f>Resumen!$C$168:$H$168</c:f>
              <c:numCache/>
            </c:numRef>
          </c:val>
        </c:ser>
        <c:ser>
          <c:idx val="31"/>
          <c:order val="31"/>
          <c:tx>
            <c:strRef>
              <c:f>Resumen!$B$169</c:f>
            </c:strRef>
          </c:tx>
          <c:cat>
            <c:strRef>
              <c:f>Resumen!$C$137:$H$137</c:f>
            </c:strRef>
          </c:cat>
          <c:val>
            <c:numRef>
              <c:f>Resumen!$C$169:$H$169</c:f>
              <c:numCache/>
            </c:numRef>
          </c:val>
        </c:ser>
        <c:ser>
          <c:idx val="32"/>
          <c:order val="32"/>
          <c:tx>
            <c:strRef>
              <c:f>Resumen!$B$170</c:f>
            </c:strRef>
          </c:tx>
          <c:cat>
            <c:strRef>
              <c:f>Resumen!$C$137:$H$137</c:f>
            </c:strRef>
          </c:cat>
          <c:val>
            <c:numRef>
              <c:f>Resumen!$C$170:$H$170</c:f>
              <c:numCache/>
            </c:numRef>
          </c:val>
        </c:ser>
        <c:ser>
          <c:idx val="33"/>
          <c:order val="33"/>
          <c:tx>
            <c:strRef>
              <c:f>Resumen!$B$171</c:f>
            </c:strRef>
          </c:tx>
          <c:cat>
            <c:strRef>
              <c:f>Resumen!$C$137:$H$137</c:f>
            </c:strRef>
          </c:cat>
          <c:val>
            <c:numRef>
              <c:f>Resumen!$C$171:$H$171</c:f>
              <c:numCache/>
            </c:numRef>
          </c:val>
        </c:ser>
        <c:ser>
          <c:idx val="34"/>
          <c:order val="34"/>
          <c:tx>
            <c:strRef>
              <c:f>Resumen!$B$172</c:f>
            </c:strRef>
          </c:tx>
          <c:cat>
            <c:strRef>
              <c:f>Resumen!$C$137:$H$137</c:f>
            </c:strRef>
          </c:cat>
          <c:val>
            <c:numRef>
              <c:f>Resumen!$C$172:$H$172</c:f>
              <c:numCache/>
            </c:numRef>
          </c:val>
        </c:ser>
        <c:ser>
          <c:idx val="35"/>
          <c:order val="35"/>
          <c:tx>
            <c:strRef>
              <c:f>Resumen!$B$173</c:f>
            </c:strRef>
          </c:tx>
          <c:cat>
            <c:strRef>
              <c:f>Resumen!$C$137:$H$137</c:f>
            </c:strRef>
          </c:cat>
          <c:val>
            <c:numRef>
              <c:f>Resumen!$C$173:$H$173</c:f>
              <c:numCache/>
            </c:numRef>
          </c:val>
        </c:ser>
        <c:ser>
          <c:idx val="36"/>
          <c:order val="36"/>
          <c:tx>
            <c:strRef>
              <c:f>Resumen!$B$174</c:f>
            </c:strRef>
          </c:tx>
          <c:cat>
            <c:strRef>
              <c:f>Resumen!$C$137:$H$137</c:f>
            </c:strRef>
          </c:cat>
          <c:val>
            <c:numRef>
              <c:f>Resumen!$C$174:$H$174</c:f>
              <c:numCache/>
            </c:numRef>
          </c:val>
        </c:ser>
        <c:ser>
          <c:idx val="37"/>
          <c:order val="37"/>
          <c:tx>
            <c:strRef>
              <c:f>Resumen!$B$175</c:f>
            </c:strRef>
          </c:tx>
          <c:cat>
            <c:strRef>
              <c:f>Resumen!$C$137:$H$137</c:f>
            </c:strRef>
          </c:cat>
          <c:val>
            <c:numRef>
              <c:f>Resumen!$C$175:$H$175</c:f>
              <c:numCache/>
            </c:numRef>
          </c:val>
        </c:ser>
        <c:ser>
          <c:idx val="38"/>
          <c:order val="38"/>
          <c:tx>
            <c:strRef>
              <c:f>Resumen!$B$176</c:f>
            </c:strRef>
          </c:tx>
          <c:cat>
            <c:strRef>
              <c:f>Resumen!$C$137:$H$137</c:f>
            </c:strRef>
          </c:cat>
          <c:val>
            <c:numRef>
              <c:f>Resumen!$C$176:$H$176</c:f>
              <c:numCache/>
            </c:numRef>
          </c:val>
        </c:ser>
        <c:overlap val="100"/>
        <c:axId val="397384295"/>
        <c:axId val="294818830"/>
      </c:barChart>
      <c:catAx>
        <c:axId val="3973842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294818830"/>
      </c:catAx>
      <c:valAx>
        <c:axId val="2948188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Historias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7384295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</xdr:row>
      <xdr:rowOff>152400</xdr:rowOff>
    </xdr:from>
    <xdr:ext cx="7096125" cy="30480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22</xdr:row>
      <xdr:rowOff>152400</xdr:rowOff>
    </xdr:from>
    <xdr:ext cx="4286250" cy="3048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219075</xdr:colOff>
      <xdr:row>44</xdr:row>
      <xdr:rowOff>47625</xdr:rowOff>
    </xdr:from>
    <xdr:ext cx="7753350" cy="8686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76200</xdr:colOff>
      <xdr:row>22</xdr:row>
      <xdr:rowOff>152400</xdr:rowOff>
    </xdr:from>
    <xdr:ext cx="4286250" cy="30480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304800</xdr:colOff>
      <xdr:row>99</xdr:row>
      <xdr:rowOff>114300</xdr:rowOff>
    </xdr:from>
    <xdr:ext cx="12411075" cy="55721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295275</xdr:colOff>
      <xdr:row>135</xdr:row>
      <xdr:rowOff>133350</xdr:rowOff>
    </xdr:from>
    <xdr:ext cx="12411075" cy="55721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95250</xdr:colOff>
      <xdr:row>44</xdr:row>
      <xdr:rowOff>47625</xdr:rowOff>
    </xdr:from>
    <xdr:ext cx="7753350" cy="86868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0</xdr:colOff>
      <xdr:row>23</xdr:row>
      <xdr:rowOff>0</xdr:rowOff>
    </xdr:from>
    <xdr:ext cx="4933950" cy="30480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9525</xdr:colOff>
      <xdr:row>44</xdr:row>
      <xdr:rowOff>57150</xdr:rowOff>
    </xdr:from>
    <xdr:ext cx="7753350" cy="4295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2" width="15.13"/>
  </cols>
  <sheetData>
    <row r="1">
      <c r="A1" s="1" t="s">
        <v>0</v>
      </c>
      <c r="B1" s="2"/>
      <c r="C1" s="2"/>
      <c r="D1" s="3"/>
    </row>
    <row r="45">
      <c r="O45" s="4" t="str">
        <f>IF($G15 &lt;&gt; "", SUMIFS(Historias!$H$5:$H$199,Historias!$B$5:$B$199,$G15,Historias!$A$5:$A$199,R$14),"")</f>
        <v/>
      </c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2.75"/>
  <cols>
    <col customWidth="1" min="1" max="1" width="22.13"/>
    <col customWidth="1" min="2" max="2" width="25.75"/>
    <col customWidth="1" min="3" max="3" width="10.38"/>
    <col customWidth="1" min="4" max="4" width="14.25"/>
    <col customWidth="1" min="5" max="5" width="34.88"/>
    <col customWidth="1" min="6" max="6" width="10.88"/>
    <col customWidth="1" min="7" max="7" width="9.75"/>
    <col customWidth="1" min="8" max="8" width="11.13"/>
    <col customWidth="1" min="9" max="9" width="15.13"/>
  </cols>
  <sheetData>
    <row r="2">
      <c r="F2" s="5" t="s">
        <v>1</v>
      </c>
      <c r="G2" s="6" t="s">
        <v>2</v>
      </c>
      <c r="H2" s="7" t="s">
        <v>3</v>
      </c>
      <c r="I2" s="8"/>
    </row>
    <row r="3">
      <c r="A3" s="9"/>
      <c r="B3" s="9"/>
      <c r="C3" s="9"/>
      <c r="D3" s="9"/>
      <c r="E3" s="9"/>
      <c r="F3" s="10">
        <f>Settings!D16</f>
        <v>66</v>
      </c>
      <c r="G3" s="11">
        <f t="shared" ref="G3:H3" si="1">SUM(G5:G149)</f>
        <v>81.5</v>
      </c>
      <c r="H3" s="12">
        <f t="shared" si="1"/>
        <v>71.5</v>
      </c>
      <c r="I3" s="13"/>
    </row>
    <row r="4">
      <c r="A4" s="14" t="s">
        <v>4</v>
      </c>
      <c r="B4" s="14" t="s">
        <v>5</v>
      </c>
      <c r="C4" s="14" t="s">
        <v>1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5"/>
    </row>
    <row r="5">
      <c r="A5" s="16" t="s">
        <v>11</v>
      </c>
      <c r="B5" s="17" t="s">
        <v>12</v>
      </c>
      <c r="C5" s="18">
        <f>SUMIF.LEGACY(Settings!$A$18:$A$46,B5,Settings!$D$18:$D$46)</f>
        <v>5</v>
      </c>
      <c r="D5" s="19">
        <f>sumif(Historias!$B$5:$B$199,B5,Historias!$G$5:$G$199)</f>
        <v>5</v>
      </c>
      <c r="E5" s="16"/>
      <c r="F5" s="20">
        <v>44848.0</v>
      </c>
      <c r="G5" s="21">
        <v>0.5</v>
      </c>
      <c r="H5" s="22">
        <v>1.0</v>
      </c>
      <c r="I5" s="15"/>
    </row>
    <row r="6">
      <c r="A6" s="16" t="s">
        <v>13</v>
      </c>
      <c r="B6" s="17" t="s">
        <v>12</v>
      </c>
      <c r="C6" s="18">
        <f>SUMIF.LEGACY(Settings!$A$18:$A$46,B6,Settings!$D$18:$D$46)</f>
        <v>5</v>
      </c>
      <c r="D6" s="19">
        <f>sumif(Historias!$B$5:$B$199,B6,Historias!$G$5:$G$199)</f>
        <v>5</v>
      </c>
      <c r="E6" s="16"/>
      <c r="F6" s="20">
        <v>44848.0</v>
      </c>
      <c r="G6" s="21">
        <v>0.5</v>
      </c>
      <c r="H6" s="22">
        <v>1.0</v>
      </c>
      <c r="I6" s="15"/>
    </row>
    <row r="7">
      <c r="A7" s="16" t="s">
        <v>14</v>
      </c>
      <c r="B7" s="17" t="s">
        <v>12</v>
      </c>
      <c r="C7" s="18">
        <f>SUMIF.LEGACY(Settings!$A$18:$A$46,B7,Settings!$D$18:$D$46)</f>
        <v>5</v>
      </c>
      <c r="D7" s="19">
        <f>sumif(Historias!$B$5:$B$199,B7,Historias!$G$5:$G$199)</f>
        <v>5</v>
      </c>
      <c r="E7" s="16"/>
      <c r="F7" s="20">
        <v>44848.0</v>
      </c>
      <c r="G7" s="21">
        <v>0.5</v>
      </c>
      <c r="H7" s="22">
        <v>1.0</v>
      </c>
      <c r="I7" s="15"/>
    </row>
    <row r="8">
      <c r="A8" s="16" t="s">
        <v>15</v>
      </c>
      <c r="B8" s="17" t="s">
        <v>12</v>
      </c>
      <c r="C8" s="18">
        <f>SUMIF.LEGACY(Settings!$A$18:$A$46,B8,Settings!$D$18:$D$46)</f>
        <v>5</v>
      </c>
      <c r="D8" s="19">
        <f>sumif(Historias!$B$5:$B$199,B8,Historias!$G$5:$G$199)</f>
        <v>5</v>
      </c>
      <c r="E8" s="16"/>
      <c r="F8" s="20">
        <v>44848.0</v>
      </c>
      <c r="G8" s="21">
        <v>0.5</v>
      </c>
      <c r="H8" s="22">
        <v>1.0</v>
      </c>
      <c r="I8" s="15"/>
    </row>
    <row r="9">
      <c r="A9" s="16" t="s">
        <v>14</v>
      </c>
      <c r="B9" s="17" t="s">
        <v>16</v>
      </c>
      <c r="C9" s="18">
        <f>SUMIF.LEGACY(Settings!$A$18:$A$46,B9,Settings!$D$18:$D$46)</f>
        <v>2</v>
      </c>
      <c r="D9" s="19">
        <f>sumif(Historias!$B$5:$B$199,B9,Historias!$G$5:$G$199)</f>
        <v>2</v>
      </c>
      <c r="E9" s="16"/>
      <c r="F9" s="20">
        <v>44851.0</v>
      </c>
      <c r="G9" s="23">
        <v>2.0</v>
      </c>
      <c r="H9" s="24">
        <v>2.0</v>
      </c>
      <c r="I9" s="15"/>
    </row>
    <row r="10">
      <c r="A10" s="16" t="s">
        <v>11</v>
      </c>
      <c r="B10" s="17" t="s">
        <v>12</v>
      </c>
      <c r="C10" s="18">
        <f>SUMIF.LEGACY(Settings!$A$18:$A$46,B10,Settings!$D$18:$D$46)</f>
        <v>5</v>
      </c>
      <c r="D10" s="19">
        <f>sumif(Historias!$B$5:$B$199,B10,Historias!$G$5:$G$199)</f>
        <v>5</v>
      </c>
      <c r="E10" s="16"/>
      <c r="F10" s="20">
        <v>44851.0</v>
      </c>
      <c r="G10" s="21">
        <v>0.5</v>
      </c>
      <c r="H10" s="24">
        <v>1.0</v>
      </c>
      <c r="I10" s="15"/>
    </row>
    <row r="11">
      <c r="A11" s="16" t="s">
        <v>13</v>
      </c>
      <c r="B11" s="17" t="s">
        <v>12</v>
      </c>
      <c r="C11" s="18">
        <f>SUMIF.LEGACY(Settings!$A$18:$A$46,B11,Settings!$D$18:$D$46)</f>
        <v>5</v>
      </c>
      <c r="D11" s="19">
        <f>sumif(Historias!$B$5:$B$199,B11,Historias!$G$5:$G$199)</f>
        <v>5</v>
      </c>
      <c r="E11" s="25"/>
      <c r="F11" s="20">
        <v>44851.0</v>
      </c>
      <c r="G11" s="21">
        <v>0.5</v>
      </c>
      <c r="H11" s="24">
        <v>1.0</v>
      </c>
      <c r="I11" s="15"/>
    </row>
    <row r="12">
      <c r="A12" s="16" t="s">
        <v>14</v>
      </c>
      <c r="B12" s="17" t="s">
        <v>12</v>
      </c>
      <c r="C12" s="18">
        <f>SUMIF.LEGACY(Settings!$A$18:$A$46,B12,Settings!$D$18:$D$46)</f>
        <v>5</v>
      </c>
      <c r="D12" s="19">
        <f>sumif(Historias!$B$5:$B$199,B12,Historias!$G$5:$G$199)</f>
        <v>5</v>
      </c>
      <c r="E12" s="25"/>
      <c r="F12" s="20">
        <v>44851.0</v>
      </c>
      <c r="G12" s="21">
        <v>0.5</v>
      </c>
      <c r="H12" s="24">
        <v>1.0</v>
      </c>
      <c r="I12" s="15"/>
    </row>
    <row r="13">
      <c r="A13" s="16" t="s">
        <v>15</v>
      </c>
      <c r="B13" s="17" t="s">
        <v>12</v>
      </c>
      <c r="C13" s="18">
        <f>SUMIF.LEGACY(Settings!$A$18:$A$46,B13,Settings!$D$18:$D$46)</f>
        <v>5</v>
      </c>
      <c r="D13" s="19">
        <f>sumif(Historias!$B$5:$B$199,B13,Historias!$G$5:$G$199)</f>
        <v>5</v>
      </c>
      <c r="E13" s="25"/>
      <c r="F13" s="20">
        <v>44851.0</v>
      </c>
      <c r="G13" s="21">
        <v>0.5</v>
      </c>
      <c r="H13" s="24">
        <v>1.0</v>
      </c>
      <c r="I13" s="15"/>
    </row>
    <row r="14">
      <c r="A14" s="16" t="s">
        <v>13</v>
      </c>
      <c r="B14" s="17" t="s">
        <v>17</v>
      </c>
      <c r="C14" s="18">
        <f>SUMIF.LEGACY(Settings!$A$18:$A$46,B14,Settings!$D$18:$D$46)</f>
        <v>3</v>
      </c>
      <c r="D14" s="19">
        <f>sumif(Historias!$B$5:$B$199,B14,Historias!$G$5:$G$199)</f>
        <v>5</v>
      </c>
      <c r="E14" s="16"/>
      <c r="F14" s="20">
        <v>44851.0</v>
      </c>
      <c r="G14" s="23">
        <v>2.0</v>
      </c>
      <c r="H14" s="24">
        <v>2.0</v>
      </c>
      <c r="I14" s="15"/>
    </row>
    <row r="15">
      <c r="A15" s="16" t="s">
        <v>13</v>
      </c>
      <c r="B15" s="17" t="s">
        <v>18</v>
      </c>
      <c r="C15" s="18">
        <f>SUMIF.LEGACY(Settings!$A$18:$A$46,B15,Settings!$D$18:$D$46)</f>
        <v>4</v>
      </c>
      <c r="D15" s="19">
        <f>sumif(Historias!$B$5:$B$199,B15,Historias!$G$5:$G$199)</f>
        <v>6</v>
      </c>
      <c r="E15" s="25"/>
      <c r="F15" s="20">
        <v>44851.0</v>
      </c>
      <c r="G15" s="23">
        <v>1.0</v>
      </c>
      <c r="H15" s="24">
        <v>1.0</v>
      </c>
      <c r="I15" s="15"/>
    </row>
    <row r="16">
      <c r="A16" s="16" t="s">
        <v>14</v>
      </c>
      <c r="B16" s="17" t="s">
        <v>17</v>
      </c>
      <c r="C16" s="18">
        <f>SUMIF.LEGACY(Settings!$A$18:$A$46,B16,Settings!$D$18:$D$46)</f>
        <v>3</v>
      </c>
      <c r="D16" s="19">
        <f>sumif(Historias!$B$5:$B$199,B16,Historias!$G$5:$G$199)</f>
        <v>5</v>
      </c>
      <c r="E16" s="25"/>
      <c r="F16" s="20">
        <v>44851.0</v>
      </c>
      <c r="G16" s="23">
        <v>3.0</v>
      </c>
      <c r="H16" s="24">
        <v>3.0</v>
      </c>
      <c r="I16" s="26"/>
    </row>
    <row r="17" ht="18.75" customHeight="1">
      <c r="A17" s="16" t="s">
        <v>11</v>
      </c>
      <c r="B17" s="17" t="s">
        <v>19</v>
      </c>
      <c r="C17" s="18">
        <f>SUMIF.LEGACY(Settings!$A$18:$A$46,B17,Settings!$D$18:$D$46)</f>
        <v>5</v>
      </c>
      <c r="D17" s="19">
        <f>sumif(Historias!$B$5:$B$199,B17,Historias!$G$5:$G$199)</f>
        <v>5</v>
      </c>
      <c r="E17" s="25"/>
      <c r="F17" s="20">
        <v>44852.0</v>
      </c>
      <c r="G17" s="23">
        <v>5.0</v>
      </c>
      <c r="H17" s="24">
        <v>2.0</v>
      </c>
      <c r="I17" s="26"/>
    </row>
    <row r="18">
      <c r="A18" s="16" t="s">
        <v>11</v>
      </c>
      <c r="B18" s="17" t="s">
        <v>20</v>
      </c>
      <c r="C18" s="18">
        <f>SUMIF.LEGACY(Settings!$A$18:$A$46,B18,Settings!$D$18:$D$46)</f>
        <v>8</v>
      </c>
      <c r="D18" s="19">
        <f>sumif(Historias!$B$5:$B$199,B18,Historias!$G$5:$G$199)</f>
        <v>8</v>
      </c>
      <c r="E18" s="25"/>
      <c r="F18" s="20">
        <v>44852.0</v>
      </c>
      <c r="G18" s="23">
        <v>4.0</v>
      </c>
      <c r="H18" s="22">
        <v>2.5</v>
      </c>
      <c r="I18" s="15"/>
    </row>
    <row r="19">
      <c r="A19" s="16" t="s">
        <v>11</v>
      </c>
      <c r="B19" s="17" t="s">
        <v>21</v>
      </c>
      <c r="C19" s="18">
        <f>SUMIF.LEGACY(Settings!$A$18:$A$46,B19,Settings!$D$18:$D$46)</f>
        <v>2</v>
      </c>
      <c r="D19" s="19">
        <f>sumif(Historias!$B$5:$B$199,B19,Historias!$G$5:$G$199)</f>
        <v>2</v>
      </c>
      <c r="E19" s="25"/>
      <c r="F19" s="20">
        <v>44852.0</v>
      </c>
      <c r="G19" s="23">
        <v>2.0</v>
      </c>
      <c r="H19" s="24">
        <v>1.0</v>
      </c>
      <c r="I19" s="26"/>
    </row>
    <row r="20">
      <c r="A20" s="16" t="s">
        <v>11</v>
      </c>
      <c r="B20" s="17" t="s">
        <v>22</v>
      </c>
      <c r="C20" s="18">
        <f>SUMIF.LEGACY(Settings!$A$18:$A$46,B20,Settings!$D$18:$D$46)</f>
        <v>2</v>
      </c>
      <c r="D20" s="19">
        <f>sumif(Historias!$B$5:$B$199,B20,Historias!$G$5:$G$199)</f>
        <v>2</v>
      </c>
      <c r="E20" s="25"/>
      <c r="F20" s="20">
        <v>44852.0</v>
      </c>
      <c r="G20" s="23">
        <v>2.0</v>
      </c>
      <c r="H20" s="24">
        <v>1.0</v>
      </c>
      <c r="I20" s="26"/>
    </row>
    <row r="21">
      <c r="A21" s="16" t="s">
        <v>11</v>
      </c>
      <c r="B21" s="17" t="s">
        <v>18</v>
      </c>
      <c r="C21" s="18">
        <f>SUMIF.LEGACY(Settings!$A$18:$A$46,B21,Settings!$D$18:$D$46)</f>
        <v>4</v>
      </c>
      <c r="D21" s="19">
        <f>sumif(Historias!$B$5:$B$199,B21,Historias!$G$5:$G$199)</f>
        <v>6</v>
      </c>
      <c r="E21" s="25"/>
      <c r="F21" s="20">
        <v>44852.0</v>
      </c>
      <c r="G21" s="23">
        <v>2.0</v>
      </c>
      <c r="H21" s="24">
        <v>2.0</v>
      </c>
      <c r="I21" s="15"/>
    </row>
    <row r="22">
      <c r="A22" s="16" t="s">
        <v>14</v>
      </c>
      <c r="B22" s="17" t="s">
        <v>18</v>
      </c>
      <c r="C22" s="18">
        <f>SUMIF.LEGACY(Settings!$A$18:$A$46,B22,Settings!$D$18:$D$46)</f>
        <v>4</v>
      </c>
      <c r="D22" s="19">
        <f>sumif(Historias!$B$5:$B$199,B22,Historias!$G$5:$G$199)</f>
        <v>6</v>
      </c>
      <c r="E22" s="16"/>
      <c r="F22" s="20">
        <v>44852.0</v>
      </c>
      <c r="G22" s="23">
        <v>2.0</v>
      </c>
      <c r="H22" s="24">
        <v>1.5</v>
      </c>
      <c r="I22" s="15"/>
    </row>
    <row r="23">
      <c r="A23" s="16" t="s">
        <v>11</v>
      </c>
      <c r="B23" s="17" t="s">
        <v>23</v>
      </c>
      <c r="C23" s="18">
        <f>SUMIF.LEGACY(Settings!$A$18:$A$46,B23,Settings!$D$18:$D$46)</f>
        <v>2</v>
      </c>
      <c r="D23" s="19">
        <f>sumif(Historias!$B$5:$B$199,B23,Historias!$G$5:$G$199)</f>
        <v>4.5</v>
      </c>
      <c r="E23" s="25"/>
      <c r="F23" s="20">
        <v>44853.0</v>
      </c>
      <c r="G23" s="23">
        <v>1.0</v>
      </c>
      <c r="H23" s="24">
        <v>1.0</v>
      </c>
      <c r="I23" s="15"/>
    </row>
    <row r="24">
      <c r="A24" s="16" t="s">
        <v>13</v>
      </c>
      <c r="B24" s="17" t="s">
        <v>20</v>
      </c>
      <c r="C24" s="18">
        <f>SUMIF.LEGACY(Settings!$A$18:$A$46,B24,Settings!$D$18:$D$46)</f>
        <v>8</v>
      </c>
      <c r="D24" s="19">
        <f>sumif(Historias!$B$5:$B$199,B24,Historias!$G$5:$G$199)</f>
        <v>8</v>
      </c>
      <c r="E24" s="25"/>
      <c r="F24" s="20">
        <v>44853.0</v>
      </c>
      <c r="G24" s="23">
        <v>4.0</v>
      </c>
      <c r="H24" s="24">
        <v>2.0</v>
      </c>
      <c r="I24" s="15"/>
    </row>
    <row r="25">
      <c r="A25" s="16" t="s">
        <v>14</v>
      </c>
      <c r="B25" s="17" t="s">
        <v>24</v>
      </c>
      <c r="C25" s="18">
        <f>SUMIF.LEGACY(Settings!$A$18:$A$46,B25,Settings!$D$18:$D$46)</f>
        <v>2</v>
      </c>
      <c r="D25" s="19">
        <f>sumif(Historias!$B$5:$B$199,B25,Historias!$G$5:$G$199)</f>
        <v>3</v>
      </c>
      <c r="E25" s="16"/>
      <c r="F25" s="20">
        <v>44853.0</v>
      </c>
      <c r="G25" s="23">
        <v>3.0</v>
      </c>
      <c r="H25" s="24">
        <v>2.5</v>
      </c>
      <c r="I25" s="15"/>
    </row>
    <row r="26">
      <c r="A26" s="16" t="s">
        <v>13</v>
      </c>
      <c r="B26" s="17" t="s">
        <v>23</v>
      </c>
      <c r="C26" s="18">
        <f>SUMIF.LEGACY(Settings!$A$18:$A$46,B26,Settings!$D$18:$D$46)</f>
        <v>2</v>
      </c>
      <c r="D26" s="19">
        <f>sumif(Historias!$B$5:$B$199,B26,Historias!$G$5:$G$199)</f>
        <v>4.5</v>
      </c>
      <c r="E26" s="16"/>
      <c r="F26" s="20">
        <v>44853.0</v>
      </c>
      <c r="G26" s="23">
        <v>2.0</v>
      </c>
      <c r="H26" s="24">
        <v>2.0</v>
      </c>
      <c r="I26" s="15"/>
    </row>
    <row r="27">
      <c r="A27" s="16" t="s">
        <v>15</v>
      </c>
      <c r="B27" s="17" t="s">
        <v>23</v>
      </c>
      <c r="C27" s="18">
        <f>SUMIF.LEGACY(Settings!$A$18:$A$46,B27,Settings!$D$18:$D$46)</f>
        <v>2</v>
      </c>
      <c r="D27" s="19">
        <f>sumif(Historias!$B$5:$B$199,B27,Historias!$G$5:$G$199)</f>
        <v>4.5</v>
      </c>
      <c r="E27" s="25"/>
      <c r="F27" s="20">
        <v>44853.0</v>
      </c>
      <c r="G27" s="23">
        <v>0.5</v>
      </c>
      <c r="H27" s="24">
        <v>0.5</v>
      </c>
      <c r="I27" s="15"/>
    </row>
    <row r="28">
      <c r="A28" s="16" t="s">
        <v>14</v>
      </c>
      <c r="B28" s="17" t="s">
        <v>23</v>
      </c>
      <c r="C28" s="18">
        <f>SUMIF.LEGACY(Settings!$A$18:$A$46,B28,Settings!$D$18:$D$46)</f>
        <v>2</v>
      </c>
      <c r="D28" s="19">
        <f>sumif(Historias!$B$5:$B$199,B28,Historias!$G$5:$G$199)</f>
        <v>4.5</v>
      </c>
      <c r="E28" s="16"/>
      <c r="F28" s="20">
        <v>44853.0</v>
      </c>
      <c r="G28" s="23">
        <v>1.0</v>
      </c>
      <c r="H28" s="24">
        <v>1.0</v>
      </c>
      <c r="I28" s="15"/>
    </row>
    <row r="29">
      <c r="A29" s="16" t="s">
        <v>15</v>
      </c>
      <c r="B29" s="17" t="s">
        <v>12</v>
      </c>
      <c r="C29" s="18">
        <f>SUMIF.LEGACY(Settings!$A$18:$A$46,B29,Settings!$D$18:$D$46)</f>
        <v>5</v>
      </c>
      <c r="D29" s="19">
        <f>sumif(Historias!$B$5:$B$199,B29,Historias!$G$5:$G$199)</f>
        <v>5</v>
      </c>
      <c r="E29" s="16"/>
      <c r="F29" s="20">
        <v>44858.0</v>
      </c>
      <c r="G29" s="23">
        <v>1.0</v>
      </c>
      <c r="H29" s="24">
        <v>1.0</v>
      </c>
      <c r="I29" s="15"/>
    </row>
    <row r="30">
      <c r="A30" s="16" t="s">
        <v>15</v>
      </c>
      <c r="B30" s="17" t="s">
        <v>18</v>
      </c>
      <c r="C30" s="18">
        <f>SUMIF.LEGACY(Settings!$A$18:$A$46,B30,Settings!$D$18:$D$46)</f>
        <v>4</v>
      </c>
      <c r="D30" s="19">
        <f>sumif(Historias!$B$5:$B$199,B30,Historias!$G$5:$G$199)</f>
        <v>6</v>
      </c>
      <c r="E30" s="16"/>
      <c r="F30" s="20">
        <v>44858.0</v>
      </c>
      <c r="G30" s="23">
        <v>1.0</v>
      </c>
      <c r="H30" s="24">
        <v>1.0</v>
      </c>
      <c r="I30" s="15"/>
    </row>
    <row r="31">
      <c r="A31" s="16" t="s">
        <v>15</v>
      </c>
      <c r="B31" s="17" t="s">
        <v>25</v>
      </c>
      <c r="C31" s="18">
        <f>SUMIF.LEGACY(Settings!$A$18:$A$46,B31,Settings!$D$18:$D$46)</f>
        <v>3</v>
      </c>
      <c r="D31" s="19">
        <f>sumif(Historias!$B$5:$B$199,B31,Historias!$G$5:$G$199)</f>
        <v>3</v>
      </c>
      <c r="E31" s="16"/>
      <c r="F31" s="20">
        <v>44858.0</v>
      </c>
      <c r="G31" s="23">
        <v>3.0</v>
      </c>
      <c r="H31" s="24">
        <v>1.5</v>
      </c>
      <c r="I31" s="15"/>
    </row>
    <row r="32">
      <c r="A32" s="16" t="s">
        <v>15</v>
      </c>
      <c r="B32" s="17" t="s">
        <v>26</v>
      </c>
      <c r="C32" s="18">
        <f>SUMIF.LEGACY(Settings!$A$18:$A$46,B32,Settings!$D$18:$D$46)</f>
        <v>3</v>
      </c>
      <c r="D32" s="19">
        <f>sumif(Historias!$B$5:$B$199,B32,Historias!$G$5:$G$199)</f>
        <v>3</v>
      </c>
      <c r="E32" s="25"/>
      <c r="F32" s="20">
        <v>44858.0</v>
      </c>
      <c r="G32" s="23">
        <v>3.0</v>
      </c>
      <c r="H32" s="22">
        <v>2.0</v>
      </c>
      <c r="I32" s="26"/>
    </row>
    <row r="33">
      <c r="A33" s="16" t="s">
        <v>11</v>
      </c>
      <c r="B33" s="17" t="s">
        <v>27</v>
      </c>
      <c r="C33" s="18">
        <f>SUMIF.LEGACY(Settings!$A$18:$A$46,B33,Settings!$D$18:$D$46)</f>
        <v>2</v>
      </c>
      <c r="D33" s="19">
        <f>sumif(Historias!$B$5:$B$199,B33,Historias!$G$5:$G$199)</f>
        <v>2</v>
      </c>
      <c r="E33" s="16"/>
      <c r="F33" s="20">
        <v>44862.0</v>
      </c>
      <c r="G33" s="23">
        <v>2.0</v>
      </c>
      <c r="H33" s="24">
        <v>1.5</v>
      </c>
      <c r="I33" s="26"/>
    </row>
    <row r="34">
      <c r="A34" s="16" t="s">
        <v>14</v>
      </c>
      <c r="B34" s="17" t="s">
        <v>28</v>
      </c>
      <c r="C34" s="18">
        <f>SUMIF.LEGACY(Settings!$A$18:$A$46,B34,Settings!$D$18:$D$46)</f>
        <v>2</v>
      </c>
      <c r="D34" s="19">
        <f>sumif(Historias!$B$5:$B$199,B34,Historias!$G$5:$G$199)</f>
        <v>4</v>
      </c>
      <c r="E34" s="16"/>
      <c r="F34" s="20">
        <v>44862.0</v>
      </c>
      <c r="G34" s="23">
        <v>2.0</v>
      </c>
      <c r="H34" s="24">
        <v>1.5</v>
      </c>
      <c r="I34" s="15"/>
    </row>
    <row r="35">
      <c r="A35" s="16" t="s">
        <v>13</v>
      </c>
      <c r="B35" s="17" t="s">
        <v>28</v>
      </c>
      <c r="C35" s="18">
        <f>SUMIF.LEGACY(Settings!$A$18:$A$46,B35,Settings!$D$18:$D$46)</f>
        <v>2</v>
      </c>
      <c r="D35" s="19">
        <f>sumif(Historias!$B$5:$B$199,B35,Historias!$G$5:$G$199)</f>
        <v>4</v>
      </c>
      <c r="E35" s="16"/>
      <c r="F35" s="20">
        <v>44862.0</v>
      </c>
      <c r="G35" s="23">
        <v>2.0</v>
      </c>
      <c r="H35" s="24">
        <v>1.5</v>
      </c>
      <c r="I35" s="15"/>
    </row>
    <row r="36">
      <c r="A36" s="16" t="s">
        <v>15</v>
      </c>
      <c r="B36" s="17" t="s">
        <v>29</v>
      </c>
      <c r="C36" s="18">
        <f>SUMIF.LEGACY(Settings!$A$18:$A$46,B36,Settings!$D$18:$D$46)</f>
        <v>3</v>
      </c>
      <c r="D36" s="19">
        <f>sumif(Historias!$B$5:$B$199,B36,Historias!$G$5:$G$199)</f>
        <v>3</v>
      </c>
      <c r="E36" s="16"/>
      <c r="F36" s="20">
        <v>44865.0</v>
      </c>
      <c r="G36" s="23">
        <v>1.0</v>
      </c>
      <c r="H36" s="24">
        <v>1.0</v>
      </c>
      <c r="I36" s="15"/>
    </row>
    <row r="37">
      <c r="A37" s="16" t="s">
        <v>14</v>
      </c>
      <c r="B37" s="17" t="s">
        <v>29</v>
      </c>
      <c r="C37" s="18">
        <f>SUMIF.LEGACY(Settings!$A$18:$A$46,B37,Settings!$D$18:$D$46)</f>
        <v>3</v>
      </c>
      <c r="D37" s="19">
        <f>sumif(Historias!$B$5:$B$199,B37,Historias!$G$5:$G$199)</f>
        <v>3</v>
      </c>
      <c r="E37" s="16"/>
      <c r="F37" s="20">
        <v>44865.0</v>
      </c>
      <c r="G37" s="23">
        <v>1.0</v>
      </c>
      <c r="H37" s="24">
        <v>1.0</v>
      </c>
      <c r="I37" s="15"/>
    </row>
    <row r="38">
      <c r="A38" s="16" t="s">
        <v>13</v>
      </c>
      <c r="B38" s="17" t="s">
        <v>29</v>
      </c>
      <c r="C38" s="18">
        <f>SUMIF.LEGACY(Settings!$A$18:$A$46,B38,Settings!$D$18:$D$46)</f>
        <v>3</v>
      </c>
      <c r="D38" s="19">
        <f>sumif(Historias!$B$5:$B$199,B38,Historias!$G$5:$G$199)</f>
        <v>3</v>
      </c>
      <c r="E38" s="16"/>
      <c r="F38" s="20">
        <v>44865.0</v>
      </c>
      <c r="G38" s="23">
        <v>1.0</v>
      </c>
      <c r="H38" s="24">
        <v>1.0</v>
      </c>
      <c r="I38" s="15"/>
    </row>
    <row r="39">
      <c r="A39" s="16" t="s">
        <v>14</v>
      </c>
      <c r="B39" s="17" t="s">
        <v>30</v>
      </c>
      <c r="C39" s="18">
        <f>SUMIF.LEGACY(Settings!$A$18:$A$46,B39,Settings!$D$18:$D$46)</f>
        <v>2</v>
      </c>
      <c r="D39" s="19">
        <f>sumif(Historias!$B$5:$B$199,B39,Historias!$G$5:$G$199)</f>
        <v>2</v>
      </c>
      <c r="E39" s="16"/>
      <c r="F39" s="20">
        <v>44865.0</v>
      </c>
      <c r="G39" s="23">
        <v>2.0</v>
      </c>
      <c r="H39" s="24">
        <v>1.5</v>
      </c>
      <c r="I39" s="15"/>
    </row>
    <row r="40">
      <c r="A40" s="16" t="s">
        <v>14</v>
      </c>
      <c r="B40" s="17" t="s">
        <v>31</v>
      </c>
      <c r="C40" s="18">
        <f>SUMIF.LEGACY(Settings!$A$18:$A$46,B40,Settings!$D$18:$D$46)</f>
        <v>3</v>
      </c>
      <c r="D40" s="19">
        <f>sumif(Historias!$B$5:$B$199,B40,Historias!$G$5:$G$199)</f>
        <v>3</v>
      </c>
      <c r="E40" s="16"/>
      <c r="F40" s="20">
        <v>44866.0</v>
      </c>
      <c r="G40" s="23">
        <v>2.0</v>
      </c>
      <c r="H40" s="24">
        <v>2.0</v>
      </c>
      <c r="I40" s="15"/>
    </row>
    <row r="41">
      <c r="A41" s="16" t="s">
        <v>13</v>
      </c>
      <c r="B41" s="17" t="s">
        <v>32</v>
      </c>
      <c r="C41" s="18">
        <f>SUMIF.LEGACY(Settings!$A$18:$A$46,B41,Settings!$D$18:$D$46)</f>
        <v>1</v>
      </c>
      <c r="D41" s="19">
        <f>sumif(Historias!$B$5:$B$199,B41,Historias!$G$5:$G$199)</f>
        <v>1</v>
      </c>
      <c r="E41" s="16"/>
      <c r="F41" s="20">
        <v>44867.0</v>
      </c>
      <c r="G41" s="23">
        <v>0.5</v>
      </c>
      <c r="H41" s="24">
        <v>0.5</v>
      </c>
      <c r="I41" s="15"/>
    </row>
    <row r="42">
      <c r="A42" s="16" t="s">
        <v>15</v>
      </c>
      <c r="B42" s="17" t="s">
        <v>32</v>
      </c>
      <c r="C42" s="18">
        <f>SUMIF.LEGACY(Settings!$A$18:$A$46,B42,Settings!$D$18:$D$46)</f>
        <v>1</v>
      </c>
      <c r="D42" s="19">
        <f>sumif(Historias!$B$5:$B$199,B42,Historias!$G$5:$G$199)</f>
        <v>1</v>
      </c>
      <c r="E42" s="16"/>
      <c r="F42" s="20">
        <v>44867.0</v>
      </c>
      <c r="G42" s="23">
        <v>0.5</v>
      </c>
      <c r="H42" s="24">
        <v>0.5</v>
      </c>
      <c r="I42" s="15"/>
    </row>
    <row r="43">
      <c r="A43" s="16" t="s">
        <v>13</v>
      </c>
      <c r="B43" s="17" t="s">
        <v>33</v>
      </c>
      <c r="C43" s="18">
        <f>SUMIF.LEGACY(Settings!$A$18:$A$46,B43,Settings!$D$18:$D$46)</f>
        <v>2</v>
      </c>
      <c r="D43" s="19">
        <f>sumif(Historias!$B$5:$B$199,B43,Historias!$G$5:$G$199)</f>
        <v>5</v>
      </c>
      <c r="E43" s="16"/>
      <c r="F43" s="20">
        <v>44867.0</v>
      </c>
      <c r="G43" s="23">
        <v>1.0</v>
      </c>
      <c r="H43" s="24">
        <v>1.0</v>
      </c>
      <c r="I43" s="15"/>
    </row>
    <row r="44">
      <c r="A44" s="16" t="s">
        <v>15</v>
      </c>
      <c r="B44" s="17" t="s">
        <v>33</v>
      </c>
      <c r="C44" s="18">
        <f>SUMIF.LEGACY(Settings!$A$18:$A$46,B44,Settings!$D$18:$D$46)</f>
        <v>2</v>
      </c>
      <c r="D44" s="19">
        <f>sumif(Historias!$B$5:$B$199,B44,Historias!$G$5:$G$199)</f>
        <v>5</v>
      </c>
      <c r="E44" s="16"/>
      <c r="F44" s="20">
        <v>44867.0</v>
      </c>
      <c r="G44" s="23">
        <v>1.0</v>
      </c>
      <c r="H44" s="24">
        <v>1.0</v>
      </c>
      <c r="I44" s="15"/>
    </row>
    <row r="45">
      <c r="A45" s="16" t="s">
        <v>13</v>
      </c>
      <c r="B45" s="17" t="s">
        <v>34</v>
      </c>
      <c r="C45" s="18">
        <f>SUMIF.LEGACY(Settings!$A$18:$A$46,B45,Settings!$D$18:$D$46)</f>
        <v>8</v>
      </c>
      <c r="D45" s="19">
        <f>sumif(Historias!$B$5:$B$199,B45,Historias!$G$5:$G$199)</f>
        <v>13</v>
      </c>
      <c r="E45" s="16"/>
      <c r="F45" s="20">
        <v>44867.0</v>
      </c>
      <c r="G45" s="23">
        <v>4.0</v>
      </c>
      <c r="H45" s="24">
        <v>4.0</v>
      </c>
      <c r="I45" s="15"/>
    </row>
    <row r="46">
      <c r="A46" s="16" t="s">
        <v>15</v>
      </c>
      <c r="B46" s="17" t="s">
        <v>34</v>
      </c>
      <c r="C46" s="18">
        <f>SUMIF.LEGACY(Settings!$A$18:$A$46,B46,Settings!$D$18:$D$46)</f>
        <v>8</v>
      </c>
      <c r="D46" s="19">
        <f>sumif(Historias!$B$5:$B$199,B46,Historias!$G$5:$G$199)</f>
        <v>13</v>
      </c>
      <c r="E46" s="16"/>
      <c r="F46" s="20">
        <v>44867.0</v>
      </c>
      <c r="G46" s="23">
        <v>4.0</v>
      </c>
      <c r="H46" s="24">
        <v>4.0</v>
      </c>
      <c r="I46" s="15"/>
    </row>
    <row r="47">
      <c r="A47" s="16" t="s">
        <v>14</v>
      </c>
      <c r="B47" s="17" t="s">
        <v>33</v>
      </c>
      <c r="C47" s="18">
        <f>SUMIF.LEGACY(Settings!$A$18:$A$46,B47,Settings!$D$18:$D$46)</f>
        <v>2</v>
      </c>
      <c r="D47" s="19">
        <f>sumif(Historias!$B$5:$B$199,B47,Historias!$G$5:$G$199)</f>
        <v>5</v>
      </c>
      <c r="E47" s="16"/>
      <c r="F47" s="27">
        <v>44867.0</v>
      </c>
      <c r="G47" s="23">
        <v>1.0</v>
      </c>
      <c r="H47" s="24">
        <v>1.0</v>
      </c>
      <c r="I47" s="15"/>
    </row>
    <row r="48">
      <c r="A48" s="16" t="s">
        <v>14</v>
      </c>
      <c r="B48" s="17" t="s">
        <v>33</v>
      </c>
      <c r="C48" s="18">
        <f>SUMIF.LEGACY(Settings!$A$18:$A$46,B48,Settings!$D$18:$D$46)</f>
        <v>2</v>
      </c>
      <c r="D48" s="19">
        <f>sumif(Historias!$B$5:$B$199,B48,Historias!$G$5:$G$199)</f>
        <v>5</v>
      </c>
      <c r="E48" s="16"/>
      <c r="F48" s="20">
        <v>44868.0</v>
      </c>
      <c r="G48" s="23">
        <v>2.0</v>
      </c>
      <c r="H48" s="24">
        <v>2.0</v>
      </c>
      <c r="I48" s="15"/>
    </row>
    <row r="49">
      <c r="A49" s="16" t="s">
        <v>14</v>
      </c>
      <c r="B49" s="17" t="s">
        <v>31</v>
      </c>
      <c r="C49" s="18">
        <f>SUMIF.LEGACY(Settings!$A$18:$A$46,B49,Settings!$D$18:$D$46)</f>
        <v>3</v>
      </c>
      <c r="D49" s="19">
        <f>sumif(Historias!$B$5:$B$199,B49,Historias!$G$5:$G$199)</f>
        <v>3</v>
      </c>
      <c r="E49" s="25"/>
      <c r="F49" s="20">
        <v>44868.0</v>
      </c>
      <c r="G49" s="23">
        <v>1.0</v>
      </c>
      <c r="H49" s="24">
        <v>1.0</v>
      </c>
      <c r="I49" s="15"/>
    </row>
    <row r="50">
      <c r="A50" s="16" t="s">
        <v>14</v>
      </c>
      <c r="B50" s="17" t="s">
        <v>34</v>
      </c>
      <c r="C50" s="18">
        <f>SUMIF.LEGACY(Settings!$A$18:$A$46,B50,Settings!$D$18:$D$46)</f>
        <v>8</v>
      </c>
      <c r="D50" s="19">
        <f>sumif(Historias!$B$5:$B$199,B50,Historias!$G$5:$G$199)</f>
        <v>13</v>
      </c>
      <c r="E50" s="16"/>
      <c r="F50" s="20">
        <v>44868.0</v>
      </c>
      <c r="G50" s="23">
        <v>3.0</v>
      </c>
      <c r="H50" s="24">
        <v>3.0</v>
      </c>
      <c r="I50" s="15"/>
    </row>
    <row r="51">
      <c r="A51" s="16" t="s">
        <v>13</v>
      </c>
      <c r="B51" s="17" t="s">
        <v>34</v>
      </c>
      <c r="C51" s="18">
        <f>SUMIF.LEGACY(Settings!$A$18:$A$46,B51,Settings!$D$18:$D$46)</f>
        <v>8</v>
      </c>
      <c r="D51" s="19">
        <f>sumif(Historias!$B$5:$B$199,B51,Historias!$G$5:$G$199)</f>
        <v>13</v>
      </c>
      <c r="E51" s="16"/>
      <c r="F51" s="20">
        <v>44868.0</v>
      </c>
      <c r="G51" s="23">
        <v>2.0</v>
      </c>
      <c r="H51" s="24">
        <v>2.0</v>
      </c>
      <c r="I51" s="15"/>
    </row>
    <row r="52">
      <c r="A52" s="16"/>
      <c r="B52" s="17"/>
      <c r="C52" s="18">
        <f>SUMIF.LEGACY(Settings!$A$18:$A$46,B52,Settings!$D$18:$D$46)</f>
        <v>0</v>
      </c>
      <c r="D52" s="19">
        <f>sumif(Historias!$B$5:$B$199,B52,Historias!$G$5:$G$199)</f>
        <v>0</v>
      </c>
      <c r="E52" s="25"/>
      <c r="F52" s="20"/>
      <c r="G52" s="23"/>
      <c r="H52" s="24"/>
      <c r="I52" s="15"/>
    </row>
    <row r="53">
      <c r="A53" s="16"/>
      <c r="B53" s="17"/>
      <c r="C53" s="18">
        <f>SUMIF.LEGACY(Settings!$A$18:$A$46,B53,Settings!$D$18:$D$46)</f>
        <v>0</v>
      </c>
      <c r="D53" s="19">
        <f>sumif(Historias!$B$5:$B$199,B53,Historias!$G$5:$G$199)</f>
        <v>0</v>
      </c>
      <c r="E53" s="16"/>
      <c r="F53" s="20"/>
      <c r="G53" s="28"/>
      <c r="H53" s="29"/>
      <c r="I53" s="15"/>
    </row>
    <row r="54">
      <c r="A54" s="16"/>
      <c r="B54" s="17"/>
      <c r="C54" s="18">
        <f>SUMIF.LEGACY(Settings!$A$18:$A$46,B54,Settings!$D$18:$D$46)</f>
        <v>0</v>
      </c>
      <c r="D54" s="19">
        <f>sumif(Historias!$B$5:$B$199,B54,Historias!$G$5:$G$199)</f>
        <v>0</v>
      </c>
      <c r="E54" s="25"/>
      <c r="F54" s="20"/>
      <c r="G54" s="28"/>
      <c r="H54" s="29"/>
      <c r="I54" s="15"/>
    </row>
    <row r="55">
      <c r="A55" s="16"/>
      <c r="B55" s="17"/>
      <c r="C55" s="18">
        <f>SUMIF.LEGACY(Settings!$A$18:$A$46,B55,Settings!$D$18:$D$46)</f>
        <v>0</v>
      </c>
      <c r="D55" s="19">
        <f>sumif(Historias!$B$5:$B$199,B55,Historias!$G$5:$G$199)</f>
        <v>0</v>
      </c>
      <c r="E55" s="16"/>
      <c r="F55" s="20"/>
      <c r="G55" s="23"/>
      <c r="H55" s="24"/>
      <c r="I55" s="15"/>
    </row>
    <row r="56">
      <c r="A56" s="16"/>
      <c r="B56" s="17"/>
      <c r="C56" s="18">
        <f>SUMIF.LEGACY(Settings!$A$18:$A$46,B56,Settings!$D$18:$D$46)</f>
        <v>0</v>
      </c>
      <c r="D56" s="19">
        <f>sumif(Historias!$B$5:$B$199,B56,Historias!$G$5:$G$199)</f>
        <v>0</v>
      </c>
      <c r="E56" s="16"/>
      <c r="F56" s="20"/>
      <c r="G56" s="23"/>
      <c r="H56" s="24"/>
      <c r="I56" s="15"/>
    </row>
    <row r="57">
      <c r="A57" s="16"/>
      <c r="B57" s="17"/>
      <c r="C57" s="18">
        <f>SUMIF.LEGACY(Settings!$A$18:$A$46,B57,Settings!$D$18:$D$46)</f>
        <v>0</v>
      </c>
      <c r="D57" s="19">
        <f>sumif(Historias!$B$5:$B$199,B57,Historias!$G$5:$G$199)</f>
        <v>0</v>
      </c>
      <c r="E57" s="25"/>
      <c r="F57" s="20"/>
      <c r="G57" s="23"/>
      <c r="H57" s="24"/>
      <c r="I57" s="15"/>
    </row>
    <row r="58">
      <c r="A58" s="16"/>
      <c r="B58" s="17"/>
      <c r="C58" s="18">
        <f>SUMIF.LEGACY(Settings!$A$18:$A$46,B58,Settings!$D$18:$D$46)</f>
        <v>0</v>
      </c>
      <c r="D58" s="19">
        <f>sumif(Historias!$B$5:$B$199,B58,Historias!$G$5:$G$199)</f>
        <v>0</v>
      </c>
      <c r="E58" s="25"/>
      <c r="F58" s="20"/>
      <c r="G58" s="23"/>
      <c r="H58" s="24"/>
      <c r="I58" s="15"/>
    </row>
    <row r="59">
      <c r="A59" s="16"/>
      <c r="B59" s="17"/>
      <c r="C59" s="18">
        <f>SUMIF.LEGACY(Settings!$A$18:$A$46,B59,Settings!$D$18:$D$46)</f>
        <v>0</v>
      </c>
      <c r="D59" s="19">
        <f>sumif(Historias!$B$5:$B$199,B59,Historias!$G$5:$G$199)</f>
        <v>0</v>
      </c>
      <c r="E59" s="25"/>
      <c r="F59" s="20"/>
      <c r="G59" s="23"/>
      <c r="H59" s="24"/>
      <c r="I59" s="15"/>
    </row>
    <row r="60">
      <c r="A60" s="16"/>
      <c r="B60" s="17"/>
      <c r="C60" s="18">
        <f>SUMIF.LEGACY(Settings!$A$18:$A$46,B60,Settings!$D$18:$D$46)</f>
        <v>0</v>
      </c>
      <c r="D60" s="19">
        <f>sumif(Historias!$B$5:$B$199,B60,Historias!$G$5:$G$199)</f>
        <v>0</v>
      </c>
      <c r="E60" s="16"/>
      <c r="F60" s="20"/>
      <c r="G60" s="23"/>
      <c r="H60" s="24"/>
      <c r="I60" s="15"/>
    </row>
    <row r="61">
      <c r="A61" s="16"/>
      <c r="B61" s="17"/>
      <c r="C61" s="18">
        <f>SUMIF.LEGACY(Settings!$A$18:$A$46,B61,Settings!$D$18:$D$46)</f>
        <v>0</v>
      </c>
      <c r="D61" s="19">
        <f>sumif(Historias!$B$5:$B$199,B61,Historias!$G$5:$G$199)</f>
        <v>0</v>
      </c>
      <c r="E61" s="16"/>
      <c r="F61" s="20"/>
      <c r="G61" s="28"/>
      <c r="H61" s="24"/>
      <c r="I61" s="15"/>
    </row>
    <row r="62">
      <c r="A62" s="16"/>
      <c r="B62" s="17"/>
      <c r="C62" s="18">
        <f>SUMIF.LEGACY(Settings!$A$18:$A$46,B62,Settings!$D$18:$D$46)</f>
        <v>0</v>
      </c>
      <c r="D62" s="19">
        <f>sumif(Historias!$B$5:$B$199,B62,Historias!$G$5:$G$199)</f>
        <v>0</v>
      </c>
      <c r="E62" s="16"/>
      <c r="F62" s="20"/>
      <c r="G62" s="28"/>
      <c r="H62" s="29"/>
      <c r="I62" s="15"/>
    </row>
    <row r="63">
      <c r="A63" s="16"/>
      <c r="B63" s="17"/>
      <c r="C63" s="18">
        <f>SUMIF.LEGACY(Settings!$A$18:$A$46,B63,Settings!$D$18:$D$46)</f>
        <v>0</v>
      </c>
      <c r="D63" s="19">
        <f>sumif(Historias!$B$5:$B$199,B63,Historias!$G$5:$G$199)</f>
        <v>0</v>
      </c>
      <c r="E63" s="16"/>
      <c r="F63" s="20"/>
      <c r="G63" s="28"/>
      <c r="H63" s="29"/>
      <c r="I63" s="15"/>
    </row>
    <row r="64">
      <c r="A64" s="16"/>
      <c r="B64" s="17"/>
      <c r="C64" s="18">
        <f>SUMIF.LEGACY(Settings!$A$18:$A$46,B64,Settings!$D$18:$D$46)</f>
        <v>0</v>
      </c>
      <c r="D64" s="19">
        <f>sumif(Historias!$B$5:$B$199,B64,Historias!$G$5:$G$199)</f>
        <v>0</v>
      </c>
      <c r="E64" s="16"/>
      <c r="F64" s="20"/>
      <c r="G64" s="23"/>
      <c r="H64" s="24"/>
      <c r="I64" s="15"/>
    </row>
    <row r="65">
      <c r="A65" s="16"/>
      <c r="B65" s="17"/>
      <c r="C65" s="18">
        <f>SUMIF.LEGACY(Settings!$A$18:$A$46,B65,Settings!$D$18:$D$46)</f>
        <v>0</v>
      </c>
      <c r="D65" s="19">
        <f>sumif(Historias!$B$5:$B$199,B65,Historias!$G$5:$G$199)</f>
        <v>0</v>
      </c>
      <c r="E65" s="16"/>
      <c r="F65" s="20"/>
      <c r="G65" s="28"/>
      <c r="H65" s="24"/>
      <c r="I65" s="15"/>
    </row>
    <row r="66">
      <c r="A66" s="16"/>
      <c r="B66" s="17"/>
      <c r="C66" s="18">
        <f>SUMIF.LEGACY(Settings!$A$18:$A$46,B66,Settings!$D$18:$D$46)</f>
        <v>0</v>
      </c>
      <c r="D66" s="19">
        <f>sumif(Historias!$B$5:$B$199,B66,Historias!$G$5:$G$199)</f>
        <v>0</v>
      </c>
      <c r="E66" s="16"/>
      <c r="F66" s="20"/>
      <c r="G66" s="28"/>
      <c r="H66" s="24"/>
      <c r="I66" s="15"/>
    </row>
    <row r="67">
      <c r="A67" s="16"/>
      <c r="B67" s="17"/>
      <c r="C67" s="18">
        <f>SUMIF.LEGACY(Settings!$A$18:$A$46,B67,Settings!$D$18:$D$46)</f>
        <v>0</v>
      </c>
      <c r="D67" s="19">
        <f>sumif(Historias!$B$5:$B$199,B67,Historias!$G$5:$G$199)</f>
        <v>0</v>
      </c>
      <c r="E67" s="16"/>
      <c r="F67" s="20"/>
      <c r="G67" s="28"/>
      <c r="H67" s="24"/>
      <c r="I67" s="15"/>
    </row>
    <row r="68">
      <c r="A68" s="16"/>
      <c r="B68" s="17"/>
      <c r="C68" s="18">
        <f>SUMIF.LEGACY(Settings!$A$18:$A$46,B68,Settings!$D$18:$D$46)</f>
        <v>0</v>
      </c>
      <c r="D68" s="19">
        <f>sumif(Historias!$B$5:$B$199,B68,Historias!$G$5:$G$199)</f>
        <v>0</v>
      </c>
      <c r="E68" s="16"/>
      <c r="F68" s="20"/>
      <c r="G68" s="28"/>
      <c r="H68" s="24"/>
      <c r="I68" s="15"/>
    </row>
    <row r="69">
      <c r="A69" s="16"/>
      <c r="B69" s="17"/>
      <c r="C69" s="18">
        <f>SUMIF.LEGACY(Settings!$A$18:$A$46,B69,Settings!$D$18:$D$46)</f>
        <v>0</v>
      </c>
      <c r="D69" s="19">
        <f>sumif(Historias!$B$5:$B$199,B69,Historias!$G$5:$G$199)</f>
        <v>0</v>
      </c>
      <c r="E69" s="16"/>
      <c r="F69" s="20"/>
      <c r="G69" s="28"/>
      <c r="H69" s="29"/>
      <c r="I69" s="15"/>
    </row>
    <row r="70">
      <c r="A70" s="16"/>
      <c r="B70" s="17"/>
      <c r="C70" s="18">
        <f>SUMIF.LEGACY(Settings!$A$18:$A$46,B70,Settings!$D$18:$D$46)</f>
        <v>0</v>
      </c>
      <c r="D70" s="19">
        <f>sumif(Historias!$B$5:$B$199,B70,Historias!$G$5:$G$199)</f>
        <v>0</v>
      </c>
      <c r="E70" s="16"/>
      <c r="F70" s="20"/>
      <c r="G70" s="28"/>
      <c r="H70" s="29"/>
      <c r="I70" s="15"/>
    </row>
    <row r="71">
      <c r="A71" s="16"/>
      <c r="B71" s="17"/>
      <c r="C71" s="18">
        <f>SUMIF.LEGACY(Settings!$A$18:$A$46,B71,Settings!$D$18:$D$46)</f>
        <v>0</v>
      </c>
      <c r="D71" s="19">
        <f>sumif(Historias!$B$5:$B$199,B71,Historias!$G$5:$G$199)</f>
        <v>0</v>
      </c>
      <c r="E71" s="16"/>
      <c r="F71" s="20"/>
      <c r="G71" s="23"/>
      <c r="H71" s="24"/>
      <c r="I71" s="15"/>
    </row>
    <row r="72">
      <c r="A72" s="16"/>
      <c r="B72" s="17"/>
      <c r="C72" s="18">
        <f>SUMIF.LEGACY(Settings!$A$18:$A$46,B72,Settings!$D$18:$D$46)</f>
        <v>0</v>
      </c>
      <c r="D72" s="19">
        <f>sumif(Historias!$B$5:$B$199,B72,Historias!$G$5:$G$199)</f>
        <v>0</v>
      </c>
      <c r="E72" s="16"/>
      <c r="F72" s="20"/>
      <c r="G72" s="23"/>
      <c r="H72" s="24"/>
      <c r="I72" s="15"/>
    </row>
    <row r="73">
      <c r="A73" s="16"/>
      <c r="B73" s="17"/>
      <c r="C73" s="18">
        <f>SUMIF.LEGACY(Settings!$A$18:$A$46,B73,Settings!$D$18:$D$46)</f>
        <v>0</v>
      </c>
      <c r="D73" s="19">
        <f>sumif(Historias!$B$5:$B$199,B73,Historias!$G$5:$G$199)</f>
        <v>0</v>
      </c>
      <c r="E73" s="16"/>
      <c r="F73" s="20"/>
      <c r="G73" s="23"/>
      <c r="H73" s="24"/>
      <c r="I73" s="26"/>
    </row>
    <row r="74">
      <c r="A74" s="16"/>
      <c r="B74" s="17"/>
      <c r="C74" s="18">
        <f>SUMIF.LEGACY(Settings!$A$18:$A$46,B74,Settings!$D$18:$D$46)</f>
        <v>0</v>
      </c>
      <c r="D74" s="19">
        <f>sumif(Historias!$B$5:$B$199,B74,Historias!$G$5:$G$199)</f>
        <v>0</v>
      </c>
      <c r="E74" s="16"/>
      <c r="F74" s="20"/>
      <c r="G74" s="23"/>
      <c r="H74" s="24"/>
      <c r="I74" s="15"/>
    </row>
    <row r="75">
      <c r="A75" s="16"/>
      <c r="B75" s="17"/>
      <c r="C75" s="18">
        <f>SUMIF.LEGACY(Settings!$A$18:$A$46,B75,Settings!$D$18:$D$46)</f>
        <v>0</v>
      </c>
      <c r="D75" s="19">
        <f>sumif(Historias!$B$5:$B$199,B75,Historias!$G$5:$G$199)</f>
        <v>0</v>
      </c>
      <c r="E75" s="16"/>
      <c r="F75" s="20"/>
      <c r="G75" s="23"/>
      <c r="H75" s="24"/>
      <c r="I75" s="15"/>
    </row>
    <row r="76">
      <c r="A76" s="16"/>
      <c r="B76" s="17"/>
      <c r="C76" s="18">
        <f>SUMIF.LEGACY(Settings!$A$18:$A$46,B76,Settings!$D$18:$D$46)</f>
        <v>0</v>
      </c>
      <c r="D76" s="19">
        <f>sumif(Historias!$B$5:$B$199,B76,Historias!$G$5:$G$199)</f>
        <v>0</v>
      </c>
      <c r="E76" s="16"/>
      <c r="F76" s="20"/>
      <c r="G76" s="23"/>
      <c r="H76" s="24"/>
      <c r="I76" s="15"/>
    </row>
    <row r="77">
      <c r="A77" s="16"/>
      <c r="B77" s="17"/>
      <c r="C77" s="18">
        <f>SUMIF.LEGACY(Settings!$A$18:$A$46,B77,Settings!$D$18:$D$46)</f>
        <v>0</v>
      </c>
      <c r="D77" s="19">
        <f>sumif(Historias!$B$5:$B$199,B77,Historias!$G$5:$G$199)</f>
        <v>0</v>
      </c>
      <c r="E77" s="16"/>
      <c r="F77" s="20"/>
      <c r="G77" s="23"/>
      <c r="H77" s="24"/>
      <c r="I77" s="15"/>
    </row>
    <row r="78">
      <c r="A78" s="16"/>
      <c r="B78" s="17"/>
      <c r="C78" s="18">
        <f>SUMIF.LEGACY(Settings!$A$18:$A$46,B78,Settings!$D$18:$D$46)</f>
        <v>0</v>
      </c>
      <c r="D78" s="19">
        <f>sumif(Historias!$B$5:$B$199,B78,Historias!$G$5:$G$199)</f>
        <v>0</v>
      </c>
      <c r="E78" s="16"/>
      <c r="F78" s="20"/>
      <c r="G78" s="23"/>
      <c r="H78" s="24"/>
      <c r="I78" s="15"/>
    </row>
    <row r="79">
      <c r="A79" s="16"/>
      <c r="B79" s="17"/>
      <c r="C79" s="18">
        <f>SUMIF.LEGACY(Settings!$A$18:$A$46,B79,Settings!$D$18:$D$46)</f>
        <v>0</v>
      </c>
      <c r="D79" s="19">
        <f>sumif(Historias!$B$5:$B$199,B79,Historias!$G$5:$G$199)</f>
        <v>0</v>
      </c>
      <c r="E79" s="16"/>
      <c r="F79" s="20"/>
      <c r="G79" s="23"/>
      <c r="H79" s="24"/>
      <c r="I79" s="15"/>
    </row>
    <row r="80">
      <c r="A80" s="16"/>
      <c r="B80" s="17"/>
      <c r="C80" s="18">
        <f>SUMIF.LEGACY(Settings!$A$18:$A$46,B80,Settings!$D$18:$D$46)</f>
        <v>0</v>
      </c>
      <c r="D80" s="19">
        <f>sumif(Historias!$B$5:$B$199,B80,Historias!$G$5:$G$199)</f>
        <v>0</v>
      </c>
      <c r="E80" s="25"/>
      <c r="F80" s="20"/>
      <c r="G80" s="23"/>
      <c r="H80" s="24"/>
      <c r="I80" s="15"/>
    </row>
    <row r="81">
      <c r="A81" s="16"/>
      <c r="B81" s="17"/>
      <c r="C81" s="18">
        <f>SUMIF.LEGACY(Settings!$A$18:$A$46,B81,Settings!$D$18:$D$46)</f>
        <v>0</v>
      </c>
      <c r="D81" s="19">
        <f>sumif(Historias!$B$5:$B$199,B81,Historias!$G$5:$G$199)</f>
        <v>0</v>
      </c>
      <c r="E81" s="16"/>
      <c r="F81" s="20"/>
      <c r="G81" s="23"/>
      <c r="H81" s="24"/>
      <c r="I81" s="15"/>
    </row>
    <row r="82">
      <c r="A82" s="16"/>
      <c r="B82" s="17"/>
      <c r="C82" s="18">
        <f>SUMIF.LEGACY(Settings!$A$18:$A$46,B82,Settings!$D$18:$D$46)</f>
        <v>0</v>
      </c>
      <c r="D82" s="19">
        <f>sumif(Historias!$B$5:$B$199,B82,Historias!$G$5:$G$199)</f>
        <v>0</v>
      </c>
      <c r="E82" s="16"/>
      <c r="F82" s="27"/>
      <c r="G82" s="23"/>
      <c r="H82" s="24"/>
      <c r="I82" s="15"/>
    </row>
    <row r="83">
      <c r="A83" s="16"/>
      <c r="B83" s="17"/>
      <c r="C83" s="18">
        <f>SUMIF.LEGACY(Settings!$A$18:$A$46,B83,Settings!$D$18:$D$46)</f>
        <v>0</v>
      </c>
      <c r="D83" s="19">
        <f>sumif(Historias!$B$5:$B$199,B83,Historias!$G$5:$G$199)</f>
        <v>0</v>
      </c>
      <c r="E83" s="16"/>
      <c r="F83" s="20"/>
      <c r="G83" s="23"/>
      <c r="H83" s="24"/>
      <c r="I83" s="15"/>
    </row>
    <row r="84">
      <c r="A84" s="16"/>
      <c r="B84" s="17"/>
      <c r="C84" s="18">
        <f>SUMIF.LEGACY(Settings!$A$18:$A$46,B84,Settings!$D$18:$D$46)</f>
        <v>0</v>
      </c>
      <c r="D84" s="19">
        <f>sumif(Historias!$B$5:$B$199,B84,Historias!$G$5:$G$199)</f>
        <v>0</v>
      </c>
      <c r="E84" s="25"/>
      <c r="F84" s="20"/>
      <c r="G84" s="23"/>
      <c r="H84" s="24"/>
      <c r="I84" s="15"/>
    </row>
    <row r="85">
      <c r="A85" s="16"/>
      <c r="B85" s="17"/>
      <c r="C85" s="18">
        <f>SUMIF.LEGACY(Settings!$A$18:$A$46,B85,Settings!$D$18:$D$46)</f>
        <v>0</v>
      </c>
      <c r="D85" s="19">
        <f>sumif(Historias!$B$5:$B$199,B85,Historias!$G$5:$G$199)</f>
        <v>0</v>
      </c>
      <c r="E85" s="25"/>
      <c r="F85" s="20"/>
      <c r="G85" s="23"/>
      <c r="H85" s="24"/>
      <c r="I85" s="15"/>
    </row>
    <row r="86">
      <c r="A86" s="16"/>
      <c r="B86" s="17"/>
      <c r="C86" s="18">
        <f>SUMIF.LEGACY(Settings!$A$18:$A$46,B86,Settings!$D$18:$D$46)</f>
        <v>0</v>
      </c>
      <c r="D86" s="19">
        <f>sumif(Historias!$B$5:$B$199,B86,Historias!$G$5:$G$199)</f>
        <v>0</v>
      </c>
      <c r="E86" s="25"/>
      <c r="F86" s="20"/>
      <c r="G86" s="23"/>
      <c r="H86" s="24"/>
      <c r="I86" s="15"/>
    </row>
    <row r="87">
      <c r="A87" s="16"/>
      <c r="B87" s="17"/>
      <c r="C87" s="18">
        <f>SUMIF.LEGACY(Settings!$A$18:$A$46,B87,Settings!$D$18:$D$46)</f>
        <v>0</v>
      </c>
      <c r="D87" s="19">
        <f>sumif(Historias!$B$5:$B$199,B87,Historias!$G$5:$G$199)</f>
        <v>0</v>
      </c>
      <c r="E87" s="25"/>
      <c r="F87" s="20"/>
      <c r="G87" s="23"/>
      <c r="H87" s="24"/>
      <c r="I87" s="15"/>
    </row>
    <row r="88">
      <c r="A88" s="16"/>
      <c r="B88" s="17"/>
      <c r="C88" s="18">
        <f>SUMIF.LEGACY(Settings!$A$18:$A$46,B88,Settings!$D$18:$D$46)</f>
        <v>0</v>
      </c>
      <c r="D88" s="19">
        <f>sumif(Historias!$B$5:$B$199,B88,Historias!$G$5:$G$199)</f>
        <v>0</v>
      </c>
      <c r="E88" s="16"/>
      <c r="F88" s="20"/>
      <c r="G88" s="23"/>
      <c r="H88" s="24"/>
      <c r="I88" s="15"/>
    </row>
    <row r="89">
      <c r="A89" s="16"/>
      <c r="B89" s="17"/>
      <c r="C89" s="18">
        <f>SUMIF.LEGACY(Settings!$A$18:$A$46,B89,Settings!$D$18:$D$46)</f>
        <v>0</v>
      </c>
      <c r="D89" s="19">
        <f>sumif(Historias!$B$5:$B$199,B89,Historias!$G$5:$G$199)</f>
        <v>0</v>
      </c>
      <c r="E89" s="16"/>
      <c r="F89" s="20"/>
      <c r="G89" s="23"/>
      <c r="H89" s="24"/>
      <c r="I89" s="15"/>
    </row>
    <row r="90">
      <c r="A90" s="16"/>
      <c r="B90" s="17"/>
      <c r="C90" s="18">
        <f>SUMIF.LEGACY(Settings!$A$18:$A$46,B90,Settings!$D$18:$D$46)</f>
        <v>0</v>
      </c>
      <c r="D90" s="19">
        <f>sumif(Historias!$B$5:$B$199,B90,Historias!$G$5:$G$199)</f>
        <v>0</v>
      </c>
      <c r="E90" s="16"/>
      <c r="F90" s="20"/>
      <c r="G90" s="23"/>
      <c r="H90" s="24"/>
      <c r="I90" s="15"/>
    </row>
    <row r="91">
      <c r="A91" s="16"/>
      <c r="B91" s="17"/>
      <c r="C91" s="18">
        <f>SUMIF.LEGACY(Settings!$A$18:$A$46,B91,Settings!$D$18:$D$46)</f>
        <v>0</v>
      </c>
      <c r="D91" s="19">
        <f>sumif(Historias!$B$5:$B$199,B91,Historias!$G$5:$G$199)</f>
        <v>0</v>
      </c>
      <c r="E91" s="16"/>
      <c r="F91" s="20"/>
      <c r="G91" s="23"/>
      <c r="H91" s="24"/>
      <c r="I91" s="15"/>
    </row>
    <row r="92">
      <c r="A92" s="16"/>
      <c r="B92" s="17"/>
      <c r="C92" s="18">
        <f>SUMIF.LEGACY(Settings!$A$18:$A$46,B92,Settings!$D$18:$D$46)</f>
        <v>0</v>
      </c>
      <c r="D92" s="19">
        <f>sumif(Historias!$B$5:$B$199,B92,Historias!$G$5:$G$199)</f>
        <v>0</v>
      </c>
      <c r="E92" s="25"/>
      <c r="F92" s="20"/>
      <c r="G92" s="23"/>
      <c r="H92" s="24"/>
      <c r="I92" s="15"/>
    </row>
    <row r="93">
      <c r="A93" s="16"/>
      <c r="B93" s="17"/>
      <c r="C93" s="18">
        <f>SUMIF.LEGACY(Settings!$A$18:$A$46,B93,Settings!$D$18:$D$46)</f>
        <v>0</v>
      </c>
      <c r="D93" s="19">
        <f>sumif(Historias!$B$5:$B$199,B93,Historias!$G$5:$G$199)</f>
        <v>0</v>
      </c>
      <c r="E93" s="16"/>
      <c r="F93" s="20"/>
      <c r="G93" s="23"/>
      <c r="H93" s="24"/>
      <c r="I93" s="15"/>
    </row>
    <row r="94">
      <c r="A94" s="16"/>
      <c r="B94" s="17"/>
      <c r="C94" s="18">
        <f>SUMIF.LEGACY(Settings!$A$18:$A$46,B94,Settings!$D$18:$D$46)</f>
        <v>0</v>
      </c>
      <c r="D94" s="19">
        <f>sumif(Historias!$B$5:$B$199,B94,Historias!$G$5:$G$199)</f>
        <v>0</v>
      </c>
      <c r="E94" s="16"/>
      <c r="F94" s="20"/>
      <c r="G94" s="23"/>
      <c r="H94" s="24"/>
      <c r="I94" s="15"/>
    </row>
    <row r="95">
      <c r="A95" s="16"/>
      <c r="B95" s="17"/>
      <c r="C95" s="18">
        <f>SUMIF.LEGACY(Settings!$A$18:$A$46,B95,Settings!$D$18:$D$46)</f>
        <v>0</v>
      </c>
      <c r="D95" s="19">
        <f>sumif(Historias!$B$5:$B$199,B95,Historias!$G$5:$G$199)</f>
        <v>0</v>
      </c>
      <c r="E95" s="16"/>
      <c r="F95" s="20"/>
      <c r="G95" s="23"/>
      <c r="H95" s="24"/>
      <c r="I95" s="15"/>
    </row>
    <row r="96">
      <c r="A96" s="16"/>
      <c r="B96" s="17"/>
      <c r="C96" s="18">
        <f>SUMIF.LEGACY(Settings!$A$18:$A$46,B96,Settings!$D$18:$D$46)</f>
        <v>0</v>
      </c>
      <c r="D96" s="19">
        <f>sumif(Historias!$B$5:$B$199,B96,Historias!$G$5:$G$199)</f>
        <v>0</v>
      </c>
      <c r="E96" s="16"/>
      <c r="F96" s="20"/>
      <c r="G96" s="23"/>
      <c r="H96" s="24"/>
      <c r="I96" s="15"/>
    </row>
    <row r="97">
      <c r="A97" s="16"/>
      <c r="B97" s="17"/>
      <c r="C97" s="18">
        <f>SUMIF.LEGACY(Settings!$A$18:$A$46,B97,Settings!$D$18:$D$46)</f>
        <v>0</v>
      </c>
      <c r="D97" s="19">
        <f>sumif(Historias!$B$5:$B$199,B97,Historias!$G$5:$G$199)</f>
        <v>0</v>
      </c>
      <c r="E97" s="25"/>
      <c r="F97" s="20"/>
      <c r="G97" s="23"/>
      <c r="H97" s="24"/>
      <c r="I97" s="15"/>
    </row>
    <row r="98">
      <c r="A98" s="16"/>
      <c r="B98" s="17"/>
      <c r="C98" s="18">
        <f>SUMIF.LEGACY(Settings!$A$18:$A$46,B98,Settings!$D$18:$D$46)</f>
        <v>0</v>
      </c>
      <c r="D98" s="19">
        <f>sumif(Historias!$B$5:$B$199,B98,Historias!$G$5:$G$199)</f>
        <v>0</v>
      </c>
      <c r="E98" s="16"/>
      <c r="F98" s="20"/>
      <c r="G98" s="23"/>
      <c r="H98" s="24"/>
      <c r="I98" s="15"/>
    </row>
    <row r="99">
      <c r="A99" s="16"/>
      <c r="B99" s="17"/>
      <c r="C99" s="18">
        <f>SUMIF.LEGACY(Settings!$A$18:$A$46,B99,Settings!$D$18:$D$46)</f>
        <v>0</v>
      </c>
      <c r="D99" s="19">
        <f>sumif(Historias!$B$5:$B$199,B99,Historias!$G$5:$G$199)</f>
        <v>0</v>
      </c>
      <c r="E99" s="16"/>
      <c r="F99" s="20"/>
      <c r="G99" s="23"/>
      <c r="H99" s="24"/>
      <c r="I99" s="15"/>
    </row>
    <row r="100">
      <c r="A100" s="16"/>
      <c r="B100" s="17"/>
      <c r="C100" s="18">
        <f>SUMIF.LEGACY(Settings!$A$18:$A$46,B100,Settings!$D$18:$D$46)</f>
        <v>0</v>
      </c>
      <c r="D100" s="19">
        <f>sumif(Historias!$B$5:$B$199,B100,Historias!$G$5:$G$199)</f>
        <v>0</v>
      </c>
      <c r="E100" s="16"/>
      <c r="F100" s="20"/>
      <c r="G100" s="23"/>
      <c r="H100" s="24"/>
    </row>
    <row r="101">
      <c r="A101" s="16"/>
      <c r="B101" s="17"/>
      <c r="C101" s="18">
        <f>SUMIF.LEGACY(Settings!$A$18:$A$46,B101,Settings!$D$18:$D$46)</f>
        <v>0</v>
      </c>
      <c r="D101" s="19">
        <f>sumif(Historias!$B$5:$B$199,B101,Historias!$G$5:$G$199)</f>
        <v>0</v>
      </c>
      <c r="E101" s="25"/>
      <c r="F101" s="20"/>
      <c r="G101" s="23"/>
      <c r="H101" s="24"/>
    </row>
    <row r="102">
      <c r="A102" s="16"/>
      <c r="B102" s="17"/>
      <c r="C102" s="18">
        <f>SUMIF.LEGACY(Settings!$A$18:$A$46,B102,Settings!$D$18:$D$46)</f>
        <v>0</v>
      </c>
      <c r="D102" s="19">
        <f>sumif(Historias!$B$5:$B$199,B102,Historias!$G$5:$G$199)</f>
        <v>0</v>
      </c>
      <c r="E102" s="25"/>
      <c r="F102" s="20"/>
      <c r="G102" s="23"/>
      <c r="H102" s="24"/>
    </row>
    <row r="103">
      <c r="A103" s="16"/>
      <c r="B103" s="17"/>
      <c r="C103" s="18">
        <f>SUMIF.LEGACY(Settings!$A$18:$A$46,B103,Settings!$D$18:$D$46)</f>
        <v>0</v>
      </c>
      <c r="D103" s="19">
        <f>sumif(Historias!$B$5:$B$199,B103,Historias!$G$5:$G$199)</f>
        <v>0</v>
      </c>
      <c r="E103" s="25"/>
      <c r="F103" s="20"/>
      <c r="G103" s="23"/>
      <c r="H103" s="24"/>
    </row>
    <row r="104">
      <c r="A104" s="16"/>
      <c r="B104" s="17"/>
      <c r="C104" s="18">
        <f>SUMIF.LEGACY(Settings!$A$18:$A$46,B104,Settings!$D$18:$D$46)</f>
        <v>0</v>
      </c>
      <c r="D104" s="19">
        <f>sumif(Historias!$B$5:$B$199,B104,Historias!$G$5:$G$199)</f>
        <v>0</v>
      </c>
      <c r="E104" s="16"/>
      <c r="F104" s="20"/>
      <c r="G104" s="23"/>
      <c r="H104" s="24"/>
    </row>
    <row r="105">
      <c r="A105" s="16"/>
      <c r="B105" s="17"/>
      <c r="C105" s="18">
        <f>SUMIF.LEGACY(Settings!$A$18:$A$46,B105,Settings!$D$18:$D$46)</f>
        <v>0</v>
      </c>
      <c r="D105" s="19">
        <f>sumif(Historias!$B$5:$B$199,B105,Historias!$G$5:$G$199)</f>
        <v>0</v>
      </c>
      <c r="E105" s="25"/>
      <c r="F105" s="20"/>
      <c r="G105" s="23"/>
      <c r="H105" s="24"/>
    </row>
    <row r="106">
      <c r="A106" s="16"/>
      <c r="B106" s="17"/>
      <c r="C106" s="18">
        <f>SUMIF.LEGACY(Settings!$A$18:$A$46,B106,Settings!$D$18:$D$46)</f>
        <v>0</v>
      </c>
      <c r="D106" s="19">
        <f>sumif(Historias!$B$5:$B$199,B106,Historias!$G$5:$G$199)</f>
        <v>0</v>
      </c>
      <c r="E106" s="25"/>
      <c r="F106" s="20"/>
      <c r="G106" s="23"/>
      <c r="H106" s="24"/>
    </row>
    <row r="107">
      <c r="A107" s="16"/>
      <c r="B107" s="17"/>
      <c r="C107" s="18">
        <f>SUMIF.LEGACY(Settings!$A$18:$A$46,B107,Settings!$D$18:$D$46)</f>
        <v>0</v>
      </c>
      <c r="D107" s="19">
        <f>sumif(Historias!$B$5:$B$199,B107,Historias!$G$5:$G$199)</f>
        <v>0</v>
      </c>
      <c r="E107" s="25"/>
      <c r="F107" s="20"/>
      <c r="G107" s="23"/>
      <c r="H107" s="24"/>
    </row>
    <row r="108">
      <c r="A108" s="16"/>
      <c r="B108" s="17"/>
      <c r="C108" s="18">
        <f>SUMIF.LEGACY(Settings!$A$18:$A$46,B108,Settings!$D$18:$D$46)</f>
        <v>0</v>
      </c>
      <c r="D108" s="19">
        <f>sumif(Historias!$B$5:$B$199,B108,Historias!$G$5:$G$199)</f>
        <v>0</v>
      </c>
      <c r="E108" s="25"/>
      <c r="F108" s="20"/>
      <c r="G108" s="23"/>
      <c r="H108" s="24"/>
    </row>
    <row r="109">
      <c r="A109" s="16"/>
      <c r="B109" s="17"/>
      <c r="C109" s="18">
        <f>SUMIF.LEGACY(Settings!$A$18:$A$46,B109,Settings!$D$18:$D$46)</f>
        <v>0</v>
      </c>
      <c r="D109" s="19">
        <f>sumif(Historias!$B$5:$B$199,B109,Historias!$G$5:$G$199)</f>
        <v>0</v>
      </c>
      <c r="E109" s="25"/>
      <c r="F109" s="20"/>
      <c r="G109" s="23"/>
      <c r="H109" s="24"/>
    </row>
    <row r="110">
      <c r="A110" s="16"/>
      <c r="B110" s="17"/>
      <c r="C110" s="18">
        <f>SUMIF.LEGACY(Settings!$A$18:$A$46,B110,Settings!$D$18:$D$46)</f>
        <v>0</v>
      </c>
      <c r="D110" s="19">
        <f>sumif(Historias!$B$5:$B$199,B110,Historias!$G$5:$G$199)</f>
        <v>0</v>
      </c>
      <c r="E110" s="25"/>
      <c r="F110" s="20"/>
      <c r="G110" s="23"/>
      <c r="H110" s="24"/>
    </row>
    <row r="111">
      <c r="A111" s="16"/>
      <c r="B111" s="17"/>
      <c r="C111" s="18">
        <f>SUMIF.LEGACY(Settings!$A$18:$A$46,B111,Settings!$D$18:$D$46)</f>
        <v>0</v>
      </c>
      <c r="D111" s="19">
        <f>sumif(Historias!$B$5:$B$199,B111,Historias!$G$5:$G$199)</f>
        <v>0</v>
      </c>
      <c r="E111" s="25"/>
      <c r="F111" s="20"/>
      <c r="G111" s="23"/>
      <c r="H111" s="24"/>
    </row>
    <row r="112">
      <c r="A112" s="16"/>
      <c r="B112" s="17"/>
      <c r="C112" s="18">
        <f>SUMIF.LEGACY(Settings!$A$18:$A$46,B112,Settings!$D$18:$D$46)</f>
        <v>0</v>
      </c>
      <c r="D112" s="19">
        <f>sumif(Historias!$B$5:$B$199,B112,Historias!$G$5:$G$199)</f>
        <v>0</v>
      </c>
      <c r="E112" s="25"/>
      <c r="F112" s="20"/>
      <c r="G112" s="23"/>
      <c r="H112" s="24"/>
    </row>
    <row r="113">
      <c r="A113" s="16"/>
      <c r="B113" s="17"/>
      <c r="C113" s="18">
        <f>SUMIF.LEGACY(Settings!$A$18:$A$46,B113,Settings!$D$18:$D$46)</f>
        <v>0</v>
      </c>
      <c r="D113" s="19">
        <f>sumif(Historias!$B$5:$B$199,B113,Historias!$G$5:$G$199)</f>
        <v>0</v>
      </c>
      <c r="E113" s="25"/>
      <c r="F113" s="20"/>
      <c r="G113" s="23"/>
      <c r="H113" s="24"/>
    </row>
    <row r="114">
      <c r="A114" s="16"/>
      <c r="B114" s="17"/>
      <c r="C114" s="18">
        <f>SUMIF.LEGACY(Settings!$A$18:$A$46,B114,Settings!$D$18:$D$46)</f>
        <v>0</v>
      </c>
      <c r="D114" s="19">
        <f>sumif(Historias!$B$5:$B$199,B114,Historias!$G$5:$G$199)</f>
        <v>0</v>
      </c>
      <c r="E114" s="25"/>
      <c r="F114" s="20"/>
      <c r="G114" s="23"/>
      <c r="H114" s="24"/>
    </row>
    <row r="115">
      <c r="A115" s="16"/>
      <c r="B115" s="17"/>
      <c r="C115" s="18">
        <f>SUMIF.LEGACY(Settings!$A$18:$A$46,B115,Settings!$D$18:$D$46)</f>
        <v>0</v>
      </c>
      <c r="D115" s="19">
        <f>sumif(Historias!$B$5:$B$199,B115,Historias!$G$5:$G$199)</f>
        <v>0</v>
      </c>
      <c r="E115" s="25"/>
      <c r="F115" s="20"/>
      <c r="G115" s="23"/>
      <c r="H115" s="24"/>
    </row>
    <row r="116">
      <c r="A116" s="16"/>
      <c r="B116" s="17"/>
      <c r="C116" s="18">
        <f>SUMIF.LEGACY(Settings!$A$18:$A$46,B116,Settings!$D$18:$D$46)</f>
        <v>0</v>
      </c>
      <c r="D116" s="19">
        <f>sumif(Historias!$B$5:$B$199,B116,Historias!$G$5:$G$199)</f>
        <v>0</v>
      </c>
      <c r="E116" s="25"/>
      <c r="F116" s="20"/>
      <c r="G116" s="23"/>
      <c r="H116" s="24"/>
    </row>
    <row r="117">
      <c r="A117" s="16"/>
      <c r="B117" s="17"/>
      <c r="C117" s="18">
        <f>SUMIF.LEGACY(Settings!$A$18:$A$46,B117,Settings!$D$18:$D$46)</f>
        <v>0</v>
      </c>
      <c r="D117" s="19">
        <f>sumif(Historias!$B$5:$B$199,B117,Historias!$G$5:$G$199)</f>
        <v>0</v>
      </c>
      <c r="E117" s="25"/>
      <c r="F117" s="20"/>
      <c r="G117" s="23"/>
      <c r="H117" s="24"/>
    </row>
    <row r="118">
      <c r="A118" s="16"/>
      <c r="B118" s="17"/>
      <c r="C118" s="18">
        <f>SUMIF.LEGACY(Settings!$A$18:$A$46,B118,Settings!$D$18:$D$46)</f>
        <v>0</v>
      </c>
      <c r="D118" s="19">
        <f>sumif(Historias!$B$5:$B$199,B118,Historias!$G$5:$G$199)</f>
        <v>0</v>
      </c>
      <c r="E118" s="25"/>
      <c r="F118" s="20"/>
      <c r="G118" s="23"/>
      <c r="H118" s="24"/>
    </row>
    <row r="119">
      <c r="A119" s="16"/>
      <c r="B119" s="17"/>
      <c r="C119" s="18">
        <f>SUMIF.LEGACY(Settings!$A$18:$A$46,B119,Settings!$D$18:$D$46)</f>
        <v>0</v>
      </c>
      <c r="D119" s="19">
        <f>sumif(Historias!$B$5:$B$199,B119,Historias!$G$5:$G$199)</f>
        <v>0</v>
      </c>
      <c r="E119" s="25"/>
      <c r="F119" s="20"/>
      <c r="G119" s="23"/>
      <c r="H119" s="24"/>
    </row>
    <row r="120">
      <c r="A120" s="16"/>
      <c r="B120" s="17"/>
      <c r="C120" s="18">
        <f>SUMIF.LEGACY(Settings!$A$18:$A$46,B120,Settings!$D$18:$D$46)</f>
        <v>0</v>
      </c>
      <c r="D120" s="19">
        <f>sumif(Historias!$B$5:$B$199,B120,Historias!$G$5:$G$199)</f>
        <v>0</v>
      </c>
      <c r="E120" s="25"/>
      <c r="F120" s="20"/>
      <c r="G120" s="23"/>
      <c r="H120" s="24"/>
    </row>
    <row r="121">
      <c r="A121" s="16"/>
      <c r="B121" s="17"/>
      <c r="C121" s="18">
        <f>SUMIF.LEGACY(Settings!$A$18:$A$46,B121,Settings!$D$18:$D$46)</f>
        <v>0</v>
      </c>
      <c r="D121" s="19">
        <f>sumif(Historias!$B$5:$B$199,B121,Historias!$G$5:$G$199)</f>
        <v>0</v>
      </c>
      <c r="E121" s="25"/>
      <c r="F121" s="20"/>
      <c r="G121" s="23"/>
      <c r="H121" s="24"/>
    </row>
    <row r="122">
      <c r="A122" s="25"/>
      <c r="B122" s="30"/>
      <c r="C122" s="18">
        <f>SUMIF.LEGACY(Settings!$A$18:$A$46,B122,Settings!$D$18:$D$46)</f>
        <v>0</v>
      </c>
      <c r="D122" s="19">
        <f>sumif(Historias!$B$5:$B$199,B122,Historias!$G$5:$G$199)</f>
        <v>0</v>
      </c>
      <c r="E122" s="25"/>
      <c r="F122" s="25"/>
      <c r="G122" s="31"/>
      <c r="H122" s="32"/>
    </row>
    <row r="123">
      <c r="A123" s="25"/>
      <c r="B123" s="30"/>
      <c r="C123" s="18">
        <f>SUMIF.LEGACY(Settings!$A$18:$A$46,B123,Settings!$D$18:$D$46)</f>
        <v>0</v>
      </c>
      <c r="D123" s="19">
        <f>sumif(Historias!$B$5:$B$199,B123,Historias!$G$5:$G$199)</f>
        <v>0</v>
      </c>
      <c r="E123" s="25"/>
      <c r="F123" s="25"/>
      <c r="G123" s="31"/>
      <c r="H123" s="32"/>
    </row>
    <row r="124">
      <c r="A124" s="25"/>
      <c r="B124" s="30"/>
      <c r="C124" s="18">
        <f>SUMIF.LEGACY(Settings!$A$18:$A$46,B124,Settings!$D$18:$D$46)</f>
        <v>0</v>
      </c>
      <c r="D124" s="19">
        <f>sumif(Historias!$B$5:$B$199,B124,Historias!$G$5:$G$199)</f>
        <v>0</v>
      </c>
      <c r="E124" s="25"/>
      <c r="F124" s="25"/>
      <c r="G124" s="31"/>
      <c r="H124" s="32"/>
    </row>
    <row r="125">
      <c r="A125" s="25"/>
      <c r="B125" s="30"/>
      <c r="C125" s="18">
        <f>SUMIF.LEGACY(Settings!$A$18:$A$46,B125,Settings!$D$18:$D$46)</f>
        <v>0</v>
      </c>
      <c r="D125" s="19">
        <f>sumif(Historias!$B$5:$B$199,B125,Historias!$G$5:$G$199)</f>
        <v>0</v>
      </c>
      <c r="E125" s="25"/>
      <c r="F125" s="25"/>
      <c r="G125" s="31"/>
      <c r="H125" s="32"/>
    </row>
    <row r="126">
      <c r="A126" s="25"/>
      <c r="B126" s="30"/>
      <c r="C126" s="18">
        <f>SUMIF.LEGACY(Settings!$A$18:$A$46,B126,Settings!$D$18:$D$46)</f>
        <v>0</v>
      </c>
      <c r="D126" s="19">
        <f>sumif(Historias!$B$5:$B$199,B126,Historias!$G$5:$G$199)</f>
        <v>0</v>
      </c>
      <c r="E126" s="25"/>
      <c r="F126" s="25"/>
      <c r="G126" s="31"/>
      <c r="H126" s="32"/>
    </row>
    <row r="127">
      <c r="A127" s="25"/>
      <c r="B127" s="30"/>
      <c r="C127" s="18">
        <f>SUMIF.LEGACY(Settings!$A$18:$A$46,B127,Settings!$D$18:$D$46)</f>
        <v>0</v>
      </c>
      <c r="D127" s="19">
        <f>sumif(Historias!$B$5:$B$199,B127,Historias!$G$5:$G$199)</f>
        <v>0</v>
      </c>
      <c r="E127" s="25"/>
      <c r="F127" s="25"/>
      <c r="G127" s="31"/>
      <c r="H127" s="32"/>
    </row>
    <row r="128">
      <c r="A128" s="25"/>
      <c r="B128" s="30"/>
      <c r="C128" s="18">
        <f>SUMIF.LEGACY(Settings!$A$18:$A$46,B128,Settings!$D$18:$D$46)</f>
        <v>0</v>
      </c>
      <c r="D128" s="19">
        <f>sumif(Historias!$B$5:$B$199,B128,Historias!$G$5:$G$199)</f>
        <v>0</v>
      </c>
      <c r="E128" s="25"/>
      <c r="F128" s="25"/>
      <c r="G128" s="31"/>
      <c r="H128" s="32"/>
    </row>
    <row r="129">
      <c r="A129" s="25"/>
      <c r="B129" s="30"/>
      <c r="C129" s="18">
        <f>SUMIF.LEGACY(Settings!$A$18:$A$46,B129,Settings!$D$18:$D$46)</f>
        <v>0</v>
      </c>
      <c r="D129" s="19">
        <f>sumif(Historias!$B$5:$B$199,B129,Historias!$G$5:$G$199)</f>
        <v>0</v>
      </c>
      <c r="E129" s="25"/>
      <c r="F129" s="25"/>
      <c r="G129" s="31"/>
      <c r="H129" s="32"/>
    </row>
    <row r="130">
      <c r="A130" s="25"/>
      <c r="B130" s="30"/>
      <c r="C130" s="18">
        <f>SUMIF.LEGACY(Settings!$A$18:$A$46,B130,Settings!$D$18:$D$46)</f>
        <v>0</v>
      </c>
      <c r="D130" s="19">
        <f>sumif(Historias!$B$5:$B$199,B130,Historias!$G$5:$G$199)</f>
        <v>0</v>
      </c>
      <c r="E130" s="25"/>
      <c r="F130" s="25"/>
      <c r="G130" s="31"/>
      <c r="H130" s="32"/>
    </row>
    <row r="131">
      <c r="A131" s="25"/>
      <c r="B131" s="30"/>
      <c r="C131" s="18">
        <f>SUMIF.LEGACY(Settings!$A$18:$A$46,B131,Settings!$D$18:$D$46)</f>
        <v>0</v>
      </c>
      <c r="D131" s="19">
        <f>sumif(Historias!$B$5:$B$199,B131,Historias!$G$5:$G$199)</f>
        <v>0</v>
      </c>
      <c r="E131" s="25"/>
      <c r="F131" s="25"/>
      <c r="G131" s="31"/>
      <c r="H131" s="32"/>
    </row>
    <row r="132">
      <c r="A132" s="25"/>
      <c r="B132" s="30"/>
      <c r="C132" s="18">
        <f>SUMIF.LEGACY(Settings!$A$18:$A$46,B132,Settings!$D$18:$D$46)</f>
        <v>0</v>
      </c>
      <c r="D132" s="19">
        <f>sumif(Historias!$B$5:$B$199,B132,Historias!$G$5:$G$199)</f>
        <v>0</v>
      </c>
      <c r="E132" s="25"/>
      <c r="F132" s="25"/>
      <c r="G132" s="31"/>
      <c r="H132" s="32"/>
    </row>
    <row r="133">
      <c r="A133" s="25"/>
      <c r="B133" s="30"/>
      <c r="C133" s="18">
        <f>SUMIF.LEGACY(Settings!$A$18:$A$46,B133,Settings!$D$18:$D$46)</f>
        <v>0</v>
      </c>
      <c r="D133" s="19">
        <f>sumif(Historias!$B$5:$B$199,B133,Historias!$G$5:$G$199)</f>
        <v>0</v>
      </c>
      <c r="E133" s="25"/>
      <c r="F133" s="25"/>
      <c r="G133" s="31"/>
      <c r="H133" s="32"/>
    </row>
    <row r="134">
      <c r="A134" s="25"/>
      <c r="B134" s="30"/>
      <c r="C134" s="18">
        <f>SUMIF.LEGACY(Settings!$A$18:$A$46,B134,Settings!$D$18:$D$46)</f>
        <v>0</v>
      </c>
      <c r="D134" s="19">
        <f>sumif(Historias!$B$5:$B$199,B134,Historias!$G$5:$G$199)</f>
        <v>0</v>
      </c>
      <c r="E134" s="25"/>
      <c r="F134" s="25"/>
      <c r="G134" s="31"/>
      <c r="H134" s="32"/>
    </row>
    <row r="135">
      <c r="A135" s="25"/>
      <c r="B135" s="30"/>
      <c r="C135" s="18">
        <f>SUMIF.LEGACY(Settings!$A$18:$A$46,B135,Settings!$D$18:$D$46)</f>
        <v>0</v>
      </c>
      <c r="D135" s="19">
        <f>sumif(Historias!$B$5:$B$199,B135,Historias!$G$5:$G$199)</f>
        <v>0</v>
      </c>
      <c r="E135" s="25"/>
      <c r="F135" s="25"/>
      <c r="G135" s="31"/>
      <c r="H135" s="32"/>
    </row>
    <row r="136">
      <c r="A136" s="25"/>
      <c r="B136" s="30"/>
      <c r="C136" s="18">
        <f>SUMIF.LEGACY(Settings!$A$18:$A$46,B136,Settings!$D$18:$D$46)</f>
        <v>0</v>
      </c>
      <c r="D136" s="19">
        <f>sumif(Historias!$B$5:$B$199,B136,Historias!$G$5:$G$199)</f>
        <v>0</v>
      </c>
      <c r="E136" s="25"/>
      <c r="F136" s="25"/>
      <c r="G136" s="31"/>
      <c r="H136" s="32"/>
    </row>
    <row r="137">
      <c r="A137" s="25"/>
      <c r="B137" s="30"/>
      <c r="C137" s="18">
        <f>SUMIF.LEGACY(Settings!$A$18:$A$46,B137,Settings!$D$18:$D$46)</f>
        <v>0</v>
      </c>
      <c r="D137" s="19">
        <f>sumif(Historias!$B$5:$B$199,B137,Historias!$G$5:$G$199)</f>
        <v>0</v>
      </c>
      <c r="E137" s="25"/>
      <c r="F137" s="25"/>
      <c r="G137" s="31"/>
      <c r="H137" s="32"/>
    </row>
    <row r="138">
      <c r="A138" s="25"/>
      <c r="B138" s="30"/>
      <c r="C138" s="18">
        <f>SUMIF.LEGACY(Settings!$A$18:$A$46,B138,Settings!$D$18:$D$46)</f>
        <v>0</v>
      </c>
      <c r="D138" s="19">
        <f>sumif(Historias!$B$5:$B$199,B138,Historias!$G$5:$G$199)</f>
        <v>0</v>
      </c>
      <c r="E138" s="25"/>
      <c r="F138" s="25"/>
      <c r="G138" s="31"/>
      <c r="H138" s="32"/>
    </row>
    <row r="139">
      <c r="A139" s="25"/>
      <c r="B139" s="30"/>
      <c r="C139" s="18">
        <f>SUMIF.LEGACY(Settings!$A$18:$A$46,B139,Settings!$D$18:$D$46)</f>
        <v>0</v>
      </c>
      <c r="D139" s="19">
        <f>sumif(Historias!$B$5:$B$199,B139,Historias!$G$5:$G$199)</f>
        <v>0</v>
      </c>
      <c r="E139" s="25"/>
      <c r="F139" s="25"/>
      <c r="G139" s="31"/>
      <c r="H139" s="32"/>
    </row>
    <row r="140">
      <c r="A140" s="25"/>
      <c r="B140" s="30"/>
      <c r="C140" s="18">
        <f>SUMIF.LEGACY(Settings!$A$18:$A$46,B140,Settings!$D$18:$D$46)</f>
        <v>0</v>
      </c>
      <c r="D140" s="19">
        <f>sumif(Historias!$B$5:$B$199,B140,Historias!$G$5:$G$199)</f>
        <v>0</v>
      </c>
      <c r="E140" s="25"/>
      <c r="F140" s="25"/>
      <c r="G140" s="31"/>
      <c r="H140" s="32"/>
    </row>
    <row r="141">
      <c r="A141" s="25"/>
      <c r="B141" s="30"/>
      <c r="C141" s="18">
        <f>SUMIF.LEGACY(Settings!$A$18:$A$46,B141,Settings!$D$18:$D$46)</f>
        <v>0</v>
      </c>
      <c r="D141" s="19">
        <f>sumif(Historias!$B$5:$B$199,B141,Historias!$G$5:$G$199)</f>
        <v>0</v>
      </c>
      <c r="E141" s="25"/>
      <c r="F141" s="25"/>
      <c r="G141" s="31"/>
      <c r="H141" s="32"/>
    </row>
    <row r="142">
      <c r="A142" s="25"/>
      <c r="B142" s="30"/>
      <c r="C142" s="18">
        <f>SUMIF.LEGACY(Settings!$A$18:$A$46,B142,Settings!$D$18:$D$46)</f>
        <v>0</v>
      </c>
      <c r="D142" s="19">
        <f>sumif(Historias!$B$5:$B$199,B142,Historias!$G$5:$G$199)</f>
        <v>0</v>
      </c>
      <c r="E142" s="25"/>
      <c r="F142" s="25"/>
      <c r="G142" s="31"/>
      <c r="H142" s="32"/>
    </row>
    <row r="143">
      <c r="A143" s="25"/>
      <c r="B143" s="30"/>
      <c r="C143" s="18">
        <f>SUMIF.LEGACY(Settings!$A$18:$A$46,B143,Settings!$D$18:$D$46)</f>
        <v>0</v>
      </c>
      <c r="D143" s="19">
        <f>sumif(Historias!$B$5:$B$199,B143,Historias!$G$5:$G$199)</f>
        <v>0</v>
      </c>
      <c r="E143" s="25"/>
      <c r="F143" s="25"/>
      <c r="G143" s="31"/>
      <c r="H143" s="32"/>
    </row>
    <row r="144">
      <c r="A144" s="25"/>
      <c r="B144" s="30"/>
      <c r="C144" s="18">
        <f>SUMIF.LEGACY(Settings!$A$18:$A$46,B144,Settings!$D$18:$D$46)</f>
        <v>0</v>
      </c>
      <c r="D144" s="19">
        <f>sumif(Historias!$B$5:$B$199,B144,Historias!$G$5:$G$199)</f>
        <v>0</v>
      </c>
      <c r="E144" s="25"/>
      <c r="F144" s="25"/>
      <c r="G144" s="31"/>
      <c r="H144" s="32"/>
    </row>
    <row r="145">
      <c r="A145" s="25"/>
      <c r="B145" s="30"/>
      <c r="C145" s="18">
        <f>SUMIF.LEGACY(Settings!$A$18:$A$46,B145,Settings!$D$18:$D$46)</f>
        <v>0</v>
      </c>
      <c r="D145" s="19">
        <f>sumif(Historias!$B$5:$B$199,B145,Historias!$G$5:$G$199)</f>
        <v>0</v>
      </c>
      <c r="E145" s="25"/>
      <c r="F145" s="25"/>
      <c r="G145" s="31"/>
      <c r="H145" s="32"/>
    </row>
    <row r="146">
      <c r="A146" s="25"/>
      <c r="B146" s="30"/>
      <c r="C146" s="18">
        <f>SUMIF.LEGACY(Settings!$A$18:$A$46,B146,Settings!$D$18:$D$46)</f>
        <v>0</v>
      </c>
      <c r="D146" s="19">
        <f>sumif(Historias!$B$5:$B$199,B146,Historias!$G$5:$G$199)</f>
        <v>0</v>
      </c>
      <c r="E146" s="25"/>
      <c r="F146" s="25"/>
      <c r="G146" s="31"/>
      <c r="H146" s="32"/>
    </row>
    <row r="147">
      <c r="A147" s="25"/>
      <c r="B147" s="30"/>
      <c r="C147" s="18">
        <f>SUMIF.LEGACY(Settings!$A$18:$A$46,B147,Settings!$D$18:$D$46)</f>
        <v>0</v>
      </c>
      <c r="D147" s="19">
        <f>sumif(Historias!$B$5:$B$199,B147,Historias!$G$5:$G$199)</f>
        <v>0</v>
      </c>
      <c r="E147" s="25"/>
      <c r="F147" s="25"/>
      <c r="G147" s="31"/>
      <c r="H147" s="32"/>
    </row>
    <row r="148">
      <c r="A148" s="25"/>
      <c r="B148" s="30"/>
      <c r="C148" s="18">
        <f>SUMIF.LEGACY(Settings!$A$18:$A$46,B148,Settings!$D$18:$D$46)</f>
        <v>0</v>
      </c>
      <c r="D148" s="19">
        <f>sumif(Historias!$B$5:$B$199,B148,Historias!$G$5:$G$199)</f>
        <v>0</v>
      </c>
      <c r="E148" s="25"/>
      <c r="F148" s="25"/>
      <c r="G148" s="31"/>
      <c r="H148" s="32"/>
    </row>
    <row r="149">
      <c r="A149" s="25"/>
      <c r="B149" s="30"/>
      <c r="C149" s="18">
        <f>SUMIF.LEGACY(Settings!$A$18:$A$46,B149,Settings!$D$18:$D$46)</f>
        <v>0</v>
      </c>
      <c r="D149" s="19">
        <f>sumif(Historias!$B$5:$B$199,B149,Historias!$G$5:$G$199)</f>
        <v>0</v>
      </c>
      <c r="E149" s="25"/>
      <c r="F149" s="25"/>
      <c r="G149" s="31"/>
      <c r="H149" s="32"/>
    </row>
    <row r="150">
      <c r="A150" s="25"/>
      <c r="B150" s="30"/>
      <c r="C150" s="18">
        <f>SUMIF.LEGACY(Settings!$A$18:$A$46,B150,Settings!$D$18:$D$46)</f>
        <v>0</v>
      </c>
      <c r="D150" s="19">
        <f>sumif(Historias!$B$5:$B$199,B150,Historias!$G$5:$G$199)</f>
        <v>0</v>
      </c>
      <c r="E150" s="25"/>
      <c r="F150" s="25"/>
      <c r="G150" s="31"/>
      <c r="H150" s="32"/>
    </row>
    <row r="151">
      <c r="A151" s="25"/>
      <c r="B151" s="30"/>
      <c r="C151" s="18">
        <f>SUMIF.LEGACY(Settings!$A$18:$A$46,B151,Settings!$D$18:$D$46)</f>
        <v>0</v>
      </c>
      <c r="D151" s="19">
        <f>sumif(Historias!$B$5:$B$199,B151,Historias!$G$5:$G$199)</f>
        <v>0</v>
      </c>
      <c r="E151" s="25"/>
      <c r="F151" s="25"/>
      <c r="G151" s="31"/>
      <c r="H151" s="32"/>
    </row>
    <row r="152">
      <c r="A152" s="25"/>
      <c r="B152" s="30"/>
      <c r="C152" s="18">
        <f>SUMIF.LEGACY(Settings!$A$18:$A$46,B152,Settings!$D$18:$D$46)</f>
        <v>0</v>
      </c>
      <c r="D152" s="19">
        <f>sumif(Historias!$B$5:$B$199,B152,Historias!$G$5:$G$199)</f>
        <v>0</v>
      </c>
      <c r="E152" s="25"/>
      <c r="F152" s="25"/>
      <c r="G152" s="31"/>
      <c r="H152" s="32"/>
    </row>
    <row r="153">
      <c r="A153" s="25"/>
      <c r="B153" s="30"/>
      <c r="C153" s="18">
        <f>SUMIF.LEGACY(Settings!$A$18:$A$46,B153,Settings!$D$18:$D$46)</f>
        <v>0</v>
      </c>
      <c r="D153" s="19">
        <f>sumif(Historias!$B$5:$B$199,B153,Historias!$G$5:$G$199)</f>
        <v>0</v>
      </c>
      <c r="E153" s="25"/>
      <c r="F153" s="25"/>
      <c r="G153" s="31"/>
      <c r="H153" s="32"/>
    </row>
    <row r="154">
      <c r="A154" s="25"/>
      <c r="B154" s="30"/>
      <c r="C154" s="18">
        <f>SUMIF.LEGACY(Settings!$A$18:$A$46,B154,Settings!$D$18:$D$46)</f>
        <v>0</v>
      </c>
      <c r="D154" s="19">
        <f>sumif(Historias!$B$5:$B$199,B154,Historias!$G$5:$G$199)</f>
        <v>0</v>
      </c>
      <c r="E154" s="25"/>
      <c r="F154" s="25"/>
      <c r="G154" s="31"/>
      <c r="H154" s="32"/>
    </row>
    <row r="155">
      <c r="A155" s="25"/>
      <c r="B155" s="30"/>
      <c r="C155" s="18">
        <f>SUMIF.LEGACY(Settings!$A$18:$A$46,B155,Settings!$D$18:$D$46)</f>
        <v>0</v>
      </c>
      <c r="D155" s="19">
        <f>sumif(Historias!$B$5:$B$199,B155,Historias!$G$5:$G$199)</f>
        <v>0</v>
      </c>
      <c r="E155" s="25"/>
      <c r="F155" s="25"/>
      <c r="G155" s="31"/>
      <c r="H155" s="32"/>
    </row>
    <row r="156">
      <c r="A156" s="25"/>
      <c r="B156" s="30"/>
      <c r="C156" s="18">
        <f>SUMIF.LEGACY(Settings!$A$18:$A$46,B156,Settings!$D$18:$D$46)</f>
        <v>0</v>
      </c>
      <c r="D156" s="19">
        <f>sumif(Historias!$B$5:$B$199,B156,Historias!$G$5:$G$199)</f>
        <v>0</v>
      </c>
      <c r="E156" s="25"/>
      <c r="F156" s="25"/>
      <c r="G156" s="31"/>
      <c r="H156" s="32"/>
    </row>
    <row r="157">
      <c r="A157" s="25"/>
      <c r="B157" s="30"/>
      <c r="C157" s="18">
        <f>SUMIF.LEGACY(Settings!$A$18:$A$46,B157,Settings!$D$18:$D$46)</f>
        <v>0</v>
      </c>
      <c r="D157" s="19">
        <f>sumif(Historias!$B$5:$B$199,B157,Historias!$G$5:$G$199)</f>
        <v>0</v>
      </c>
      <c r="E157" s="25"/>
      <c r="F157" s="25"/>
      <c r="G157" s="31"/>
      <c r="H157" s="32"/>
    </row>
    <row r="158">
      <c r="A158" s="25"/>
      <c r="B158" s="30"/>
      <c r="C158" s="18">
        <f>SUMIF.LEGACY(Settings!$A$18:$A$46,B158,Settings!$D$18:$D$46)</f>
        <v>0</v>
      </c>
      <c r="D158" s="19">
        <f>sumif(Historias!$B$5:$B$199,B158,Historias!$G$5:$G$199)</f>
        <v>0</v>
      </c>
      <c r="E158" s="25"/>
      <c r="F158" s="25"/>
      <c r="G158" s="31"/>
      <c r="H158" s="32"/>
    </row>
    <row r="159">
      <c r="A159" s="25"/>
      <c r="B159" s="30"/>
      <c r="C159" s="18">
        <f>SUMIF.LEGACY(Settings!$A$18:$A$46,B159,Settings!$D$18:$D$46)</f>
        <v>0</v>
      </c>
      <c r="D159" s="19">
        <f>sumif(Historias!$B$5:$B$199,B159,Historias!$G$5:$G$199)</f>
        <v>0</v>
      </c>
      <c r="E159" s="25"/>
      <c r="F159" s="25"/>
      <c r="G159" s="31"/>
      <c r="H159" s="32"/>
    </row>
    <row r="160">
      <c r="A160" s="25"/>
      <c r="B160" s="30"/>
      <c r="C160" s="18">
        <f>SUMIF.LEGACY(Settings!$A$18:$A$46,B160,Settings!$D$18:$D$46)</f>
        <v>0</v>
      </c>
      <c r="D160" s="19">
        <f>sumif(Historias!$B$5:$B$199,B160,Historias!$G$5:$G$199)</f>
        <v>0</v>
      </c>
      <c r="E160" s="25"/>
      <c r="F160" s="25"/>
      <c r="G160" s="31"/>
      <c r="H160" s="32"/>
    </row>
    <row r="161">
      <c r="A161" s="25"/>
      <c r="B161" s="30"/>
      <c r="C161" s="18">
        <f>SUMIF.LEGACY(Settings!$A$18:$A$46,B161,Settings!$D$18:$D$46)</f>
        <v>0</v>
      </c>
      <c r="D161" s="19">
        <f>sumif(Historias!$B$5:$B$199,B161,Historias!$G$5:$G$199)</f>
        <v>0</v>
      </c>
      <c r="E161" s="25"/>
      <c r="F161" s="25"/>
      <c r="G161" s="31"/>
      <c r="H161" s="32"/>
    </row>
    <row r="162">
      <c r="A162" s="25"/>
      <c r="B162" s="30"/>
      <c r="C162" s="18">
        <f>SUMIF.LEGACY(Settings!$A$18:$A$46,B162,Settings!$D$18:$D$46)</f>
        <v>0</v>
      </c>
      <c r="D162" s="19">
        <f>sumif(Historias!$B$5:$B$199,B162,Historias!$G$5:$G$199)</f>
        <v>0</v>
      </c>
      <c r="E162" s="25"/>
      <c r="F162" s="25"/>
      <c r="G162" s="31"/>
      <c r="H162" s="32"/>
    </row>
    <row r="163">
      <c r="A163" s="25"/>
      <c r="B163" s="30"/>
      <c r="C163" s="18">
        <f>SUMIF.LEGACY(Settings!$A$18:$A$46,B163,Settings!$D$18:$D$46)</f>
        <v>0</v>
      </c>
      <c r="D163" s="19">
        <f>sumif(Historias!$B$5:$B$199,B163,Historias!$G$5:$G$199)</f>
        <v>0</v>
      </c>
      <c r="E163" s="25"/>
      <c r="F163" s="25"/>
      <c r="G163" s="31"/>
      <c r="H163" s="32"/>
    </row>
    <row r="164">
      <c r="A164" s="25"/>
      <c r="B164" s="30"/>
      <c r="C164" s="18">
        <f>SUMIF.LEGACY(Settings!$A$18:$A$46,B164,Settings!$D$18:$D$46)</f>
        <v>0</v>
      </c>
      <c r="D164" s="19">
        <f>sumif(Historias!$B$5:$B$199,B164,Historias!$G$5:$G$199)</f>
        <v>0</v>
      </c>
      <c r="E164" s="25"/>
      <c r="F164" s="25"/>
      <c r="G164" s="31"/>
      <c r="H164" s="32"/>
    </row>
    <row r="165">
      <c r="A165" s="25"/>
      <c r="B165" s="30"/>
      <c r="C165" s="18">
        <f>SUMIF.LEGACY(Settings!$A$18:$A$46,B165,Settings!$D$18:$D$46)</f>
        <v>0</v>
      </c>
      <c r="D165" s="19">
        <f>sumif(Historias!$B$5:$B$199,B165,Historias!$G$5:$G$199)</f>
        <v>0</v>
      </c>
      <c r="E165" s="25"/>
      <c r="F165" s="25"/>
      <c r="G165" s="31"/>
      <c r="H165" s="32"/>
    </row>
    <row r="166">
      <c r="A166" s="25"/>
      <c r="B166" s="30"/>
      <c r="C166" s="18">
        <f>SUMIF.LEGACY(Settings!$A$18:$A$46,B166,Settings!$D$18:$D$46)</f>
        <v>0</v>
      </c>
      <c r="D166" s="19">
        <f>sumif(Historias!$B$5:$B$199,B166,Historias!$G$5:$G$199)</f>
        <v>0</v>
      </c>
      <c r="E166" s="25"/>
      <c r="F166" s="25"/>
      <c r="G166" s="31"/>
      <c r="H166" s="32"/>
    </row>
    <row r="167">
      <c r="A167" s="25"/>
      <c r="B167" s="30"/>
      <c r="C167" s="18">
        <f>SUMIF.LEGACY(Settings!$A$18:$A$46,B167,Settings!$D$18:$D$46)</f>
        <v>0</v>
      </c>
      <c r="D167" s="19">
        <f>sumif(Historias!$B$5:$B$199,B167,Historias!$G$5:$G$199)</f>
        <v>0</v>
      </c>
      <c r="E167" s="25"/>
      <c r="F167" s="25"/>
      <c r="G167" s="31"/>
      <c r="H167" s="32"/>
    </row>
    <row r="168">
      <c r="A168" s="25"/>
      <c r="B168" s="30"/>
      <c r="C168" s="18">
        <f>SUMIF.LEGACY(Settings!$A$18:$A$46,B168,Settings!$D$18:$D$46)</f>
        <v>0</v>
      </c>
      <c r="D168" s="19">
        <f>sumif(Historias!$B$5:$B$199,B168,Historias!$G$5:$G$199)</f>
        <v>0</v>
      </c>
      <c r="E168" s="25"/>
      <c r="F168" s="25"/>
      <c r="G168" s="31"/>
      <c r="H168" s="32"/>
    </row>
    <row r="169">
      <c r="A169" s="25"/>
      <c r="B169" s="30"/>
      <c r="C169" s="18">
        <f>SUMIF.LEGACY(Settings!$A$18:$A$46,B169,Settings!$D$18:$D$46)</f>
        <v>0</v>
      </c>
      <c r="D169" s="19">
        <f>sumif(Historias!$B$5:$B$199,B169,Historias!$G$5:$G$199)</f>
        <v>0</v>
      </c>
      <c r="E169" s="25"/>
      <c r="F169" s="25"/>
      <c r="G169" s="31"/>
      <c r="H169" s="32"/>
    </row>
    <row r="170">
      <c r="A170" s="25"/>
      <c r="B170" s="30"/>
      <c r="C170" s="18">
        <f>SUMIF.LEGACY(Settings!$A$18:$A$46,B170,Settings!$D$18:$D$46)</f>
        <v>0</v>
      </c>
      <c r="D170" s="19">
        <f>sumif(Historias!$B$5:$B$199,B170,Historias!$G$5:$G$199)</f>
        <v>0</v>
      </c>
      <c r="E170" s="25"/>
      <c r="F170" s="25"/>
      <c r="G170" s="31"/>
      <c r="H170" s="32"/>
    </row>
    <row r="171">
      <c r="A171" s="25"/>
      <c r="B171" s="30"/>
      <c r="C171" s="18">
        <f>SUMIF.LEGACY(Settings!$A$18:$A$46,B171,Settings!$D$18:$D$46)</f>
        <v>0</v>
      </c>
      <c r="D171" s="19">
        <f>sumif(Historias!$B$5:$B$199,B171,Historias!$G$5:$G$199)</f>
        <v>0</v>
      </c>
      <c r="E171" s="25"/>
      <c r="F171" s="25"/>
      <c r="G171" s="31"/>
      <c r="H171" s="32"/>
    </row>
    <row r="172">
      <c r="A172" s="25"/>
      <c r="B172" s="30"/>
      <c r="C172" s="18">
        <f>SUMIF.LEGACY(Settings!$A$18:$A$46,B172,Settings!$D$18:$D$46)</f>
        <v>0</v>
      </c>
      <c r="D172" s="19">
        <f>sumif(Historias!$B$5:$B$199,B172,Historias!$G$5:$G$199)</f>
        <v>0</v>
      </c>
      <c r="E172" s="25"/>
      <c r="F172" s="25"/>
      <c r="G172" s="31"/>
      <c r="H172" s="32"/>
    </row>
    <row r="173">
      <c r="A173" s="25"/>
      <c r="B173" s="30"/>
      <c r="C173" s="18">
        <f>SUMIF.LEGACY(Settings!$A$18:$A$46,B173,Settings!$D$18:$D$46)</f>
        <v>0</v>
      </c>
      <c r="D173" s="19">
        <f>sumif(Historias!$B$5:$B$199,B173,Historias!$G$5:$G$199)</f>
        <v>0</v>
      </c>
      <c r="E173" s="25"/>
      <c r="F173" s="25"/>
      <c r="G173" s="31"/>
      <c r="H173" s="32"/>
    </row>
    <row r="174">
      <c r="A174" s="25"/>
      <c r="B174" s="30"/>
      <c r="C174" s="18">
        <f>SUMIF.LEGACY(Settings!$A$18:$A$46,B174,Settings!$D$18:$D$46)</f>
        <v>0</v>
      </c>
      <c r="D174" s="19">
        <f>sumif(Historias!$B$5:$B$199,B174,Historias!$G$5:$G$199)</f>
        <v>0</v>
      </c>
      <c r="E174" s="25"/>
      <c r="F174" s="25"/>
      <c r="G174" s="31"/>
      <c r="H174" s="32"/>
    </row>
    <row r="175">
      <c r="A175" s="25"/>
      <c r="B175" s="30"/>
      <c r="C175" s="18">
        <f>SUMIF.LEGACY(Settings!$A$18:$A$46,B175,Settings!$D$18:$D$46)</f>
        <v>0</v>
      </c>
      <c r="D175" s="19">
        <f>sumif(Historias!$B$5:$B$199,B175,Historias!$G$5:$G$199)</f>
        <v>0</v>
      </c>
      <c r="E175" s="25"/>
      <c r="F175" s="25"/>
      <c r="G175" s="31"/>
      <c r="H175" s="32"/>
    </row>
    <row r="176">
      <c r="A176" s="25"/>
      <c r="B176" s="30"/>
      <c r="C176" s="18">
        <f>SUMIF.LEGACY(Settings!$A$18:$A$46,B176,Settings!$D$18:$D$46)</f>
        <v>0</v>
      </c>
      <c r="D176" s="19">
        <f>sumif(Historias!$B$5:$B$199,B176,Historias!$G$5:$G$199)</f>
        <v>0</v>
      </c>
      <c r="E176" s="25"/>
      <c r="F176" s="25"/>
      <c r="G176" s="31"/>
      <c r="H176" s="32"/>
    </row>
    <row r="177">
      <c r="A177" s="25"/>
      <c r="B177" s="30"/>
      <c r="C177" s="18">
        <f>SUMIF.LEGACY(Settings!$A$18:$A$46,B177,Settings!$D$18:$D$46)</f>
        <v>0</v>
      </c>
      <c r="D177" s="19">
        <f>sumif(Historias!$B$5:$B$199,B177,Historias!$G$5:$G$199)</f>
        <v>0</v>
      </c>
      <c r="E177" s="25"/>
      <c r="F177" s="25"/>
      <c r="G177" s="31"/>
      <c r="H177" s="32"/>
    </row>
    <row r="178">
      <c r="A178" s="25"/>
      <c r="B178" s="30"/>
      <c r="C178" s="18">
        <f>SUMIF.LEGACY(Settings!$A$18:$A$46,B178,Settings!$D$18:$D$46)</f>
        <v>0</v>
      </c>
      <c r="D178" s="19">
        <f>sumif(Historias!$B$5:$B$199,B178,Historias!$G$5:$G$199)</f>
        <v>0</v>
      </c>
      <c r="E178" s="25"/>
      <c r="F178" s="25"/>
      <c r="G178" s="31"/>
      <c r="H178" s="32"/>
    </row>
    <row r="179">
      <c r="A179" s="25"/>
      <c r="B179" s="30"/>
      <c r="C179" s="18">
        <f>SUMIF.LEGACY(Settings!$A$18:$A$46,B179,Settings!$D$18:$D$46)</f>
        <v>0</v>
      </c>
      <c r="D179" s="19">
        <f>sumif(Historias!$B$5:$B$199,B179,Historias!$G$5:$G$199)</f>
        <v>0</v>
      </c>
      <c r="E179" s="25"/>
      <c r="F179" s="25"/>
      <c r="G179" s="31"/>
      <c r="H179" s="32"/>
    </row>
    <row r="180">
      <c r="A180" s="25"/>
      <c r="B180" s="30"/>
      <c r="C180" s="18">
        <f>SUMIF.LEGACY(Settings!$A$18:$A$46,B180,Settings!$D$18:$D$46)</f>
        <v>0</v>
      </c>
      <c r="D180" s="19">
        <f>sumif(Historias!$B$5:$B$199,B180,Historias!$G$5:$G$199)</f>
        <v>0</v>
      </c>
      <c r="E180" s="25"/>
      <c r="F180" s="25"/>
      <c r="G180" s="31"/>
      <c r="H180" s="32"/>
    </row>
    <row r="181">
      <c r="A181" s="25"/>
      <c r="B181" s="30"/>
      <c r="C181" s="18">
        <f>SUMIF.LEGACY(Settings!$A$18:$A$46,B181,Settings!$D$18:$D$46)</f>
        <v>0</v>
      </c>
      <c r="D181" s="19">
        <f>sumif(Historias!$B$5:$B$199,B181,Historias!$G$5:$G$199)</f>
        <v>0</v>
      </c>
      <c r="E181" s="25"/>
      <c r="F181" s="25"/>
      <c r="G181" s="31"/>
      <c r="H181" s="32"/>
    </row>
    <row r="182">
      <c r="A182" s="25"/>
      <c r="B182" s="30"/>
      <c r="C182" s="18">
        <f>SUMIF.LEGACY(Settings!$A$18:$A$46,B182,Settings!$D$18:$D$46)</f>
        <v>0</v>
      </c>
      <c r="D182" s="19">
        <f>sumif(Historias!$B$5:$B$199,B182,Historias!$G$5:$G$199)</f>
        <v>0</v>
      </c>
      <c r="E182" s="25"/>
      <c r="F182" s="25"/>
      <c r="G182" s="31"/>
      <c r="H182" s="32"/>
    </row>
    <row r="183">
      <c r="A183" s="25"/>
      <c r="B183" s="30"/>
      <c r="C183" s="18">
        <f>SUMIF.LEGACY(Settings!$A$18:$A$46,B183,Settings!$D$18:$D$46)</f>
        <v>0</v>
      </c>
      <c r="D183" s="19">
        <f>sumif(Historias!$B$5:$B$199,B183,Historias!$G$5:$G$199)</f>
        <v>0</v>
      </c>
      <c r="E183" s="25"/>
      <c r="F183" s="25"/>
      <c r="G183" s="31"/>
      <c r="H183" s="32"/>
    </row>
    <row r="184">
      <c r="A184" s="25"/>
      <c r="B184" s="30"/>
      <c r="C184" s="18">
        <f>SUMIF.LEGACY(Settings!$A$18:$A$46,B184,Settings!$D$18:$D$46)</f>
        <v>0</v>
      </c>
      <c r="D184" s="19">
        <f>sumif(Historias!$B$5:$B$199,B184,Historias!$G$5:$G$199)</f>
        <v>0</v>
      </c>
      <c r="E184" s="25"/>
      <c r="F184" s="25"/>
      <c r="G184" s="31"/>
      <c r="H184" s="32"/>
    </row>
    <row r="185">
      <c r="A185" s="25"/>
      <c r="B185" s="30"/>
      <c r="C185" s="18">
        <f>SUMIF.LEGACY(Settings!$A$18:$A$46,B185,Settings!$D$18:$D$46)</f>
        <v>0</v>
      </c>
      <c r="D185" s="19">
        <f>sumif(Historias!$B$5:$B$199,B185,Historias!$G$5:$G$199)</f>
        <v>0</v>
      </c>
      <c r="E185" s="25"/>
      <c r="F185" s="25"/>
      <c r="G185" s="31"/>
      <c r="H185" s="32"/>
    </row>
    <row r="186">
      <c r="A186" s="25"/>
      <c r="B186" s="30"/>
      <c r="C186" s="18">
        <f>SUMIF.LEGACY(Settings!$A$18:$A$46,B186,Settings!$D$18:$D$46)</f>
        <v>0</v>
      </c>
      <c r="D186" s="19">
        <f>sumif(Historias!$B$5:$B$199,B186,Historias!$G$5:$G$199)</f>
        <v>0</v>
      </c>
      <c r="E186" s="25"/>
      <c r="F186" s="25"/>
      <c r="G186" s="31"/>
      <c r="H186" s="32"/>
    </row>
    <row r="187">
      <c r="A187" s="25"/>
      <c r="B187" s="30"/>
      <c r="C187" s="18">
        <f>SUMIF.LEGACY(Settings!$A$18:$A$46,B187,Settings!$D$18:$D$46)</f>
        <v>0</v>
      </c>
      <c r="D187" s="19">
        <f>sumif(Historias!$B$5:$B$199,B187,Historias!$G$5:$G$199)</f>
        <v>0</v>
      </c>
      <c r="E187" s="25"/>
      <c r="F187" s="25"/>
      <c r="G187" s="31"/>
      <c r="H187" s="32"/>
    </row>
    <row r="188">
      <c r="A188" s="25"/>
      <c r="B188" s="30"/>
      <c r="C188" s="18">
        <f>SUMIF.LEGACY(Settings!$A$18:$A$46,B188,Settings!$D$18:$D$46)</f>
        <v>0</v>
      </c>
      <c r="D188" s="19">
        <f>sumif(Historias!$B$5:$B$199,B188,Historias!$G$5:$G$199)</f>
        <v>0</v>
      </c>
      <c r="E188" s="25"/>
      <c r="F188" s="25"/>
      <c r="G188" s="31"/>
      <c r="H188" s="32"/>
    </row>
    <row r="189">
      <c r="A189" s="25"/>
      <c r="B189" s="30"/>
      <c r="C189" s="18">
        <f>SUMIF.LEGACY(Settings!$A$18:$A$46,B189,Settings!$D$18:$D$46)</f>
        <v>0</v>
      </c>
      <c r="D189" s="19">
        <f>sumif(Historias!$B$5:$B$199,B189,Historias!$G$5:$G$199)</f>
        <v>0</v>
      </c>
      <c r="E189" s="25"/>
      <c r="F189" s="25"/>
      <c r="G189" s="31"/>
      <c r="H189" s="32"/>
    </row>
    <row r="190">
      <c r="A190" s="25"/>
      <c r="B190" s="30"/>
      <c r="C190" s="18">
        <f>SUMIF.LEGACY(Settings!$A$18:$A$46,B190,Settings!$D$18:$D$46)</f>
        <v>0</v>
      </c>
      <c r="D190" s="19">
        <f>sumif(Historias!$B$5:$B$199,B190,Historias!$G$5:$G$199)</f>
        <v>0</v>
      </c>
      <c r="E190" s="25"/>
      <c r="F190" s="25"/>
      <c r="G190" s="31"/>
      <c r="H190" s="32"/>
    </row>
    <row r="191">
      <c r="A191" s="25"/>
      <c r="B191" s="30"/>
      <c r="C191" s="18">
        <f>SUMIF.LEGACY(Settings!$A$18:$A$46,B191,Settings!$D$18:$D$46)</f>
        <v>0</v>
      </c>
      <c r="D191" s="19">
        <f>sumif(Historias!$B$5:$B$199,B191,Historias!$G$5:$G$199)</f>
        <v>0</v>
      </c>
      <c r="E191" s="25"/>
      <c r="F191" s="25"/>
      <c r="G191" s="31"/>
      <c r="H191" s="32"/>
    </row>
    <row r="192">
      <c r="A192" s="25"/>
      <c r="B192" s="30"/>
      <c r="C192" s="18">
        <f>SUMIF.LEGACY(Settings!$A$18:$A$46,B192,Settings!$D$18:$D$46)</f>
        <v>0</v>
      </c>
      <c r="D192" s="19">
        <f>sumif(Historias!$B$5:$B$199,B192,Historias!$G$5:$G$199)</f>
        <v>0</v>
      </c>
      <c r="E192" s="25"/>
      <c r="F192" s="25"/>
      <c r="G192" s="31"/>
      <c r="H192" s="32"/>
    </row>
    <row r="193">
      <c r="A193" s="25"/>
      <c r="B193" s="30"/>
      <c r="C193" s="18">
        <f>SUMIF.LEGACY(Settings!$A$18:$A$46,B193,Settings!$D$18:$D$46)</f>
        <v>0</v>
      </c>
      <c r="D193" s="19">
        <f>sumif(Historias!$B$5:$B$199,B193,Historias!$G$5:$G$199)</f>
        <v>0</v>
      </c>
      <c r="E193" s="25"/>
      <c r="F193" s="25"/>
      <c r="G193" s="31"/>
      <c r="H193" s="32"/>
    </row>
    <row r="194">
      <c r="A194" s="25"/>
      <c r="B194" s="30"/>
      <c r="C194" s="18">
        <f>SUMIF.LEGACY(Settings!$A$18:$A$46,B194,Settings!$D$18:$D$46)</f>
        <v>0</v>
      </c>
      <c r="D194" s="19">
        <f>sumif(Historias!$B$5:$B$199,B194,Historias!$G$5:$G$199)</f>
        <v>0</v>
      </c>
      <c r="E194" s="25"/>
      <c r="F194" s="25"/>
      <c r="G194" s="31"/>
      <c r="H194" s="32"/>
    </row>
    <row r="195">
      <c r="A195" s="25"/>
      <c r="B195" s="30"/>
      <c r="C195" s="18">
        <f>SUMIF.LEGACY(Settings!$A$18:$A$46,B195,Settings!$D$18:$D$46)</f>
        <v>0</v>
      </c>
      <c r="D195" s="19">
        <f>sumif(Historias!$B$5:$B$199,B195,Historias!$G$5:$G$199)</f>
        <v>0</v>
      </c>
      <c r="E195" s="25"/>
      <c r="F195" s="25"/>
      <c r="G195" s="31"/>
      <c r="H195" s="32"/>
    </row>
    <row r="196">
      <c r="A196" s="25"/>
      <c r="B196" s="30"/>
      <c r="C196" s="18">
        <f>SUMIF.LEGACY(Settings!$A$18:$A$46,B196,Settings!$D$18:$D$46)</f>
        <v>0</v>
      </c>
      <c r="D196" s="19">
        <f>sumif(Historias!$B$5:$B$199,B196,Historias!$G$5:$G$199)</f>
        <v>0</v>
      </c>
      <c r="E196" s="25"/>
      <c r="F196" s="25"/>
      <c r="G196" s="31"/>
      <c r="H196" s="32"/>
    </row>
    <row r="197">
      <c r="A197" s="25"/>
      <c r="B197" s="30"/>
      <c r="C197" s="18">
        <f>SUMIF.LEGACY(Settings!$A$18:$A$46,B197,Settings!$D$18:$D$46)</f>
        <v>0</v>
      </c>
      <c r="D197" s="19">
        <f>sumif(Historias!$B$5:$B$199,B197,Historias!$G$5:$G$199)</f>
        <v>0</v>
      </c>
      <c r="E197" s="25"/>
      <c r="F197" s="25"/>
      <c r="G197" s="31"/>
      <c r="H197" s="32"/>
    </row>
    <row r="198">
      <c r="A198" s="25"/>
      <c r="B198" s="30"/>
      <c r="C198" s="18">
        <f>SUMIF.LEGACY(Settings!$A$18:$A$46,B198,Settings!$D$18:$D$46)</f>
        <v>0</v>
      </c>
      <c r="D198" s="19">
        <f>sumif(Historias!$B$5:$B$199,B198,Historias!$G$5:$G$199)</f>
        <v>0</v>
      </c>
      <c r="E198" s="25"/>
      <c r="F198" s="25"/>
      <c r="G198" s="31"/>
      <c r="H198" s="32"/>
    </row>
    <row r="199">
      <c r="A199" s="25"/>
      <c r="B199" s="30"/>
      <c r="C199" s="18">
        <f>SUMIF.LEGACY(Settings!$A$18:$A$46,B199,Settings!$D$18:$D$46)</f>
        <v>0</v>
      </c>
      <c r="D199" s="19">
        <f>sumif(Historias!$B$5:$B$199,B199,Historias!$G$5:$G$199)</f>
        <v>0</v>
      </c>
      <c r="E199" s="25"/>
      <c r="F199" s="25"/>
      <c r="G199" s="31"/>
      <c r="H199" s="32"/>
    </row>
  </sheetData>
  <autoFilter ref="$A$4:$H$199"/>
  <dataValidations>
    <dataValidation type="list" allowBlank="1" showInputMessage="1" showErrorMessage="1" prompt="Selecciona el nombre del alumno" sqref="A5:A199">
      <formula1>Settings!$A$5:$A$14</formula1>
    </dataValidation>
    <dataValidation type="list" allowBlank="1" showInputMessage="1" showErrorMessage="1" prompt="Selecciona el día de trabajo" sqref="F5:F199">
      <formula1>Resumen!$B$2:$B$53</formula1>
    </dataValidation>
    <dataValidation type="list" allowBlank="1" showInputMessage="1" showErrorMessage="1" prompt="Selecciona la tarea" sqref="B5:B199">
      <formula1>Settings!$A$18:$A$46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3.0"/>
    <col customWidth="1" min="2" max="2" width="37.63"/>
    <col customWidth="1" min="3" max="3" width="19.13"/>
    <col customWidth="1" min="4" max="4" width="15.13"/>
    <col customWidth="1" min="5" max="5" width="16.63"/>
    <col customWidth="1" min="6" max="22" width="15.13"/>
  </cols>
  <sheetData>
    <row r="1">
      <c r="C1" s="33" t="s">
        <v>35</v>
      </c>
      <c r="D1" s="34"/>
      <c r="E1" s="8"/>
    </row>
    <row r="2">
      <c r="B2" s="35"/>
      <c r="C2" s="36" t="s">
        <v>36</v>
      </c>
      <c r="D2" s="37">
        <f>IFERROR(__xludf.DUMMYFUNCTION("COUNTUNIQUE(A5:A14)"),4.0)</f>
        <v>4</v>
      </c>
      <c r="E2" s="8"/>
    </row>
    <row r="3">
      <c r="A3" s="9"/>
      <c r="B3" s="35"/>
      <c r="C3" s="36" t="s">
        <v>37</v>
      </c>
      <c r="D3" s="38">
        <v>26.4</v>
      </c>
      <c r="E3" s="39"/>
    </row>
    <row r="4">
      <c r="A4" s="40" t="s">
        <v>38</v>
      </c>
      <c r="B4" s="41"/>
      <c r="C4" s="36" t="s">
        <v>39</v>
      </c>
      <c r="D4" s="42">
        <f>D2*D3</f>
        <v>105.6</v>
      </c>
      <c r="E4" s="43"/>
    </row>
    <row r="5">
      <c r="A5" s="44" t="s">
        <v>11</v>
      </c>
      <c r="B5" s="45" t="s">
        <v>40</v>
      </c>
      <c r="C5" s="46" t="s">
        <v>41</v>
      </c>
      <c r="D5" s="47">
        <v>44848.0</v>
      </c>
      <c r="E5" s="8"/>
    </row>
    <row r="6">
      <c r="A6" s="16" t="s">
        <v>13</v>
      </c>
      <c r="B6" s="15"/>
      <c r="C6" s="46" t="s">
        <v>42</v>
      </c>
      <c r="D6" s="47">
        <v>44869.0</v>
      </c>
      <c r="E6" s="8"/>
    </row>
    <row r="7">
      <c r="A7" s="16" t="s">
        <v>14</v>
      </c>
      <c r="B7" s="15"/>
      <c r="D7" s="48"/>
    </row>
    <row r="8">
      <c r="A8" s="16" t="s">
        <v>15</v>
      </c>
      <c r="B8" s="15"/>
    </row>
    <row r="9">
      <c r="A9" s="16"/>
      <c r="B9" s="15"/>
    </row>
    <row r="10">
      <c r="A10" s="16"/>
      <c r="B10" s="15"/>
    </row>
    <row r="11">
      <c r="A11" s="25"/>
      <c r="B11" s="15"/>
    </row>
    <row r="12">
      <c r="A12" s="25"/>
      <c r="B12" s="15"/>
    </row>
    <row r="13">
      <c r="A13" s="25"/>
      <c r="B13" s="15"/>
    </row>
    <row r="14">
      <c r="A14" s="49"/>
      <c r="B14" s="8"/>
      <c r="C14" s="8"/>
      <c r="D14" s="8" t="s">
        <v>43</v>
      </c>
      <c r="E14" s="8" t="s">
        <v>43</v>
      </c>
    </row>
    <row r="15">
      <c r="A15" s="8"/>
      <c r="B15" s="8"/>
      <c r="C15" s="8"/>
      <c r="D15" s="34" t="s">
        <v>1</v>
      </c>
      <c r="E15" s="34" t="s">
        <v>44</v>
      </c>
    </row>
    <row r="16">
      <c r="A16" s="34"/>
      <c r="B16" s="34"/>
      <c r="C16" s="50"/>
      <c r="D16" s="42">
        <f>SUM(D18:D46)</f>
        <v>66</v>
      </c>
      <c r="E16" s="42">
        <f>D4</f>
        <v>105.6</v>
      </c>
      <c r="F16" s="15"/>
    </row>
    <row r="17">
      <c r="A17" s="51" t="s">
        <v>45</v>
      </c>
      <c r="B17" s="52" t="s">
        <v>46</v>
      </c>
      <c r="C17" s="52" t="s">
        <v>47</v>
      </c>
      <c r="D17" s="52" t="s">
        <v>43</v>
      </c>
      <c r="E17" s="53"/>
      <c r="F17" s="54"/>
      <c r="H17" s="54"/>
    </row>
    <row r="18">
      <c r="A18" s="55" t="s">
        <v>12</v>
      </c>
      <c r="B18" s="56" t="s">
        <v>48</v>
      </c>
      <c r="C18" s="56"/>
      <c r="D18" s="38">
        <v>5.0</v>
      </c>
      <c r="E18" s="53"/>
      <c r="F18" s="54"/>
      <c r="G18" s="54"/>
      <c r="H18" s="54"/>
      <c r="I18" s="54"/>
    </row>
    <row r="19">
      <c r="A19" s="57" t="s">
        <v>18</v>
      </c>
      <c r="B19" s="58" t="s">
        <v>49</v>
      </c>
      <c r="C19" s="56"/>
      <c r="D19" s="38">
        <v>4.0</v>
      </c>
      <c r="E19" s="53"/>
      <c r="F19" s="54"/>
      <c r="G19" s="54"/>
      <c r="H19" s="54"/>
      <c r="I19" s="54"/>
    </row>
    <row r="20">
      <c r="A20" s="55" t="s">
        <v>50</v>
      </c>
      <c r="B20" s="58" t="s">
        <v>51</v>
      </c>
      <c r="C20" s="56"/>
      <c r="D20" s="38">
        <v>2.0</v>
      </c>
      <c r="E20" s="53"/>
      <c r="F20" s="54"/>
      <c r="G20" s="54"/>
      <c r="H20" s="54"/>
      <c r="I20" s="54"/>
    </row>
    <row r="21">
      <c r="A21" s="55" t="s">
        <v>27</v>
      </c>
      <c r="B21" s="56" t="s">
        <v>52</v>
      </c>
      <c r="C21" s="56"/>
      <c r="D21" s="38">
        <v>2.0</v>
      </c>
      <c r="E21" s="8"/>
      <c r="F21" s="54"/>
      <c r="G21" s="54"/>
      <c r="H21" s="54"/>
    </row>
    <row r="22">
      <c r="A22" s="55" t="s">
        <v>16</v>
      </c>
      <c r="B22" s="58" t="s">
        <v>53</v>
      </c>
      <c r="C22" s="56"/>
      <c r="D22" s="38">
        <v>2.0</v>
      </c>
      <c r="E22" s="8"/>
      <c r="F22" s="54"/>
      <c r="G22" s="54"/>
      <c r="H22" s="54"/>
    </row>
    <row r="23">
      <c r="A23" s="55" t="s">
        <v>30</v>
      </c>
      <c r="B23" s="56" t="s">
        <v>54</v>
      </c>
      <c r="C23" s="56"/>
      <c r="D23" s="38">
        <v>2.0</v>
      </c>
      <c r="E23" s="53"/>
      <c r="F23" s="54"/>
      <c r="G23" s="54"/>
      <c r="H23" s="54"/>
    </row>
    <row r="24">
      <c r="A24" s="57" t="s">
        <v>17</v>
      </c>
      <c r="B24" s="58" t="s">
        <v>55</v>
      </c>
      <c r="C24" s="56"/>
      <c r="D24" s="59">
        <v>3.0</v>
      </c>
      <c r="E24" s="8"/>
      <c r="F24" s="54"/>
      <c r="G24" s="54"/>
      <c r="H24" s="54"/>
    </row>
    <row r="25">
      <c r="A25" s="57" t="s">
        <v>21</v>
      </c>
      <c r="B25" s="58" t="s">
        <v>56</v>
      </c>
      <c r="C25" s="56"/>
      <c r="D25" s="38">
        <v>2.0</v>
      </c>
      <c r="E25" s="8"/>
      <c r="F25" s="54"/>
      <c r="G25" s="54"/>
      <c r="H25" s="54"/>
    </row>
    <row r="26">
      <c r="A26" s="60" t="s">
        <v>24</v>
      </c>
      <c r="B26" s="61" t="s">
        <v>57</v>
      </c>
      <c r="C26" s="62"/>
      <c r="D26" s="38">
        <v>2.0</v>
      </c>
      <c r="E26" s="8"/>
      <c r="F26" s="54"/>
      <c r="G26" s="54"/>
      <c r="H26" s="54"/>
    </row>
    <row r="27">
      <c r="A27" s="60" t="s">
        <v>19</v>
      </c>
      <c r="B27" s="61" t="s">
        <v>58</v>
      </c>
      <c r="C27" s="62"/>
      <c r="D27" s="38">
        <v>5.0</v>
      </c>
      <c r="E27" s="8"/>
      <c r="F27" s="54"/>
      <c r="G27" s="54"/>
      <c r="H27" s="54"/>
    </row>
    <row r="28">
      <c r="A28" s="60" t="s">
        <v>20</v>
      </c>
      <c r="B28" s="61" t="s">
        <v>59</v>
      </c>
      <c r="C28" s="62"/>
      <c r="D28" s="38">
        <v>8.0</v>
      </c>
      <c r="E28" s="8"/>
      <c r="F28" s="54"/>
      <c r="G28" s="54"/>
      <c r="H28" s="54"/>
    </row>
    <row r="29">
      <c r="A29" s="60" t="s">
        <v>22</v>
      </c>
      <c r="B29" s="61" t="s">
        <v>60</v>
      </c>
      <c r="C29" s="62"/>
      <c r="D29" s="38">
        <v>2.0</v>
      </c>
      <c r="E29" s="53"/>
      <c r="F29" s="54"/>
      <c r="G29" s="54"/>
      <c r="H29" s="54"/>
      <c r="I29" s="54"/>
    </row>
    <row r="30">
      <c r="A30" s="57" t="s">
        <v>23</v>
      </c>
      <c r="B30" s="58" t="s">
        <v>61</v>
      </c>
      <c r="C30" s="56"/>
      <c r="D30" s="38">
        <v>2.0</v>
      </c>
      <c r="E30" s="8"/>
      <c r="F30" s="54"/>
      <c r="G30" s="54"/>
      <c r="H30" s="54"/>
    </row>
    <row r="31">
      <c r="A31" s="55" t="s">
        <v>31</v>
      </c>
      <c r="B31" s="56" t="s">
        <v>62</v>
      </c>
      <c r="C31" s="62"/>
      <c r="D31" s="59">
        <v>3.0</v>
      </c>
      <c r="E31" s="8"/>
      <c r="H31" s="54"/>
    </row>
    <row r="32">
      <c r="A32" s="57" t="s">
        <v>34</v>
      </c>
      <c r="B32" s="58" t="s">
        <v>63</v>
      </c>
      <c r="C32" s="62"/>
      <c r="D32" s="38">
        <v>8.0</v>
      </c>
      <c r="E32" s="53"/>
      <c r="H32" s="54"/>
    </row>
    <row r="33">
      <c r="A33" s="57" t="s">
        <v>25</v>
      </c>
      <c r="B33" s="58" t="s">
        <v>64</v>
      </c>
      <c r="C33" s="62"/>
      <c r="D33" s="58">
        <v>3.0</v>
      </c>
      <c r="E33" s="53"/>
    </row>
    <row r="34">
      <c r="A34" s="57" t="s">
        <v>26</v>
      </c>
      <c r="B34" s="58" t="s">
        <v>65</v>
      </c>
      <c r="C34" s="62"/>
      <c r="D34" s="58">
        <v>3.0</v>
      </c>
      <c r="E34" s="8"/>
    </row>
    <row r="35">
      <c r="A35" s="57" t="s">
        <v>29</v>
      </c>
      <c r="B35" s="58" t="s">
        <v>66</v>
      </c>
      <c r="C35" s="62"/>
      <c r="D35" s="58">
        <v>3.0</v>
      </c>
      <c r="E35" s="8"/>
    </row>
    <row r="36">
      <c r="A36" s="57" t="s">
        <v>28</v>
      </c>
      <c r="B36" s="58" t="s">
        <v>67</v>
      </c>
      <c r="C36" s="62"/>
      <c r="D36" s="58">
        <v>2.0</v>
      </c>
      <c r="E36" s="8"/>
    </row>
    <row r="37">
      <c r="A37" s="57" t="s">
        <v>32</v>
      </c>
      <c r="B37" s="58" t="s">
        <v>68</v>
      </c>
      <c r="C37" s="62"/>
      <c r="D37" s="58">
        <v>1.0</v>
      </c>
      <c r="E37" s="8"/>
    </row>
    <row r="38">
      <c r="A38" s="57" t="s">
        <v>33</v>
      </c>
      <c r="B38" s="58" t="s">
        <v>69</v>
      </c>
      <c r="C38" s="62"/>
      <c r="D38" s="58">
        <v>2.0</v>
      </c>
      <c r="E38" s="8"/>
    </row>
    <row r="39">
      <c r="A39" s="55"/>
      <c r="B39" s="62"/>
      <c r="C39" s="62"/>
      <c r="D39" s="62"/>
      <c r="E39" s="8"/>
    </row>
    <row r="40">
      <c r="A40" s="55"/>
      <c r="B40" s="62"/>
      <c r="C40" s="62"/>
      <c r="D40" s="62"/>
      <c r="E40" s="8"/>
    </row>
    <row r="41">
      <c r="A41" s="55"/>
      <c r="B41" s="62"/>
      <c r="C41" s="62"/>
      <c r="D41" s="62"/>
      <c r="E41" s="8"/>
    </row>
    <row r="42">
      <c r="A42" s="55"/>
      <c r="B42" s="62"/>
      <c r="C42" s="62"/>
      <c r="D42" s="62"/>
      <c r="E42" s="8"/>
    </row>
    <row r="43">
      <c r="A43" s="55"/>
      <c r="B43" s="62"/>
      <c r="C43" s="62"/>
      <c r="D43" s="62"/>
      <c r="E43" s="8"/>
    </row>
    <row r="44">
      <c r="A44" s="55"/>
      <c r="B44" s="62"/>
      <c r="C44" s="62"/>
      <c r="D44" s="62"/>
      <c r="E44" s="8"/>
    </row>
    <row r="45">
      <c r="A45" s="55"/>
      <c r="B45" s="62"/>
      <c r="C45" s="62"/>
      <c r="D45" s="62"/>
      <c r="E45" s="8"/>
    </row>
    <row r="46">
      <c r="A46" s="55"/>
      <c r="B46" s="62"/>
      <c r="C46" s="62"/>
      <c r="D46" s="62"/>
      <c r="E46" s="8"/>
    </row>
  </sheetData>
  <conditionalFormatting sqref="D16">
    <cfRule type="cellIs" dxfId="0" priority="1" operator="notEqual">
      <formula>E16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9.88"/>
    <col customWidth="1" min="2" max="2" width="10.5"/>
    <col customWidth="1" min="3" max="3" width="9.38"/>
    <col customWidth="1" min="4" max="4" width="6.63"/>
    <col customWidth="1" min="5" max="5" width="4.75"/>
    <col customWidth="1" min="6" max="6" width="15.13"/>
    <col customWidth="1" min="7" max="7" width="23.13"/>
    <col customWidth="1" min="8" max="8" width="10.25"/>
    <col customWidth="1" min="9" max="9" width="5.0"/>
    <col customWidth="1" min="10" max="10" width="6.38"/>
    <col customWidth="1" min="11" max="47" width="15.13"/>
  </cols>
  <sheetData>
    <row r="1">
      <c r="A1" s="63" t="s">
        <v>70</v>
      </c>
      <c r="B1" s="64" t="s">
        <v>71</v>
      </c>
      <c r="C1" s="9"/>
      <c r="D1" s="9"/>
      <c r="E1" s="9"/>
      <c r="F1" s="65"/>
      <c r="G1" s="66" t="s">
        <v>38</v>
      </c>
      <c r="H1" s="67"/>
      <c r="I1" s="65"/>
      <c r="J1" s="65"/>
      <c r="K1" s="65"/>
      <c r="L1" s="68"/>
      <c r="P1" s="69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</row>
    <row r="2">
      <c r="A2" s="70">
        <f>IFERROR(__xludf.DUMMYFUNCTION("COUNTUNIQUE(B3:B63)"),22.0)</f>
        <v>22</v>
      </c>
      <c r="B2" s="71" t="s">
        <v>8</v>
      </c>
      <c r="C2" s="71" t="s">
        <v>1</v>
      </c>
      <c r="D2" s="71" t="s">
        <v>72</v>
      </c>
      <c r="E2" s="71" t="s">
        <v>6</v>
      </c>
      <c r="F2" s="72"/>
      <c r="G2" s="71" t="s">
        <v>73</v>
      </c>
      <c r="H2" s="71" t="s">
        <v>6</v>
      </c>
      <c r="I2" s="65"/>
      <c r="J2" s="73" t="s">
        <v>3</v>
      </c>
      <c r="K2" s="65"/>
      <c r="L2" s="69"/>
      <c r="M2" s="69"/>
      <c r="N2" s="69"/>
      <c r="O2" s="69"/>
      <c r="P2" s="69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</row>
    <row r="3">
      <c r="A3" s="74" t="str">
        <f>IF(B3=Settings!$D$5,"INICIO",IF(B3=Settings!$D$6,"FIN",""))</f>
        <v>INICIO</v>
      </c>
      <c r="B3" s="75">
        <f>Settings!D5</f>
        <v>44848</v>
      </c>
      <c r="C3" s="76">
        <f>IF(Settings!D16&gt;0,Settings!D16,Settings!E16)</f>
        <v>66</v>
      </c>
      <c r="D3" s="76">
        <f>C3</f>
        <v>66</v>
      </c>
      <c r="E3" s="77">
        <f>SUMIF(Historias!$F$6:$F$187,B3,Historias!$G$6:$G$187)</f>
        <v>1.5</v>
      </c>
      <c r="F3" s="72"/>
      <c r="G3" s="78" t="str">
        <f>Settings!A5</f>
        <v>RAFAEL GUZMAN VALVERDE</v>
      </c>
      <c r="H3" s="79">
        <f>SUMIF(Historias!$A$6:$A$187,G3,Historias!$G$6:$G$187)</f>
        <v>18.5</v>
      </c>
      <c r="I3" s="80">
        <f t="shared" ref="I3:I10" si="1">H3/$H$11</f>
        <v>0.2283950617</v>
      </c>
      <c r="J3" s="79">
        <f>SUMIF(Historias!$A$6:$A$187,G3,Historias!$H$6:$H$187)</f>
        <v>12</v>
      </c>
      <c r="K3" s="81">
        <f t="shared" ref="K3:K10" si="2">J3/$J$11</f>
        <v>0.170212766</v>
      </c>
      <c r="L3" s="65"/>
      <c r="M3" s="65"/>
      <c r="N3" s="65"/>
      <c r="O3" s="69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</row>
    <row r="4">
      <c r="A4" s="74" t="str">
        <f>IF(B4=Settings!$D$5,"INICIO",IF(B4=Settings!$D$6,"FIN",""))</f>
        <v/>
      </c>
      <c r="B4" s="75">
        <f>IF(AND(ISNUMBER(B3),B3+1&lt;=Settings!$D$6),B3+1,"")</f>
        <v>44849</v>
      </c>
      <c r="C4" s="76">
        <f t="shared" ref="C4:C55" si="3">C3-$C$3/($A$2-1)</f>
        <v>62.85714286</v>
      </c>
      <c r="D4" s="76">
        <f t="shared" ref="D4:D55" si="4">IF(TODAY()&gt;=B4,D3-E3,"")</f>
        <v>64.5</v>
      </c>
      <c r="E4" s="77">
        <f>SUMIF(Historias!$F$6:$F$187,B4,Historias!$G$6:$G$187)</f>
        <v>0</v>
      </c>
      <c r="F4" s="72"/>
      <c r="G4" s="78" t="str">
        <f>Settings!A6</f>
        <v>DANIEL CALDERON GONZALEZ</v>
      </c>
      <c r="H4" s="79">
        <f>SUMIF(Historias!$A$6:$A$187,G4,Historias!$G$6:$G$187)</f>
        <v>20.5</v>
      </c>
      <c r="I4" s="80">
        <f t="shared" si="1"/>
        <v>0.2530864198</v>
      </c>
      <c r="J4" s="79">
        <f>SUMIF(Historias!$A$6:$A$187,G4,Historias!$H$6:$H$187)</f>
        <v>19</v>
      </c>
      <c r="K4" s="81">
        <f t="shared" si="2"/>
        <v>0.2695035461</v>
      </c>
      <c r="L4" s="65"/>
      <c r="M4" s="65"/>
      <c r="N4" s="65"/>
      <c r="O4" s="69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</row>
    <row r="5">
      <c r="A5" s="74" t="str">
        <f>IF(B5=Settings!$D$5,"INICIO",IF(B5=Settings!$D$6,"FIN",""))</f>
        <v/>
      </c>
      <c r="B5" s="75">
        <f>IF(AND(ISNUMBER(B4),B4+1&lt;=Settings!$D$6),B4+1,"")</f>
        <v>44850</v>
      </c>
      <c r="C5" s="76">
        <f t="shared" si="3"/>
        <v>59.71428571</v>
      </c>
      <c r="D5" s="76">
        <f t="shared" si="4"/>
        <v>64.5</v>
      </c>
      <c r="E5" s="77">
        <f>SUMIF(Historias!$F$6:$F$187,B5,Historias!$G$6:$G$187)</f>
        <v>0</v>
      </c>
      <c r="F5" s="72"/>
      <c r="G5" s="78" t="str">
        <f>Settings!A7</f>
        <v>MARIA AGUADO MARTINEZ</v>
      </c>
      <c r="H5" s="79">
        <f>SUMIF(Historias!$A$6:$A$187,G5,Historias!$G$6:$G$187)</f>
        <v>26</v>
      </c>
      <c r="I5" s="80">
        <f t="shared" si="1"/>
        <v>0.3209876543</v>
      </c>
      <c r="J5" s="79">
        <f>SUMIF(Historias!$A$6:$A$187,G5,Historias!$H$6:$H$187)</f>
        <v>25</v>
      </c>
      <c r="K5" s="81">
        <f t="shared" si="2"/>
        <v>0.3546099291</v>
      </c>
      <c r="L5" s="65"/>
      <c r="M5" s="69"/>
      <c r="N5" s="65"/>
      <c r="O5" s="69"/>
      <c r="P5" s="65"/>
      <c r="Q5" s="69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</row>
    <row r="6">
      <c r="A6" s="74" t="str">
        <f>IF(B6=Settings!$D$5,"INICIO",IF(B6=Settings!$D$6,"FIN",""))</f>
        <v/>
      </c>
      <c r="B6" s="75">
        <f>IF(AND(ISNUMBER(B5),B5+1&lt;=Settings!$D$6),B5+1,"")</f>
        <v>44851</v>
      </c>
      <c r="C6" s="76">
        <f t="shared" si="3"/>
        <v>56.57142857</v>
      </c>
      <c r="D6" s="76">
        <f t="shared" si="4"/>
        <v>64.5</v>
      </c>
      <c r="E6" s="77">
        <f>SUMIF(Historias!$F$6:$F$187,B6,Historias!$G$6:$G$187)</f>
        <v>10</v>
      </c>
      <c r="F6" s="72"/>
      <c r="G6" s="78" t="str">
        <f>Settings!A8</f>
        <v>CARLOS GARCIA SEGURA</v>
      </c>
      <c r="H6" s="79">
        <f>SUMIF(Historias!$A$6:$A$187,G6,Historias!$G$6:$G$187)</f>
        <v>16</v>
      </c>
      <c r="I6" s="80">
        <f t="shared" si="1"/>
        <v>0.1975308642</v>
      </c>
      <c r="J6" s="79">
        <f>SUMIF(Historias!$A$6:$A$187,G6,Historias!$H$6:$H$187)</f>
        <v>14.5</v>
      </c>
      <c r="K6" s="81">
        <f t="shared" si="2"/>
        <v>0.2056737589</v>
      </c>
      <c r="L6" s="65"/>
      <c r="M6" s="65"/>
      <c r="N6" s="69"/>
      <c r="O6" s="69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</row>
    <row r="7">
      <c r="A7" s="74" t="str">
        <f>IF(B7=Settings!$D$5,"INICIO",IF(B7=Settings!$D$6,"FIN",""))</f>
        <v/>
      </c>
      <c r="B7" s="75">
        <f>IF(AND(ISNUMBER(B6),B6+1&lt;=Settings!$D$6),B6+1,"")</f>
        <v>44852</v>
      </c>
      <c r="C7" s="76">
        <f t="shared" si="3"/>
        <v>53.42857143</v>
      </c>
      <c r="D7" s="76">
        <f t="shared" si="4"/>
        <v>54.5</v>
      </c>
      <c r="E7" s="77">
        <f>SUMIF(Historias!$F$6:$F$187,B7,Historias!$G$6:$G$187)</f>
        <v>17</v>
      </c>
      <c r="F7" s="72"/>
      <c r="G7" s="78" t="str">
        <f>Settings!A9</f>
        <v/>
      </c>
      <c r="H7" s="79">
        <f>SUMIF(Historias!$A$6:$A$187,G7,Historias!$G$6:$G$187)</f>
        <v>0</v>
      </c>
      <c r="I7" s="80">
        <f t="shared" si="1"/>
        <v>0</v>
      </c>
      <c r="J7" s="79">
        <f>SUMIF(Historias!$A$6:$A$187,G7,Historias!$H$6:$H$187)</f>
        <v>0</v>
      </c>
      <c r="K7" s="81">
        <f t="shared" si="2"/>
        <v>0</v>
      </c>
      <c r="L7" s="65"/>
      <c r="M7" s="65"/>
      <c r="N7" s="65"/>
      <c r="O7" s="69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</row>
    <row r="8">
      <c r="A8" s="74" t="str">
        <f>IF(B8=Settings!$D$5,"INICIO",IF(B8=Settings!$D$6,"FIN",""))</f>
        <v/>
      </c>
      <c r="B8" s="75">
        <f>IF(AND(ISNUMBER(B7),B7+1&lt;=Settings!$D$6),B7+1,"")</f>
        <v>44853</v>
      </c>
      <c r="C8" s="76">
        <f t="shared" si="3"/>
        <v>50.28571429</v>
      </c>
      <c r="D8" s="76">
        <f t="shared" si="4"/>
        <v>37.5</v>
      </c>
      <c r="E8" s="77">
        <f>SUMIF(Historias!$F$6:$F$187,B8,Historias!$G$6:$G$187)</f>
        <v>11.5</v>
      </c>
      <c r="F8" s="72"/>
      <c r="G8" s="78" t="str">
        <f>Settings!A10</f>
        <v/>
      </c>
      <c r="H8" s="79">
        <f>SUMIF(Historias!$A$6:$A$187,G8,Historias!$G$6:$G$187)</f>
        <v>0</v>
      </c>
      <c r="I8" s="80">
        <f t="shared" si="1"/>
        <v>0</v>
      </c>
      <c r="J8" s="79">
        <f>SUMIF(Historias!$A$6:$A$187,G8,Historias!$H$6:$H$187)</f>
        <v>0</v>
      </c>
      <c r="K8" s="81">
        <f t="shared" si="2"/>
        <v>0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</row>
    <row r="9">
      <c r="A9" s="74" t="str">
        <f>IF(B9=Settings!$D$5,"INICIO",IF(B9=Settings!$D$6,"FIN",""))</f>
        <v/>
      </c>
      <c r="B9" s="75">
        <f>IF(AND(ISNUMBER(B8),B8+1&lt;=Settings!$D$6),B8+1,"")</f>
        <v>44854</v>
      </c>
      <c r="C9" s="76">
        <f t="shared" si="3"/>
        <v>47.14285714</v>
      </c>
      <c r="D9" s="76">
        <f t="shared" si="4"/>
        <v>26</v>
      </c>
      <c r="E9" s="77">
        <f>SUMIF(Historias!$F$6:$F$187,B9,Historias!$G$6:$G$187)</f>
        <v>0</v>
      </c>
      <c r="F9" s="72"/>
      <c r="G9" s="78" t="str">
        <f>Settings!A11</f>
        <v/>
      </c>
      <c r="H9" s="79">
        <f>SUMIF(Historias!$A$6:$A$187,G9,Historias!$G$6:$G$187)</f>
        <v>0</v>
      </c>
      <c r="I9" s="80">
        <f t="shared" si="1"/>
        <v>0</v>
      </c>
      <c r="J9" s="79">
        <f>SUMIF(Historias!$A$6:$A$187,G9,Historias!$H$6:$H$187)</f>
        <v>0</v>
      </c>
      <c r="K9" s="81">
        <f t="shared" si="2"/>
        <v>0</v>
      </c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</row>
    <row r="10">
      <c r="A10" s="74" t="str">
        <f>IF(B10=Settings!$D$5,"INICIO",IF(B10=Settings!$D$6,"FIN",""))</f>
        <v/>
      </c>
      <c r="B10" s="75">
        <f>IF(AND(ISNUMBER(B9),B9+1&lt;=Settings!$D$6),B9+1,"")</f>
        <v>44855</v>
      </c>
      <c r="C10" s="76">
        <f t="shared" si="3"/>
        <v>44</v>
      </c>
      <c r="D10" s="76">
        <f t="shared" si="4"/>
        <v>26</v>
      </c>
      <c r="E10" s="77">
        <f>SUMIF(Historias!$F$6:$F$187,B10,Historias!$G$6:$G$187)</f>
        <v>0</v>
      </c>
      <c r="F10" s="72"/>
      <c r="G10" s="78" t="str">
        <f>Settings!A12</f>
        <v/>
      </c>
      <c r="H10" s="79">
        <f>SUMIF(Historias!$A$6:$A$187,G10,Historias!$G$6:$G$187)</f>
        <v>0</v>
      </c>
      <c r="I10" s="80">
        <f t="shared" si="1"/>
        <v>0</v>
      </c>
      <c r="J10" s="79">
        <f>SUMIF(Historias!$A$6:$A$187,G10,Historias!$H$6:$H$187)</f>
        <v>0</v>
      </c>
      <c r="K10" s="81">
        <f t="shared" si="2"/>
        <v>0</v>
      </c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</row>
    <row r="11">
      <c r="A11" s="74" t="str">
        <f>IF(B11=Settings!$D$5,"INICIO",IF(B11=Settings!$D$6,"FIN",""))</f>
        <v/>
      </c>
      <c r="B11" s="75">
        <f>IF(AND(ISNUMBER(B10),B10+1&lt;=Settings!$D$6),B10+1,"")</f>
        <v>44856</v>
      </c>
      <c r="C11" s="76">
        <f t="shared" si="3"/>
        <v>40.85714286</v>
      </c>
      <c r="D11" s="76">
        <f t="shared" si="4"/>
        <v>26</v>
      </c>
      <c r="E11" s="77">
        <f>SUMIF(Historias!$F$6:$F$187,B11,Historias!$G$6:$G$187)</f>
        <v>0</v>
      </c>
      <c r="F11" s="65"/>
      <c r="G11" s="82">
        <f>COUNTIF(G3:G10,"&lt;&gt;")</f>
        <v>4</v>
      </c>
      <c r="H11" s="82">
        <f>SUM(H3:H10)</f>
        <v>81</v>
      </c>
      <c r="I11" s="83"/>
      <c r="J11" s="82">
        <f>SUM(J3:J10)</f>
        <v>70.5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</row>
    <row r="12">
      <c r="A12" s="74" t="str">
        <f>IF(B12=Settings!$D$5,"INICIO",IF(B12=Settings!$D$6,"FIN",""))</f>
        <v/>
      </c>
      <c r="B12" s="75">
        <f>IF(AND(ISNUMBER(B11),B11+1&lt;=Settings!$D$6),B11+1,"")</f>
        <v>44857</v>
      </c>
      <c r="C12" s="76">
        <f t="shared" si="3"/>
        <v>37.71428571</v>
      </c>
      <c r="D12" s="76">
        <f t="shared" si="4"/>
        <v>26</v>
      </c>
      <c r="E12" s="77">
        <f>SUMIF(Historias!$F$6:$F$187,B12,Historias!$G$6:$G$187)</f>
        <v>0</v>
      </c>
      <c r="F12" s="65"/>
      <c r="G12" s="65"/>
      <c r="H12" s="65"/>
      <c r="I12" s="65"/>
      <c r="J12" s="65"/>
      <c r="K12" s="65"/>
      <c r="L12" s="65"/>
      <c r="M12" s="84">
        <f>(J11-H11)/H11</f>
        <v>-0.1296296296</v>
      </c>
      <c r="N12" s="65" t="s">
        <v>74</v>
      </c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</row>
    <row r="13">
      <c r="A13" s="74" t="str">
        <f>IF(B13=Settings!$D$5,"INICIO",IF(B13=Settings!$D$6,"FIN",""))</f>
        <v/>
      </c>
      <c r="B13" s="75">
        <f>IF(AND(ISNUMBER(B12),B12+1&lt;=Settings!$D$6),B12+1,"")</f>
        <v>44858</v>
      </c>
      <c r="C13" s="76">
        <f t="shared" si="3"/>
        <v>34.57142857</v>
      </c>
      <c r="D13" s="76">
        <f t="shared" si="4"/>
        <v>26</v>
      </c>
      <c r="E13" s="77">
        <f>SUMIF(Historias!$F$6:$F$187,B13,Historias!$G$6:$G$187)</f>
        <v>8</v>
      </c>
      <c r="F13" s="65"/>
      <c r="G13" s="85" t="s">
        <v>12</v>
      </c>
      <c r="H13" s="67"/>
      <c r="I13" s="67"/>
      <c r="J13" s="67"/>
      <c r="K13" s="67"/>
      <c r="L13" s="65"/>
      <c r="M13" s="86">
        <f>AVERAGE(M15:M53)</f>
        <v>-0.2104166667</v>
      </c>
      <c r="N13" s="65" t="s">
        <v>75</v>
      </c>
      <c r="O13" s="87" t="s">
        <v>76</v>
      </c>
      <c r="P13" s="69" t="s">
        <v>77</v>
      </c>
      <c r="Q13" s="69"/>
      <c r="R13" s="87" t="s">
        <v>78</v>
      </c>
      <c r="S13" s="67"/>
      <c r="T13" s="67"/>
      <c r="U13" s="67"/>
      <c r="V13" s="67"/>
      <c r="W13" s="65"/>
      <c r="X13" s="87" t="s">
        <v>79</v>
      </c>
      <c r="Y13" s="67"/>
      <c r="Z13" s="67"/>
      <c r="AA13" s="67"/>
      <c r="AB13" s="67"/>
      <c r="AC13" s="65"/>
      <c r="AD13" s="87" t="s">
        <v>80</v>
      </c>
      <c r="AE13" s="67"/>
      <c r="AF13" s="67"/>
      <c r="AG13" s="67"/>
      <c r="AH13" s="67"/>
      <c r="AI13" s="65"/>
      <c r="AJ13" s="87" t="s">
        <v>81</v>
      </c>
      <c r="AK13" s="67"/>
      <c r="AL13" s="67"/>
      <c r="AM13" s="67"/>
      <c r="AN13" s="67"/>
      <c r="AO13" s="65"/>
      <c r="AP13" s="87" t="s">
        <v>82</v>
      </c>
      <c r="AQ13" s="67"/>
      <c r="AR13" s="67"/>
      <c r="AS13" s="67"/>
      <c r="AT13" s="67"/>
      <c r="AU13" s="65"/>
    </row>
    <row r="14">
      <c r="A14" s="74" t="str">
        <f>IF(B14=Settings!$D$5,"INICIO",IF(B14=Settings!$D$6,"FIN",""))</f>
        <v/>
      </c>
      <c r="B14" s="75">
        <f>IF(AND(ISNUMBER(B13),B13+1&lt;=Settings!$D$6),B13+1,"")</f>
        <v>44859</v>
      </c>
      <c r="C14" s="76">
        <f t="shared" si="3"/>
        <v>31.42857143</v>
      </c>
      <c r="D14" s="76">
        <f t="shared" si="4"/>
        <v>18</v>
      </c>
      <c r="E14" s="77">
        <f>SUMIF(Historias!$F$6:$F$187,B14,Historias!$G$6:$G$187)</f>
        <v>0</v>
      </c>
      <c r="F14" s="72"/>
      <c r="G14" s="71" t="s">
        <v>83</v>
      </c>
      <c r="H14" s="71" t="s">
        <v>1</v>
      </c>
      <c r="I14" s="71" t="s">
        <v>6</v>
      </c>
      <c r="J14" s="88" t="s">
        <v>3</v>
      </c>
      <c r="K14" s="88" t="s">
        <v>84</v>
      </c>
      <c r="L14" s="72"/>
      <c r="M14" s="89" t="s">
        <v>85</v>
      </c>
      <c r="N14" s="72"/>
      <c r="O14" s="90"/>
      <c r="P14" s="83"/>
      <c r="Q14" s="91"/>
      <c r="R14" s="90" t="str">
        <f t="shared" ref="R14:V14" si="5">C67</f>
        <v>RAFAEL GUZMAN VALVERDE</v>
      </c>
      <c r="S14" s="90" t="str">
        <f t="shared" si="5"/>
        <v>DANIEL CALDERON GONZALEZ</v>
      </c>
      <c r="T14" s="90" t="str">
        <f t="shared" si="5"/>
        <v>MARIA AGUADO MARTINEZ</v>
      </c>
      <c r="U14" s="90" t="str">
        <f t="shared" si="5"/>
        <v>CARLOS GARCIA SEGURA</v>
      </c>
      <c r="V14" s="90" t="str">
        <f t="shared" si="5"/>
        <v/>
      </c>
      <c r="W14" s="91"/>
      <c r="X14" s="90" t="str">
        <f t="shared" ref="X14:AB14" si="6">R14</f>
        <v>RAFAEL GUZMAN VALVERDE</v>
      </c>
      <c r="Y14" s="90" t="str">
        <f t="shared" si="6"/>
        <v>DANIEL CALDERON GONZALEZ</v>
      </c>
      <c r="Z14" s="90" t="str">
        <f t="shared" si="6"/>
        <v>MARIA AGUADO MARTINEZ</v>
      </c>
      <c r="AA14" s="90" t="str">
        <f t="shared" si="6"/>
        <v>CARLOS GARCIA SEGURA</v>
      </c>
      <c r="AB14" s="90" t="str">
        <f t="shared" si="6"/>
        <v/>
      </c>
      <c r="AC14" s="91"/>
      <c r="AD14" s="90" t="str">
        <f t="shared" ref="AD14:AH14" si="7">X14</f>
        <v>RAFAEL GUZMAN VALVERDE</v>
      </c>
      <c r="AE14" s="90" t="str">
        <f t="shared" si="7"/>
        <v>DANIEL CALDERON GONZALEZ</v>
      </c>
      <c r="AF14" s="90" t="str">
        <f t="shared" si="7"/>
        <v>MARIA AGUADO MARTINEZ</v>
      </c>
      <c r="AG14" s="90" t="str">
        <f t="shared" si="7"/>
        <v>CARLOS GARCIA SEGURA</v>
      </c>
      <c r="AH14" s="90" t="str">
        <f t="shared" si="7"/>
        <v/>
      </c>
      <c r="AI14" s="91"/>
      <c r="AJ14" s="90" t="str">
        <f t="shared" ref="AJ14:AN14" si="8">AD14</f>
        <v>RAFAEL GUZMAN VALVERDE</v>
      </c>
      <c r="AK14" s="90" t="str">
        <f t="shared" si="8"/>
        <v>DANIEL CALDERON GONZALEZ</v>
      </c>
      <c r="AL14" s="90" t="str">
        <f t="shared" si="8"/>
        <v>MARIA AGUADO MARTINEZ</v>
      </c>
      <c r="AM14" s="90" t="str">
        <f t="shared" si="8"/>
        <v>CARLOS GARCIA SEGURA</v>
      </c>
      <c r="AN14" s="90" t="str">
        <f t="shared" si="8"/>
        <v/>
      </c>
      <c r="AO14" s="91"/>
      <c r="AP14" s="90" t="str">
        <f t="shared" ref="AP14:AT14" si="9">AJ14</f>
        <v>RAFAEL GUZMAN VALVERDE</v>
      </c>
      <c r="AQ14" s="90" t="str">
        <f t="shared" si="9"/>
        <v>DANIEL CALDERON GONZALEZ</v>
      </c>
      <c r="AR14" s="90" t="str">
        <f t="shared" si="9"/>
        <v>MARIA AGUADO MARTINEZ</v>
      </c>
      <c r="AS14" s="90" t="str">
        <f t="shared" si="9"/>
        <v>CARLOS GARCIA SEGURA</v>
      </c>
      <c r="AT14" s="90" t="str">
        <f t="shared" si="9"/>
        <v/>
      </c>
      <c r="AU14" s="83"/>
    </row>
    <row r="15">
      <c r="A15" s="74" t="str">
        <f>IF(B15=Settings!$D$5,"INICIO",IF(B15=Settings!$D$6,"FIN",""))</f>
        <v/>
      </c>
      <c r="B15" s="75">
        <f>IF(AND(ISNUMBER(B14),B14+1&lt;=Settings!$D$6),B14+1,"")</f>
        <v>44860</v>
      </c>
      <c r="C15" s="76">
        <f t="shared" si="3"/>
        <v>28.28571429</v>
      </c>
      <c r="D15" s="76">
        <f t="shared" si="4"/>
        <v>18</v>
      </c>
      <c r="E15" s="77">
        <f>SUMIF(Historias!$F$6:$F$187,B15,Historias!$G$6:$G$187)</f>
        <v>0</v>
      </c>
      <c r="F15" s="80">
        <f t="shared" ref="F15:F53" si="14">I15/$I$54</f>
        <v>0.02836879433</v>
      </c>
      <c r="G15" s="78" t="str">
        <f>Settings!A21</f>
        <v>Diagrama de clases</v>
      </c>
      <c r="H15" s="77">
        <f>Settings!D21</f>
        <v>2</v>
      </c>
      <c r="I15" s="77">
        <f>IF(G15 &lt;&gt; "", SUMIF(Historias!$B$6:$B$187,G15,Historias!$G$6:$G$187), "")</f>
        <v>2</v>
      </c>
      <c r="J15" s="77">
        <f>IF(G15 &lt;&gt; "", SUMIF(Historias!$B$6:$B$187,G15,Historias!$H$6:$H$187), "")</f>
        <v>1.5</v>
      </c>
      <c r="K15" s="92" t="str">
        <f t="shared" ref="K15:K53" si="15">IF(G15 &lt;&gt; "",IF(L15=0,"TO DO", IF(L15&lt;1,"IN PROGRESS","DONE")), "")</f>
        <v>DONE</v>
      </c>
      <c r="L15" s="80">
        <f t="shared" ref="L15:L53" si="16">IF(G15 &lt;&gt; "", IF(H15&gt;0,I15/H15,0), "")</f>
        <v>1</v>
      </c>
      <c r="M15" s="93">
        <f t="shared" ref="M15:M53" si="17">IF(K15="DONE",(J15-I15)/I15,)</f>
        <v>-0.25</v>
      </c>
      <c r="N15" s="91"/>
      <c r="O15" s="94">
        <f t="shared" ref="O15:O53" si="18">IF(AND($G15 &lt;&gt; "",max(R15:V15)&gt;0), COUNTIF(R15:V15, "&gt;0"), "")</f>
        <v>1</v>
      </c>
      <c r="P15" s="95">
        <f t="shared" ref="P15:P53" si="19">IF($G15 &lt;&gt; "", O15/$G$11, "")</f>
        <v>0.25</v>
      </c>
      <c r="Q15" s="96"/>
      <c r="R15" s="94">
        <f>IF(AND($G15 &lt;&gt; "",R$14&lt;&gt;""), SUMIFS(Historias!$H$6:$H$187,Historias!$B$6:$B$187,$G15,Historias!$A$6:$A$187,R$14),"")</f>
        <v>1.5</v>
      </c>
      <c r="S15" s="94">
        <f>IF(AND($G15 &lt;&gt; "",S$14&lt;&gt;""), SUMIFS(Historias!$H$6:$H$187,Historias!$B$6:$B$187,$G15,Historias!$A$6:$A$187,S$14),"")</f>
        <v>0</v>
      </c>
      <c r="T15" s="94">
        <f>IF(AND($G15 &lt;&gt; "",T$14&lt;&gt;""), SUMIFS(Historias!$H$6:$H$187,Historias!$B$6:$B$187,$G15,Historias!$A$6:$A$187,T$14),"")</f>
        <v>0</v>
      </c>
      <c r="U15" s="94">
        <f>IF(AND($G15 &lt;&gt; "",U$14&lt;&gt;""), SUMIFS(Historias!$H$6:$H$187,Historias!$B$6:$B$187,$G15,Historias!$A$6:$A$187,U$14),"")</f>
        <v>0</v>
      </c>
      <c r="V15" s="94" t="str">
        <f>IF(AND($G15 &lt;&gt; "",V$14&lt;&gt;""), SUMIFS(Historias!$H$6:$H$187,Historias!$B$6:$B$187,$G15,Historias!$A$6:$A$187,V$14),"")</f>
        <v/>
      </c>
      <c r="W15" s="96"/>
      <c r="X15" s="94">
        <f t="shared" ref="X15:AB15" si="10">IF(AND($G15 &lt;&gt;"", X$14&lt;&gt;""), IF(max($R15:$V15)&gt;0,IF(AND(R15 = max($R15:$V15),COUNTIF($R15:$V15,R15)=1), 1 , 0), 0), "")</f>
        <v>1</v>
      </c>
      <c r="Y15" s="94">
        <f t="shared" si="10"/>
        <v>0</v>
      </c>
      <c r="Z15" s="94">
        <f t="shared" si="10"/>
        <v>0</v>
      </c>
      <c r="AA15" s="94">
        <f t="shared" si="10"/>
        <v>0</v>
      </c>
      <c r="AB15" s="94" t="str">
        <f t="shared" si="10"/>
        <v/>
      </c>
      <c r="AC15" s="96"/>
      <c r="AD15" s="94">
        <f t="shared" ref="AD15:AH15" si="11">IF(AND($G15 &lt;&gt;"",AD$14&lt;&gt;""), IF(max($R15:$V15)&gt;0,IF(R15 = $J15, 1 , 0), 0), "")</f>
        <v>1</v>
      </c>
      <c r="AE15" s="94">
        <f t="shared" si="11"/>
        <v>0</v>
      </c>
      <c r="AF15" s="94">
        <f t="shared" si="11"/>
        <v>0</v>
      </c>
      <c r="AG15" s="94">
        <f t="shared" si="11"/>
        <v>0</v>
      </c>
      <c r="AH15" s="94" t="str">
        <f t="shared" si="11"/>
        <v/>
      </c>
      <c r="AI15" s="96"/>
      <c r="AJ15" s="94">
        <f t="shared" ref="AJ15:AN15" si="12">IF($G15 &lt;&gt; "", IF(R15 &gt;0,R15/$J15*log(R15/$J15,2),""), "")</f>
        <v>0</v>
      </c>
      <c r="AK15" s="94" t="str">
        <f t="shared" si="12"/>
        <v/>
      </c>
      <c r="AL15" s="94" t="str">
        <f t="shared" si="12"/>
        <v/>
      </c>
      <c r="AM15" s="94" t="str">
        <f t="shared" si="12"/>
        <v/>
      </c>
      <c r="AN15" s="94" t="str">
        <f t="shared" si="12"/>
        <v>#NUM!</v>
      </c>
      <c r="AO15" s="96" t="str">
        <f t="shared" ref="AO15:AO53" si="23">IF($G15 &lt;&gt; "", SUM(AJ15:AN15)*-1,"")</f>
        <v>#NUM!</v>
      </c>
      <c r="AP15" s="94">
        <f t="shared" ref="AP15:AT15" si="13">IF($G15 &lt;&gt; "", IF(R15 &gt;0,R15/R$54*log(R15/R$54,2),""), "")</f>
        <v>-0.4308270835</v>
      </c>
      <c r="AQ15" s="94" t="str">
        <f t="shared" si="13"/>
        <v/>
      </c>
      <c r="AR15" s="94" t="str">
        <f t="shared" si="13"/>
        <v/>
      </c>
      <c r="AS15" s="94" t="str">
        <f t="shared" si="13"/>
        <v/>
      </c>
      <c r="AT15" s="94" t="str">
        <f t="shared" si="13"/>
        <v>#DIV/0!</v>
      </c>
      <c r="AU15" s="97"/>
    </row>
    <row r="16">
      <c r="A16" s="74" t="str">
        <f>IF(B16=Settings!$D$5,"INICIO",IF(B16=Settings!$D$6,"FIN",""))</f>
        <v/>
      </c>
      <c r="B16" s="75">
        <f>IF(AND(ISNUMBER(B15),B15+1&lt;=Settings!$D$6),B15+1,"")</f>
        <v>44861</v>
      </c>
      <c r="C16" s="76">
        <f t="shared" si="3"/>
        <v>25.14285714</v>
      </c>
      <c r="D16" s="76">
        <f t="shared" si="4"/>
        <v>18</v>
      </c>
      <c r="E16" s="77">
        <f>SUMIF(Historias!$F$6:$F$187,B16,Historias!$G$6:$G$187)</f>
        <v>0</v>
      </c>
      <c r="F16" s="80">
        <f t="shared" si="14"/>
        <v>0.02836879433</v>
      </c>
      <c r="G16" s="78" t="str">
        <f>Settings!A22</f>
        <v>Diagrama de actividad/estados</v>
      </c>
      <c r="H16" s="77">
        <f>Settings!D22</f>
        <v>2</v>
      </c>
      <c r="I16" s="77">
        <f>IF(G16 &lt;&gt; "", SUMIF(Historias!$B$6:$B$187,G16,Historias!$G$6:$G$187), "")</f>
        <v>2</v>
      </c>
      <c r="J16" s="77">
        <f>IF(G16 &lt;&gt; "", SUMIF(Historias!$B$6:$B$187,G16,Historias!$H$6:$H$187), "")</f>
        <v>2</v>
      </c>
      <c r="K16" s="98" t="str">
        <f t="shared" si="15"/>
        <v>DONE</v>
      </c>
      <c r="L16" s="80">
        <f t="shared" si="16"/>
        <v>1</v>
      </c>
      <c r="M16" s="93">
        <f t="shared" si="17"/>
        <v>0</v>
      </c>
      <c r="N16" s="91"/>
      <c r="O16" s="94">
        <f t="shared" si="18"/>
        <v>1</v>
      </c>
      <c r="P16" s="95">
        <f t="shared" si="19"/>
        <v>0.25</v>
      </c>
      <c r="Q16" s="96"/>
      <c r="R16" s="94">
        <f>IF(AND($G16 &lt;&gt; "",R$14&lt;&gt;""), SUMIFS(Historias!$H$6:$H$187,Historias!$B$6:$B$187,$G16,Historias!$A$6:$A$187,R$14),"")</f>
        <v>0</v>
      </c>
      <c r="S16" s="94">
        <f>IF(AND($G16 &lt;&gt; "",S$14&lt;&gt;""), SUMIFS(Historias!$H$6:$H$187,Historias!$B$6:$B$187,$G16,Historias!$A$6:$A$187,S$14),"")</f>
        <v>0</v>
      </c>
      <c r="T16" s="94">
        <f>IF(AND($G16 &lt;&gt; "",T$14&lt;&gt;""), SUMIFS(Historias!$H$6:$H$187,Historias!$B$6:$B$187,$G16,Historias!$A$6:$A$187,T$14),"")</f>
        <v>2</v>
      </c>
      <c r="U16" s="94">
        <f>IF(AND($G16 &lt;&gt; "",U$14&lt;&gt;""), SUMIFS(Historias!$H$6:$H$187,Historias!$B$6:$B$187,$G16,Historias!$A$6:$A$187,U$14),"")</f>
        <v>0</v>
      </c>
      <c r="V16" s="94" t="str">
        <f>IF(AND($G16 &lt;&gt; "",V$14&lt;&gt;""), SUMIFS(Historias!$H$6:$H$187,Historias!$B$6:$B$187,$G16,Historias!$A$6:$A$187,V$14),"")</f>
        <v/>
      </c>
      <c r="W16" s="96"/>
      <c r="X16" s="94">
        <f t="shared" ref="X16:AB16" si="20">IF(AND($G16 &lt;&gt;"", X$14&lt;&gt;""), IF(max($R16:$V16)&gt;0,IF(AND(R16 = max($R16:$V16),COUNTIF($R16:$V16,R16)=1), 1 , 0), 0), "")</f>
        <v>0</v>
      </c>
      <c r="Y16" s="94">
        <f t="shared" si="20"/>
        <v>0</v>
      </c>
      <c r="Z16" s="94">
        <f t="shared" si="20"/>
        <v>1</v>
      </c>
      <c r="AA16" s="94">
        <f t="shared" si="20"/>
        <v>0</v>
      </c>
      <c r="AB16" s="94" t="str">
        <f t="shared" si="20"/>
        <v/>
      </c>
      <c r="AC16" s="96"/>
      <c r="AD16" s="94">
        <f t="shared" ref="AD16:AH16" si="21">IF(AND($G16 &lt;&gt;"",AD$14&lt;&gt;""), IF(max($R16:$V16)&gt;0,IF(R16 = $J16, 1 , 0), 0), "")</f>
        <v>0</v>
      </c>
      <c r="AE16" s="94">
        <f t="shared" si="21"/>
        <v>0</v>
      </c>
      <c r="AF16" s="94">
        <f t="shared" si="21"/>
        <v>1</v>
      </c>
      <c r="AG16" s="94">
        <f t="shared" si="21"/>
        <v>0</v>
      </c>
      <c r="AH16" s="94" t="str">
        <f t="shared" si="21"/>
        <v/>
      </c>
      <c r="AI16" s="96"/>
      <c r="AJ16" s="94" t="str">
        <f t="shared" ref="AJ16:AN16" si="22">IF($G16 &lt;&gt; "", IF(R16 &gt;0,R16/$J16*log(R16/$J16,2),""), "")</f>
        <v/>
      </c>
      <c r="AK16" s="94" t="str">
        <f t="shared" si="22"/>
        <v/>
      </c>
      <c r="AL16" s="94">
        <f t="shared" si="22"/>
        <v>0</v>
      </c>
      <c r="AM16" s="94" t="str">
        <f t="shared" si="22"/>
        <v/>
      </c>
      <c r="AN16" s="99" t="str">
        <f t="shared" si="22"/>
        <v>#NUM!</v>
      </c>
      <c r="AO16" s="96" t="str">
        <f t="shared" si="23"/>
        <v>#NUM!</v>
      </c>
      <c r="AP16" s="94" t="str">
        <f t="shared" ref="AP16:AT16" si="24">IF($G16 &lt;&gt; "", IF(R16 &gt;0,R16/R$54*log(R16/R$54,2),""), "")</f>
        <v/>
      </c>
      <c r="AQ16" s="94" t="str">
        <f t="shared" si="24"/>
        <v/>
      </c>
      <c r="AR16" s="94">
        <f t="shared" si="24"/>
        <v>-0.3187223028</v>
      </c>
      <c r="AS16" s="94" t="str">
        <f t="shared" si="24"/>
        <v/>
      </c>
      <c r="AT16" s="99" t="str">
        <f t="shared" si="24"/>
        <v>#DIV/0!</v>
      </c>
      <c r="AU16" s="97"/>
    </row>
    <row r="17">
      <c r="A17" s="74" t="str">
        <f>IF(B17=Settings!$D$5,"INICIO",IF(B17=Settings!$D$6,"FIN",""))</f>
        <v/>
      </c>
      <c r="B17" s="75">
        <f>IF(AND(ISNUMBER(B16),B16+1&lt;=Settings!$D$6),B16+1,"")</f>
        <v>44862</v>
      </c>
      <c r="C17" s="76">
        <f t="shared" si="3"/>
        <v>22</v>
      </c>
      <c r="D17" s="76">
        <f t="shared" si="4"/>
        <v>18</v>
      </c>
      <c r="E17" s="77">
        <f>SUMIF(Historias!$F$6:$F$187,B17,Historias!$G$6:$G$187)</f>
        <v>6</v>
      </c>
      <c r="F17" s="80">
        <f t="shared" si="14"/>
        <v>0.02836879433</v>
      </c>
      <c r="G17" s="78" t="str">
        <f>Settings!A23</f>
        <v>Diagrama de secuencia</v>
      </c>
      <c r="H17" s="77">
        <f>Settings!D23</f>
        <v>2</v>
      </c>
      <c r="I17" s="77">
        <f>IF(G17 &lt;&gt; "", SUMIF(Historias!$B$6:$B$187,G17,Historias!$G$6:$G$187), "")</f>
        <v>2</v>
      </c>
      <c r="J17" s="77">
        <f>IF(G17 &lt;&gt; "", SUMIF(Historias!$B$6:$B$187,G17,Historias!$H$6:$H$187), "")</f>
        <v>1.5</v>
      </c>
      <c r="K17" s="92" t="str">
        <f t="shared" si="15"/>
        <v>DONE</v>
      </c>
      <c r="L17" s="80">
        <f t="shared" si="16"/>
        <v>1</v>
      </c>
      <c r="M17" s="93">
        <f t="shared" si="17"/>
        <v>-0.25</v>
      </c>
      <c r="N17" s="91"/>
      <c r="O17" s="94">
        <f t="shared" si="18"/>
        <v>1</v>
      </c>
      <c r="P17" s="95">
        <f t="shared" si="19"/>
        <v>0.25</v>
      </c>
      <c r="Q17" s="96"/>
      <c r="R17" s="94">
        <f>IF(AND($G17 &lt;&gt; "",R$14&lt;&gt;""), SUMIFS(Historias!$H$6:$H$187,Historias!$B$6:$B$187,$G17,Historias!$A$6:$A$187,R$14),"")</f>
        <v>0</v>
      </c>
      <c r="S17" s="94">
        <f>IF(AND($G17 &lt;&gt; "",S$14&lt;&gt;""), SUMIFS(Historias!$H$6:$H$187,Historias!$B$6:$B$187,$G17,Historias!$A$6:$A$187,S$14),"")</f>
        <v>0</v>
      </c>
      <c r="T17" s="94">
        <f>IF(AND($G17 &lt;&gt; "",T$14&lt;&gt;""), SUMIFS(Historias!$H$6:$H$187,Historias!$B$6:$B$187,$G17,Historias!$A$6:$A$187,T$14),"")</f>
        <v>1.5</v>
      </c>
      <c r="U17" s="94">
        <f>IF(AND($G17 &lt;&gt; "",U$14&lt;&gt;""), SUMIFS(Historias!$H$6:$H$187,Historias!$B$6:$B$187,$G17,Historias!$A$6:$A$187,U$14),"")</f>
        <v>0</v>
      </c>
      <c r="V17" s="94" t="str">
        <f>IF(AND($G17 &lt;&gt; "",V$14&lt;&gt;""), SUMIFS(Historias!$H$6:$H$187,Historias!$B$6:$B$187,$G17,Historias!$A$6:$A$187,V$14),"")</f>
        <v/>
      </c>
      <c r="W17" s="96"/>
      <c r="X17" s="94">
        <f t="shared" ref="X17:AB17" si="25">IF(AND($G17 &lt;&gt;"", X$14&lt;&gt;""), IF(max($R17:$V17)&gt;0,IF(AND(R17 = max($R17:$V17),COUNTIF($R17:$V17,R17)=1), 1 , 0), 0), "")</f>
        <v>0</v>
      </c>
      <c r="Y17" s="94">
        <f t="shared" si="25"/>
        <v>0</v>
      </c>
      <c r="Z17" s="94">
        <f t="shared" si="25"/>
        <v>1</v>
      </c>
      <c r="AA17" s="94">
        <f t="shared" si="25"/>
        <v>0</v>
      </c>
      <c r="AB17" s="94" t="str">
        <f t="shared" si="25"/>
        <v/>
      </c>
      <c r="AC17" s="96"/>
      <c r="AD17" s="94">
        <f t="shared" ref="AD17:AH17" si="26">IF(AND($G17 &lt;&gt;"",AD$14&lt;&gt;""), IF(max($R17:$V17)&gt;0,IF(R17 = $J17, 1 , 0), 0), "")</f>
        <v>0</v>
      </c>
      <c r="AE17" s="94">
        <f t="shared" si="26"/>
        <v>0</v>
      </c>
      <c r="AF17" s="94">
        <f t="shared" si="26"/>
        <v>1</v>
      </c>
      <c r="AG17" s="94">
        <f t="shared" si="26"/>
        <v>0</v>
      </c>
      <c r="AH17" s="94" t="str">
        <f t="shared" si="26"/>
        <v/>
      </c>
      <c r="AI17" s="96"/>
      <c r="AJ17" s="94" t="str">
        <f t="shared" ref="AJ17:AN17" si="27">IF($G17 &lt;&gt; "", IF(R17 &gt;0,R17/$J17*log(R17/$J17,2),""), "")</f>
        <v/>
      </c>
      <c r="AK17" s="94" t="str">
        <f t="shared" si="27"/>
        <v/>
      </c>
      <c r="AL17" s="100">
        <f t="shared" si="27"/>
        <v>0</v>
      </c>
      <c r="AM17" s="94" t="str">
        <f t="shared" si="27"/>
        <v/>
      </c>
      <c r="AN17" s="99" t="str">
        <f t="shared" si="27"/>
        <v>#NUM!</v>
      </c>
      <c r="AO17" s="96" t="str">
        <f t="shared" si="23"/>
        <v>#NUM!</v>
      </c>
      <c r="AP17" s="94" t="str">
        <f t="shared" ref="AP17:AT17" si="28">IF($G17 &lt;&gt; "", IF(R17 &gt;0,R17/R$54*log(R17/R$54,2),""), "")</f>
        <v/>
      </c>
      <c r="AQ17" s="94" t="str">
        <f t="shared" si="28"/>
        <v/>
      </c>
      <c r="AR17" s="100">
        <f t="shared" si="28"/>
        <v>-0.2679978317</v>
      </c>
      <c r="AS17" s="94" t="str">
        <f t="shared" si="28"/>
        <v/>
      </c>
      <c r="AT17" s="99" t="str">
        <f t="shared" si="28"/>
        <v>#DIV/0!</v>
      </c>
      <c r="AU17" s="97"/>
    </row>
    <row r="18">
      <c r="A18" s="74" t="str">
        <f>IF(B18=Settings!$D$5,"INICIO",IF(B18=Settings!$D$6,"FIN",""))</f>
        <v/>
      </c>
      <c r="B18" s="75">
        <f>IF(AND(ISNUMBER(B17),B17+1&lt;=Settings!$D$6),B17+1,"")</f>
        <v>44863</v>
      </c>
      <c r="C18" s="76">
        <f t="shared" si="3"/>
        <v>18.85714286</v>
      </c>
      <c r="D18" s="76">
        <f t="shared" si="4"/>
        <v>12</v>
      </c>
      <c r="E18" s="77">
        <f>SUMIF(Historias!$F$6:$F$187,B18,Historias!$G$6:$G$187)</f>
        <v>0</v>
      </c>
      <c r="F18" s="80">
        <f t="shared" si="14"/>
        <v>0.07092198582</v>
      </c>
      <c r="G18" s="78" t="str">
        <f>Settings!A24</f>
        <v>Adaptar código casos prácticos</v>
      </c>
      <c r="H18" s="77">
        <f>Settings!D24</f>
        <v>3</v>
      </c>
      <c r="I18" s="77">
        <f>IF(G18 &lt;&gt; "", SUMIF(Historias!$B$6:$B$187,G18,Historias!$G$6:$G$187), "")</f>
        <v>5</v>
      </c>
      <c r="J18" s="77">
        <f>IF(G18 &lt;&gt; "", SUMIF(Historias!$B$6:$B$187,G18,Historias!$H$6:$H$187), "")</f>
        <v>5</v>
      </c>
      <c r="K18" s="98" t="str">
        <f t="shared" si="15"/>
        <v>DONE</v>
      </c>
      <c r="L18" s="80">
        <f t="shared" si="16"/>
        <v>1.666666667</v>
      </c>
      <c r="M18" s="93">
        <f t="shared" si="17"/>
        <v>0</v>
      </c>
      <c r="N18" s="91"/>
      <c r="O18" s="94">
        <f t="shared" si="18"/>
        <v>2</v>
      </c>
      <c r="P18" s="95">
        <f t="shared" si="19"/>
        <v>0.5</v>
      </c>
      <c r="Q18" s="96"/>
      <c r="R18" s="94">
        <f>IF(AND($G18 &lt;&gt; "",R$14&lt;&gt;""), SUMIFS(Historias!$H$6:$H$187,Historias!$B$6:$B$187,$G18,Historias!$A$6:$A$187,R$14),"")</f>
        <v>0</v>
      </c>
      <c r="S18" s="94">
        <f>IF(AND($G18 &lt;&gt; "",S$14&lt;&gt;""), SUMIFS(Historias!$H$6:$H$187,Historias!$B$6:$B$187,$G18,Historias!$A$6:$A$187,S$14),"")</f>
        <v>2</v>
      </c>
      <c r="T18" s="94">
        <f>IF(AND($G18 &lt;&gt; "",T$14&lt;&gt;""), SUMIFS(Historias!$H$6:$H$187,Historias!$B$6:$B$187,$G18,Historias!$A$6:$A$187,T$14),"")</f>
        <v>3</v>
      </c>
      <c r="U18" s="94">
        <f>IF(AND($G18 &lt;&gt; "",U$14&lt;&gt;""), SUMIFS(Historias!$H$6:$H$187,Historias!$B$6:$B$187,$G18,Historias!$A$6:$A$187,U$14),"")</f>
        <v>0</v>
      </c>
      <c r="V18" s="94" t="str">
        <f>IF(AND($G18 &lt;&gt; "",V$14&lt;&gt;""), SUMIFS(Historias!$H$6:$H$187,Historias!$B$6:$B$187,$G18,Historias!$A$6:$A$187,V$14),"")</f>
        <v/>
      </c>
      <c r="W18" s="96"/>
      <c r="X18" s="94">
        <f t="shared" ref="X18:AB18" si="29">IF(AND($G18 &lt;&gt;"", X$14&lt;&gt;""), IF(max($R18:$V18)&gt;0,IF(AND(R18 = max($R18:$V18),COUNTIF($R18:$V18,R18)=1), 1 , 0), 0), "")</f>
        <v>0</v>
      </c>
      <c r="Y18" s="94">
        <f t="shared" si="29"/>
        <v>0</v>
      </c>
      <c r="Z18" s="94">
        <f t="shared" si="29"/>
        <v>1</v>
      </c>
      <c r="AA18" s="94">
        <f t="shared" si="29"/>
        <v>0</v>
      </c>
      <c r="AB18" s="94" t="str">
        <f t="shared" si="29"/>
        <v/>
      </c>
      <c r="AC18" s="96"/>
      <c r="AD18" s="94">
        <f t="shared" ref="AD18:AH18" si="30">IF(AND($G18 &lt;&gt;"",AD$14&lt;&gt;""), IF(max($R18:$V18)&gt;0,IF(R18 = $J18, 1 , 0), 0), "")</f>
        <v>0</v>
      </c>
      <c r="AE18" s="94">
        <f t="shared" si="30"/>
        <v>0</v>
      </c>
      <c r="AF18" s="94">
        <f t="shared" si="30"/>
        <v>0</v>
      </c>
      <c r="AG18" s="94">
        <f t="shared" si="30"/>
        <v>0</v>
      </c>
      <c r="AH18" s="94" t="str">
        <f t="shared" si="30"/>
        <v/>
      </c>
      <c r="AI18" s="96"/>
      <c r="AJ18" s="94" t="str">
        <f t="shared" ref="AJ18:AN18" si="31">IF($G18 &lt;&gt; "", IF(R18 &gt;0,R18/$J18*log(R18/$J18,2),""), "")</f>
        <v/>
      </c>
      <c r="AK18" s="94">
        <f t="shared" si="31"/>
        <v>-0.528771238</v>
      </c>
      <c r="AL18" s="94">
        <f t="shared" si="31"/>
        <v>-0.4421793565</v>
      </c>
      <c r="AM18" s="100" t="str">
        <f t="shared" si="31"/>
        <v/>
      </c>
      <c r="AN18" s="99" t="str">
        <f t="shared" si="31"/>
        <v>#NUM!</v>
      </c>
      <c r="AO18" s="96" t="str">
        <f t="shared" si="23"/>
        <v>#NUM!</v>
      </c>
      <c r="AP18" s="94" t="str">
        <f t="shared" ref="AP18:AT18" si="32">IF($G18 &lt;&gt; "", IF(R18 &gt;0,R18/R$54*log(R18/R$54,2),""), "")</f>
        <v/>
      </c>
      <c r="AQ18" s="94">
        <f t="shared" si="32"/>
        <v>-0.375</v>
      </c>
      <c r="AR18" s="94">
        <f t="shared" si="32"/>
        <v>-0.3964607796</v>
      </c>
      <c r="AS18" s="100" t="str">
        <f t="shared" si="32"/>
        <v/>
      </c>
      <c r="AT18" s="99" t="str">
        <f t="shared" si="32"/>
        <v>#DIV/0!</v>
      </c>
      <c r="AU18" s="97"/>
    </row>
    <row r="19">
      <c r="A19" s="74" t="str">
        <f>IF(B19=Settings!$D$5,"INICIO",IF(B19=Settings!$D$6,"FIN",""))</f>
        <v/>
      </c>
      <c r="B19" s="75">
        <f>IF(AND(ISNUMBER(B18),B18+1&lt;=Settings!$D$6),B18+1,"")</f>
        <v>44864</v>
      </c>
      <c r="C19" s="76">
        <f t="shared" si="3"/>
        <v>15.71428571</v>
      </c>
      <c r="D19" s="76">
        <f t="shared" si="4"/>
        <v>12</v>
      </c>
      <c r="E19" s="77">
        <f>SUMIF(Historias!$F$6:$F$187,B19,Historias!$G$6:$G$187)</f>
        <v>0</v>
      </c>
      <c r="F19" s="80">
        <f t="shared" si="14"/>
        <v>0.02836879433</v>
      </c>
      <c r="G19" s="78" t="str">
        <f>Settings!A25</f>
        <v>Preparar código JoinSession</v>
      </c>
      <c r="H19" s="77">
        <f>Settings!D25</f>
        <v>2</v>
      </c>
      <c r="I19" s="77">
        <f>IF(G19 &lt;&gt; "", SUMIF(Historias!$B$6:$B$187,G19,Historias!$G$6:$G$187), "")</f>
        <v>2</v>
      </c>
      <c r="J19" s="77">
        <f>IF(G19 &lt;&gt; "", SUMIF(Historias!$B$6:$B$187,G19,Historias!$H$6:$H$187), "")</f>
        <v>1</v>
      </c>
      <c r="K19" s="92" t="str">
        <f t="shared" si="15"/>
        <v>DONE</v>
      </c>
      <c r="L19" s="80">
        <f t="shared" si="16"/>
        <v>1</v>
      </c>
      <c r="M19" s="93">
        <f t="shared" si="17"/>
        <v>-0.5</v>
      </c>
      <c r="N19" s="91"/>
      <c r="O19" s="94">
        <f t="shared" si="18"/>
        <v>1</v>
      </c>
      <c r="P19" s="95">
        <f t="shared" si="19"/>
        <v>0.25</v>
      </c>
      <c r="Q19" s="96"/>
      <c r="R19" s="94">
        <f>IF(AND($G19 &lt;&gt; "",R$14&lt;&gt;""), SUMIFS(Historias!$H$6:$H$187,Historias!$B$6:$B$187,$G19,Historias!$A$6:$A$187,R$14),"")</f>
        <v>1</v>
      </c>
      <c r="S19" s="94">
        <f>IF(AND($G19 &lt;&gt; "",S$14&lt;&gt;""), SUMIFS(Historias!$H$6:$H$187,Historias!$B$6:$B$187,$G19,Historias!$A$6:$A$187,S$14),"")</f>
        <v>0</v>
      </c>
      <c r="T19" s="94">
        <f>IF(AND($G19 &lt;&gt; "",T$14&lt;&gt;""), SUMIFS(Historias!$H$6:$H$187,Historias!$B$6:$B$187,$G19,Historias!$A$6:$A$187,T$14),"")</f>
        <v>0</v>
      </c>
      <c r="U19" s="94">
        <f>IF(AND($G19 &lt;&gt; "",U$14&lt;&gt;""), SUMIFS(Historias!$H$6:$H$187,Historias!$B$6:$B$187,$G19,Historias!$A$6:$A$187,U$14),"")</f>
        <v>0</v>
      </c>
      <c r="V19" s="94" t="str">
        <f>IF(AND($G19 &lt;&gt; "",V$14&lt;&gt;""), SUMIFS(Historias!$H$6:$H$187,Historias!$B$6:$B$187,$G19,Historias!$A$6:$A$187,V$14),"")</f>
        <v/>
      </c>
      <c r="W19" s="96"/>
      <c r="X19" s="94">
        <f t="shared" ref="X19:AB19" si="33">IF(AND($G19 &lt;&gt;"", X$14&lt;&gt;""), IF(max($R19:$V19)&gt;0,IF(AND(R19 = max($R19:$V19),COUNTIF($R19:$V19,R19)=1), 1 , 0), 0), "")</f>
        <v>1</v>
      </c>
      <c r="Y19" s="94">
        <f t="shared" si="33"/>
        <v>0</v>
      </c>
      <c r="Z19" s="94">
        <f t="shared" si="33"/>
        <v>0</v>
      </c>
      <c r="AA19" s="94">
        <f t="shared" si="33"/>
        <v>0</v>
      </c>
      <c r="AB19" s="94" t="str">
        <f t="shared" si="33"/>
        <v/>
      </c>
      <c r="AC19" s="96"/>
      <c r="AD19" s="94">
        <f t="shared" ref="AD19:AH19" si="34">IF(AND($G19 &lt;&gt;"",AD$14&lt;&gt;""), IF(max($R19:$V19)&gt;0,IF(R19 = $J19, 1 , 0), 0), "")</f>
        <v>1</v>
      </c>
      <c r="AE19" s="94">
        <f t="shared" si="34"/>
        <v>0</v>
      </c>
      <c r="AF19" s="94">
        <f t="shared" si="34"/>
        <v>0</v>
      </c>
      <c r="AG19" s="94">
        <f t="shared" si="34"/>
        <v>0</v>
      </c>
      <c r="AH19" s="94" t="str">
        <f t="shared" si="34"/>
        <v/>
      </c>
      <c r="AI19" s="96"/>
      <c r="AJ19" s="94">
        <f t="shared" ref="AJ19:AN19" si="35">IF($G19 &lt;&gt; "", IF(R19 &gt;0,R19/$J19*log(R19/$J19,2),""), "")</f>
        <v>0</v>
      </c>
      <c r="AK19" s="94" t="str">
        <f t="shared" si="35"/>
        <v/>
      </c>
      <c r="AL19" s="94" t="str">
        <f t="shared" si="35"/>
        <v/>
      </c>
      <c r="AM19" s="100" t="str">
        <f t="shared" si="35"/>
        <v/>
      </c>
      <c r="AN19" s="94" t="str">
        <f t="shared" si="35"/>
        <v>#NUM!</v>
      </c>
      <c r="AO19" s="96" t="str">
        <f t="shared" si="23"/>
        <v>#NUM!</v>
      </c>
      <c r="AP19" s="94">
        <f t="shared" ref="AP19:AT19" si="36">IF($G19 &lt;&gt; "", IF(R19 &gt;0,R19/R$54*log(R19/R$54,2),""), "")</f>
        <v>-0.352213889</v>
      </c>
      <c r="AQ19" s="94" t="str">
        <f t="shared" si="36"/>
        <v/>
      </c>
      <c r="AR19" s="94" t="str">
        <f t="shared" si="36"/>
        <v/>
      </c>
      <c r="AS19" s="100" t="str">
        <f t="shared" si="36"/>
        <v/>
      </c>
      <c r="AT19" s="94" t="str">
        <f t="shared" si="36"/>
        <v>#DIV/0!</v>
      </c>
      <c r="AU19" s="97"/>
    </row>
    <row r="20">
      <c r="A20" s="74" t="str">
        <f>IF(B20=Settings!$D$5,"INICIO",IF(B20=Settings!$D$6,"FIN",""))</f>
        <v/>
      </c>
      <c r="B20" s="75">
        <f>IF(AND(ISNUMBER(B19),B19+1&lt;=Settings!$D$6),B19+1,"")</f>
        <v>44865</v>
      </c>
      <c r="C20" s="76">
        <f t="shared" si="3"/>
        <v>12.57142857</v>
      </c>
      <c r="D20" s="76">
        <f t="shared" si="4"/>
        <v>12</v>
      </c>
      <c r="E20" s="77">
        <f>SUMIF(Historias!$F$6:$F$187,B20,Historias!$G$6:$G$187)</f>
        <v>5</v>
      </c>
      <c r="F20" s="80">
        <f t="shared" si="14"/>
        <v>0.04255319149</v>
      </c>
      <c r="G20" s="78" t="str">
        <f>Settings!A26</f>
        <v>Impementar REPORT</v>
      </c>
      <c r="H20" s="77">
        <f>Settings!D26</f>
        <v>2</v>
      </c>
      <c r="I20" s="77">
        <f>IF(G20 &lt;&gt; "", SUMIF(Historias!$B$6:$B$187,G20,Historias!$G$6:$G$187), "")</f>
        <v>3</v>
      </c>
      <c r="J20" s="77">
        <f>IF(G20 &lt;&gt; "", SUMIF(Historias!$B$6:$B$187,G20,Historias!$H$6:$H$187), "")</f>
        <v>2.5</v>
      </c>
      <c r="K20" s="98" t="str">
        <f t="shared" si="15"/>
        <v>DONE</v>
      </c>
      <c r="L20" s="80">
        <f t="shared" si="16"/>
        <v>1.5</v>
      </c>
      <c r="M20" s="93">
        <f t="shared" si="17"/>
        <v>-0.1666666667</v>
      </c>
      <c r="N20" s="91"/>
      <c r="O20" s="94">
        <f t="shared" si="18"/>
        <v>1</v>
      </c>
      <c r="P20" s="95">
        <f t="shared" si="19"/>
        <v>0.25</v>
      </c>
      <c r="Q20" s="96"/>
      <c r="R20" s="94">
        <f>IF(AND($G20 &lt;&gt; "",R$14&lt;&gt;""), SUMIFS(Historias!$H$6:$H$187,Historias!$B$6:$B$187,$G20,Historias!$A$6:$A$187,R$14),"")</f>
        <v>0</v>
      </c>
      <c r="S20" s="94">
        <f>IF(AND($G20 &lt;&gt; "",S$14&lt;&gt;""), SUMIFS(Historias!$H$6:$H$187,Historias!$B$6:$B$187,$G20,Historias!$A$6:$A$187,S$14),"")</f>
        <v>0</v>
      </c>
      <c r="T20" s="94">
        <f>IF(AND($G20 &lt;&gt; "",T$14&lt;&gt;""), SUMIFS(Historias!$H$6:$H$187,Historias!$B$6:$B$187,$G20,Historias!$A$6:$A$187,T$14),"")</f>
        <v>2.5</v>
      </c>
      <c r="U20" s="94">
        <f>IF(AND($G20 &lt;&gt; "",U$14&lt;&gt;""), SUMIFS(Historias!$H$6:$H$187,Historias!$B$6:$B$187,$G20,Historias!$A$6:$A$187,U$14),"")</f>
        <v>0</v>
      </c>
      <c r="V20" s="94" t="str">
        <f>IF(AND($G20 &lt;&gt; "",V$14&lt;&gt;""), SUMIFS(Historias!$H$6:$H$187,Historias!$B$6:$B$187,$G20,Historias!$A$6:$A$187,V$14),"")</f>
        <v/>
      </c>
      <c r="W20" s="96"/>
      <c r="X20" s="94">
        <f t="shared" ref="X20:AB20" si="37">IF(AND($G20 &lt;&gt;"", X$14&lt;&gt;""), IF(max($R20:$V20)&gt;0,IF(AND(R20 = max($R20:$V20),COUNTIF($R20:$V20,R20)=1), 1 , 0), 0), "")</f>
        <v>0</v>
      </c>
      <c r="Y20" s="94">
        <f t="shared" si="37"/>
        <v>0</v>
      </c>
      <c r="Z20" s="94">
        <f t="shared" si="37"/>
        <v>1</v>
      </c>
      <c r="AA20" s="94">
        <f t="shared" si="37"/>
        <v>0</v>
      </c>
      <c r="AB20" s="94" t="str">
        <f t="shared" si="37"/>
        <v/>
      </c>
      <c r="AC20" s="96"/>
      <c r="AD20" s="94">
        <f t="shared" ref="AD20:AH20" si="38">IF(AND($G20 &lt;&gt;"",AD$14&lt;&gt;""), IF(max($R20:$V20)&gt;0,IF(R20 = $J20, 1 , 0), 0), "")</f>
        <v>0</v>
      </c>
      <c r="AE20" s="94">
        <f t="shared" si="38"/>
        <v>0</v>
      </c>
      <c r="AF20" s="94">
        <f t="shared" si="38"/>
        <v>1</v>
      </c>
      <c r="AG20" s="94">
        <f t="shared" si="38"/>
        <v>0</v>
      </c>
      <c r="AH20" s="94" t="str">
        <f t="shared" si="38"/>
        <v/>
      </c>
      <c r="AI20" s="96"/>
      <c r="AJ20" s="100" t="str">
        <f t="shared" ref="AJ20:AN20" si="39">IF($G20 &lt;&gt; "", IF(R20 &gt;0,R20/$J20*log(R20/$J20,2),""), "")</f>
        <v/>
      </c>
      <c r="AK20" s="94" t="str">
        <f t="shared" si="39"/>
        <v/>
      </c>
      <c r="AL20" s="94">
        <f t="shared" si="39"/>
        <v>0</v>
      </c>
      <c r="AM20" s="94" t="str">
        <f t="shared" si="39"/>
        <v/>
      </c>
      <c r="AN20" s="99" t="str">
        <f t="shared" si="39"/>
        <v>#NUM!</v>
      </c>
      <c r="AO20" s="96" t="str">
        <f t="shared" si="23"/>
        <v>#NUM!</v>
      </c>
      <c r="AP20" s="100" t="str">
        <f t="shared" ref="AP20:AT20" si="40">IF($G20 &lt;&gt; "", IF(R20 &gt;0,R20/R$54*log(R20/R$54,2),""), "")</f>
        <v/>
      </c>
      <c r="AQ20" s="94" t="str">
        <f t="shared" si="40"/>
        <v/>
      </c>
      <c r="AR20" s="94">
        <f t="shared" si="40"/>
        <v>-0.360969379</v>
      </c>
      <c r="AS20" s="94" t="str">
        <f t="shared" si="40"/>
        <v/>
      </c>
      <c r="AT20" s="99" t="str">
        <f t="shared" si="40"/>
        <v>#DIV/0!</v>
      </c>
      <c r="AU20" s="97"/>
    </row>
    <row r="21">
      <c r="A21" s="74" t="str">
        <f>IF(B21=Settings!$D$5,"INICIO",IF(B21=Settings!$D$6,"FIN",""))</f>
        <v/>
      </c>
      <c r="B21" s="75">
        <f>IF(AND(ISNUMBER(B20),B20+1&lt;=Settings!$D$6),B20+1,"")</f>
        <v>44866</v>
      </c>
      <c r="C21" s="76">
        <f t="shared" si="3"/>
        <v>9.428571429</v>
      </c>
      <c r="D21" s="76">
        <f t="shared" si="4"/>
        <v>7</v>
      </c>
      <c r="E21" s="77">
        <f>SUMIF(Historias!$F$6:$F$187,B21,Historias!$G$6:$G$187)</f>
        <v>2</v>
      </c>
      <c r="F21" s="80">
        <f t="shared" si="14"/>
        <v>0.07092198582</v>
      </c>
      <c r="G21" s="78" t="str">
        <f>Settings!A27</f>
        <v>Hacer código SolveGoal</v>
      </c>
      <c r="H21" s="77">
        <f>Settings!D27</f>
        <v>5</v>
      </c>
      <c r="I21" s="77">
        <f>IF(G21 &lt;&gt; "", SUMIF(Historias!$B$6:$B$187,G21,Historias!$G$6:$G$187), "")</f>
        <v>5</v>
      </c>
      <c r="J21" s="77">
        <f>IF(G21 &lt;&gt; "", SUMIF(Historias!$B$6:$B$187,G21,Historias!$H$6:$H$187), "")</f>
        <v>2</v>
      </c>
      <c r="K21" s="101" t="str">
        <f t="shared" si="15"/>
        <v>DONE</v>
      </c>
      <c r="L21" s="80">
        <f t="shared" si="16"/>
        <v>1</v>
      </c>
      <c r="M21" s="93">
        <f t="shared" si="17"/>
        <v>-0.6</v>
      </c>
      <c r="N21" s="91"/>
      <c r="O21" s="94">
        <f t="shared" si="18"/>
        <v>1</v>
      </c>
      <c r="P21" s="95">
        <f t="shared" si="19"/>
        <v>0.25</v>
      </c>
      <c r="Q21" s="96"/>
      <c r="R21" s="94">
        <f>IF(AND($G21 &lt;&gt; "",R$14&lt;&gt;""), SUMIFS(Historias!$H$6:$H$187,Historias!$B$6:$B$187,$G21,Historias!$A$6:$A$187,R$14),"")</f>
        <v>2</v>
      </c>
      <c r="S21" s="94">
        <f>IF(AND($G21 &lt;&gt; "",S$14&lt;&gt;""), SUMIFS(Historias!$H$6:$H$187,Historias!$B$6:$B$187,$G21,Historias!$A$6:$A$187,S$14),"")</f>
        <v>0</v>
      </c>
      <c r="T21" s="94">
        <f>IF(AND($G21 &lt;&gt; "",T$14&lt;&gt;""), SUMIFS(Historias!$H$6:$H$187,Historias!$B$6:$B$187,$G21,Historias!$A$6:$A$187,T$14),"")</f>
        <v>0</v>
      </c>
      <c r="U21" s="94">
        <f>IF(AND($G21 &lt;&gt; "",U$14&lt;&gt;""), SUMIFS(Historias!$H$6:$H$187,Historias!$B$6:$B$187,$G21,Historias!$A$6:$A$187,U$14),"")</f>
        <v>0</v>
      </c>
      <c r="V21" s="94" t="str">
        <f>IF(AND($G21 &lt;&gt; "",V$14&lt;&gt;""), SUMIFS(Historias!$H$6:$H$187,Historias!$B$6:$B$187,$G21,Historias!$A$6:$A$187,V$14),"")</f>
        <v/>
      </c>
      <c r="W21" s="96"/>
      <c r="X21" s="94">
        <f t="shared" ref="X21:AB21" si="41">IF(AND($G21 &lt;&gt;"", X$14&lt;&gt;""), IF(max($R21:$V21)&gt;0,IF(AND(R21 = max($R21:$V21),COUNTIF($R21:$V21,R21)=1), 1 , 0), 0), "")</f>
        <v>1</v>
      </c>
      <c r="Y21" s="94">
        <f t="shared" si="41"/>
        <v>0</v>
      </c>
      <c r="Z21" s="94">
        <f t="shared" si="41"/>
        <v>0</v>
      </c>
      <c r="AA21" s="94">
        <f t="shared" si="41"/>
        <v>0</v>
      </c>
      <c r="AB21" s="94" t="str">
        <f t="shared" si="41"/>
        <v/>
      </c>
      <c r="AC21" s="96"/>
      <c r="AD21" s="94">
        <f t="shared" ref="AD21:AH21" si="42">IF(AND($G21 &lt;&gt;"",AD$14&lt;&gt;""), IF(max($R21:$V21)&gt;0,IF(R21 = $J21, 1 , 0), 0), "")</f>
        <v>1</v>
      </c>
      <c r="AE21" s="94">
        <f t="shared" si="42"/>
        <v>0</v>
      </c>
      <c r="AF21" s="94">
        <f t="shared" si="42"/>
        <v>0</v>
      </c>
      <c r="AG21" s="94">
        <f t="shared" si="42"/>
        <v>0</v>
      </c>
      <c r="AH21" s="94" t="str">
        <f t="shared" si="42"/>
        <v/>
      </c>
      <c r="AI21" s="96"/>
      <c r="AJ21" s="94">
        <f t="shared" ref="AJ21:AN21" si="43">IF($G21 &lt;&gt; "", IF(R21 &gt;0,R21/$J21*log(R21/$J21,2),""), "")</f>
        <v>0</v>
      </c>
      <c r="AK21" s="100" t="str">
        <f t="shared" si="43"/>
        <v/>
      </c>
      <c r="AL21" s="94" t="str">
        <f t="shared" si="43"/>
        <v/>
      </c>
      <c r="AM21" s="94" t="str">
        <f t="shared" si="43"/>
        <v/>
      </c>
      <c r="AN21" s="99" t="str">
        <f t="shared" si="43"/>
        <v>#NUM!</v>
      </c>
      <c r="AO21" s="96" t="str">
        <f t="shared" si="23"/>
        <v>#NUM!</v>
      </c>
      <c r="AP21" s="94">
        <f t="shared" ref="AP21:AT21" si="44">IF($G21 &lt;&gt; "", IF(R21 &gt;0,R21/R$54*log(R21/R$54,2),""), "")</f>
        <v>-0.4822055559</v>
      </c>
      <c r="AQ21" s="100" t="str">
        <f t="shared" si="44"/>
        <v/>
      </c>
      <c r="AR21" s="94" t="str">
        <f t="shared" si="44"/>
        <v/>
      </c>
      <c r="AS21" s="94" t="str">
        <f t="shared" si="44"/>
        <v/>
      </c>
      <c r="AT21" s="99" t="str">
        <f t="shared" si="44"/>
        <v>#DIV/0!</v>
      </c>
      <c r="AU21" s="97"/>
    </row>
    <row r="22">
      <c r="A22" s="74" t="str">
        <f>IF(B22=Settings!$D$5,"INICIO",IF(B22=Settings!$D$6,"FIN",""))</f>
        <v/>
      </c>
      <c r="B22" s="75">
        <f>IF(AND(ISNUMBER(B21),B21+1&lt;=Settings!$D$6),B21+1,"")</f>
        <v>44867</v>
      </c>
      <c r="C22" s="76">
        <f t="shared" si="3"/>
        <v>6.285714286</v>
      </c>
      <c r="D22" s="76">
        <f t="shared" si="4"/>
        <v>5</v>
      </c>
      <c r="E22" s="77">
        <f>SUMIF(Historias!$F$6:$F$187,B22,Historias!$G$6:$G$187)</f>
        <v>12</v>
      </c>
      <c r="F22" s="80">
        <f t="shared" si="14"/>
        <v>0.1134751773</v>
      </c>
      <c r="G22" s="78" t="str">
        <f>Settings!A28</f>
        <v>Completar código SolveProblem</v>
      </c>
      <c r="H22" s="77">
        <f>Settings!D28</f>
        <v>8</v>
      </c>
      <c r="I22" s="77">
        <f>IF(G22 &lt;&gt; "", SUMIF(Historias!$B$6:$B$187,G22,Historias!$G$6:$G$187), "")</f>
        <v>8</v>
      </c>
      <c r="J22" s="77">
        <f>IF(G22 &lt;&gt; "", SUMIF(Historias!$B$6:$B$187,G22,Historias!$H$6:$H$187), "")</f>
        <v>4.5</v>
      </c>
      <c r="K22" s="101" t="str">
        <f t="shared" si="15"/>
        <v>DONE</v>
      </c>
      <c r="L22" s="80">
        <f t="shared" si="16"/>
        <v>1</v>
      </c>
      <c r="M22" s="93">
        <f t="shared" si="17"/>
        <v>-0.4375</v>
      </c>
      <c r="N22" s="91"/>
      <c r="O22" s="94">
        <f t="shared" si="18"/>
        <v>2</v>
      </c>
      <c r="P22" s="95">
        <f t="shared" si="19"/>
        <v>0.5</v>
      </c>
      <c r="Q22" s="96"/>
      <c r="R22" s="94">
        <f>IF(AND($G22 &lt;&gt; "",R$14&lt;&gt;""), SUMIFS(Historias!$H$6:$H$187,Historias!$B$6:$B$187,$G22,Historias!$A$6:$A$187,R$14),"")</f>
        <v>2.5</v>
      </c>
      <c r="S22" s="94">
        <f>IF(AND($G22 &lt;&gt; "",S$14&lt;&gt;""), SUMIFS(Historias!$H$6:$H$187,Historias!$B$6:$B$187,$G22,Historias!$A$6:$A$187,S$14),"")</f>
        <v>2</v>
      </c>
      <c r="T22" s="94">
        <f>IF(AND($G22 &lt;&gt; "",T$14&lt;&gt;""), SUMIFS(Historias!$H$6:$H$187,Historias!$B$6:$B$187,$G22,Historias!$A$6:$A$187,T$14),"")</f>
        <v>0</v>
      </c>
      <c r="U22" s="94">
        <f>IF(AND($G22 &lt;&gt; "",U$14&lt;&gt;""), SUMIFS(Historias!$H$6:$H$187,Historias!$B$6:$B$187,$G22,Historias!$A$6:$A$187,U$14),"")</f>
        <v>0</v>
      </c>
      <c r="V22" s="94" t="str">
        <f>IF(AND($G22 &lt;&gt; "",V$14&lt;&gt;""), SUMIFS(Historias!$H$6:$H$187,Historias!$B$6:$B$187,$G22,Historias!$A$6:$A$187,V$14),"")</f>
        <v/>
      </c>
      <c r="W22" s="96"/>
      <c r="X22" s="94">
        <f t="shared" ref="X22:AB22" si="45">IF(AND($G22 &lt;&gt;"", X$14&lt;&gt;""), IF(max($R22:$V22)&gt;0,IF(AND(R22 = max($R22:$V22),COUNTIF($R22:$V22,R22)=1), 1 , 0), 0), "")</f>
        <v>1</v>
      </c>
      <c r="Y22" s="94">
        <f t="shared" si="45"/>
        <v>0</v>
      </c>
      <c r="Z22" s="94">
        <f t="shared" si="45"/>
        <v>0</v>
      </c>
      <c r="AA22" s="94">
        <f t="shared" si="45"/>
        <v>0</v>
      </c>
      <c r="AB22" s="94" t="str">
        <f t="shared" si="45"/>
        <v/>
      </c>
      <c r="AC22" s="96"/>
      <c r="AD22" s="94">
        <f t="shared" ref="AD22:AH22" si="46">IF(AND($G22 &lt;&gt;"",AD$14&lt;&gt;""), IF(max($R22:$V22)&gt;0,IF(R22 = $J22, 1 , 0), 0), "")</f>
        <v>0</v>
      </c>
      <c r="AE22" s="94">
        <f t="shared" si="46"/>
        <v>0</v>
      </c>
      <c r="AF22" s="94">
        <f t="shared" si="46"/>
        <v>0</v>
      </c>
      <c r="AG22" s="94">
        <f t="shared" si="46"/>
        <v>0</v>
      </c>
      <c r="AH22" s="94" t="str">
        <f t="shared" si="46"/>
        <v/>
      </c>
      <c r="AI22" s="96"/>
      <c r="AJ22" s="94">
        <f t="shared" ref="AJ22:AN22" si="47">IF($G22 &lt;&gt; "", IF(R22 &gt;0,R22/$J22*log(R22/$J22,2),""), "")</f>
        <v>-0.4711093925</v>
      </c>
      <c r="AK22" s="94">
        <f t="shared" si="47"/>
        <v>-0.5199666673</v>
      </c>
      <c r="AL22" s="94" t="str">
        <f t="shared" si="47"/>
        <v/>
      </c>
      <c r="AM22" s="94" t="str">
        <f t="shared" si="47"/>
        <v/>
      </c>
      <c r="AN22" s="94" t="str">
        <f t="shared" si="47"/>
        <v>#NUM!</v>
      </c>
      <c r="AO22" s="96" t="str">
        <f t="shared" si="23"/>
        <v>#NUM!</v>
      </c>
      <c r="AP22" s="94">
        <f t="shared" ref="AP22:AT22" si="48">IF($G22 &lt;&gt; "", IF(R22 &gt;0,R22/R$54*log(R22/R$54,2),""), "")</f>
        <v>-0.513332474</v>
      </c>
      <c r="AQ22" s="94">
        <f t="shared" si="48"/>
        <v>-0.375</v>
      </c>
      <c r="AR22" s="94" t="str">
        <f t="shared" si="48"/>
        <v/>
      </c>
      <c r="AS22" s="94" t="str">
        <f t="shared" si="48"/>
        <v/>
      </c>
      <c r="AT22" s="94" t="str">
        <f t="shared" si="48"/>
        <v>#DIV/0!</v>
      </c>
      <c r="AU22" s="97"/>
    </row>
    <row r="23">
      <c r="A23" s="74" t="str">
        <f>IF(B23=Settings!$D$5,"INICIO",IF(B23=Settings!$D$6,"FIN",""))</f>
        <v/>
      </c>
      <c r="B23" s="75">
        <f>IF(AND(ISNUMBER(B22),B22+1&lt;=Settings!$D$6),B22+1,"")</f>
        <v>44868</v>
      </c>
      <c r="C23" s="76">
        <f t="shared" si="3"/>
        <v>3.142857143</v>
      </c>
      <c r="D23" s="76">
        <f t="shared" si="4"/>
        <v>-7</v>
      </c>
      <c r="E23" s="77">
        <f>SUMIF(Historias!$F$6:$F$187,B23,Historias!$G$6:$G$187)</f>
        <v>8</v>
      </c>
      <c r="F23" s="80">
        <f t="shared" si="14"/>
        <v>0.02836879433</v>
      </c>
      <c r="G23" s="78" t="str">
        <f>Settings!A29</f>
        <v>Añadir NPC</v>
      </c>
      <c r="H23" s="77">
        <f>Settings!D29</f>
        <v>2</v>
      </c>
      <c r="I23" s="77">
        <f>IF(G23 &lt;&gt; "", SUMIF(Historias!$B$6:$B$187,G23,Historias!$G$6:$G$187), "")</f>
        <v>2</v>
      </c>
      <c r="J23" s="77">
        <f>IF(G23 &lt;&gt; "", SUMIF(Historias!$B$6:$B$187,G23,Historias!$H$6:$H$187), "")</f>
        <v>1</v>
      </c>
      <c r="K23" s="101" t="str">
        <f t="shared" si="15"/>
        <v>DONE</v>
      </c>
      <c r="L23" s="80">
        <f t="shared" si="16"/>
        <v>1</v>
      </c>
      <c r="M23" s="93">
        <f t="shared" si="17"/>
        <v>-0.5</v>
      </c>
      <c r="N23" s="91"/>
      <c r="O23" s="94">
        <f t="shared" si="18"/>
        <v>1</v>
      </c>
      <c r="P23" s="95">
        <f t="shared" si="19"/>
        <v>0.25</v>
      </c>
      <c r="Q23" s="96"/>
      <c r="R23" s="94">
        <f>IF(AND($G23 &lt;&gt; "",R$14&lt;&gt;""), SUMIFS(Historias!$H$6:$H$187,Historias!$B$6:$B$187,$G23,Historias!$A$6:$A$187,R$14),"")</f>
        <v>1</v>
      </c>
      <c r="S23" s="94">
        <f>IF(AND($G23 &lt;&gt; "",S$14&lt;&gt;""), SUMIFS(Historias!$H$6:$H$187,Historias!$B$6:$B$187,$G23,Historias!$A$6:$A$187,S$14),"")</f>
        <v>0</v>
      </c>
      <c r="T23" s="94">
        <f>IF(AND($G23 &lt;&gt; "",T$14&lt;&gt;""), SUMIFS(Historias!$H$6:$H$187,Historias!$B$6:$B$187,$G23,Historias!$A$6:$A$187,T$14),"")</f>
        <v>0</v>
      </c>
      <c r="U23" s="94">
        <f>IF(AND($G23 &lt;&gt; "",U$14&lt;&gt;""), SUMIFS(Historias!$H$6:$H$187,Historias!$B$6:$B$187,$G23,Historias!$A$6:$A$187,U$14),"")</f>
        <v>0</v>
      </c>
      <c r="V23" s="94" t="str">
        <f>IF(AND($G23 &lt;&gt; "",V$14&lt;&gt;""), SUMIFS(Historias!$H$6:$H$187,Historias!$B$6:$B$187,$G23,Historias!$A$6:$A$187,V$14),"")</f>
        <v/>
      </c>
      <c r="W23" s="96"/>
      <c r="X23" s="94">
        <f t="shared" ref="X23:AB23" si="49">IF(AND($G23 &lt;&gt;"", X$14&lt;&gt;""), IF(max($R23:$V23)&gt;0,IF(AND(R23 = max($R23:$V23),COUNTIF($R23:$V23,R23)=1), 1 , 0), 0), "")</f>
        <v>1</v>
      </c>
      <c r="Y23" s="94">
        <f t="shared" si="49"/>
        <v>0</v>
      </c>
      <c r="Z23" s="94">
        <f t="shared" si="49"/>
        <v>0</v>
      </c>
      <c r="AA23" s="94">
        <f t="shared" si="49"/>
        <v>0</v>
      </c>
      <c r="AB23" s="94" t="str">
        <f t="shared" si="49"/>
        <v/>
      </c>
      <c r="AC23" s="96"/>
      <c r="AD23" s="94">
        <f t="shared" ref="AD23:AH23" si="50">IF(AND($G23 &lt;&gt;"",AD$14&lt;&gt;""), IF(max($R23:$V23)&gt;0,IF(R23 = $J23, 1 , 0), 0), "")</f>
        <v>1</v>
      </c>
      <c r="AE23" s="94">
        <f t="shared" si="50"/>
        <v>0</v>
      </c>
      <c r="AF23" s="94">
        <f t="shared" si="50"/>
        <v>0</v>
      </c>
      <c r="AG23" s="94">
        <f t="shared" si="50"/>
        <v>0</v>
      </c>
      <c r="AH23" s="94" t="str">
        <f t="shared" si="50"/>
        <v/>
      </c>
      <c r="AI23" s="96"/>
      <c r="AJ23" s="94">
        <f t="shared" ref="AJ23:AN23" si="51">IF($G23 &lt;&gt; "", IF(R23 &gt;0,R23/$J23*log(R23/$J23,2),""), "")</f>
        <v>0</v>
      </c>
      <c r="AK23" s="94" t="str">
        <f t="shared" si="51"/>
        <v/>
      </c>
      <c r="AL23" s="94" t="str">
        <f t="shared" si="51"/>
        <v/>
      </c>
      <c r="AM23" s="100" t="str">
        <f t="shared" si="51"/>
        <v/>
      </c>
      <c r="AN23" s="99" t="str">
        <f t="shared" si="51"/>
        <v>#NUM!</v>
      </c>
      <c r="AO23" s="96" t="str">
        <f t="shared" si="23"/>
        <v>#NUM!</v>
      </c>
      <c r="AP23" s="94">
        <f t="shared" ref="AP23:AT23" si="52">IF($G23 &lt;&gt; "", IF(R23 &gt;0,R23/R$54*log(R23/R$54,2),""), "")</f>
        <v>-0.352213889</v>
      </c>
      <c r="AQ23" s="94" t="str">
        <f t="shared" si="52"/>
        <v/>
      </c>
      <c r="AR23" s="94" t="str">
        <f t="shared" si="52"/>
        <v/>
      </c>
      <c r="AS23" s="100" t="str">
        <f t="shared" si="52"/>
        <v/>
      </c>
      <c r="AT23" s="99" t="str">
        <f t="shared" si="52"/>
        <v>#DIV/0!</v>
      </c>
      <c r="AU23" s="97"/>
    </row>
    <row r="24">
      <c r="A24" s="74" t="str">
        <f>IF(B24=Settings!$D$5,"INICIO",IF(B24=Settings!$D$6,"FIN",""))</f>
        <v>FIN</v>
      </c>
      <c r="B24" s="75">
        <f>IF(AND(ISNUMBER(B23),B23+1&lt;=Settings!$D$6),B23+1,"")</f>
        <v>44869</v>
      </c>
      <c r="C24" s="76">
        <f t="shared" si="3"/>
        <v>0</v>
      </c>
      <c r="D24" s="76">
        <f t="shared" si="4"/>
        <v>-15</v>
      </c>
      <c r="E24" s="77">
        <f>SUMIF(Historias!$F$6:$F$187,B24,Historias!$G$6:$G$187)</f>
        <v>0</v>
      </c>
      <c r="F24" s="80">
        <f t="shared" si="14"/>
        <v>0.06382978723</v>
      </c>
      <c r="G24" s="78" t="str">
        <f>Settings!A30</f>
        <v>Comprobar funcionamiento</v>
      </c>
      <c r="H24" s="77">
        <f>Settings!D30</f>
        <v>2</v>
      </c>
      <c r="I24" s="77">
        <f>IF(G24 &lt;&gt; "", SUMIF(Historias!$B$6:$B$187,G24,Historias!$G$6:$G$187), "")</f>
        <v>4.5</v>
      </c>
      <c r="J24" s="77">
        <f>IF(G24 &lt;&gt; "", SUMIF(Historias!$B$6:$B$187,G24,Historias!$H$6:$H$187), "")</f>
        <v>4.5</v>
      </c>
      <c r="K24" s="101" t="str">
        <f t="shared" si="15"/>
        <v>DONE</v>
      </c>
      <c r="L24" s="80">
        <f t="shared" si="16"/>
        <v>2.25</v>
      </c>
      <c r="M24" s="93">
        <f t="shared" si="17"/>
        <v>0</v>
      </c>
      <c r="N24" s="91"/>
      <c r="O24" s="94">
        <f t="shared" si="18"/>
        <v>4</v>
      </c>
      <c r="P24" s="95">
        <f t="shared" si="19"/>
        <v>1</v>
      </c>
      <c r="Q24" s="96"/>
      <c r="R24" s="94">
        <f>IF(AND($G24 &lt;&gt; "",R$14&lt;&gt;""), SUMIFS(Historias!$H$6:$H$187,Historias!$B$6:$B$187,$G24,Historias!$A$6:$A$187,R$14),"")</f>
        <v>1</v>
      </c>
      <c r="S24" s="94">
        <f>IF(AND($G24 &lt;&gt; "",S$14&lt;&gt;""), SUMIFS(Historias!$H$6:$H$187,Historias!$B$6:$B$187,$G24,Historias!$A$6:$A$187,S$14),"")</f>
        <v>2</v>
      </c>
      <c r="T24" s="94">
        <f>IF(AND($G24 &lt;&gt; "",T$14&lt;&gt;""), SUMIFS(Historias!$H$6:$H$187,Historias!$B$6:$B$187,$G24,Historias!$A$6:$A$187,T$14),"")</f>
        <v>1</v>
      </c>
      <c r="U24" s="94">
        <f>IF(AND($G24 &lt;&gt; "",U$14&lt;&gt;""), SUMIFS(Historias!$H$6:$H$187,Historias!$B$6:$B$187,$G24,Historias!$A$6:$A$187,U$14),"")</f>
        <v>0.5</v>
      </c>
      <c r="V24" s="94" t="str">
        <f>IF(AND($G24 &lt;&gt; "",V$14&lt;&gt;""), SUMIFS(Historias!$H$6:$H$187,Historias!$B$6:$B$187,$G24,Historias!$A$6:$A$187,V$14),"")</f>
        <v/>
      </c>
      <c r="W24" s="96"/>
      <c r="X24" s="94">
        <f t="shared" ref="X24:AB24" si="53">IF(AND($G24 &lt;&gt;"", X$14&lt;&gt;""), IF(max($R24:$V24)&gt;0,IF(AND(R24 = max($R24:$V24),COUNTIF($R24:$V24,R24)=1), 1 , 0), 0), "")</f>
        <v>0</v>
      </c>
      <c r="Y24" s="94">
        <f t="shared" si="53"/>
        <v>1</v>
      </c>
      <c r="Z24" s="94">
        <f t="shared" si="53"/>
        <v>0</v>
      </c>
      <c r="AA24" s="94">
        <f t="shared" si="53"/>
        <v>0</v>
      </c>
      <c r="AB24" s="94" t="str">
        <f t="shared" si="53"/>
        <v/>
      </c>
      <c r="AC24" s="96"/>
      <c r="AD24" s="94">
        <f t="shared" ref="AD24:AH24" si="54">IF(AND($G24 &lt;&gt;"",AD$14&lt;&gt;""), IF(max($R24:$V24)&gt;0,IF(R24 = $J24, 1 , 0), 0), "")</f>
        <v>0</v>
      </c>
      <c r="AE24" s="94">
        <f t="shared" si="54"/>
        <v>0</v>
      </c>
      <c r="AF24" s="94">
        <f t="shared" si="54"/>
        <v>0</v>
      </c>
      <c r="AG24" s="94">
        <f t="shared" si="54"/>
        <v>0</v>
      </c>
      <c r="AH24" s="94" t="str">
        <f t="shared" si="54"/>
        <v/>
      </c>
      <c r="AI24" s="96"/>
      <c r="AJ24" s="94">
        <f t="shared" ref="AJ24:AN24" si="55">IF($G24 &lt;&gt; "", IF(R24 &gt;0,R24/$J24*log(R24/$J24,2),""), "")</f>
        <v>-0.4822055559</v>
      </c>
      <c r="AK24" s="94">
        <f t="shared" si="55"/>
        <v>-0.5199666673</v>
      </c>
      <c r="AL24" s="94">
        <f t="shared" si="55"/>
        <v>-0.4822055559</v>
      </c>
      <c r="AM24" s="94">
        <f t="shared" si="55"/>
        <v>-0.352213889</v>
      </c>
      <c r="AN24" s="99" t="str">
        <f t="shared" si="55"/>
        <v>#NUM!</v>
      </c>
      <c r="AO24" s="96" t="str">
        <f t="shared" si="23"/>
        <v>#NUM!</v>
      </c>
      <c r="AP24" s="94">
        <f t="shared" ref="AP24:AT24" si="56">IF($G24 &lt;&gt; "", IF(R24 &gt;0,R24/R$54*log(R24/R$54,2),""), "")</f>
        <v>-0.352213889</v>
      </c>
      <c r="AQ24" s="94">
        <f t="shared" si="56"/>
        <v>-0.375</v>
      </c>
      <c r="AR24" s="94">
        <f t="shared" si="56"/>
        <v>-0.2058727793</v>
      </c>
      <c r="AS24" s="94">
        <f t="shared" si="56"/>
        <v>-0.2091579725</v>
      </c>
      <c r="AT24" s="99" t="str">
        <f t="shared" si="56"/>
        <v>#DIV/0!</v>
      </c>
      <c r="AU24" s="97"/>
    </row>
    <row r="25">
      <c r="A25" s="74" t="str">
        <f>IF(B25=Settings!$D$5,"INICIO",IF(B25=Settings!$D$6,"FIN",""))</f>
        <v/>
      </c>
      <c r="B25" s="75" t="str">
        <f>IF(AND(ISNUMBER(B24),B24+1&lt;=Settings!$D$6),B24+1,"")</f>
        <v/>
      </c>
      <c r="C25" s="76">
        <f t="shared" si="3"/>
        <v>-3.142857143</v>
      </c>
      <c r="D25" s="76" t="str">
        <f t="shared" si="4"/>
        <v/>
      </c>
      <c r="E25" s="77">
        <f>SUMIF(Historias!$F$6:$F$187,B25,Historias!$G$6:$G$187)</f>
        <v>0</v>
      </c>
      <c r="F25" s="80">
        <f t="shared" si="14"/>
        <v>0.04255319149</v>
      </c>
      <c r="G25" s="78" t="str">
        <f>Settings!A31</f>
        <v>Memoria</v>
      </c>
      <c r="H25" s="77">
        <f>Settings!D31</f>
        <v>3</v>
      </c>
      <c r="I25" s="77">
        <f>IF(G25 &lt;&gt; "", SUMIF(Historias!$B$6:$B$187,G25,Historias!$G$6:$G$187), "")</f>
        <v>3</v>
      </c>
      <c r="J25" s="77">
        <f>IF(G25 &lt;&gt; "", SUMIF(Historias!$B$6:$B$187,G25,Historias!$H$6:$H$187), "")</f>
        <v>3</v>
      </c>
      <c r="K25" s="101" t="str">
        <f t="shared" si="15"/>
        <v>DONE</v>
      </c>
      <c r="L25" s="80">
        <f t="shared" si="16"/>
        <v>1</v>
      </c>
      <c r="M25" s="93">
        <f t="shared" si="17"/>
        <v>0</v>
      </c>
      <c r="N25" s="91"/>
      <c r="O25" s="94">
        <f t="shared" si="18"/>
        <v>1</v>
      </c>
      <c r="P25" s="95">
        <f t="shared" si="19"/>
        <v>0.25</v>
      </c>
      <c r="Q25" s="96"/>
      <c r="R25" s="94">
        <f>IF(AND($G25 &lt;&gt; "",R$14&lt;&gt;""), SUMIFS(Historias!$H$6:$H$187,Historias!$B$6:$B$187,$G25,Historias!$A$6:$A$187,R$14),"")</f>
        <v>0</v>
      </c>
      <c r="S25" s="94">
        <f>IF(AND($G25 &lt;&gt; "",S$14&lt;&gt;""), SUMIFS(Historias!$H$6:$H$187,Historias!$B$6:$B$187,$G25,Historias!$A$6:$A$187,S$14),"")</f>
        <v>0</v>
      </c>
      <c r="T25" s="94">
        <f>IF(AND($G25 &lt;&gt; "",T$14&lt;&gt;""), SUMIFS(Historias!$H$6:$H$187,Historias!$B$6:$B$187,$G25,Historias!$A$6:$A$187,T$14),"")</f>
        <v>3</v>
      </c>
      <c r="U25" s="94">
        <f>IF(AND($G25 &lt;&gt; "",U$14&lt;&gt;""), SUMIFS(Historias!$H$6:$H$187,Historias!$B$6:$B$187,$G25,Historias!$A$6:$A$187,U$14),"")</f>
        <v>0</v>
      </c>
      <c r="V25" s="94" t="str">
        <f>IF(AND($G25 &lt;&gt; "",V$14&lt;&gt;""), SUMIFS(Historias!$H$6:$H$187,Historias!$B$6:$B$187,$G25,Historias!$A$6:$A$187,V$14),"")</f>
        <v/>
      </c>
      <c r="W25" s="96"/>
      <c r="X25" s="94">
        <f t="shared" ref="X25:AB25" si="57">IF(AND($G25 &lt;&gt;"", X$14&lt;&gt;""), IF(max($R25:$V25)&gt;0,IF(AND(R25 = max($R25:$V25),COUNTIF($R25:$V25,R25)=1), 1 , 0), 0), "")</f>
        <v>0</v>
      </c>
      <c r="Y25" s="94">
        <f t="shared" si="57"/>
        <v>0</v>
      </c>
      <c r="Z25" s="94">
        <f t="shared" si="57"/>
        <v>1</v>
      </c>
      <c r="AA25" s="94">
        <f t="shared" si="57"/>
        <v>0</v>
      </c>
      <c r="AB25" s="94" t="str">
        <f t="shared" si="57"/>
        <v/>
      </c>
      <c r="AC25" s="96"/>
      <c r="AD25" s="94">
        <f t="shared" ref="AD25:AH25" si="58">IF(AND($G25 &lt;&gt;"",AD$14&lt;&gt;""), IF(max($R25:$V25)&gt;0,IF(R25 = $J25, 1 , 0), 0), "")</f>
        <v>0</v>
      </c>
      <c r="AE25" s="94">
        <f t="shared" si="58"/>
        <v>0</v>
      </c>
      <c r="AF25" s="94">
        <f t="shared" si="58"/>
        <v>1</v>
      </c>
      <c r="AG25" s="94">
        <f t="shared" si="58"/>
        <v>0</v>
      </c>
      <c r="AH25" s="94" t="str">
        <f t="shared" si="58"/>
        <v/>
      </c>
      <c r="AI25" s="96"/>
      <c r="AJ25" s="94" t="str">
        <f t="shared" ref="AJ25:AN25" si="59">IF($G25 &lt;&gt; "", IF(R25 &gt;0,R25/$J25*log(R25/$J25,2),""), "")</f>
        <v/>
      </c>
      <c r="AK25" s="94" t="str">
        <f t="shared" si="59"/>
        <v/>
      </c>
      <c r="AL25" s="94">
        <f t="shared" si="59"/>
        <v>0</v>
      </c>
      <c r="AM25" s="94" t="str">
        <f t="shared" si="59"/>
        <v/>
      </c>
      <c r="AN25" s="99" t="str">
        <f t="shared" si="59"/>
        <v>#NUM!</v>
      </c>
      <c r="AO25" s="96" t="str">
        <f t="shared" si="23"/>
        <v>#NUM!</v>
      </c>
      <c r="AP25" s="94" t="str">
        <f t="shared" ref="AP25:AT25" si="60">IF($G25 &lt;&gt; "", IF(R25 &gt;0,R25/R$54*log(R25/R$54,2),""), "")</f>
        <v/>
      </c>
      <c r="AQ25" s="94" t="str">
        <f t="shared" si="60"/>
        <v/>
      </c>
      <c r="AR25" s="94">
        <f t="shared" si="60"/>
        <v>-0.3964607796</v>
      </c>
      <c r="AS25" s="94" t="str">
        <f t="shared" si="60"/>
        <v/>
      </c>
      <c r="AT25" s="99" t="str">
        <f t="shared" si="60"/>
        <v>#DIV/0!</v>
      </c>
      <c r="AU25" s="97"/>
    </row>
    <row r="26">
      <c r="A26" s="74" t="str">
        <f>IF(B26=Settings!$D$5,"INICIO",IF(B26=Settings!$D$6,"FIN",""))</f>
        <v/>
      </c>
      <c r="B26" s="75" t="str">
        <f>IF(AND(ISNUMBER(B25),B25+1&lt;=Settings!$D$6),B25+1,"")</f>
        <v/>
      </c>
      <c r="C26" s="76">
        <f t="shared" si="3"/>
        <v>-6.285714286</v>
      </c>
      <c r="D26" s="76" t="str">
        <f t="shared" si="4"/>
        <v/>
      </c>
      <c r="E26" s="77">
        <f>SUMIF(Historias!$F$6:$F$187,B26,Historias!$G$6:$G$187)</f>
        <v>0</v>
      </c>
      <c r="F26" s="80">
        <f t="shared" si="14"/>
        <v>0.1843971631</v>
      </c>
      <c r="G26" s="78" t="str">
        <f>Settings!A32</f>
        <v>Crear vídeo y presentacion</v>
      </c>
      <c r="H26" s="77">
        <f>Settings!D32</f>
        <v>8</v>
      </c>
      <c r="I26" s="77">
        <f>IF(G26 &lt;&gt; "", SUMIF(Historias!$B$6:$B$187,G26,Historias!$G$6:$G$187), "")</f>
        <v>13</v>
      </c>
      <c r="J26" s="77">
        <f>IF(G26 &lt;&gt; "", SUMIF(Historias!$B$6:$B$187,G26,Historias!$H$6:$H$187), "")</f>
        <v>13</v>
      </c>
      <c r="K26" s="101" t="str">
        <f t="shared" si="15"/>
        <v>DONE</v>
      </c>
      <c r="L26" s="80">
        <f t="shared" si="16"/>
        <v>1.625</v>
      </c>
      <c r="M26" s="93">
        <f t="shared" si="17"/>
        <v>0</v>
      </c>
      <c r="N26" s="91"/>
      <c r="O26" s="94">
        <f t="shared" si="18"/>
        <v>3</v>
      </c>
      <c r="P26" s="95">
        <f t="shared" si="19"/>
        <v>0.75</v>
      </c>
      <c r="Q26" s="96"/>
      <c r="R26" s="94">
        <f>IF(AND($G26 &lt;&gt; "",R$14&lt;&gt;""), SUMIFS(Historias!$H$6:$H$187,Historias!$B$6:$B$187,$G26,Historias!$A$6:$A$187,R$14),"")</f>
        <v>0</v>
      </c>
      <c r="S26" s="94">
        <f>IF(AND($G26 &lt;&gt; "",S$14&lt;&gt;""), SUMIFS(Historias!$H$6:$H$187,Historias!$B$6:$B$187,$G26,Historias!$A$6:$A$187,S$14),"")</f>
        <v>6</v>
      </c>
      <c r="T26" s="94">
        <f>IF(AND($G26 &lt;&gt; "",T$14&lt;&gt;""), SUMIFS(Historias!$H$6:$H$187,Historias!$B$6:$B$187,$G26,Historias!$A$6:$A$187,T$14),"")</f>
        <v>3</v>
      </c>
      <c r="U26" s="94">
        <f>IF(AND($G26 &lt;&gt; "",U$14&lt;&gt;""), SUMIFS(Historias!$H$6:$H$187,Historias!$B$6:$B$187,$G26,Historias!$A$6:$A$187,U$14),"")</f>
        <v>4</v>
      </c>
      <c r="V26" s="94" t="str">
        <f>IF(AND($G26 &lt;&gt; "",V$14&lt;&gt;""), SUMIFS(Historias!$H$6:$H$187,Historias!$B$6:$B$187,$G26,Historias!$A$6:$A$187,V$14),"")</f>
        <v/>
      </c>
      <c r="W26" s="96"/>
      <c r="X26" s="94">
        <f t="shared" ref="X26:AB26" si="61">IF(AND($G26 &lt;&gt;"", X$14&lt;&gt;""), IF(max($R26:$V26)&gt;0,IF(AND(R26 = max($R26:$V26),COUNTIF($R26:$V26,R26)=1), 1 , 0), 0), "")</f>
        <v>0</v>
      </c>
      <c r="Y26" s="94">
        <f t="shared" si="61"/>
        <v>1</v>
      </c>
      <c r="Z26" s="94">
        <f t="shared" si="61"/>
        <v>0</v>
      </c>
      <c r="AA26" s="94">
        <f t="shared" si="61"/>
        <v>0</v>
      </c>
      <c r="AB26" s="94" t="str">
        <f t="shared" si="61"/>
        <v/>
      </c>
      <c r="AC26" s="96"/>
      <c r="AD26" s="94">
        <f t="shared" ref="AD26:AH26" si="62">IF(AND($G26 &lt;&gt;"",AD$14&lt;&gt;""), IF(max($R26:$V26)&gt;0,IF(R26 = $J26, 1 , 0), 0), "")</f>
        <v>0</v>
      </c>
      <c r="AE26" s="94">
        <f t="shared" si="62"/>
        <v>0</v>
      </c>
      <c r="AF26" s="94">
        <f t="shared" si="62"/>
        <v>0</v>
      </c>
      <c r="AG26" s="94">
        <f t="shared" si="62"/>
        <v>0</v>
      </c>
      <c r="AH26" s="94" t="str">
        <f t="shared" si="62"/>
        <v/>
      </c>
      <c r="AI26" s="96"/>
      <c r="AJ26" s="94" t="str">
        <f t="shared" ref="AJ26:AN26" si="63">IF($G26 &lt;&gt; "", IF(R26 &gt;0,R26/$J26*log(R26/$J26,2),""), "")</f>
        <v/>
      </c>
      <c r="AK26" s="100">
        <f t="shared" si="63"/>
        <v>-0.5148356388</v>
      </c>
      <c r="AL26" s="94">
        <f t="shared" si="63"/>
        <v>-0.4881870502</v>
      </c>
      <c r="AM26" s="94">
        <f t="shared" si="63"/>
        <v>-0.523212221</v>
      </c>
      <c r="AN26" s="99" t="str">
        <f t="shared" si="63"/>
        <v>#NUM!</v>
      </c>
      <c r="AO26" s="96" t="str">
        <f t="shared" si="23"/>
        <v>#NUM!</v>
      </c>
      <c r="AP26" s="94" t="str">
        <f t="shared" ref="AP26:AT26" si="64">IF($G26 &lt;&gt; "", IF(R26 &gt;0,R26/R$54*log(R26/R$54,2),""), "")</f>
        <v/>
      </c>
      <c r="AQ26" s="100">
        <f t="shared" si="64"/>
        <v>-0.5306390622</v>
      </c>
      <c r="AR26" s="94">
        <f t="shared" si="64"/>
        <v>-0.3964607796</v>
      </c>
      <c r="AS26" s="94">
        <f t="shared" si="64"/>
        <v>-0.5304066372</v>
      </c>
      <c r="AT26" s="99" t="str">
        <f t="shared" si="64"/>
        <v>#DIV/0!</v>
      </c>
      <c r="AU26" s="97"/>
    </row>
    <row r="27">
      <c r="A27" s="74" t="str">
        <f>IF(B27=Settings!$D$5,"INICIO",IF(B27=Settings!$D$6,"FIN",""))</f>
        <v/>
      </c>
      <c r="B27" s="75" t="str">
        <f>IF(AND(ISNUMBER(B26),B26+1&lt;=Settings!$D$6),B26+1,"")</f>
        <v/>
      </c>
      <c r="C27" s="76">
        <f t="shared" si="3"/>
        <v>-9.428571429</v>
      </c>
      <c r="D27" s="76" t="str">
        <f t="shared" si="4"/>
        <v/>
      </c>
      <c r="E27" s="77">
        <f>SUMIF(Historias!$F$6:$F$187,B27,Historias!$G$6:$G$187)</f>
        <v>0</v>
      </c>
      <c r="F27" s="80">
        <f t="shared" si="14"/>
        <v>0.04255319149</v>
      </c>
      <c r="G27" s="78" t="str">
        <f>Settings!A33</f>
        <v>Mejorar tiempo de ejecucion</v>
      </c>
      <c r="H27" s="77">
        <f>Settings!D33</f>
        <v>3</v>
      </c>
      <c r="I27" s="77">
        <f>IF(G27 &lt;&gt; "", SUMIF(Historias!$B$6:$B$187,G27,Historias!$G$6:$G$187), "")</f>
        <v>3</v>
      </c>
      <c r="J27" s="77">
        <f>IF(G27 &lt;&gt; "", SUMIF(Historias!$B$6:$B$187,G27,Historias!$H$6:$H$187), "")</f>
        <v>1.5</v>
      </c>
      <c r="K27" s="101" t="str">
        <f t="shared" si="15"/>
        <v>DONE</v>
      </c>
      <c r="L27" s="80">
        <f t="shared" si="16"/>
        <v>1</v>
      </c>
      <c r="M27" s="93">
        <f t="shared" si="17"/>
        <v>-0.5</v>
      </c>
      <c r="N27" s="91"/>
      <c r="O27" s="94">
        <f t="shared" si="18"/>
        <v>1</v>
      </c>
      <c r="P27" s="95">
        <f t="shared" si="19"/>
        <v>0.25</v>
      </c>
      <c r="Q27" s="96"/>
      <c r="R27" s="94">
        <f>IF(AND($G27 &lt;&gt; "",R$14&lt;&gt;""), SUMIFS(Historias!$H$6:$H$187,Historias!$B$6:$B$187,$G27,Historias!$A$6:$A$187,R$14),"")</f>
        <v>0</v>
      </c>
      <c r="S27" s="94">
        <f>IF(AND($G27 &lt;&gt; "",S$14&lt;&gt;""), SUMIFS(Historias!$H$6:$H$187,Historias!$B$6:$B$187,$G27,Historias!$A$6:$A$187,S$14),"")</f>
        <v>0</v>
      </c>
      <c r="T27" s="94">
        <f>IF(AND($G27 &lt;&gt; "",T$14&lt;&gt;""), SUMIFS(Historias!$H$6:$H$187,Historias!$B$6:$B$187,$G27,Historias!$A$6:$A$187,T$14),"")</f>
        <v>0</v>
      </c>
      <c r="U27" s="94">
        <f>IF(AND($G27 &lt;&gt; "",U$14&lt;&gt;""), SUMIFS(Historias!$H$6:$H$187,Historias!$B$6:$B$187,$G27,Historias!$A$6:$A$187,U$14),"")</f>
        <v>1.5</v>
      </c>
      <c r="V27" s="94" t="str">
        <f>IF(AND($G27 &lt;&gt; "",V$14&lt;&gt;""), SUMIFS(Historias!$H$6:$H$187,Historias!$B$6:$B$187,$G27,Historias!$A$6:$A$187,V$14),"")</f>
        <v/>
      </c>
      <c r="W27" s="96"/>
      <c r="X27" s="94">
        <f t="shared" ref="X27:AB27" si="65">IF(AND($G27 &lt;&gt;"", X$14&lt;&gt;""), IF(max($R27:$V27)&gt;0,IF(AND(R27 = max($R27:$V27),COUNTIF($R27:$V27,R27)=1), 1 , 0), 0), "")</f>
        <v>0</v>
      </c>
      <c r="Y27" s="94">
        <f t="shared" si="65"/>
        <v>0</v>
      </c>
      <c r="Z27" s="94">
        <f t="shared" si="65"/>
        <v>0</v>
      </c>
      <c r="AA27" s="94">
        <f t="shared" si="65"/>
        <v>1</v>
      </c>
      <c r="AB27" s="94" t="str">
        <f t="shared" si="65"/>
        <v/>
      </c>
      <c r="AC27" s="96"/>
      <c r="AD27" s="94">
        <f t="shared" ref="AD27:AH27" si="66">IF(AND($G27 &lt;&gt;"",AD$14&lt;&gt;""), IF(max($R27:$V27)&gt;0,IF(R27 = $J27, 1 , 0), 0), "")</f>
        <v>0</v>
      </c>
      <c r="AE27" s="94">
        <f t="shared" si="66"/>
        <v>0</v>
      </c>
      <c r="AF27" s="94">
        <f t="shared" si="66"/>
        <v>0</v>
      </c>
      <c r="AG27" s="94">
        <f t="shared" si="66"/>
        <v>1</v>
      </c>
      <c r="AH27" s="94" t="str">
        <f t="shared" si="66"/>
        <v/>
      </c>
      <c r="AI27" s="96"/>
      <c r="AJ27" s="94" t="str">
        <f t="shared" ref="AJ27:AN27" si="67">IF($G27 &lt;&gt; "", IF(R27 &gt;0,R27/$J27*log(R27/$J27,2),""), "")</f>
        <v/>
      </c>
      <c r="AK27" s="94" t="str">
        <f t="shared" si="67"/>
        <v/>
      </c>
      <c r="AL27" s="94" t="str">
        <f t="shared" si="67"/>
        <v/>
      </c>
      <c r="AM27" s="94">
        <f t="shared" si="67"/>
        <v>0</v>
      </c>
      <c r="AN27" s="99" t="str">
        <f t="shared" si="67"/>
        <v>#NUM!</v>
      </c>
      <c r="AO27" s="96" t="str">
        <f t="shared" si="23"/>
        <v>#NUM!</v>
      </c>
      <c r="AP27" s="94" t="str">
        <f t="shared" ref="AP27:AT27" si="68">IF($G27 &lt;&gt; "", IF(R27 &gt;0,R27/R$54*log(R27/R$54,2),""), "")</f>
        <v/>
      </c>
      <c r="AQ27" s="94" t="str">
        <f t="shared" si="68"/>
        <v/>
      </c>
      <c r="AR27" s="94" t="str">
        <f t="shared" si="68"/>
        <v/>
      </c>
      <c r="AS27" s="94">
        <f t="shared" si="68"/>
        <v>-0.4010507032</v>
      </c>
      <c r="AT27" s="99" t="str">
        <f t="shared" si="68"/>
        <v>#DIV/0!</v>
      </c>
      <c r="AU27" s="97"/>
    </row>
    <row r="28">
      <c r="A28" s="74" t="str">
        <f>IF(B28=Settings!$D$5,"INICIO",IF(B28=Settings!$D$6,"FIN",""))</f>
        <v/>
      </c>
      <c r="B28" s="75" t="str">
        <f>IF(AND(ISNUMBER(B27),B27+1&lt;=Settings!$D$6),B27+1,"")</f>
        <v/>
      </c>
      <c r="C28" s="76">
        <f t="shared" si="3"/>
        <v>-12.57142857</v>
      </c>
      <c r="D28" s="76" t="str">
        <f t="shared" si="4"/>
        <v/>
      </c>
      <c r="E28" s="77">
        <f>SUMIF(Historias!$F$6:$F$187,B28,Historias!$G$6:$G$187)</f>
        <v>0</v>
      </c>
      <c r="F28" s="80">
        <f t="shared" si="14"/>
        <v>0.04255319149</v>
      </c>
      <c r="G28" s="78" t="str">
        <f>Settings!A34</f>
        <v>Arreglar funcionamiento SOB2</v>
      </c>
      <c r="H28" s="77">
        <f>Settings!D34</f>
        <v>3</v>
      </c>
      <c r="I28" s="77">
        <f>IF(G28 &lt;&gt; "", SUMIF(Historias!$B$6:$B$187,G28,Historias!$G$6:$G$187), "")</f>
        <v>3</v>
      </c>
      <c r="J28" s="77">
        <f>IF(G28 &lt;&gt; "", SUMIF(Historias!$B$6:$B$187,G28,Historias!$H$6:$H$187), "")</f>
        <v>2</v>
      </c>
      <c r="K28" s="77" t="str">
        <f t="shared" si="15"/>
        <v>DONE</v>
      </c>
      <c r="L28" s="80">
        <f t="shared" si="16"/>
        <v>1</v>
      </c>
      <c r="M28" s="93">
        <f t="shared" si="17"/>
        <v>-0.3333333333</v>
      </c>
      <c r="N28" s="91"/>
      <c r="O28" s="94">
        <f t="shared" si="18"/>
        <v>1</v>
      </c>
      <c r="P28" s="95">
        <f t="shared" si="19"/>
        <v>0.25</v>
      </c>
      <c r="Q28" s="96"/>
      <c r="R28" s="94">
        <f>IF(AND($G28 &lt;&gt; "",R$14&lt;&gt;""), SUMIFS(Historias!$H$6:$H$187,Historias!$B$6:$B$187,$G28,Historias!$A$6:$A$187,R$14),"")</f>
        <v>0</v>
      </c>
      <c r="S28" s="94">
        <f>IF(AND($G28 &lt;&gt; "",S$14&lt;&gt;""), SUMIFS(Historias!$H$6:$H$187,Historias!$B$6:$B$187,$G28,Historias!$A$6:$A$187,S$14),"")</f>
        <v>0</v>
      </c>
      <c r="T28" s="94">
        <f>IF(AND($G28 &lt;&gt; "",T$14&lt;&gt;""), SUMIFS(Historias!$H$6:$H$187,Historias!$B$6:$B$187,$G28,Historias!$A$6:$A$187,T$14),"")</f>
        <v>0</v>
      </c>
      <c r="U28" s="94">
        <f>IF(AND($G28 &lt;&gt; "",U$14&lt;&gt;""), SUMIFS(Historias!$H$6:$H$187,Historias!$B$6:$B$187,$G28,Historias!$A$6:$A$187,U$14),"")</f>
        <v>2</v>
      </c>
      <c r="V28" s="94" t="str">
        <f>IF(AND($G28 &lt;&gt; "",V$14&lt;&gt;""), SUMIFS(Historias!$H$6:$H$187,Historias!$B$6:$B$187,$G28,Historias!$A$6:$A$187,V$14),"")</f>
        <v/>
      </c>
      <c r="W28" s="96"/>
      <c r="X28" s="94">
        <f t="shared" ref="X28:AB28" si="69">IF(AND($G28 &lt;&gt;"", X$14&lt;&gt;""), IF(max($R28:$V28)&gt;0,IF(AND(R28 = max($R28:$V28),COUNTIF($R28:$V28,R28)=1), 1 , 0), 0), "")</f>
        <v>0</v>
      </c>
      <c r="Y28" s="94">
        <f t="shared" si="69"/>
        <v>0</v>
      </c>
      <c r="Z28" s="94">
        <f t="shared" si="69"/>
        <v>0</v>
      </c>
      <c r="AA28" s="94">
        <f t="shared" si="69"/>
        <v>1</v>
      </c>
      <c r="AB28" s="94" t="str">
        <f t="shared" si="69"/>
        <v/>
      </c>
      <c r="AC28" s="96"/>
      <c r="AD28" s="94">
        <f t="shared" ref="AD28:AH28" si="70">IF(AND($G28 &lt;&gt;"",AD$14&lt;&gt;""), IF(max($R28:$V28)&gt;0,IF(R28 = $J28, 1 , 0), 0), "")</f>
        <v>0</v>
      </c>
      <c r="AE28" s="94">
        <f t="shared" si="70"/>
        <v>0</v>
      </c>
      <c r="AF28" s="94">
        <f t="shared" si="70"/>
        <v>0</v>
      </c>
      <c r="AG28" s="94">
        <f t="shared" si="70"/>
        <v>1</v>
      </c>
      <c r="AH28" s="94" t="str">
        <f t="shared" si="70"/>
        <v/>
      </c>
      <c r="AI28" s="96"/>
      <c r="AJ28" s="94" t="str">
        <f t="shared" ref="AJ28:AN28" si="71">IF($G28 &lt;&gt; "", IF(R28 &gt;0,R28/$J28*log(R28/$J28,2),""), "")</f>
        <v/>
      </c>
      <c r="AK28" s="94" t="str">
        <f t="shared" si="71"/>
        <v/>
      </c>
      <c r="AL28" s="94" t="str">
        <f t="shared" si="71"/>
        <v/>
      </c>
      <c r="AM28" s="100">
        <f t="shared" si="71"/>
        <v>0</v>
      </c>
      <c r="AN28" s="100" t="str">
        <f t="shared" si="71"/>
        <v>#NUM!</v>
      </c>
      <c r="AO28" s="96" t="str">
        <f t="shared" si="23"/>
        <v>#NUM!</v>
      </c>
      <c r="AP28" s="94" t="str">
        <f t="shared" ref="AP28:AT28" si="72">IF($G28 &lt;&gt; "", IF(R28 &gt;0,R28/R$54*log(R28/R$54,2),""), "")</f>
        <v/>
      </c>
      <c r="AQ28" s="94" t="str">
        <f t="shared" si="72"/>
        <v/>
      </c>
      <c r="AR28" s="94" t="str">
        <f t="shared" si="72"/>
        <v/>
      </c>
      <c r="AS28" s="100">
        <f t="shared" si="72"/>
        <v>-0.4556795091</v>
      </c>
      <c r="AT28" s="100" t="str">
        <f t="shared" si="72"/>
        <v>#DIV/0!</v>
      </c>
      <c r="AU28" s="97"/>
    </row>
    <row r="29">
      <c r="A29" s="74" t="str">
        <f>IF(B29=Settings!$D$5,"INICIO",IF(B29=Settings!$D$6,"FIN",""))</f>
        <v/>
      </c>
      <c r="B29" s="75" t="str">
        <f>IF(AND(ISNUMBER(B28),B28+1&lt;=Settings!$D$6),B28+1,"")</f>
        <v/>
      </c>
      <c r="C29" s="76">
        <f t="shared" si="3"/>
        <v>-15.71428571</v>
      </c>
      <c r="D29" s="76" t="str">
        <f t="shared" si="4"/>
        <v/>
      </c>
      <c r="E29" s="77">
        <f>SUMIF(Historias!$F$6:$F$187,B29,Historias!$G$6:$G$187)</f>
        <v>0</v>
      </c>
      <c r="F29" s="80">
        <f t="shared" si="14"/>
        <v>0.04255319149</v>
      </c>
      <c r="G29" s="78" t="str">
        <f>Settings!A35</f>
        <v>Planificación final de prácticas </v>
      </c>
      <c r="H29" s="77">
        <f>Settings!D35</f>
        <v>3</v>
      </c>
      <c r="I29" s="77">
        <f>IF(G29 &lt;&gt; "", SUMIF(Historias!$B$6:$B$187,G29,Historias!$G$6:$G$187), "")</f>
        <v>3</v>
      </c>
      <c r="J29" s="77">
        <f>IF(G29 &lt;&gt; "", SUMIF(Historias!$B$6:$B$187,G29,Historias!$H$6:$H$187), "")</f>
        <v>3</v>
      </c>
      <c r="K29" s="77" t="str">
        <f t="shared" si="15"/>
        <v>DONE</v>
      </c>
      <c r="L29" s="80">
        <f t="shared" si="16"/>
        <v>1</v>
      </c>
      <c r="M29" s="93">
        <f t="shared" si="17"/>
        <v>0</v>
      </c>
      <c r="N29" s="91"/>
      <c r="O29" s="94">
        <f t="shared" si="18"/>
        <v>3</v>
      </c>
      <c r="P29" s="95">
        <f t="shared" si="19"/>
        <v>0.75</v>
      </c>
      <c r="Q29" s="96"/>
      <c r="R29" s="94">
        <f>IF(AND($G29 &lt;&gt; "",R$14&lt;&gt;""), SUMIFS(Historias!$H$6:$H$187,Historias!$B$6:$B$187,$G29,Historias!$A$6:$A$187,R$14),"")</f>
        <v>0</v>
      </c>
      <c r="S29" s="94">
        <f>IF(AND($G29 &lt;&gt; "",S$14&lt;&gt;""), SUMIFS(Historias!$H$6:$H$187,Historias!$B$6:$B$187,$G29,Historias!$A$6:$A$187,S$14),"")</f>
        <v>1</v>
      </c>
      <c r="T29" s="94">
        <f>IF(AND($G29 &lt;&gt; "",T$14&lt;&gt;""), SUMIFS(Historias!$H$6:$H$187,Historias!$B$6:$B$187,$G29,Historias!$A$6:$A$187,T$14),"")</f>
        <v>1</v>
      </c>
      <c r="U29" s="94">
        <f>IF(AND($G29 &lt;&gt; "",U$14&lt;&gt;""), SUMIFS(Historias!$H$6:$H$187,Historias!$B$6:$B$187,$G29,Historias!$A$6:$A$187,U$14),"")</f>
        <v>1</v>
      </c>
      <c r="V29" s="94" t="str">
        <f>IF(AND($G29 &lt;&gt; "",V$14&lt;&gt;""), SUMIFS(Historias!$H$6:$H$187,Historias!$B$6:$B$187,$G29,Historias!$A$6:$A$187,V$14),"")</f>
        <v/>
      </c>
      <c r="W29" s="96"/>
      <c r="X29" s="94">
        <f t="shared" ref="X29:AB29" si="73">IF(AND($G29 &lt;&gt;"", X$14&lt;&gt;""), IF(max($R29:$V29)&gt;0,IF(AND(R29 = max($R29:$V29),COUNTIF($R29:$V29,R29)=1), 1 , 0), 0), "")</f>
        <v>0</v>
      </c>
      <c r="Y29" s="94">
        <f t="shared" si="73"/>
        <v>0</v>
      </c>
      <c r="Z29" s="94">
        <f t="shared" si="73"/>
        <v>0</v>
      </c>
      <c r="AA29" s="94">
        <f t="shared" si="73"/>
        <v>0</v>
      </c>
      <c r="AB29" s="94" t="str">
        <f t="shared" si="73"/>
        <v/>
      </c>
      <c r="AC29" s="96"/>
      <c r="AD29" s="94">
        <f t="shared" ref="AD29:AH29" si="74">IF(AND($G29 &lt;&gt;"",AD$14&lt;&gt;""), IF(max($R29:$V29)&gt;0,IF(R29 = $J29, 1 , 0), 0), "")</f>
        <v>0</v>
      </c>
      <c r="AE29" s="94">
        <f t="shared" si="74"/>
        <v>0</v>
      </c>
      <c r="AF29" s="94">
        <f t="shared" si="74"/>
        <v>0</v>
      </c>
      <c r="AG29" s="94">
        <f t="shared" si="74"/>
        <v>0</v>
      </c>
      <c r="AH29" s="94" t="str">
        <f t="shared" si="74"/>
        <v/>
      </c>
      <c r="AI29" s="96"/>
      <c r="AJ29" s="94" t="str">
        <f t="shared" ref="AJ29:AN29" si="75">IF($G29 &lt;&gt; "", IF(R29 &gt;0,R29/$J29*log(R29/$J29,2),""), "")</f>
        <v/>
      </c>
      <c r="AK29" s="94">
        <f t="shared" si="75"/>
        <v>-0.5283208336</v>
      </c>
      <c r="AL29" s="94">
        <f t="shared" si="75"/>
        <v>-0.5283208336</v>
      </c>
      <c r="AM29" s="100">
        <f t="shared" si="75"/>
        <v>-0.5283208336</v>
      </c>
      <c r="AN29" s="100" t="str">
        <f t="shared" si="75"/>
        <v>#NUM!</v>
      </c>
      <c r="AO29" s="96" t="str">
        <f t="shared" si="23"/>
        <v>#NUM!</v>
      </c>
      <c r="AP29" s="94" t="str">
        <f t="shared" ref="AP29:AT29" si="76">IF($G29 &lt;&gt; "", IF(R29 &gt;0,R29/R$54*log(R29/R$54,2),""), "")</f>
        <v/>
      </c>
      <c r="AQ29" s="94">
        <f t="shared" si="76"/>
        <v>-0.25</v>
      </c>
      <c r="AR29" s="94">
        <f t="shared" si="76"/>
        <v>-0.2058727793</v>
      </c>
      <c r="AS29" s="100">
        <f t="shared" si="76"/>
        <v>-0.3230778498</v>
      </c>
      <c r="AT29" s="100" t="str">
        <f t="shared" si="76"/>
        <v>#DIV/0!</v>
      </c>
      <c r="AU29" s="97"/>
    </row>
    <row r="30">
      <c r="A30" s="74" t="str">
        <f>IF(B30=Settings!$D$5,"INICIO",IF(B30=Settings!$D$6,"FIN",""))</f>
        <v/>
      </c>
      <c r="B30" s="75" t="str">
        <f>IF(AND(ISNUMBER(B29),B29+1&lt;=Settings!$D$6),B29+1,"")</f>
        <v/>
      </c>
      <c r="C30" s="76">
        <f t="shared" si="3"/>
        <v>-18.85714286</v>
      </c>
      <c r="D30" s="76" t="str">
        <f t="shared" si="4"/>
        <v/>
      </c>
      <c r="E30" s="77">
        <f>SUMIF(Historias!$F$6:$F$187,B30,Historias!$G$6:$G$187)</f>
        <v>0</v>
      </c>
      <c r="F30" s="80">
        <f t="shared" si="14"/>
        <v>0.05673758865</v>
      </c>
      <c r="G30" s="78" t="str">
        <f>Settings!A36</f>
        <v>Revisión+mejora de código</v>
      </c>
      <c r="H30" s="77">
        <f>Settings!D36</f>
        <v>2</v>
      </c>
      <c r="I30" s="77">
        <f>IF(G30 &lt;&gt; "", SUMIF(Historias!$B$6:$B$187,G30,Historias!$G$6:$G$187), "")</f>
        <v>4</v>
      </c>
      <c r="J30" s="77">
        <f>IF(G30 &lt;&gt; "", SUMIF(Historias!$B$6:$B$187,G30,Historias!$H$6:$H$187), "")</f>
        <v>3</v>
      </c>
      <c r="K30" s="77" t="str">
        <f t="shared" si="15"/>
        <v>DONE</v>
      </c>
      <c r="L30" s="80">
        <f t="shared" si="16"/>
        <v>2</v>
      </c>
      <c r="M30" s="93">
        <f t="shared" si="17"/>
        <v>-0.25</v>
      </c>
      <c r="N30" s="91"/>
      <c r="O30" s="94">
        <f t="shared" si="18"/>
        <v>2</v>
      </c>
      <c r="P30" s="95">
        <f t="shared" si="19"/>
        <v>0.5</v>
      </c>
      <c r="Q30" s="96"/>
      <c r="R30" s="94">
        <f>IF(AND($G30 &lt;&gt; "",R$14&lt;&gt;""), SUMIFS(Historias!$H$6:$H$187,Historias!$B$6:$B$187,$G30,Historias!$A$6:$A$187,R$14),"")</f>
        <v>0</v>
      </c>
      <c r="S30" s="94">
        <f>IF(AND($G30 &lt;&gt; "",S$14&lt;&gt;""), SUMIFS(Historias!$H$6:$H$187,Historias!$B$6:$B$187,$G30,Historias!$A$6:$A$187,S$14),"")</f>
        <v>1.5</v>
      </c>
      <c r="T30" s="94">
        <f>IF(AND($G30 &lt;&gt; "",T$14&lt;&gt;""), SUMIFS(Historias!$H$6:$H$187,Historias!$B$6:$B$187,$G30,Historias!$A$6:$A$187,T$14),"")</f>
        <v>1.5</v>
      </c>
      <c r="U30" s="94">
        <f>IF(AND($G30 &lt;&gt; "",U$14&lt;&gt;""), SUMIFS(Historias!$H$6:$H$187,Historias!$B$6:$B$187,$G30,Historias!$A$6:$A$187,U$14),"")</f>
        <v>0</v>
      </c>
      <c r="V30" s="94" t="str">
        <f>IF(AND($G30 &lt;&gt; "",V$14&lt;&gt;""), SUMIFS(Historias!$H$6:$H$187,Historias!$B$6:$B$187,$G30,Historias!$A$6:$A$187,V$14),"")</f>
        <v/>
      </c>
      <c r="W30" s="96"/>
      <c r="X30" s="94">
        <f t="shared" ref="X30:AB30" si="77">IF(AND($G30 &lt;&gt;"", X$14&lt;&gt;""), IF(max($R30:$V30)&gt;0,IF(AND(R30 = max($R30:$V30),COUNTIF($R30:$V30,R30)=1), 1 , 0), 0), "")</f>
        <v>0</v>
      </c>
      <c r="Y30" s="94">
        <f t="shared" si="77"/>
        <v>0</v>
      </c>
      <c r="Z30" s="94">
        <f t="shared" si="77"/>
        <v>0</v>
      </c>
      <c r="AA30" s="94">
        <f t="shared" si="77"/>
        <v>0</v>
      </c>
      <c r="AB30" s="94" t="str">
        <f t="shared" si="77"/>
        <v/>
      </c>
      <c r="AC30" s="96"/>
      <c r="AD30" s="94">
        <f t="shared" ref="AD30:AH30" si="78">IF(AND($G30 &lt;&gt;"",AD$14&lt;&gt;""), IF(max($R30:$V30)&gt;0,IF(R30 = $J30, 1 , 0), 0), "")</f>
        <v>0</v>
      </c>
      <c r="AE30" s="94">
        <f t="shared" si="78"/>
        <v>0</v>
      </c>
      <c r="AF30" s="94">
        <f t="shared" si="78"/>
        <v>0</v>
      </c>
      <c r="AG30" s="94">
        <f t="shared" si="78"/>
        <v>0</v>
      </c>
      <c r="AH30" s="94" t="str">
        <f t="shared" si="78"/>
        <v/>
      </c>
      <c r="AI30" s="96"/>
      <c r="AJ30" s="94" t="str">
        <f t="shared" ref="AJ30:AN30" si="79">IF($G30 &lt;&gt; "", IF(R30 &gt;0,R30/$J30*log(R30/$J30,2),""), "")</f>
        <v/>
      </c>
      <c r="AK30" s="94">
        <f t="shared" si="79"/>
        <v>-0.5</v>
      </c>
      <c r="AL30" s="94">
        <f t="shared" si="79"/>
        <v>-0.5</v>
      </c>
      <c r="AM30" s="100" t="str">
        <f t="shared" si="79"/>
        <v/>
      </c>
      <c r="AN30" s="100" t="str">
        <f t="shared" si="79"/>
        <v>#NUM!</v>
      </c>
      <c r="AO30" s="96" t="str">
        <f t="shared" si="23"/>
        <v>#NUM!</v>
      </c>
      <c r="AP30" s="94" t="str">
        <f t="shared" ref="AP30:AT30" si="80">IF($G30 &lt;&gt; "", IF(R30 &gt;0,R30/R$54*log(R30/R$54,2),""), "")</f>
        <v/>
      </c>
      <c r="AQ30" s="94">
        <f t="shared" si="80"/>
        <v>-0.3201597656</v>
      </c>
      <c r="AR30" s="94">
        <f t="shared" si="80"/>
        <v>-0.2679978317</v>
      </c>
      <c r="AS30" s="100" t="str">
        <f t="shared" si="80"/>
        <v/>
      </c>
      <c r="AT30" s="100" t="str">
        <f t="shared" si="80"/>
        <v>#DIV/0!</v>
      </c>
      <c r="AU30" s="97"/>
    </row>
    <row r="31">
      <c r="A31" s="74" t="str">
        <f>IF(B31=Settings!$D$5,"INICIO",IF(B31=Settings!$D$6,"FIN",""))</f>
        <v/>
      </c>
      <c r="B31" s="75" t="str">
        <f>IF(AND(ISNUMBER(B30),B30+1&lt;=Settings!$D$6),B30+1,"")</f>
        <v/>
      </c>
      <c r="C31" s="76">
        <f t="shared" si="3"/>
        <v>-22</v>
      </c>
      <c r="D31" s="76" t="str">
        <f t="shared" si="4"/>
        <v/>
      </c>
      <c r="E31" s="77">
        <f>SUMIF(Historias!$F$6:$F$187,B31,Historias!$G$6:$G$187)</f>
        <v>0</v>
      </c>
      <c r="F31" s="80">
        <f t="shared" si="14"/>
        <v>0.01418439716</v>
      </c>
      <c r="G31" s="78" t="str">
        <f>Settings!A37</f>
        <v>Solucionar Problema Sorpresa</v>
      </c>
      <c r="H31" s="77">
        <f>Settings!D37</f>
        <v>1</v>
      </c>
      <c r="I31" s="77">
        <f>IF(G31 &lt;&gt; "", SUMIF(Historias!$B$6:$B$187,G31,Historias!$G$6:$G$187), "")</f>
        <v>1</v>
      </c>
      <c r="J31" s="77">
        <f>IF(G31 &lt;&gt; "", SUMIF(Historias!$B$6:$B$187,G31,Historias!$H$6:$H$187), "")</f>
        <v>1</v>
      </c>
      <c r="K31" s="77" t="str">
        <f t="shared" si="15"/>
        <v>DONE</v>
      </c>
      <c r="L31" s="80">
        <f t="shared" si="16"/>
        <v>1</v>
      </c>
      <c r="M31" s="93">
        <f t="shared" si="17"/>
        <v>0</v>
      </c>
      <c r="N31" s="91"/>
      <c r="O31" s="94">
        <f t="shared" si="18"/>
        <v>2</v>
      </c>
      <c r="P31" s="95">
        <f t="shared" si="19"/>
        <v>0.5</v>
      </c>
      <c r="Q31" s="96"/>
      <c r="R31" s="94">
        <f>IF(AND($G31 &lt;&gt; "",R$14&lt;&gt;""), SUMIFS(Historias!$H$6:$H$187,Historias!$B$6:$B$187,$G31,Historias!$A$6:$A$187,R$14),"")</f>
        <v>0</v>
      </c>
      <c r="S31" s="94">
        <f>IF(AND($G31 &lt;&gt; "",S$14&lt;&gt;""), SUMIFS(Historias!$H$6:$H$187,Historias!$B$6:$B$187,$G31,Historias!$A$6:$A$187,S$14),"")</f>
        <v>0.5</v>
      </c>
      <c r="T31" s="94">
        <f>IF(AND($G31 &lt;&gt; "",T$14&lt;&gt;""), SUMIFS(Historias!$H$6:$H$187,Historias!$B$6:$B$187,$G31,Historias!$A$6:$A$187,T$14),"")</f>
        <v>0</v>
      </c>
      <c r="U31" s="94">
        <f>IF(AND($G31 &lt;&gt; "",U$14&lt;&gt;""), SUMIFS(Historias!$H$6:$H$187,Historias!$B$6:$B$187,$G31,Historias!$A$6:$A$187,U$14),"")</f>
        <v>0.5</v>
      </c>
      <c r="V31" s="94" t="str">
        <f>IF(AND($G31 &lt;&gt; "",V$14&lt;&gt;""), SUMIFS(Historias!$H$6:$H$187,Historias!$B$6:$B$187,$G31,Historias!$A$6:$A$187,V$14),"")</f>
        <v/>
      </c>
      <c r="W31" s="96"/>
      <c r="X31" s="94">
        <f t="shared" ref="X31:AB31" si="81">IF(AND($G31 &lt;&gt;"", X$14&lt;&gt;""), IF(max($R31:$V31)&gt;0,IF(AND(R31 = max($R31:$V31),COUNTIF($R31:$V31,R31)=1), 1 , 0), 0), "")</f>
        <v>0</v>
      </c>
      <c r="Y31" s="94">
        <f t="shared" si="81"/>
        <v>0</v>
      </c>
      <c r="Z31" s="94">
        <f t="shared" si="81"/>
        <v>0</v>
      </c>
      <c r="AA31" s="94">
        <f t="shared" si="81"/>
        <v>0</v>
      </c>
      <c r="AB31" s="94" t="str">
        <f t="shared" si="81"/>
        <v/>
      </c>
      <c r="AC31" s="96"/>
      <c r="AD31" s="94">
        <f t="shared" ref="AD31:AH31" si="82">IF(AND($G31 &lt;&gt;"",AD$14&lt;&gt;""), IF(max($R31:$V31)&gt;0,IF(R31 = $J31, 1 , 0), 0), "")</f>
        <v>0</v>
      </c>
      <c r="AE31" s="94">
        <f t="shared" si="82"/>
        <v>0</v>
      </c>
      <c r="AF31" s="94">
        <f t="shared" si="82"/>
        <v>0</v>
      </c>
      <c r="AG31" s="94">
        <f t="shared" si="82"/>
        <v>0</v>
      </c>
      <c r="AH31" s="94" t="str">
        <f t="shared" si="82"/>
        <v/>
      </c>
      <c r="AI31" s="96"/>
      <c r="AJ31" s="94" t="str">
        <f t="shared" ref="AJ31:AN31" si="83">IF($G31 &lt;&gt; "", IF(R31 &gt;0,R31/$J31*log(R31/$J31,2),""), "")</f>
        <v/>
      </c>
      <c r="AK31" s="94">
        <f t="shared" si="83"/>
        <v>-0.5</v>
      </c>
      <c r="AL31" s="94" t="str">
        <f t="shared" si="83"/>
        <v/>
      </c>
      <c r="AM31" s="94">
        <f t="shared" si="83"/>
        <v>-0.5</v>
      </c>
      <c r="AN31" s="94" t="str">
        <f t="shared" si="83"/>
        <v>#NUM!</v>
      </c>
      <c r="AO31" s="96" t="str">
        <f t="shared" si="23"/>
        <v>#NUM!</v>
      </c>
      <c r="AP31" s="94" t="str">
        <f t="shared" ref="AP31:AT31" si="84">IF($G31 &lt;&gt; "", IF(R31 &gt;0,R31/R$54*log(R31/R$54,2),""), "")</f>
        <v/>
      </c>
      <c r="AQ31" s="94">
        <f t="shared" si="84"/>
        <v>-0.15625</v>
      </c>
      <c r="AR31" s="94" t="str">
        <f t="shared" si="84"/>
        <v/>
      </c>
      <c r="AS31" s="94">
        <f t="shared" si="84"/>
        <v>-0.2091579725</v>
      </c>
      <c r="AT31" s="94" t="str">
        <f t="shared" si="84"/>
        <v>#DIV/0!</v>
      </c>
      <c r="AU31" s="97"/>
    </row>
    <row r="32">
      <c r="A32" s="74" t="str">
        <f>IF(B32=Settings!$D$5,"INICIO",IF(B32=Settings!$D$6,"FIN",""))</f>
        <v/>
      </c>
      <c r="B32" s="75" t="str">
        <f>IF(AND(ISNUMBER(B31),B31+1&lt;=Settings!$D$6),B31+1,"")</f>
        <v/>
      </c>
      <c r="C32" s="76">
        <f t="shared" si="3"/>
        <v>-25.14285714</v>
      </c>
      <c r="D32" s="76" t="str">
        <f t="shared" si="4"/>
        <v/>
      </c>
      <c r="E32" s="77">
        <f>SUMIF(Historias!$F$6:$F$187,B32,Historias!$G$6:$G$187)</f>
        <v>0</v>
      </c>
      <c r="F32" s="80">
        <f t="shared" si="14"/>
        <v>0.07092198582</v>
      </c>
      <c r="G32" s="78" t="str">
        <f>Settings!A38</f>
        <v>Intento de mejora goAvoid</v>
      </c>
      <c r="H32" s="77">
        <f>Settings!D38</f>
        <v>2</v>
      </c>
      <c r="I32" s="77">
        <f>IF(G32 &lt;&gt; "", SUMIF(Historias!$B$6:$B$187,G32,Historias!$G$6:$G$187), "")</f>
        <v>5</v>
      </c>
      <c r="J32" s="77">
        <f>IF(G32 &lt;&gt; "", SUMIF(Historias!$B$6:$B$187,G32,Historias!$H$6:$H$187), "")</f>
        <v>5</v>
      </c>
      <c r="K32" s="77" t="str">
        <f t="shared" si="15"/>
        <v>DONE</v>
      </c>
      <c r="L32" s="80">
        <f t="shared" si="16"/>
        <v>2.5</v>
      </c>
      <c r="M32" s="93">
        <f t="shared" si="17"/>
        <v>0</v>
      </c>
      <c r="N32" s="91"/>
      <c r="O32" s="94">
        <f t="shared" si="18"/>
        <v>3</v>
      </c>
      <c r="P32" s="95">
        <f t="shared" si="19"/>
        <v>0.75</v>
      </c>
      <c r="Q32" s="96"/>
      <c r="R32" s="94">
        <f>IF(AND($G32 &lt;&gt; "",R$14&lt;&gt;""), SUMIFS(Historias!$H$6:$H$187,Historias!$B$6:$B$187,$G32,Historias!$A$6:$A$187,R$14),"")</f>
        <v>0</v>
      </c>
      <c r="S32" s="94">
        <f>IF(AND($G32 &lt;&gt; "",S$14&lt;&gt;""), SUMIFS(Historias!$H$6:$H$187,Historias!$B$6:$B$187,$G32,Historias!$A$6:$A$187,S$14),"")</f>
        <v>1</v>
      </c>
      <c r="T32" s="94">
        <f>IF(AND($G32 &lt;&gt; "",T$14&lt;&gt;""), SUMIFS(Historias!$H$6:$H$187,Historias!$B$6:$B$187,$G32,Historias!$A$6:$A$187,T$14),"")</f>
        <v>3</v>
      </c>
      <c r="U32" s="94">
        <f>IF(AND($G32 &lt;&gt; "",U$14&lt;&gt;""), SUMIFS(Historias!$H$6:$H$187,Historias!$B$6:$B$187,$G32,Historias!$A$6:$A$187,U$14),"")</f>
        <v>1</v>
      </c>
      <c r="V32" s="94" t="str">
        <f>IF(AND($G32 &lt;&gt; "",V$14&lt;&gt;""), SUMIFS(Historias!$H$6:$H$187,Historias!$B$6:$B$187,$G32,Historias!$A$6:$A$187,V$14),"")</f>
        <v/>
      </c>
      <c r="W32" s="96"/>
      <c r="X32" s="94">
        <f t="shared" ref="X32:AB32" si="85">IF(AND($G32 &lt;&gt;"", X$14&lt;&gt;""), IF(max($R32:$V32)&gt;0,IF(AND(R32 = max($R32:$V32),COUNTIF($R32:$V32,R32)=1), 1 , 0), 0), "")</f>
        <v>0</v>
      </c>
      <c r="Y32" s="94">
        <f t="shared" si="85"/>
        <v>0</v>
      </c>
      <c r="Z32" s="94">
        <f t="shared" si="85"/>
        <v>1</v>
      </c>
      <c r="AA32" s="94">
        <f t="shared" si="85"/>
        <v>0</v>
      </c>
      <c r="AB32" s="94" t="str">
        <f t="shared" si="85"/>
        <v/>
      </c>
      <c r="AC32" s="96"/>
      <c r="AD32" s="94">
        <f t="shared" ref="AD32:AH32" si="86">IF(AND($G32 &lt;&gt;"",AD$14&lt;&gt;""), IF(max($R32:$V32)&gt;0,IF(R32 = $J32, 1 , 0), 0), "")</f>
        <v>0</v>
      </c>
      <c r="AE32" s="94">
        <f t="shared" si="86"/>
        <v>0</v>
      </c>
      <c r="AF32" s="94">
        <f t="shared" si="86"/>
        <v>0</v>
      </c>
      <c r="AG32" s="94">
        <f t="shared" si="86"/>
        <v>0</v>
      </c>
      <c r="AH32" s="94" t="str">
        <f t="shared" si="86"/>
        <v/>
      </c>
      <c r="AI32" s="96"/>
      <c r="AJ32" s="94" t="str">
        <f t="shared" ref="AJ32:AN32" si="87">IF($G32 &lt;&gt; "", IF(R32 &gt;0,R32/$J32*log(R32/$J32,2),""), "")</f>
        <v/>
      </c>
      <c r="AK32" s="94">
        <f t="shared" si="87"/>
        <v>-0.464385619</v>
      </c>
      <c r="AL32" s="94">
        <f t="shared" si="87"/>
        <v>-0.4421793565</v>
      </c>
      <c r="AM32" s="100">
        <f t="shared" si="87"/>
        <v>-0.464385619</v>
      </c>
      <c r="AN32" s="94" t="str">
        <f t="shared" si="87"/>
        <v>#NUM!</v>
      </c>
      <c r="AO32" s="96" t="str">
        <f t="shared" si="23"/>
        <v>#NUM!</v>
      </c>
      <c r="AP32" s="94" t="str">
        <f t="shared" ref="AP32:AT32" si="88">IF($G32 &lt;&gt; "", IF(R32 &gt;0,R32/R$54*log(R32/R$54,2),""), "")</f>
        <v/>
      </c>
      <c r="AQ32" s="94">
        <f t="shared" si="88"/>
        <v>-0.25</v>
      </c>
      <c r="AR32" s="94">
        <f t="shared" si="88"/>
        <v>-0.3964607796</v>
      </c>
      <c r="AS32" s="100">
        <f t="shared" si="88"/>
        <v>-0.3230778498</v>
      </c>
      <c r="AT32" s="94" t="str">
        <f t="shared" si="88"/>
        <v>#DIV/0!</v>
      </c>
      <c r="AU32" s="97"/>
    </row>
    <row r="33">
      <c r="A33" s="74" t="str">
        <f>IF(B33=Settings!$D$5,"INICIO",IF(B33=Settings!$D$6,"FIN",""))</f>
        <v/>
      </c>
      <c r="B33" s="75" t="str">
        <f>IF(AND(ISNUMBER(B32),B32+1&lt;=Settings!$D$6),B32+1,"")</f>
        <v/>
      </c>
      <c r="C33" s="76">
        <f t="shared" si="3"/>
        <v>-28.28571429</v>
      </c>
      <c r="D33" s="76" t="str">
        <f t="shared" si="4"/>
        <v/>
      </c>
      <c r="E33" s="77">
        <f>SUMIF(Historias!$F$6:$F$187,B33,Historias!$G$6:$G$187)</f>
        <v>0</v>
      </c>
      <c r="F33" s="80">
        <f t="shared" si="14"/>
        <v>0</v>
      </c>
      <c r="G33" s="78" t="str">
        <f>Settings!A39</f>
        <v/>
      </c>
      <c r="H33" s="77" t="str">
        <f>Settings!D39</f>
        <v/>
      </c>
      <c r="I33" s="77" t="str">
        <f>IF(G33 &lt;&gt; "", SUMIF(Historias!$B$6:$B$187,G33,Historias!$G$6:$G$187), "")</f>
        <v/>
      </c>
      <c r="J33" s="77" t="str">
        <f>IF(G33 &lt;&gt; "", SUMIF(Historias!$B$6:$B$187,G33,Historias!$H$6:$H$187), "")</f>
        <v/>
      </c>
      <c r="K33" s="77" t="str">
        <f t="shared" si="15"/>
        <v/>
      </c>
      <c r="L33" s="80" t="str">
        <f t="shared" si="16"/>
        <v/>
      </c>
      <c r="M33" s="93" t="str">
        <f t="shared" si="17"/>
        <v/>
      </c>
      <c r="N33" s="91"/>
      <c r="O33" s="94" t="str">
        <f t="shared" si="18"/>
        <v/>
      </c>
      <c r="P33" s="95" t="str">
        <f t="shared" si="19"/>
        <v/>
      </c>
      <c r="Q33" s="96"/>
      <c r="R33" s="94" t="str">
        <f>IF(AND($G33 &lt;&gt; "",R$14&lt;&gt;""), SUMIFS(Historias!$H$6:$H$187,Historias!$B$6:$B$187,$G33,Historias!$A$6:$A$187,R$14),"")</f>
        <v/>
      </c>
      <c r="S33" s="94" t="str">
        <f>IF(AND($G33 &lt;&gt; "",S$14&lt;&gt;""), SUMIFS(Historias!$H$6:$H$187,Historias!$B$6:$B$187,$G33,Historias!$A$6:$A$187,S$14),"")</f>
        <v/>
      </c>
      <c r="T33" s="94" t="str">
        <f>IF(AND($G33 &lt;&gt; "",T$14&lt;&gt;""), SUMIFS(Historias!$H$6:$H$187,Historias!$B$6:$B$187,$G33,Historias!$A$6:$A$187,T$14),"")</f>
        <v/>
      </c>
      <c r="U33" s="94" t="str">
        <f>IF(AND($G33 &lt;&gt; "",U$14&lt;&gt;""), SUMIFS(Historias!$H$6:$H$187,Historias!$B$6:$B$187,$G33,Historias!$A$6:$A$187,U$14),"")</f>
        <v/>
      </c>
      <c r="V33" s="94" t="str">
        <f>IF(AND($G33 &lt;&gt; "",V$14&lt;&gt;""), SUMIFS(Historias!$H$6:$H$187,Historias!$B$6:$B$187,$G33,Historias!$A$6:$A$187,V$14),"")</f>
        <v/>
      </c>
      <c r="W33" s="96"/>
      <c r="X33" s="94" t="str">
        <f t="shared" ref="X33:AB33" si="89">IF(AND($G33 &lt;&gt;"", X$14&lt;&gt;""), IF(max($R33:$V33)&gt;0,IF(AND(R33 = max($R33:$V33),COUNTIF($R33:$V33,R33)=1), 1 , 0), 0), "")</f>
        <v/>
      </c>
      <c r="Y33" s="94" t="str">
        <f t="shared" si="89"/>
        <v/>
      </c>
      <c r="Z33" s="94" t="str">
        <f t="shared" si="89"/>
        <v/>
      </c>
      <c r="AA33" s="94" t="str">
        <f t="shared" si="89"/>
        <v/>
      </c>
      <c r="AB33" s="94" t="str">
        <f t="shared" si="89"/>
        <v/>
      </c>
      <c r="AC33" s="96"/>
      <c r="AD33" s="94" t="str">
        <f t="shared" ref="AD33:AH33" si="90">IF(AND($G33 &lt;&gt;"",AD$14&lt;&gt;""), IF(max($R33:$V33)&gt;0,IF(R33 = $J33, 1 , 0), 0), "")</f>
        <v/>
      </c>
      <c r="AE33" s="94" t="str">
        <f t="shared" si="90"/>
        <v/>
      </c>
      <c r="AF33" s="94" t="str">
        <f t="shared" si="90"/>
        <v/>
      </c>
      <c r="AG33" s="94" t="str">
        <f t="shared" si="90"/>
        <v/>
      </c>
      <c r="AH33" s="94" t="str">
        <f t="shared" si="90"/>
        <v/>
      </c>
      <c r="AI33" s="96"/>
      <c r="AJ33" s="94" t="str">
        <f t="shared" ref="AJ33:AN33" si="91">IF($G33 &lt;&gt; "", IF(R33 &gt;0,R33/$J33*log(R33/$J33,2),""), "")</f>
        <v/>
      </c>
      <c r="AK33" s="94" t="str">
        <f t="shared" si="91"/>
        <v/>
      </c>
      <c r="AL33" s="94" t="str">
        <f t="shared" si="91"/>
        <v/>
      </c>
      <c r="AM33" s="100" t="str">
        <f t="shared" si="91"/>
        <v/>
      </c>
      <c r="AN33" s="94" t="str">
        <f t="shared" si="91"/>
        <v/>
      </c>
      <c r="AO33" s="96" t="str">
        <f t="shared" si="23"/>
        <v/>
      </c>
      <c r="AP33" s="94" t="str">
        <f t="shared" ref="AP33:AT33" si="92">IF($G33 &lt;&gt; "", IF(R33 &gt;0,R33/R$54*log(R33/R$54,2),""), "")</f>
        <v/>
      </c>
      <c r="AQ33" s="94" t="str">
        <f t="shared" si="92"/>
        <v/>
      </c>
      <c r="AR33" s="94" t="str">
        <f t="shared" si="92"/>
        <v/>
      </c>
      <c r="AS33" s="100" t="str">
        <f t="shared" si="92"/>
        <v/>
      </c>
      <c r="AT33" s="94" t="str">
        <f t="shared" si="92"/>
        <v/>
      </c>
      <c r="AU33" s="97"/>
    </row>
    <row r="34">
      <c r="A34" s="74" t="str">
        <f>IF(B34=Settings!$D$5,"INICIO",IF(B34=Settings!$D$6,"FIN",""))</f>
        <v/>
      </c>
      <c r="B34" s="75" t="str">
        <f>IF(AND(ISNUMBER(B33),B33+1&lt;=Settings!$D$6),B33+1,"")</f>
        <v/>
      </c>
      <c r="C34" s="76">
        <f t="shared" si="3"/>
        <v>-31.42857143</v>
      </c>
      <c r="D34" s="76" t="str">
        <f t="shared" si="4"/>
        <v/>
      </c>
      <c r="E34" s="77">
        <f>SUMIF(Historias!$F$6:$F$187,B34,Historias!$G$6:$G$187)</f>
        <v>0</v>
      </c>
      <c r="F34" s="80">
        <f t="shared" si="14"/>
        <v>0</v>
      </c>
      <c r="G34" s="78" t="str">
        <f>Settings!A40</f>
        <v/>
      </c>
      <c r="H34" s="77" t="str">
        <f>Settings!D40</f>
        <v/>
      </c>
      <c r="I34" s="77" t="str">
        <f>IF(G34 &lt;&gt; "", SUMIF(Historias!$B$6:$B$187,G34,Historias!$G$6:$G$187), "")</f>
        <v/>
      </c>
      <c r="J34" s="77" t="str">
        <f>IF(G34 &lt;&gt; "", SUMIF(Historias!$B$6:$B$187,G34,Historias!$H$6:$H$187), "")</f>
        <v/>
      </c>
      <c r="K34" s="77" t="str">
        <f t="shared" si="15"/>
        <v/>
      </c>
      <c r="L34" s="80" t="str">
        <f t="shared" si="16"/>
        <v/>
      </c>
      <c r="M34" s="93" t="str">
        <f t="shared" si="17"/>
        <v/>
      </c>
      <c r="N34" s="91"/>
      <c r="O34" s="94" t="str">
        <f t="shared" si="18"/>
        <v/>
      </c>
      <c r="P34" s="95" t="str">
        <f t="shared" si="19"/>
        <v/>
      </c>
      <c r="Q34" s="96"/>
      <c r="R34" s="94" t="str">
        <f>IF(AND($G34 &lt;&gt; "",R$14&lt;&gt;""), SUMIFS(Historias!$H$6:$H$187,Historias!$B$6:$B$187,$G34,Historias!$A$6:$A$187,R$14),"")</f>
        <v/>
      </c>
      <c r="S34" s="94" t="str">
        <f>IF(AND($G34 &lt;&gt; "",S$14&lt;&gt;""), SUMIFS(Historias!$H$6:$H$187,Historias!$B$6:$B$187,$G34,Historias!$A$6:$A$187,S$14),"")</f>
        <v/>
      </c>
      <c r="T34" s="94" t="str">
        <f>IF(AND($G34 &lt;&gt; "",T$14&lt;&gt;""), SUMIFS(Historias!$H$6:$H$187,Historias!$B$6:$B$187,$G34,Historias!$A$6:$A$187,T$14),"")</f>
        <v/>
      </c>
      <c r="U34" s="94" t="str">
        <f>IF(AND($G34 &lt;&gt; "",U$14&lt;&gt;""), SUMIFS(Historias!$H$6:$H$187,Historias!$B$6:$B$187,$G34,Historias!$A$6:$A$187,U$14),"")</f>
        <v/>
      </c>
      <c r="V34" s="94" t="str">
        <f>IF(AND($G34 &lt;&gt; "",V$14&lt;&gt;""), SUMIFS(Historias!$H$6:$H$187,Historias!$B$6:$B$187,$G34,Historias!$A$6:$A$187,V$14),"")</f>
        <v/>
      </c>
      <c r="W34" s="96"/>
      <c r="X34" s="94" t="str">
        <f t="shared" ref="X34:AB34" si="93">IF(AND($G34 &lt;&gt;"", X$14&lt;&gt;""), IF(max($R34:$V34)&gt;0,IF(AND(R34 = max($R34:$V34),COUNTIF($R34:$V34,R34)=1), 1 , 0), 0), "")</f>
        <v/>
      </c>
      <c r="Y34" s="94" t="str">
        <f t="shared" si="93"/>
        <v/>
      </c>
      <c r="Z34" s="94" t="str">
        <f t="shared" si="93"/>
        <v/>
      </c>
      <c r="AA34" s="94" t="str">
        <f t="shared" si="93"/>
        <v/>
      </c>
      <c r="AB34" s="94" t="str">
        <f t="shared" si="93"/>
        <v/>
      </c>
      <c r="AC34" s="96"/>
      <c r="AD34" s="94" t="str">
        <f t="shared" ref="AD34:AH34" si="94">IF(AND($G34 &lt;&gt;"",AD$14&lt;&gt;""), IF(max($R34:$V34)&gt;0,IF(R34 = $J34, 1 , 0), 0), "")</f>
        <v/>
      </c>
      <c r="AE34" s="94" t="str">
        <f t="shared" si="94"/>
        <v/>
      </c>
      <c r="AF34" s="94" t="str">
        <f t="shared" si="94"/>
        <v/>
      </c>
      <c r="AG34" s="94" t="str">
        <f t="shared" si="94"/>
        <v/>
      </c>
      <c r="AH34" s="94" t="str">
        <f t="shared" si="94"/>
        <v/>
      </c>
      <c r="AI34" s="96"/>
      <c r="AJ34" s="94" t="str">
        <f t="shared" ref="AJ34:AN34" si="95">IF($G34 &lt;&gt; "", IF(R34 &gt;0,R34/$J34*log(R34/$J34,2),""), "")</f>
        <v/>
      </c>
      <c r="AK34" s="94" t="str">
        <f t="shared" si="95"/>
        <v/>
      </c>
      <c r="AL34" s="94" t="str">
        <f t="shared" si="95"/>
        <v/>
      </c>
      <c r="AM34" s="100" t="str">
        <f t="shared" si="95"/>
        <v/>
      </c>
      <c r="AN34" s="94" t="str">
        <f t="shared" si="95"/>
        <v/>
      </c>
      <c r="AO34" s="96" t="str">
        <f t="shared" si="23"/>
        <v/>
      </c>
      <c r="AP34" s="94" t="str">
        <f t="shared" ref="AP34:AT34" si="96">IF($G34 &lt;&gt; "", IF(R34 &gt;0,R34/R$54*log(R34/R$54,2),""), "")</f>
        <v/>
      </c>
      <c r="AQ34" s="94" t="str">
        <f t="shared" si="96"/>
        <v/>
      </c>
      <c r="AR34" s="94" t="str">
        <f t="shared" si="96"/>
        <v/>
      </c>
      <c r="AS34" s="100" t="str">
        <f t="shared" si="96"/>
        <v/>
      </c>
      <c r="AT34" s="94" t="str">
        <f t="shared" si="96"/>
        <v/>
      </c>
      <c r="AU34" s="97"/>
    </row>
    <row r="35">
      <c r="A35" s="74" t="str">
        <f>IF(B35=Settings!$D$5,"INICIO",IF(B35=Settings!$D$6,"FIN",""))</f>
        <v/>
      </c>
      <c r="B35" s="75" t="str">
        <f>IF(AND(ISNUMBER(B34),B34+1&lt;=Settings!$D$6),B34+1,"")</f>
        <v/>
      </c>
      <c r="C35" s="76">
        <f t="shared" si="3"/>
        <v>-34.57142857</v>
      </c>
      <c r="D35" s="76" t="str">
        <f t="shared" si="4"/>
        <v/>
      </c>
      <c r="E35" s="77">
        <f>SUMIF(Historias!$F$6:$F$187,B35,Historias!$G$6:$G$187)</f>
        <v>0</v>
      </c>
      <c r="F35" s="80">
        <f t="shared" si="14"/>
        <v>0</v>
      </c>
      <c r="G35" s="78" t="str">
        <f>Settings!A41</f>
        <v/>
      </c>
      <c r="H35" s="77" t="str">
        <f>Settings!D41</f>
        <v/>
      </c>
      <c r="I35" s="77" t="str">
        <f>IF(G35 &lt;&gt; "", SUMIF(Historias!$B$6:$B$187,G35,Historias!$G$6:$G$187), "")</f>
        <v/>
      </c>
      <c r="J35" s="77" t="str">
        <f>IF(G35 &lt;&gt; "", SUMIF(Historias!$B$6:$B$187,G35,Historias!$H$6:$H$187), "")</f>
        <v/>
      </c>
      <c r="K35" s="77" t="str">
        <f t="shared" si="15"/>
        <v/>
      </c>
      <c r="L35" s="80" t="str">
        <f t="shared" si="16"/>
        <v/>
      </c>
      <c r="M35" s="93" t="str">
        <f t="shared" si="17"/>
        <v/>
      </c>
      <c r="N35" s="91"/>
      <c r="O35" s="94" t="str">
        <f t="shared" si="18"/>
        <v/>
      </c>
      <c r="P35" s="95" t="str">
        <f t="shared" si="19"/>
        <v/>
      </c>
      <c r="Q35" s="96"/>
      <c r="R35" s="94" t="str">
        <f>IF(AND($G35 &lt;&gt; "",R$14&lt;&gt;""), SUMIFS(Historias!$H$6:$H$187,Historias!$B$6:$B$187,$G35,Historias!$A$6:$A$187,R$14),"")</f>
        <v/>
      </c>
      <c r="S35" s="94" t="str">
        <f>IF(AND($G35 &lt;&gt; "",S$14&lt;&gt;""), SUMIFS(Historias!$H$6:$H$187,Historias!$B$6:$B$187,$G35,Historias!$A$6:$A$187,S$14),"")</f>
        <v/>
      </c>
      <c r="T35" s="94" t="str">
        <f>IF(AND($G35 &lt;&gt; "",T$14&lt;&gt;""), SUMIFS(Historias!$H$6:$H$187,Historias!$B$6:$B$187,$G35,Historias!$A$6:$A$187,T$14),"")</f>
        <v/>
      </c>
      <c r="U35" s="94" t="str">
        <f>IF(AND($G35 &lt;&gt; "",U$14&lt;&gt;""), SUMIFS(Historias!$H$6:$H$187,Historias!$B$6:$B$187,$G35,Historias!$A$6:$A$187,U$14),"")</f>
        <v/>
      </c>
      <c r="V35" s="94" t="str">
        <f>IF(AND($G35 &lt;&gt; "",V$14&lt;&gt;""), SUMIFS(Historias!$H$6:$H$187,Historias!$B$6:$B$187,$G35,Historias!$A$6:$A$187,V$14),"")</f>
        <v/>
      </c>
      <c r="W35" s="96"/>
      <c r="X35" s="94" t="str">
        <f t="shared" ref="X35:AB35" si="97">IF(AND($G35 &lt;&gt;"", X$14&lt;&gt;""), IF(max($R35:$V35)&gt;0,IF(AND(R35 = max($R35:$V35),COUNTIF($R35:$V35,R35)=1), 1 , 0), 0), "")</f>
        <v/>
      </c>
      <c r="Y35" s="94" t="str">
        <f t="shared" si="97"/>
        <v/>
      </c>
      <c r="Z35" s="94" t="str">
        <f t="shared" si="97"/>
        <v/>
      </c>
      <c r="AA35" s="94" t="str">
        <f t="shared" si="97"/>
        <v/>
      </c>
      <c r="AB35" s="94" t="str">
        <f t="shared" si="97"/>
        <v/>
      </c>
      <c r="AC35" s="96"/>
      <c r="AD35" s="94" t="str">
        <f t="shared" ref="AD35:AH35" si="98">IF(AND($G35 &lt;&gt;"",AD$14&lt;&gt;""), IF(max($R35:$V35)&gt;0,IF(R35 = $J35, 1 , 0), 0), "")</f>
        <v/>
      </c>
      <c r="AE35" s="94" t="str">
        <f t="shared" si="98"/>
        <v/>
      </c>
      <c r="AF35" s="94" t="str">
        <f t="shared" si="98"/>
        <v/>
      </c>
      <c r="AG35" s="94" t="str">
        <f t="shared" si="98"/>
        <v/>
      </c>
      <c r="AH35" s="94" t="str">
        <f t="shared" si="98"/>
        <v/>
      </c>
      <c r="AI35" s="96"/>
      <c r="AJ35" s="94" t="str">
        <f t="shared" ref="AJ35:AN35" si="99">IF($G35 &lt;&gt; "", IF(R35 &gt;0,R35/$J35*log(R35/$J35,2),""), "")</f>
        <v/>
      </c>
      <c r="AK35" s="94" t="str">
        <f t="shared" si="99"/>
        <v/>
      </c>
      <c r="AL35" s="94" t="str">
        <f t="shared" si="99"/>
        <v/>
      </c>
      <c r="AM35" s="94" t="str">
        <f t="shared" si="99"/>
        <v/>
      </c>
      <c r="AN35" s="94" t="str">
        <f t="shared" si="99"/>
        <v/>
      </c>
      <c r="AO35" s="96" t="str">
        <f t="shared" si="23"/>
        <v/>
      </c>
      <c r="AP35" s="94" t="str">
        <f t="shared" ref="AP35:AT35" si="100">IF($G35 &lt;&gt; "", IF(R35 &gt;0,R35/R$54*log(R35/R$54,2),""), "")</f>
        <v/>
      </c>
      <c r="AQ35" s="94" t="str">
        <f t="shared" si="100"/>
        <v/>
      </c>
      <c r="AR35" s="94" t="str">
        <f t="shared" si="100"/>
        <v/>
      </c>
      <c r="AS35" s="94" t="str">
        <f t="shared" si="100"/>
        <v/>
      </c>
      <c r="AT35" s="94" t="str">
        <f t="shared" si="100"/>
        <v/>
      </c>
      <c r="AU35" s="97"/>
    </row>
    <row r="36">
      <c r="A36" s="74" t="str">
        <f>IF(B36=Settings!$D$5,"INICIO",IF(B36=Settings!$D$6,"FIN",""))</f>
        <v/>
      </c>
      <c r="B36" s="75" t="str">
        <f>IF(AND(ISNUMBER(B35),B35+1&lt;=Settings!$D$6),B35+1,"")</f>
        <v/>
      </c>
      <c r="C36" s="76">
        <f t="shared" si="3"/>
        <v>-37.71428571</v>
      </c>
      <c r="D36" s="76" t="str">
        <f t="shared" si="4"/>
        <v/>
      </c>
      <c r="E36" s="77">
        <f>SUMIF(Historias!$F$6:$F$187,B36,Historias!$G$6:$G$187)</f>
        <v>0</v>
      </c>
      <c r="F36" s="80">
        <f t="shared" si="14"/>
        <v>0</v>
      </c>
      <c r="G36" s="78" t="str">
        <f>Settings!A42</f>
        <v/>
      </c>
      <c r="H36" s="77" t="str">
        <f>Settings!D42</f>
        <v/>
      </c>
      <c r="I36" s="77" t="str">
        <f>IF(G36 &lt;&gt; "", SUMIF(Historias!$B$6:$B$187,G36,Historias!$G$6:$G$187), "")</f>
        <v/>
      </c>
      <c r="J36" s="77" t="str">
        <f>IF(G36 &lt;&gt; "", SUMIF(Historias!$B$6:$B$187,G36,Historias!$H$6:$H$187), "")</f>
        <v/>
      </c>
      <c r="K36" s="77" t="str">
        <f t="shared" si="15"/>
        <v/>
      </c>
      <c r="L36" s="80" t="str">
        <f t="shared" si="16"/>
        <v/>
      </c>
      <c r="M36" s="93" t="str">
        <f t="shared" si="17"/>
        <v/>
      </c>
      <c r="N36" s="91"/>
      <c r="O36" s="94" t="str">
        <f t="shared" si="18"/>
        <v/>
      </c>
      <c r="P36" s="95" t="str">
        <f t="shared" si="19"/>
        <v/>
      </c>
      <c r="Q36" s="96"/>
      <c r="R36" s="94" t="str">
        <f>IF(AND($G36 &lt;&gt; "",R$14&lt;&gt;""), SUMIFS(Historias!$H$6:$H$187,Historias!$B$6:$B$187,$G36,Historias!$A$6:$A$187,R$14),"")</f>
        <v/>
      </c>
      <c r="S36" s="94" t="str">
        <f>IF(AND($G36 &lt;&gt; "",S$14&lt;&gt;""), SUMIFS(Historias!$H$6:$H$187,Historias!$B$6:$B$187,$G36,Historias!$A$6:$A$187,S$14),"")</f>
        <v/>
      </c>
      <c r="T36" s="94" t="str">
        <f>IF(AND($G36 &lt;&gt; "",T$14&lt;&gt;""), SUMIFS(Historias!$H$6:$H$187,Historias!$B$6:$B$187,$G36,Historias!$A$6:$A$187,T$14),"")</f>
        <v/>
      </c>
      <c r="U36" s="94" t="str">
        <f>IF(AND($G36 &lt;&gt; "",U$14&lt;&gt;""), SUMIFS(Historias!$H$6:$H$187,Historias!$B$6:$B$187,$G36,Historias!$A$6:$A$187,U$14),"")</f>
        <v/>
      </c>
      <c r="V36" s="94" t="str">
        <f>IF(AND($G36 &lt;&gt; "",V$14&lt;&gt;""), SUMIFS(Historias!$H$6:$H$187,Historias!$B$6:$B$187,$G36,Historias!$A$6:$A$187,V$14),"")</f>
        <v/>
      </c>
      <c r="W36" s="96"/>
      <c r="X36" s="94" t="str">
        <f t="shared" ref="X36:AB36" si="101">IF(AND($G36 &lt;&gt;"", X$14&lt;&gt;""), IF(max($R36:$V36)&gt;0,IF(AND(R36 = max($R36:$V36),COUNTIF($R36:$V36,R36)=1), 1 , 0), 0), "")</f>
        <v/>
      </c>
      <c r="Y36" s="94" t="str">
        <f t="shared" si="101"/>
        <v/>
      </c>
      <c r="Z36" s="94" t="str">
        <f t="shared" si="101"/>
        <v/>
      </c>
      <c r="AA36" s="94" t="str">
        <f t="shared" si="101"/>
        <v/>
      </c>
      <c r="AB36" s="94" t="str">
        <f t="shared" si="101"/>
        <v/>
      </c>
      <c r="AC36" s="96"/>
      <c r="AD36" s="94" t="str">
        <f t="shared" ref="AD36:AH36" si="102">IF(AND($G36 &lt;&gt;"",AD$14&lt;&gt;""), IF(max($R36:$V36)&gt;0,IF(R36 = $J36, 1 , 0), 0), "")</f>
        <v/>
      </c>
      <c r="AE36" s="94" t="str">
        <f t="shared" si="102"/>
        <v/>
      </c>
      <c r="AF36" s="94" t="str">
        <f t="shared" si="102"/>
        <v/>
      </c>
      <c r="AG36" s="94" t="str">
        <f t="shared" si="102"/>
        <v/>
      </c>
      <c r="AH36" s="94" t="str">
        <f t="shared" si="102"/>
        <v/>
      </c>
      <c r="AI36" s="96"/>
      <c r="AJ36" s="94" t="str">
        <f t="shared" ref="AJ36:AN36" si="103">IF($G36 &lt;&gt; "", IF(R36 &gt;0,R36/$J36*log(R36/$J36,2),""), "")</f>
        <v/>
      </c>
      <c r="AK36" s="94" t="str">
        <f t="shared" si="103"/>
        <v/>
      </c>
      <c r="AL36" s="100" t="str">
        <f t="shared" si="103"/>
        <v/>
      </c>
      <c r="AM36" s="94" t="str">
        <f t="shared" si="103"/>
        <v/>
      </c>
      <c r="AN36" s="94" t="str">
        <f t="shared" si="103"/>
        <v/>
      </c>
      <c r="AO36" s="96" t="str">
        <f t="shared" si="23"/>
        <v/>
      </c>
      <c r="AP36" s="94" t="str">
        <f t="shared" ref="AP36:AT36" si="104">IF($G36 &lt;&gt; "", IF(R36 &gt;0,R36/R$54*log(R36/R$54,2),""), "")</f>
        <v/>
      </c>
      <c r="AQ36" s="94" t="str">
        <f t="shared" si="104"/>
        <v/>
      </c>
      <c r="AR36" s="100" t="str">
        <f t="shared" si="104"/>
        <v/>
      </c>
      <c r="AS36" s="94" t="str">
        <f t="shared" si="104"/>
        <v/>
      </c>
      <c r="AT36" s="94" t="str">
        <f t="shared" si="104"/>
        <v/>
      </c>
      <c r="AU36" s="97"/>
    </row>
    <row r="37">
      <c r="A37" s="74" t="str">
        <f>IF(B37=Settings!$D$5,"INICIO",IF(B37=Settings!$D$6,"FIN",""))</f>
        <v/>
      </c>
      <c r="B37" s="75" t="str">
        <f>IF(AND(ISNUMBER(B36),B36+1&lt;=Settings!$D$6),B36+1,"")</f>
        <v/>
      </c>
      <c r="C37" s="76">
        <f t="shared" si="3"/>
        <v>-40.85714286</v>
      </c>
      <c r="D37" s="76" t="str">
        <f t="shared" si="4"/>
        <v/>
      </c>
      <c r="E37" s="77">
        <f>SUMIF(Historias!$F$6:$F$187,B37,Historias!$G$6:$G$187)</f>
        <v>0</v>
      </c>
      <c r="F37" s="80">
        <f t="shared" si="14"/>
        <v>0</v>
      </c>
      <c r="G37" s="78" t="str">
        <f>Settings!A43</f>
        <v/>
      </c>
      <c r="H37" s="77" t="str">
        <f>Settings!D43</f>
        <v/>
      </c>
      <c r="I37" s="77" t="str">
        <f>IF(G37 &lt;&gt; "", SUMIF(Historias!$B$6:$B$187,G37,Historias!$G$6:$G$187), "")</f>
        <v/>
      </c>
      <c r="J37" s="77" t="str">
        <f>IF(G37 &lt;&gt; "", SUMIF(Historias!$B$6:$B$187,G37,Historias!$H$6:$H$187), "")</f>
        <v/>
      </c>
      <c r="K37" s="77" t="str">
        <f t="shared" si="15"/>
        <v/>
      </c>
      <c r="L37" s="80" t="str">
        <f t="shared" si="16"/>
        <v/>
      </c>
      <c r="M37" s="93" t="str">
        <f t="shared" si="17"/>
        <v/>
      </c>
      <c r="N37" s="91"/>
      <c r="O37" s="94" t="str">
        <f t="shared" si="18"/>
        <v/>
      </c>
      <c r="P37" s="95" t="str">
        <f t="shared" si="19"/>
        <v/>
      </c>
      <c r="Q37" s="96"/>
      <c r="R37" s="94" t="str">
        <f>IF(AND($G37 &lt;&gt; "",R$14&lt;&gt;""), SUMIFS(Historias!$H$6:$H$187,Historias!$B$6:$B$187,$G37,Historias!$A$6:$A$187,R$14),"")</f>
        <v/>
      </c>
      <c r="S37" s="94" t="str">
        <f>IF(AND($G37 &lt;&gt; "",S$14&lt;&gt;""), SUMIFS(Historias!$H$6:$H$187,Historias!$B$6:$B$187,$G37,Historias!$A$6:$A$187,S$14),"")</f>
        <v/>
      </c>
      <c r="T37" s="94" t="str">
        <f>IF(AND($G37 &lt;&gt; "",T$14&lt;&gt;""), SUMIFS(Historias!$H$6:$H$187,Historias!$B$6:$B$187,$G37,Historias!$A$6:$A$187,T$14),"")</f>
        <v/>
      </c>
      <c r="U37" s="94" t="str">
        <f>IF(AND($G37 &lt;&gt; "",U$14&lt;&gt;""), SUMIFS(Historias!$H$6:$H$187,Historias!$B$6:$B$187,$G37,Historias!$A$6:$A$187,U$14),"")</f>
        <v/>
      </c>
      <c r="V37" s="94" t="str">
        <f>IF(AND($G37 &lt;&gt; "",V$14&lt;&gt;""), SUMIFS(Historias!$H$6:$H$187,Historias!$B$6:$B$187,$G37,Historias!$A$6:$A$187,V$14),"")</f>
        <v/>
      </c>
      <c r="W37" s="96"/>
      <c r="X37" s="94" t="str">
        <f t="shared" ref="X37:AB37" si="105">IF(AND($G37 &lt;&gt;"", X$14&lt;&gt;""), IF(max($R37:$V37)&gt;0,IF(AND(R37 = max($R37:$V37),COUNTIF($R37:$V37,R37)=1), 1 , 0), 0), "")</f>
        <v/>
      </c>
      <c r="Y37" s="94" t="str">
        <f t="shared" si="105"/>
        <v/>
      </c>
      <c r="Z37" s="94" t="str">
        <f t="shared" si="105"/>
        <v/>
      </c>
      <c r="AA37" s="94" t="str">
        <f t="shared" si="105"/>
        <v/>
      </c>
      <c r="AB37" s="94" t="str">
        <f t="shared" si="105"/>
        <v/>
      </c>
      <c r="AC37" s="96"/>
      <c r="AD37" s="94" t="str">
        <f t="shared" ref="AD37:AH37" si="106">IF(AND($G37 &lt;&gt;"",AD$14&lt;&gt;""), IF(max($R37:$V37)&gt;0,IF(R37 = $J37, 1 , 0), 0), "")</f>
        <v/>
      </c>
      <c r="AE37" s="94" t="str">
        <f t="shared" si="106"/>
        <v/>
      </c>
      <c r="AF37" s="94" t="str">
        <f t="shared" si="106"/>
        <v/>
      </c>
      <c r="AG37" s="94" t="str">
        <f t="shared" si="106"/>
        <v/>
      </c>
      <c r="AH37" s="94" t="str">
        <f t="shared" si="106"/>
        <v/>
      </c>
      <c r="AI37" s="96"/>
      <c r="AJ37" s="94" t="str">
        <f t="shared" ref="AJ37:AN37" si="107">IF($G37 &lt;&gt; "", IF(R37 &gt;0,R37/$J37*log(R37/$J37,2),""), "")</f>
        <v/>
      </c>
      <c r="AK37" s="100" t="str">
        <f t="shared" si="107"/>
        <v/>
      </c>
      <c r="AL37" s="94" t="str">
        <f t="shared" si="107"/>
        <v/>
      </c>
      <c r="AM37" s="100" t="str">
        <f t="shared" si="107"/>
        <v/>
      </c>
      <c r="AN37" s="100" t="str">
        <f t="shared" si="107"/>
        <v/>
      </c>
      <c r="AO37" s="96" t="str">
        <f t="shared" si="23"/>
        <v/>
      </c>
      <c r="AP37" s="94" t="str">
        <f t="shared" ref="AP37:AT37" si="108">IF($G37 &lt;&gt; "", IF(R37 &gt;0,R37/R$54*log(R37/R$54,2),""), "")</f>
        <v/>
      </c>
      <c r="AQ37" s="100" t="str">
        <f t="shared" si="108"/>
        <v/>
      </c>
      <c r="AR37" s="94" t="str">
        <f t="shared" si="108"/>
        <v/>
      </c>
      <c r="AS37" s="100" t="str">
        <f t="shared" si="108"/>
        <v/>
      </c>
      <c r="AT37" s="100" t="str">
        <f t="shared" si="108"/>
        <v/>
      </c>
      <c r="AU37" s="97"/>
    </row>
    <row r="38">
      <c r="A38" s="74" t="str">
        <f>IF(B38=Settings!$D$5,"INICIO",IF(B38=Settings!$D$6,"FIN",""))</f>
        <v/>
      </c>
      <c r="B38" s="75" t="str">
        <f>IF(AND(ISNUMBER(B37),B37+1&lt;=Settings!$D$6),B37+1,"")</f>
        <v/>
      </c>
      <c r="C38" s="76">
        <f t="shared" si="3"/>
        <v>-44</v>
      </c>
      <c r="D38" s="76" t="str">
        <f t="shared" si="4"/>
        <v/>
      </c>
      <c r="E38" s="77">
        <f>SUMIF(Historias!$F$6:$F$187,B38,Historias!$G$6:$G$187)</f>
        <v>0</v>
      </c>
      <c r="F38" s="80">
        <f t="shared" si="14"/>
        <v>0</v>
      </c>
      <c r="G38" s="78" t="str">
        <f>Settings!A44</f>
        <v/>
      </c>
      <c r="H38" s="77" t="str">
        <f>Settings!D44</f>
        <v/>
      </c>
      <c r="I38" s="77" t="str">
        <f>IF(G38 &lt;&gt; "", SUMIF(Historias!$B$6:$B$187,G38,Historias!$G$6:$G$187), "")</f>
        <v/>
      </c>
      <c r="J38" s="77" t="str">
        <f>IF(G38 &lt;&gt; "", SUMIF(Historias!$B$6:$B$187,G38,Historias!$H$6:$H$187), "")</f>
        <v/>
      </c>
      <c r="K38" s="77" t="str">
        <f t="shared" si="15"/>
        <v/>
      </c>
      <c r="L38" s="80" t="str">
        <f t="shared" si="16"/>
        <v/>
      </c>
      <c r="M38" s="93" t="str">
        <f t="shared" si="17"/>
        <v/>
      </c>
      <c r="N38" s="91"/>
      <c r="O38" s="94" t="str">
        <f t="shared" si="18"/>
        <v/>
      </c>
      <c r="P38" s="95" t="str">
        <f t="shared" si="19"/>
        <v/>
      </c>
      <c r="Q38" s="96"/>
      <c r="R38" s="94" t="str">
        <f>IF(AND($G38 &lt;&gt; "",R$14&lt;&gt;""), SUMIFS(Historias!$H$6:$H$187,Historias!$B$6:$B$187,$G38,Historias!$A$6:$A$187,R$14),"")</f>
        <v/>
      </c>
      <c r="S38" s="94" t="str">
        <f>IF(AND($G38 &lt;&gt; "",S$14&lt;&gt;""), SUMIFS(Historias!$H$6:$H$187,Historias!$B$6:$B$187,$G38,Historias!$A$6:$A$187,S$14),"")</f>
        <v/>
      </c>
      <c r="T38" s="94" t="str">
        <f>IF(AND($G38 &lt;&gt; "",T$14&lt;&gt;""), SUMIFS(Historias!$H$6:$H$187,Historias!$B$6:$B$187,$G38,Historias!$A$6:$A$187,T$14),"")</f>
        <v/>
      </c>
      <c r="U38" s="94" t="str">
        <f>IF(AND($G38 &lt;&gt; "",U$14&lt;&gt;""), SUMIFS(Historias!$H$6:$H$187,Historias!$B$6:$B$187,$G38,Historias!$A$6:$A$187,U$14),"")</f>
        <v/>
      </c>
      <c r="V38" s="94" t="str">
        <f>IF(AND($G38 &lt;&gt; "",V$14&lt;&gt;""), SUMIFS(Historias!$H$6:$H$187,Historias!$B$6:$B$187,$G38,Historias!$A$6:$A$187,V$14),"")</f>
        <v/>
      </c>
      <c r="W38" s="96"/>
      <c r="X38" s="94" t="str">
        <f t="shared" ref="X38:AB38" si="109">IF(AND($G38 &lt;&gt;"", X$14&lt;&gt;""), IF(max($R38:$V38)&gt;0,IF(AND(R38 = max($R38:$V38),COUNTIF($R38:$V38,R38)=1), 1 , 0), 0), "")</f>
        <v/>
      </c>
      <c r="Y38" s="94" t="str">
        <f t="shared" si="109"/>
        <v/>
      </c>
      <c r="Z38" s="94" t="str">
        <f t="shared" si="109"/>
        <v/>
      </c>
      <c r="AA38" s="94" t="str">
        <f t="shared" si="109"/>
        <v/>
      </c>
      <c r="AB38" s="94" t="str">
        <f t="shared" si="109"/>
        <v/>
      </c>
      <c r="AC38" s="96"/>
      <c r="AD38" s="94" t="str">
        <f t="shared" ref="AD38:AH38" si="110">IF(AND($G38 &lt;&gt;"",AD$14&lt;&gt;""), IF(max($R38:$V38)&gt;0,IF(R38 = $J38, 1 , 0), 0), "")</f>
        <v/>
      </c>
      <c r="AE38" s="94" t="str">
        <f t="shared" si="110"/>
        <v/>
      </c>
      <c r="AF38" s="94" t="str">
        <f t="shared" si="110"/>
        <v/>
      </c>
      <c r="AG38" s="94" t="str">
        <f t="shared" si="110"/>
        <v/>
      </c>
      <c r="AH38" s="94" t="str">
        <f t="shared" si="110"/>
        <v/>
      </c>
      <c r="AI38" s="96"/>
      <c r="AJ38" s="94" t="str">
        <f t="shared" ref="AJ38:AN38" si="111">IF($G38 &lt;&gt; "", IF(R38 &gt;0,R38/$J38*log(R38/$J38,2),""), "")</f>
        <v/>
      </c>
      <c r="AK38" s="94" t="str">
        <f t="shared" si="111"/>
        <v/>
      </c>
      <c r="AL38" s="100" t="str">
        <f t="shared" si="111"/>
        <v/>
      </c>
      <c r="AM38" s="100" t="str">
        <f t="shared" si="111"/>
        <v/>
      </c>
      <c r="AN38" s="100" t="str">
        <f t="shared" si="111"/>
        <v/>
      </c>
      <c r="AO38" s="96" t="str">
        <f t="shared" si="23"/>
        <v/>
      </c>
      <c r="AP38" s="94" t="str">
        <f t="shared" ref="AP38:AT38" si="112">IF($G38 &lt;&gt; "", IF(R38 &gt;0,R38/R$54*log(R38/R$54,2),""), "")</f>
        <v/>
      </c>
      <c r="AQ38" s="94" t="str">
        <f t="shared" si="112"/>
        <v/>
      </c>
      <c r="AR38" s="100" t="str">
        <f t="shared" si="112"/>
        <v/>
      </c>
      <c r="AS38" s="100" t="str">
        <f t="shared" si="112"/>
        <v/>
      </c>
      <c r="AT38" s="100" t="str">
        <f t="shared" si="112"/>
        <v/>
      </c>
      <c r="AU38" s="97"/>
    </row>
    <row r="39">
      <c r="A39" s="74" t="str">
        <f>IF(B39=Settings!$D$5,"INICIO",IF(B39=Settings!$D$6,"FIN",""))</f>
        <v/>
      </c>
      <c r="B39" s="75" t="str">
        <f>IF(AND(ISNUMBER(B38),B38+1&lt;=Settings!$D$6),B38+1,"")</f>
        <v/>
      </c>
      <c r="C39" s="76">
        <f t="shared" si="3"/>
        <v>-47.14285714</v>
      </c>
      <c r="D39" s="76" t="str">
        <f t="shared" si="4"/>
        <v/>
      </c>
      <c r="E39" s="77">
        <f>SUMIF(Historias!$F$6:$F$187,B39,Historias!$G$6:$G$187)</f>
        <v>0</v>
      </c>
      <c r="F39" s="80">
        <f t="shared" si="14"/>
        <v>0</v>
      </c>
      <c r="G39" s="78" t="str">
        <f>Settings!A45</f>
        <v/>
      </c>
      <c r="H39" s="77" t="str">
        <f>Settings!D45</f>
        <v/>
      </c>
      <c r="I39" s="77" t="str">
        <f>IF(G39 &lt;&gt; "", SUMIF(Historias!$B$6:$B$187,G39,Historias!$G$6:$G$187), "")</f>
        <v/>
      </c>
      <c r="J39" s="77" t="str">
        <f>IF(G39 &lt;&gt; "", SUMIF(Historias!$B$6:$B$187,G39,Historias!$H$6:$H$187), "")</f>
        <v/>
      </c>
      <c r="K39" s="77" t="str">
        <f t="shared" si="15"/>
        <v/>
      </c>
      <c r="L39" s="80" t="str">
        <f t="shared" si="16"/>
        <v/>
      </c>
      <c r="M39" s="93" t="str">
        <f t="shared" si="17"/>
        <v/>
      </c>
      <c r="N39" s="91"/>
      <c r="O39" s="94" t="str">
        <f t="shared" si="18"/>
        <v/>
      </c>
      <c r="P39" s="95" t="str">
        <f t="shared" si="19"/>
        <v/>
      </c>
      <c r="Q39" s="96"/>
      <c r="R39" s="94" t="str">
        <f>IF(AND($G39 &lt;&gt; "",R$14&lt;&gt;""), SUMIFS(Historias!$H$6:$H$187,Historias!$B$6:$B$187,$G39,Historias!$A$6:$A$187,R$14),"")</f>
        <v/>
      </c>
      <c r="S39" s="94" t="str">
        <f>IF(AND($G39 &lt;&gt; "",S$14&lt;&gt;""), SUMIFS(Historias!$H$6:$H$187,Historias!$B$6:$B$187,$G39,Historias!$A$6:$A$187,S$14),"")</f>
        <v/>
      </c>
      <c r="T39" s="94" t="str">
        <f>IF(AND($G39 &lt;&gt; "",T$14&lt;&gt;""), SUMIFS(Historias!$H$6:$H$187,Historias!$B$6:$B$187,$G39,Historias!$A$6:$A$187,T$14),"")</f>
        <v/>
      </c>
      <c r="U39" s="94" t="str">
        <f>IF(AND($G39 &lt;&gt; "",U$14&lt;&gt;""), SUMIFS(Historias!$H$6:$H$187,Historias!$B$6:$B$187,$G39,Historias!$A$6:$A$187,U$14),"")</f>
        <v/>
      </c>
      <c r="V39" s="94" t="str">
        <f>IF(AND($G39 &lt;&gt; "",V$14&lt;&gt;""), SUMIFS(Historias!$H$6:$H$187,Historias!$B$6:$B$187,$G39,Historias!$A$6:$A$187,V$14),"")</f>
        <v/>
      </c>
      <c r="W39" s="96"/>
      <c r="X39" s="94" t="str">
        <f t="shared" ref="X39:AB39" si="113">IF(AND($G39 &lt;&gt;"", X$14&lt;&gt;""), IF(max($R39:$V39)&gt;0,IF(AND(R39 = max($R39:$V39),COUNTIF($R39:$V39,R39)=1), 1 , 0), 0), "")</f>
        <v/>
      </c>
      <c r="Y39" s="94" t="str">
        <f t="shared" si="113"/>
        <v/>
      </c>
      <c r="Z39" s="94" t="str">
        <f t="shared" si="113"/>
        <v/>
      </c>
      <c r="AA39" s="94" t="str">
        <f t="shared" si="113"/>
        <v/>
      </c>
      <c r="AB39" s="94" t="str">
        <f t="shared" si="113"/>
        <v/>
      </c>
      <c r="AC39" s="96"/>
      <c r="AD39" s="94" t="str">
        <f t="shared" ref="AD39:AH39" si="114">IF(AND($G39 &lt;&gt;"",AD$14&lt;&gt;""), IF(max($R39:$V39)&gt;0,IF(R39 = $J39, 1 , 0), 0), "")</f>
        <v/>
      </c>
      <c r="AE39" s="94" t="str">
        <f t="shared" si="114"/>
        <v/>
      </c>
      <c r="AF39" s="94" t="str">
        <f t="shared" si="114"/>
        <v/>
      </c>
      <c r="AG39" s="94" t="str">
        <f t="shared" si="114"/>
        <v/>
      </c>
      <c r="AH39" s="94" t="str">
        <f t="shared" si="114"/>
        <v/>
      </c>
      <c r="AI39" s="96"/>
      <c r="AJ39" s="94" t="str">
        <f t="shared" ref="AJ39:AN39" si="115">IF($G39 &lt;&gt; "", IF(R39 &gt;0,R39/$J39*log(R39/$J39,2),""), "")</f>
        <v/>
      </c>
      <c r="AK39" s="94" t="str">
        <f t="shared" si="115"/>
        <v/>
      </c>
      <c r="AL39" s="94" t="str">
        <f t="shared" si="115"/>
        <v/>
      </c>
      <c r="AM39" s="94" t="str">
        <f t="shared" si="115"/>
        <v/>
      </c>
      <c r="AN39" s="94" t="str">
        <f t="shared" si="115"/>
        <v/>
      </c>
      <c r="AO39" s="96" t="str">
        <f t="shared" si="23"/>
        <v/>
      </c>
      <c r="AP39" s="94" t="str">
        <f t="shared" ref="AP39:AT39" si="116">IF($G39 &lt;&gt; "", IF(R39 &gt;0,R39/R$54*log(R39/R$54,2),""), "")</f>
        <v/>
      </c>
      <c r="AQ39" s="94" t="str">
        <f t="shared" si="116"/>
        <v/>
      </c>
      <c r="AR39" s="94" t="str">
        <f t="shared" si="116"/>
        <v/>
      </c>
      <c r="AS39" s="94" t="str">
        <f t="shared" si="116"/>
        <v/>
      </c>
      <c r="AT39" s="94" t="str">
        <f t="shared" si="116"/>
        <v/>
      </c>
      <c r="AU39" s="97"/>
    </row>
    <row r="40">
      <c r="A40" s="74" t="str">
        <f>IF(B40=Settings!$D$5,"INICIO",IF(B40=Settings!$D$6,"FIN",""))</f>
        <v/>
      </c>
      <c r="B40" s="75" t="str">
        <f>IF(AND(ISNUMBER(B39),B39+1&lt;=Settings!$D$6),B39+1,"")</f>
        <v/>
      </c>
      <c r="C40" s="76">
        <f t="shared" si="3"/>
        <v>-50.28571429</v>
      </c>
      <c r="D40" s="76" t="str">
        <f t="shared" si="4"/>
        <v/>
      </c>
      <c r="E40" s="77">
        <f>SUMIF(Historias!$F$6:$F$187,B40,Historias!$G$6:$G$187)</f>
        <v>0</v>
      </c>
      <c r="F40" s="80">
        <f t="shared" si="14"/>
        <v>0</v>
      </c>
      <c r="G40" s="78" t="str">
        <f>Settings!A46</f>
        <v/>
      </c>
      <c r="H40" s="77" t="str">
        <f>Settings!D46</f>
        <v/>
      </c>
      <c r="I40" s="77" t="str">
        <f>IF(G40 &lt;&gt; "", SUMIF(Historias!$B$6:$B$187,G40,Historias!$G$6:$G$187), "")</f>
        <v/>
      </c>
      <c r="J40" s="77" t="str">
        <f>IF(G40 &lt;&gt; "", SUMIF(Historias!$B$6:$B$187,G40,Historias!$H$6:$H$187), "")</f>
        <v/>
      </c>
      <c r="K40" s="77" t="str">
        <f t="shared" si="15"/>
        <v/>
      </c>
      <c r="L40" s="80" t="str">
        <f t="shared" si="16"/>
        <v/>
      </c>
      <c r="M40" s="93" t="str">
        <f t="shared" si="17"/>
        <v/>
      </c>
      <c r="N40" s="91"/>
      <c r="O40" s="94" t="str">
        <f t="shared" si="18"/>
        <v/>
      </c>
      <c r="P40" s="95" t="str">
        <f t="shared" si="19"/>
        <v/>
      </c>
      <c r="Q40" s="96"/>
      <c r="R40" s="94" t="str">
        <f>IF(AND($G40 &lt;&gt; "",R$14&lt;&gt;""), SUMIFS(Historias!$H$6:$H$187,Historias!$B$6:$B$187,$G40,Historias!$A$6:$A$187,R$14),"")</f>
        <v/>
      </c>
      <c r="S40" s="94" t="str">
        <f>IF(AND($G40 &lt;&gt; "",S$14&lt;&gt;""), SUMIFS(Historias!$H$6:$H$187,Historias!$B$6:$B$187,$G40,Historias!$A$6:$A$187,S$14),"")</f>
        <v/>
      </c>
      <c r="T40" s="94" t="str">
        <f>IF(AND($G40 &lt;&gt; "",T$14&lt;&gt;""), SUMIFS(Historias!$H$6:$H$187,Historias!$B$6:$B$187,$G40,Historias!$A$6:$A$187,T$14),"")</f>
        <v/>
      </c>
      <c r="U40" s="94" t="str">
        <f>IF(AND($G40 &lt;&gt; "",U$14&lt;&gt;""), SUMIFS(Historias!$H$6:$H$187,Historias!$B$6:$B$187,$G40,Historias!$A$6:$A$187,U$14),"")</f>
        <v/>
      </c>
      <c r="V40" s="94" t="str">
        <f>IF(AND($G40 &lt;&gt; "",V$14&lt;&gt;""), SUMIFS(Historias!$H$6:$H$187,Historias!$B$6:$B$187,$G40,Historias!$A$6:$A$187,V$14),"")</f>
        <v/>
      </c>
      <c r="W40" s="96"/>
      <c r="X40" s="94" t="str">
        <f t="shared" ref="X40:AB40" si="117">IF(AND($G40 &lt;&gt;"", X$14&lt;&gt;""), IF(max($R40:$V40)&gt;0,IF(AND(R40 = max($R40:$V40),COUNTIF($R40:$V40,R40)=1), 1 , 0), 0), "")</f>
        <v/>
      </c>
      <c r="Y40" s="94" t="str">
        <f t="shared" si="117"/>
        <v/>
      </c>
      <c r="Z40" s="94" t="str">
        <f t="shared" si="117"/>
        <v/>
      </c>
      <c r="AA40" s="94" t="str">
        <f t="shared" si="117"/>
        <v/>
      </c>
      <c r="AB40" s="94" t="str">
        <f t="shared" si="117"/>
        <v/>
      </c>
      <c r="AC40" s="96"/>
      <c r="AD40" s="94" t="str">
        <f t="shared" ref="AD40:AH40" si="118">IF(AND($G40 &lt;&gt;"",AD$14&lt;&gt;""), IF(max($R40:$V40)&gt;0,IF(R40 = $J40, 1 , 0), 0), "")</f>
        <v/>
      </c>
      <c r="AE40" s="94" t="str">
        <f t="shared" si="118"/>
        <v/>
      </c>
      <c r="AF40" s="94" t="str">
        <f t="shared" si="118"/>
        <v/>
      </c>
      <c r="AG40" s="94" t="str">
        <f t="shared" si="118"/>
        <v/>
      </c>
      <c r="AH40" s="94" t="str">
        <f t="shared" si="118"/>
        <v/>
      </c>
      <c r="AI40" s="96"/>
      <c r="AJ40" s="94" t="str">
        <f t="shared" ref="AJ40:AN40" si="119">IF($G40 &lt;&gt; "", IF(R40 &gt;0,R40/$J40*log(R40/$J40,2),""), "")</f>
        <v/>
      </c>
      <c r="AK40" s="94" t="str">
        <f t="shared" si="119"/>
        <v/>
      </c>
      <c r="AL40" s="94" t="str">
        <f t="shared" si="119"/>
        <v/>
      </c>
      <c r="AM40" s="94" t="str">
        <f t="shared" si="119"/>
        <v/>
      </c>
      <c r="AN40" s="100" t="str">
        <f t="shared" si="119"/>
        <v/>
      </c>
      <c r="AO40" s="96" t="str">
        <f t="shared" si="23"/>
        <v/>
      </c>
      <c r="AP40" s="94" t="str">
        <f t="shared" ref="AP40:AT40" si="120">IF($G40 &lt;&gt; "", IF(R40 &gt;0,R40/R$54*log(R40/R$54,2),""), "")</f>
        <v/>
      </c>
      <c r="AQ40" s="94" t="str">
        <f t="shared" si="120"/>
        <v/>
      </c>
      <c r="AR40" s="94" t="str">
        <f t="shared" si="120"/>
        <v/>
      </c>
      <c r="AS40" s="94" t="str">
        <f t="shared" si="120"/>
        <v/>
      </c>
      <c r="AT40" s="100" t="str">
        <f t="shared" si="120"/>
        <v/>
      </c>
      <c r="AU40" s="97"/>
    </row>
    <row r="41">
      <c r="A41" s="74" t="str">
        <f>IF(B41=Settings!$D$5,"INICIO",IF(B41=Settings!$D$6,"FIN",""))</f>
        <v/>
      </c>
      <c r="B41" s="75" t="str">
        <f>IF(AND(ISNUMBER(B40),B40+1&lt;=Settings!$D$6),B40+1,"")</f>
        <v/>
      </c>
      <c r="C41" s="76">
        <f t="shared" si="3"/>
        <v>-53.42857143</v>
      </c>
      <c r="D41" s="76" t="str">
        <f t="shared" si="4"/>
        <v/>
      </c>
      <c r="E41" s="77">
        <f>SUMIF(Historias!$F$6:$F$187,B41,Historias!$G$6:$G$187)</f>
        <v>0</v>
      </c>
      <c r="F41" s="80">
        <f t="shared" si="14"/>
        <v>0</v>
      </c>
      <c r="G41" s="78" t="str">
        <f>Settings!A47</f>
        <v/>
      </c>
      <c r="H41" s="77" t="str">
        <f>Settings!D47</f>
        <v/>
      </c>
      <c r="I41" s="77" t="str">
        <f>IF(G41 &lt;&gt; "", SUMIF(Historias!$B$6:$B$187,G41,Historias!$G$6:$G$187), "")</f>
        <v/>
      </c>
      <c r="J41" s="77" t="str">
        <f>IF(G41 &lt;&gt; "", SUMIF(Historias!$B$6:$B$187,G41,Historias!$H$6:$H$187), "")</f>
        <v/>
      </c>
      <c r="K41" s="77" t="str">
        <f t="shared" si="15"/>
        <v/>
      </c>
      <c r="L41" s="80" t="str">
        <f t="shared" si="16"/>
        <v/>
      </c>
      <c r="M41" s="93" t="str">
        <f t="shared" si="17"/>
        <v/>
      </c>
      <c r="N41" s="91"/>
      <c r="O41" s="94" t="str">
        <f t="shared" si="18"/>
        <v/>
      </c>
      <c r="P41" s="95" t="str">
        <f t="shared" si="19"/>
        <v/>
      </c>
      <c r="Q41" s="96"/>
      <c r="R41" s="94" t="str">
        <f>IF(AND($G41 &lt;&gt; "",R$14&lt;&gt;""), SUMIFS(Historias!$H$6:$H$187,Historias!$B$6:$B$187,$G41,Historias!$A$6:$A$187,R$14),"")</f>
        <v/>
      </c>
      <c r="S41" s="94" t="str">
        <f>IF(AND($G41 &lt;&gt; "",S$14&lt;&gt;""), SUMIFS(Historias!$H$6:$H$187,Historias!$B$6:$B$187,$G41,Historias!$A$6:$A$187,S$14),"")</f>
        <v/>
      </c>
      <c r="T41" s="94" t="str">
        <f>IF(AND($G41 &lt;&gt; "",T$14&lt;&gt;""), SUMIFS(Historias!$H$6:$H$187,Historias!$B$6:$B$187,$G41,Historias!$A$6:$A$187,T$14),"")</f>
        <v/>
      </c>
      <c r="U41" s="94" t="str">
        <f>IF(AND($G41 &lt;&gt; "",U$14&lt;&gt;""), SUMIFS(Historias!$H$6:$H$187,Historias!$B$6:$B$187,$G41,Historias!$A$6:$A$187,U$14),"")</f>
        <v/>
      </c>
      <c r="V41" s="94" t="str">
        <f>IF(AND($G41 &lt;&gt; "",V$14&lt;&gt;""), SUMIFS(Historias!$H$6:$H$187,Historias!$B$6:$B$187,$G41,Historias!$A$6:$A$187,V$14),"")</f>
        <v/>
      </c>
      <c r="W41" s="96"/>
      <c r="X41" s="94" t="str">
        <f t="shared" ref="X41:AB41" si="121">IF(AND($G41 &lt;&gt;"", X$14&lt;&gt;""), IF(max($R41:$V41)&gt;0,IF(AND(R41 = max($R41:$V41),COUNTIF($R41:$V41,R41)=1), 1 , 0), 0), "")</f>
        <v/>
      </c>
      <c r="Y41" s="94" t="str">
        <f t="shared" si="121"/>
        <v/>
      </c>
      <c r="Z41" s="94" t="str">
        <f t="shared" si="121"/>
        <v/>
      </c>
      <c r="AA41" s="94" t="str">
        <f t="shared" si="121"/>
        <v/>
      </c>
      <c r="AB41" s="94" t="str">
        <f t="shared" si="121"/>
        <v/>
      </c>
      <c r="AC41" s="96"/>
      <c r="AD41" s="94" t="str">
        <f t="shared" ref="AD41:AH41" si="122">IF(AND($G41 &lt;&gt;"",AD$14&lt;&gt;""), IF(max($R41:$V41)&gt;0,IF(R41 = $J41, 1 , 0), 0), "")</f>
        <v/>
      </c>
      <c r="AE41" s="94" t="str">
        <f t="shared" si="122"/>
        <v/>
      </c>
      <c r="AF41" s="94" t="str">
        <f t="shared" si="122"/>
        <v/>
      </c>
      <c r="AG41" s="94" t="str">
        <f t="shared" si="122"/>
        <v/>
      </c>
      <c r="AH41" s="94" t="str">
        <f t="shared" si="122"/>
        <v/>
      </c>
      <c r="AI41" s="96"/>
      <c r="AJ41" s="94" t="str">
        <f t="shared" ref="AJ41:AN41" si="123">IF($G41 &lt;&gt; "", IF(R41 &gt;0,R41/$J41*log(R41/$J41,2),""), "")</f>
        <v/>
      </c>
      <c r="AK41" s="94" t="str">
        <f t="shared" si="123"/>
        <v/>
      </c>
      <c r="AL41" s="94" t="str">
        <f t="shared" si="123"/>
        <v/>
      </c>
      <c r="AM41" s="94" t="str">
        <f t="shared" si="123"/>
        <v/>
      </c>
      <c r="AN41" s="100" t="str">
        <f t="shared" si="123"/>
        <v/>
      </c>
      <c r="AO41" s="96" t="str">
        <f t="shared" si="23"/>
        <v/>
      </c>
      <c r="AP41" s="94" t="str">
        <f t="shared" ref="AP41:AT41" si="124">IF($G41 &lt;&gt; "", IF(R41 &gt;0,R41/R$54*log(R41/R$54,2),""), "")</f>
        <v/>
      </c>
      <c r="AQ41" s="94" t="str">
        <f t="shared" si="124"/>
        <v/>
      </c>
      <c r="AR41" s="94" t="str">
        <f t="shared" si="124"/>
        <v/>
      </c>
      <c r="AS41" s="94" t="str">
        <f t="shared" si="124"/>
        <v/>
      </c>
      <c r="AT41" s="100" t="str">
        <f t="shared" si="124"/>
        <v/>
      </c>
      <c r="AU41" s="97"/>
    </row>
    <row r="42">
      <c r="A42" s="74" t="str">
        <f>IF(B42=Settings!$D$5,"INICIO",IF(B42=Settings!$D$6,"FIN",""))</f>
        <v/>
      </c>
      <c r="B42" s="75" t="str">
        <f>IF(AND(ISNUMBER(B41),B41+1&lt;=Settings!$D$6),B41+1,"")</f>
        <v/>
      </c>
      <c r="C42" s="76">
        <f t="shared" si="3"/>
        <v>-56.57142857</v>
      </c>
      <c r="D42" s="76" t="str">
        <f t="shared" si="4"/>
        <v/>
      </c>
      <c r="E42" s="77">
        <f>SUMIF(Historias!$F$6:$F$187,B42,Historias!$G$6:$G$187)</f>
        <v>0</v>
      </c>
      <c r="F42" s="80">
        <f t="shared" si="14"/>
        <v>0</v>
      </c>
      <c r="G42" s="78" t="str">
        <f>Settings!A48</f>
        <v/>
      </c>
      <c r="H42" s="77" t="str">
        <f>Settings!D48</f>
        <v/>
      </c>
      <c r="I42" s="77" t="str">
        <f>IF(G42 &lt;&gt; "", SUMIF(Historias!$B$6:$B$187,G42,Historias!$G$6:$G$187), "")</f>
        <v/>
      </c>
      <c r="J42" s="77" t="str">
        <f>IF(G42 &lt;&gt; "", SUMIF(Historias!$B$6:$B$187,G42,Historias!$H$6:$H$187), "")</f>
        <v/>
      </c>
      <c r="K42" s="77" t="str">
        <f t="shared" si="15"/>
        <v/>
      </c>
      <c r="L42" s="80" t="str">
        <f t="shared" si="16"/>
        <v/>
      </c>
      <c r="M42" s="93" t="str">
        <f t="shared" si="17"/>
        <v/>
      </c>
      <c r="N42" s="91"/>
      <c r="O42" s="94" t="str">
        <f t="shared" si="18"/>
        <v/>
      </c>
      <c r="P42" s="95" t="str">
        <f t="shared" si="19"/>
        <v/>
      </c>
      <c r="Q42" s="96"/>
      <c r="R42" s="94" t="str">
        <f>IF(AND($G42 &lt;&gt; "",R$14&lt;&gt;""), SUMIFS(Historias!$H$6:$H$187,Historias!$B$6:$B$187,$G42,Historias!$A$6:$A$187,R$14),"")</f>
        <v/>
      </c>
      <c r="S42" s="94" t="str">
        <f>IF(AND($G42 &lt;&gt; "",S$14&lt;&gt;""), SUMIFS(Historias!$H$6:$H$187,Historias!$B$6:$B$187,$G42,Historias!$A$6:$A$187,S$14),"")</f>
        <v/>
      </c>
      <c r="T42" s="94" t="str">
        <f>IF(AND($G42 &lt;&gt; "",T$14&lt;&gt;""), SUMIFS(Historias!$H$6:$H$187,Historias!$B$6:$B$187,$G42,Historias!$A$6:$A$187,T$14),"")</f>
        <v/>
      </c>
      <c r="U42" s="94" t="str">
        <f>IF(AND($G42 &lt;&gt; "",U$14&lt;&gt;""), SUMIFS(Historias!$H$6:$H$187,Historias!$B$6:$B$187,$G42,Historias!$A$6:$A$187,U$14),"")</f>
        <v/>
      </c>
      <c r="V42" s="94" t="str">
        <f>IF(AND($G42 &lt;&gt; "",V$14&lt;&gt;""), SUMIFS(Historias!$H$6:$H$187,Historias!$B$6:$B$187,$G42,Historias!$A$6:$A$187,V$14),"")</f>
        <v/>
      </c>
      <c r="W42" s="96"/>
      <c r="X42" s="94" t="str">
        <f t="shared" ref="X42:AB42" si="125">IF(AND($G42 &lt;&gt;"", X$14&lt;&gt;""), IF(max($R42:$V42)&gt;0,IF(AND(R42 = max($R42:$V42),COUNTIF($R42:$V42,R42)=1), 1 , 0), 0), "")</f>
        <v/>
      </c>
      <c r="Y42" s="94" t="str">
        <f t="shared" si="125"/>
        <v/>
      </c>
      <c r="Z42" s="94" t="str">
        <f t="shared" si="125"/>
        <v/>
      </c>
      <c r="AA42" s="94" t="str">
        <f t="shared" si="125"/>
        <v/>
      </c>
      <c r="AB42" s="94" t="str">
        <f t="shared" si="125"/>
        <v/>
      </c>
      <c r="AC42" s="96"/>
      <c r="AD42" s="94" t="str">
        <f t="shared" ref="AD42:AH42" si="126">IF(AND($G42 &lt;&gt;"",AD$14&lt;&gt;""), IF(max($R42:$V42)&gt;0,IF(R42 = $J42, 1 , 0), 0), "")</f>
        <v/>
      </c>
      <c r="AE42" s="94" t="str">
        <f t="shared" si="126"/>
        <v/>
      </c>
      <c r="AF42" s="94" t="str">
        <f t="shared" si="126"/>
        <v/>
      </c>
      <c r="AG42" s="94" t="str">
        <f t="shared" si="126"/>
        <v/>
      </c>
      <c r="AH42" s="94" t="str">
        <f t="shared" si="126"/>
        <v/>
      </c>
      <c r="AI42" s="96"/>
      <c r="AJ42" s="94" t="str">
        <f t="shared" ref="AJ42:AN42" si="127">IF($G42 &lt;&gt; "", IF(R42 &gt;0,R42/$J42*log(R42/$J42,2),""), "")</f>
        <v/>
      </c>
      <c r="AK42" s="100" t="str">
        <f t="shared" si="127"/>
        <v/>
      </c>
      <c r="AL42" s="100" t="str">
        <f t="shared" si="127"/>
        <v/>
      </c>
      <c r="AM42" s="100" t="str">
        <f t="shared" si="127"/>
        <v/>
      </c>
      <c r="AN42" s="100" t="str">
        <f t="shared" si="127"/>
        <v/>
      </c>
      <c r="AO42" s="96" t="str">
        <f t="shared" si="23"/>
        <v/>
      </c>
      <c r="AP42" s="94" t="str">
        <f t="shared" ref="AP42:AT42" si="128">IF($G42 &lt;&gt; "", IF(R42 &gt;0,R42/R$54*log(R42/R$54,2),""), "")</f>
        <v/>
      </c>
      <c r="AQ42" s="100" t="str">
        <f t="shared" si="128"/>
        <v/>
      </c>
      <c r="AR42" s="100" t="str">
        <f t="shared" si="128"/>
        <v/>
      </c>
      <c r="AS42" s="100" t="str">
        <f t="shared" si="128"/>
        <v/>
      </c>
      <c r="AT42" s="100" t="str">
        <f t="shared" si="128"/>
        <v/>
      </c>
      <c r="AU42" s="97"/>
    </row>
    <row r="43">
      <c r="A43" s="74" t="str">
        <f>IF(B43=Settings!$D$5,"INICIO",IF(B43=Settings!$D$6,"FIN",""))</f>
        <v/>
      </c>
      <c r="B43" s="75" t="str">
        <f>IF(AND(ISNUMBER(B42),B42+1&lt;=Settings!$D$6),B42+1,"")</f>
        <v/>
      </c>
      <c r="C43" s="76">
        <f t="shared" si="3"/>
        <v>-59.71428571</v>
      </c>
      <c r="D43" s="76" t="str">
        <f t="shared" si="4"/>
        <v/>
      </c>
      <c r="E43" s="77">
        <f>SUMIF(Historias!$F$6:$F$187,B43,Historias!$G$6:$G$187)</f>
        <v>0</v>
      </c>
      <c r="F43" s="80">
        <f t="shared" si="14"/>
        <v>0</v>
      </c>
      <c r="G43" s="78" t="str">
        <f>Settings!A49</f>
        <v/>
      </c>
      <c r="H43" s="77" t="str">
        <f>Settings!D49</f>
        <v/>
      </c>
      <c r="I43" s="77" t="str">
        <f>IF(G43 &lt;&gt; "", SUMIF(Historias!$B$6:$B$187,G43,Historias!$G$6:$G$187), "")</f>
        <v/>
      </c>
      <c r="J43" s="77" t="str">
        <f>IF(G43 &lt;&gt; "", SUMIF(Historias!$B$6:$B$187,G43,Historias!$H$6:$H$187), "")</f>
        <v/>
      </c>
      <c r="K43" s="77" t="str">
        <f t="shared" si="15"/>
        <v/>
      </c>
      <c r="L43" s="102" t="str">
        <f t="shared" si="16"/>
        <v/>
      </c>
      <c r="M43" s="103" t="str">
        <f t="shared" si="17"/>
        <v/>
      </c>
      <c r="N43" s="91"/>
      <c r="O43" s="94" t="str">
        <f t="shared" si="18"/>
        <v/>
      </c>
      <c r="P43" s="104" t="str">
        <f t="shared" si="19"/>
        <v/>
      </c>
      <c r="Q43" s="96"/>
      <c r="R43" s="94" t="str">
        <f>IF(AND($G43 &lt;&gt; "",R$14&lt;&gt;""), SUMIFS(Historias!$H$6:$H$187,Historias!$B$6:$B$187,$G43,Historias!$A$6:$A$187,R$14),"")</f>
        <v/>
      </c>
      <c r="S43" s="94" t="str">
        <f>IF(AND($G43 &lt;&gt; "",S$14&lt;&gt;""), SUMIFS(Historias!$H$6:$H$187,Historias!$B$6:$B$187,$G43,Historias!$A$6:$A$187,S$14),"")</f>
        <v/>
      </c>
      <c r="T43" s="94" t="str">
        <f>IF(AND($G43 &lt;&gt; "",T$14&lt;&gt;""), SUMIFS(Historias!$H$6:$H$187,Historias!$B$6:$B$187,$G43,Historias!$A$6:$A$187,T$14),"")</f>
        <v/>
      </c>
      <c r="U43" s="94" t="str">
        <f>IF(AND($G43 &lt;&gt; "",U$14&lt;&gt;""), SUMIFS(Historias!$H$6:$H$187,Historias!$B$6:$B$187,$G43,Historias!$A$6:$A$187,U$14),"")</f>
        <v/>
      </c>
      <c r="V43" s="94" t="str">
        <f>IF(AND($G43 &lt;&gt; "",V$14&lt;&gt;""), SUMIFS(Historias!$H$6:$H$187,Historias!$B$6:$B$187,$G43,Historias!$A$6:$A$187,V$14),"")</f>
        <v/>
      </c>
      <c r="W43" s="96"/>
      <c r="X43" s="94" t="str">
        <f t="shared" ref="X43:AB43" si="129">IF(AND($G43 &lt;&gt;"", X$14&lt;&gt;""), IF(max($R43:$V43)&gt;0,IF(AND(R43 = max($R43:$V43),COUNTIF($R43:$V43,R43)=1), 1 , 0), 0), "")</f>
        <v/>
      </c>
      <c r="Y43" s="94" t="str">
        <f t="shared" si="129"/>
        <v/>
      </c>
      <c r="Z43" s="94" t="str">
        <f t="shared" si="129"/>
        <v/>
      </c>
      <c r="AA43" s="94" t="str">
        <f t="shared" si="129"/>
        <v/>
      </c>
      <c r="AB43" s="94" t="str">
        <f t="shared" si="129"/>
        <v/>
      </c>
      <c r="AC43" s="96"/>
      <c r="AD43" s="94" t="str">
        <f t="shared" ref="AD43:AH43" si="130">IF(AND($G43 &lt;&gt;"",AD$14&lt;&gt;""), IF(max($R43:$V43)&gt;0,IF(R43 = $J43, 1 , 0), 0), "")</f>
        <v/>
      </c>
      <c r="AE43" s="94" t="str">
        <f t="shared" si="130"/>
        <v/>
      </c>
      <c r="AF43" s="94" t="str">
        <f t="shared" si="130"/>
        <v/>
      </c>
      <c r="AG43" s="94" t="str">
        <f t="shared" si="130"/>
        <v/>
      </c>
      <c r="AH43" s="94" t="str">
        <f t="shared" si="130"/>
        <v/>
      </c>
      <c r="AI43" s="96"/>
      <c r="AJ43" s="100" t="str">
        <f t="shared" ref="AJ43:AN43" si="131">IF($G43 &lt;&gt; "", IF(R43 &gt;0,R43/$J43*log(R43/$J43,2),""), "")</f>
        <v/>
      </c>
      <c r="AK43" s="100" t="str">
        <f t="shared" si="131"/>
        <v/>
      </c>
      <c r="AL43" s="100" t="str">
        <f t="shared" si="131"/>
        <v/>
      </c>
      <c r="AM43" s="100" t="str">
        <f t="shared" si="131"/>
        <v/>
      </c>
      <c r="AN43" s="100" t="str">
        <f t="shared" si="131"/>
        <v/>
      </c>
      <c r="AO43" s="96" t="str">
        <f t="shared" si="23"/>
        <v/>
      </c>
      <c r="AP43" s="100" t="str">
        <f t="shared" ref="AP43:AT43" si="132">IF($G43 &lt;&gt; "", IF(R43 &gt;0,R43/R$54*log(R43/R$54,2),""), "")</f>
        <v/>
      </c>
      <c r="AQ43" s="100" t="str">
        <f t="shared" si="132"/>
        <v/>
      </c>
      <c r="AR43" s="100" t="str">
        <f t="shared" si="132"/>
        <v/>
      </c>
      <c r="AS43" s="100" t="str">
        <f t="shared" si="132"/>
        <v/>
      </c>
      <c r="AT43" s="100" t="str">
        <f t="shared" si="132"/>
        <v/>
      </c>
      <c r="AU43" s="97"/>
    </row>
    <row r="44">
      <c r="A44" s="74" t="str">
        <f>IF(B44=Settings!$D$5,"INICIO",IF(B44=Settings!$D$6,"FIN",""))</f>
        <v/>
      </c>
      <c r="B44" s="75" t="str">
        <f>IF(AND(ISNUMBER(B43),B43+1&lt;=Settings!$D$6),B43+1,"")</f>
        <v/>
      </c>
      <c r="C44" s="76">
        <f t="shared" si="3"/>
        <v>-62.85714286</v>
      </c>
      <c r="D44" s="76" t="str">
        <f t="shared" si="4"/>
        <v/>
      </c>
      <c r="E44" s="77">
        <f>SUMIF(Historias!$F$6:$F$187,B44,Historias!$G$6:$G$187)</f>
        <v>0</v>
      </c>
      <c r="F44" s="80">
        <f t="shared" si="14"/>
        <v>0</v>
      </c>
      <c r="G44" s="78" t="str">
        <f>Settings!A50</f>
        <v/>
      </c>
      <c r="H44" s="77" t="str">
        <f>Settings!D50</f>
        <v/>
      </c>
      <c r="I44" s="77" t="str">
        <f>IF(G44 &lt;&gt; "", SUMIF(Historias!$B$6:$B$187,G44,Historias!$G$6:$G$187), "")</f>
        <v/>
      </c>
      <c r="J44" s="77" t="str">
        <f>IF(G44 &lt;&gt; "", SUMIF(Historias!$B$6:$B$187,G44,Historias!$H$6:$H$187), "")</f>
        <v/>
      </c>
      <c r="K44" s="105" t="str">
        <f t="shared" si="15"/>
        <v/>
      </c>
      <c r="L44" s="102" t="str">
        <f t="shared" si="16"/>
        <v/>
      </c>
      <c r="M44" s="103" t="str">
        <f t="shared" si="17"/>
        <v/>
      </c>
      <c r="N44" s="91"/>
      <c r="O44" s="94" t="str">
        <f t="shared" si="18"/>
        <v/>
      </c>
      <c r="P44" s="104" t="str">
        <f t="shared" si="19"/>
        <v/>
      </c>
      <c r="Q44" s="96" t="str">
        <f t="shared" ref="Q44:Q53" si="137">IF($G44 &lt;&gt; "", P44*J44, "")</f>
        <v/>
      </c>
      <c r="R44" s="94" t="str">
        <f>IF(AND($G44 &lt;&gt; "",R$14&lt;&gt;""), SUMIFS(Historias!$H$6:$H$187,Historias!$B$6:$B$187,$G44,Historias!$A$6:$A$187,R$14),"")</f>
        <v/>
      </c>
      <c r="S44" s="94" t="str">
        <f>IF(AND($G44 &lt;&gt; "",S$14&lt;&gt;""), SUMIFS(Historias!$H$6:$H$187,Historias!$B$6:$B$187,$G44,Historias!$A$6:$A$187,S$14),"")</f>
        <v/>
      </c>
      <c r="T44" s="94" t="str">
        <f>IF(AND($G44 &lt;&gt; "",T$14&lt;&gt;""), SUMIFS(Historias!$H$6:$H$187,Historias!$B$6:$B$187,$G44,Historias!$A$6:$A$187,T$14),"")</f>
        <v/>
      </c>
      <c r="U44" s="94" t="str">
        <f>IF(AND($G44 &lt;&gt; "",U$14&lt;&gt;""), SUMIFS(Historias!$H$6:$H$187,Historias!$B$6:$B$187,$G44,Historias!$A$6:$A$187,U$14),"")</f>
        <v/>
      </c>
      <c r="V44" s="94" t="str">
        <f>IF(AND($G44 &lt;&gt; "",V$14&lt;&gt;""), SUMIFS(Historias!$H$6:$H$187,Historias!$B$6:$B$187,$G44,Historias!$A$6:$A$187,V$14),"")</f>
        <v/>
      </c>
      <c r="W44" s="96"/>
      <c r="X44" s="94" t="str">
        <f t="shared" ref="X44:AB44" si="133">IF(AND($G44 &lt;&gt;"", X$14&lt;&gt;""), IF(max($R44:$V44)&gt;0,IF(AND(R44 = max($R44:$V44),COUNTIF($R44:$V44,R44)=1), 1 , 0), 0), "")</f>
        <v/>
      </c>
      <c r="Y44" s="94" t="str">
        <f t="shared" si="133"/>
        <v/>
      </c>
      <c r="Z44" s="94" t="str">
        <f t="shared" si="133"/>
        <v/>
      </c>
      <c r="AA44" s="94" t="str">
        <f t="shared" si="133"/>
        <v/>
      </c>
      <c r="AB44" s="94" t="str">
        <f t="shared" si="133"/>
        <v/>
      </c>
      <c r="AC44" s="96"/>
      <c r="AD44" s="94" t="str">
        <f t="shared" ref="AD44:AH44" si="134">IF(AND($G44 &lt;&gt;"",AD$14&lt;&gt;""), IF(max($R44:$V44)&gt;0,IF(R44 = $J44, 1 , 0), 0), "")</f>
        <v/>
      </c>
      <c r="AE44" s="94" t="str">
        <f t="shared" si="134"/>
        <v/>
      </c>
      <c r="AF44" s="94" t="str">
        <f t="shared" si="134"/>
        <v/>
      </c>
      <c r="AG44" s="94" t="str">
        <f t="shared" si="134"/>
        <v/>
      </c>
      <c r="AH44" s="94" t="str">
        <f t="shared" si="134"/>
        <v/>
      </c>
      <c r="AI44" s="96"/>
      <c r="AJ44" s="100" t="str">
        <f t="shared" ref="AJ44:AN44" si="135">IF($G44 &lt;&gt; "", IF(R44 &gt;0,R44/$J44*log(R44/$J44,2),""), "")</f>
        <v/>
      </c>
      <c r="AK44" s="100" t="str">
        <f t="shared" si="135"/>
        <v/>
      </c>
      <c r="AL44" s="100" t="str">
        <f t="shared" si="135"/>
        <v/>
      </c>
      <c r="AM44" s="100" t="str">
        <f t="shared" si="135"/>
        <v/>
      </c>
      <c r="AN44" s="100" t="str">
        <f t="shared" si="135"/>
        <v/>
      </c>
      <c r="AO44" s="96" t="str">
        <f t="shared" si="23"/>
        <v/>
      </c>
      <c r="AP44" s="100" t="str">
        <f t="shared" ref="AP44:AT44" si="136">IF($G44 &lt;&gt; "", IF(R44 &gt;0,R44/R$54*log(R44/R$54,2),""), "")</f>
        <v/>
      </c>
      <c r="AQ44" s="100" t="str">
        <f t="shared" si="136"/>
        <v/>
      </c>
      <c r="AR44" s="100" t="str">
        <f t="shared" si="136"/>
        <v/>
      </c>
      <c r="AS44" s="100" t="str">
        <f t="shared" si="136"/>
        <v/>
      </c>
      <c r="AT44" s="100" t="str">
        <f t="shared" si="136"/>
        <v/>
      </c>
      <c r="AU44" s="97"/>
    </row>
    <row r="45">
      <c r="A45" s="74" t="str">
        <f>IF(B45=Settings!$D$5,"INICIO",IF(B45=Settings!$D$6,"FIN",""))</f>
        <v/>
      </c>
      <c r="B45" s="75" t="str">
        <f>IF(AND(ISNUMBER(B44),B44+1&lt;=Settings!$D$6),B44+1,"")</f>
        <v/>
      </c>
      <c r="C45" s="76">
        <f t="shared" si="3"/>
        <v>-66</v>
      </c>
      <c r="D45" s="76" t="str">
        <f t="shared" si="4"/>
        <v/>
      </c>
      <c r="E45" s="77">
        <f>SUMIF(Historias!$F$6:$F$187,B45,Historias!$G$6:$G$187)</f>
        <v>0</v>
      </c>
      <c r="F45" s="80">
        <f t="shared" si="14"/>
        <v>0</v>
      </c>
      <c r="G45" s="78" t="str">
        <f>Settings!A51</f>
        <v/>
      </c>
      <c r="H45" s="77" t="str">
        <f>Settings!D51</f>
        <v/>
      </c>
      <c r="I45" s="77" t="str">
        <f>IF(G45 &lt;&gt; "", SUMIF(Historias!$B$6:$B$187,G45,Historias!$G$6:$G$187), "")</f>
        <v/>
      </c>
      <c r="J45" s="77" t="str">
        <f>IF(G45 &lt;&gt; "", SUMIF(Historias!$B$6:$B$187,G45,Historias!$H$6:$H$187), "")</f>
        <v/>
      </c>
      <c r="K45" s="105" t="str">
        <f t="shared" si="15"/>
        <v/>
      </c>
      <c r="L45" s="102" t="str">
        <f t="shared" si="16"/>
        <v/>
      </c>
      <c r="M45" s="103" t="str">
        <f t="shared" si="17"/>
        <v/>
      </c>
      <c r="N45" s="91"/>
      <c r="O45" s="94" t="str">
        <f t="shared" si="18"/>
        <v/>
      </c>
      <c r="P45" s="104" t="str">
        <f t="shared" si="19"/>
        <v/>
      </c>
      <c r="Q45" s="96" t="str">
        <f t="shared" si="137"/>
        <v/>
      </c>
      <c r="R45" s="94" t="str">
        <f>IF(AND($G45 &lt;&gt; "",R$14&lt;&gt;""), SUMIFS(Historias!$H$6:$H$187,Historias!$B$6:$B$187,$G45,Historias!$A$6:$A$187,R$14),"")</f>
        <v/>
      </c>
      <c r="S45" s="94" t="str">
        <f>IF(AND($G45 &lt;&gt; "",S$14&lt;&gt;""), SUMIFS(Historias!$H$6:$H$187,Historias!$B$6:$B$187,$G45,Historias!$A$6:$A$187,S$14),"")</f>
        <v/>
      </c>
      <c r="T45" s="94" t="str">
        <f>IF(AND($G45 &lt;&gt; "",T$14&lt;&gt;""), SUMIFS(Historias!$H$6:$H$187,Historias!$B$6:$B$187,$G45,Historias!$A$6:$A$187,T$14),"")</f>
        <v/>
      </c>
      <c r="U45" s="94" t="str">
        <f>IF(AND($G45 &lt;&gt; "",U$14&lt;&gt;""), SUMIFS(Historias!$H$6:$H$187,Historias!$B$6:$B$187,$G45,Historias!$A$6:$A$187,U$14),"")</f>
        <v/>
      </c>
      <c r="V45" s="94" t="str">
        <f>IF(AND($G45 &lt;&gt; "",V$14&lt;&gt;""), SUMIFS(Historias!$H$6:$H$187,Historias!$B$6:$B$187,$G45,Historias!$A$6:$A$187,V$14),"")</f>
        <v/>
      </c>
      <c r="W45" s="96"/>
      <c r="X45" s="94" t="str">
        <f t="shared" ref="X45:AB45" si="138">IF(AND($G45 &lt;&gt;"", X$14&lt;&gt;""), IF(max($R45:$V45)&gt;0,IF(AND(R45 = max($R45:$V45),COUNTIF($R45:$V45,R45)=1), 1 , 0), 0), "")</f>
        <v/>
      </c>
      <c r="Y45" s="94" t="str">
        <f t="shared" si="138"/>
        <v/>
      </c>
      <c r="Z45" s="94" t="str">
        <f t="shared" si="138"/>
        <v/>
      </c>
      <c r="AA45" s="94" t="str">
        <f t="shared" si="138"/>
        <v/>
      </c>
      <c r="AB45" s="94" t="str">
        <f t="shared" si="138"/>
        <v/>
      </c>
      <c r="AC45" s="96"/>
      <c r="AD45" s="94" t="str">
        <f t="shared" ref="AD45:AH45" si="139">IF(AND($G45 &lt;&gt;"",AD$14&lt;&gt;""), IF(max($R45:$V45)&gt;0,IF(R45 = $J45, 1 , 0), 0), "")</f>
        <v/>
      </c>
      <c r="AE45" s="94" t="str">
        <f t="shared" si="139"/>
        <v/>
      </c>
      <c r="AF45" s="94" t="str">
        <f t="shared" si="139"/>
        <v/>
      </c>
      <c r="AG45" s="94" t="str">
        <f t="shared" si="139"/>
        <v/>
      </c>
      <c r="AH45" s="94" t="str">
        <f t="shared" si="139"/>
        <v/>
      </c>
      <c r="AI45" s="96"/>
      <c r="AJ45" s="100" t="str">
        <f t="shared" ref="AJ45:AN45" si="140">IF($G45 &lt;&gt; "", IF(R45 &gt;0,R45/$J45*log(R45/$J45,2),""), "")</f>
        <v/>
      </c>
      <c r="AK45" s="100" t="str">
        <f t="shared" si="140"/>
        <v/>
      </c>
      <c r="AL45" s="100" t="str">
        <f t="shared" si="140"/>
        <v/>
      </c>
      <c r="AM45" s="100" t="str">
        <f t="shared" si="140"/>
        <v/>
      </c>
      <c r="AN45" s="100" t="str">
        <f t="shared" si="140"/>
        <v/>
      </c>
      <c r="AO45" s="96" t="str">
        <f t="shared" si="23"/>
        <v/>
      </c>
      <c r="AP45" s="100" t="str">
        <f t="shared" ref="AP45:AT45" si="141">IF($G45 &lt;&gt; "", IF(R45 &gt;0,R45/R$54*log(R45/R$54,2),""), "")</f>
        <v/>
      </c>
      <c r="AQ45" s="100" t="str">
        <f t="shared" si="141"/>
        <v/>
      </c>
      <c r="AR45" s="100" t="str">
        <f t="shared" si="141"/>
        <v/>
      </c>
      <c r="AS45" s="100" t="str">
        <f t="shared" si="141"/>
        <v/>
      </c>
      <c r="AT45" s="100" t="str">
        <f t="shared" si="141"/>
        <v/>
      </c>
      <c r="AU45" s="97"/>
    </row>
    <row r="46">
      <c r="A46" s="74" t="str">
        <f>IF(B46=Settings!$D$5,"INICIO",IF(B46=Settings!$D$6,"FIN",""))</f>
        <v/>
      </c>
      <c r="B46" s="75" t="str">
        <f>IF(AND(ISNUMBER(B45),B45+1&lt;=Settings!$D$6),B45+1,"")</f>
        <v/>
      </c>
      <c r="C46" s="76">
        <f t="shared" si="3"/>
        <v>-69.14285714</v>
      </c>
      <c r="D46" s="76" t="str">
        <f t="shared" si="4"/>
        <v/>
      </c>
      <c r="E46" s="77">
        <f>SUMIF(Historias!$F$6:$F$187,B46,Historias!$G$6:$G$187)</f>
        <v>0</v>
      </c>
      <c r="F46" s="80">
        <f t="shared" si="14"/>
        <v>0</v>
      </c>
      <c r="G46" s="78" t="str">
        <f>Settings!A52</f>
        <v/>
      </c>
      <c r="H46" s="77" t="str">
        <f>Settings!D52</f>
        <v/>
      </c>
      <c r="I46" s="77" t="str">
        <f>IF(G46 &lt;&gt; "", SUMIF(Historias!$B$6:$B$187,G46,Historias!$G$6:$G$187), "")</f>
        <v/>
      </c>
      <c r="J46" s="77" t="str">
        <f>IF(G46 &lt;&gt; "", SUMIF(Historias!$B$6:$B$187,G46,Historias!$H$6:$H$187), "")</f>
        <v/>
      </c>
      <c r="K46" s="105" t="str">
        <f t="shared" si="15"/>
        <v/>
      </c>
      <c r="L46" s="102" t="str">
        <f t="shared" si="16"/>
        <v/>
      </c>
      <c r="M46" s="103" t="str">
        <f t="shared" si="17"/>
        <v/>
      </c>
      <c r="N46" s="91"/>
      <c r="O46" s="94" t="str">
        <f t="shared" si="18"/>
        <v/>
      </c>
      <c r="P46" s="104" t="str">
        <f t="shared" si="19"/>
        <v/>
      </c>
      <c r="Q46" s="96" t="str">
        <f t="shared" si="137"/>
        <v/>
      </c>
      <c r="R46" s="94" t="str">
        <f>IF(AND($G46 &lt;&gt; "",R$14&lt;&gt;""), SUMIFS(Historias!$H$6:$H$187,Historias!$B$6:$B$187,$G46,Historias!$A$6:$A$187,R$14),"")</f>
        <v/>
      </c>
      <c r="S46" s="94" t="str">
        <f>IF(AND($G46 &lt;&gt; "",S$14&lt;&gt;""), SUMIFS(Historias!$H$6:$H$187,Historias!$B$6:$B$187,$G46,Historias!$A$6:$A$187,S$14),"")</f>
        <v/>
      </c>
      <c r="T46" s="94" t="str">
        <f>IF(AND($G46 &lt;&gt; "",T$14&lt;&gt;""), SUMIFS(Historias!$H$6:$H$187,Historias!$B$6:$B$187,$G46,Historias!$A$6:$A$187,T$14),"")</f>
        <v/>
      </c>
      <c r="U46" s="94" t="str">
        <f>IF(AND($G46 &lt;&gt; "",U$14&lt;&gt;""), SUMIFS(Historias!$H$6:$H$187,Historias!$B$6:$B$187,$G46,Historias!$A$6:$A$187,U$14),"")</f>
        <v/>
      </c>
      <c r="V46" s="94" t="str">
        <f>IF(AND($G46 &lt;&gt; "",V$14&lt;&gt;""), SUMIFS(Historias!$H$6:$H$187,Historias!$B$6:$B$187,$G46,Historias!$A$6:$A$187,V$14),"")</f>
        <v/>
      </c>
      <c r="W46" s="96"/>
      <c r="X46" s="94" t="str">
        <f t="shared" ref="X46:AB46" si="142">IF(AND($G46 &lt;&gt;"", X$14&lt;&gt;""), IF(max($R46:$V46)&gt;0,IF(AND(R46 = max($R46:$V46),COUNTIF($R46:$V46,R46)=1), 1 , 0), 0), "")</f>
        <v/>
      </c>
      <c r="Y46" s="94" t="str">
        <f t="shared" si="142"/>
        <v/>
      </c>
      <c r="Z46" s="94" t="str">
        <f t="shared" si="142"/>
        <v/>
      </c>
      <c r="AA46" s="94" t="str">
        <f t="shared" si="142"/>
        <v/>
      </c>
      <c r="AB46" s="94" t="str">
        <f t="shared" si="142"/>
        <v/>
      </c>
      <c r="AC46" s="96"/>
      <c r="AD46" s="94" t="str">
        <f t="shared" ref="AD46:AH46" si="143">IF(AND($G46 &lt;&gt;"",AD$14&lt;&gt;""), IF(max($R46:$V46)&gt;0,IF(R46 = $J46, 1 , 0), 0), "")</f>
        <v/>
      </c>
      <c r="AE46" s="94" t="str">
        <f t="shared" si="143"/>
        <v/>
      </c>
      <c r="AF46" s="94" t="str">
        <f t="shared" si="143"/>
        <v/>
      </c>
      <c r="AG46" s="94" t="str">
        <f t="shared" si="143"/>
        <v/>
      </c>
      <c r="AH46" s="94" t="str">
        <f t="shared" si="143"/>
        <v/>
      </c>
      <c r="AI46" s="96"/>
      <c r="AJ46" s="100" t="str">
        <f t="shared" ref="AJ46:AN46" si="144">IF($G46 &lt;&gt; "", IF(R46 &gt;0,R46/$J46*log(R46/$J46,2),""), "")</f>
        <v/>
      </c>
      <c r="AK46" s="100" t="str">
        <f t="shared" si="144"/>
        <v/>
      </c>
      <c r="AL46" s="100" t="str">
        <f t="shared" si="144"/>
        <v/>
      </c>
      <c r="AM46" s="100" t="str">
        <f t="shared" si="144"/>
        <v/>
      </c>
      <c r="AN46" s="100" t="str">
        <f t="shared" si="144"/>
        <v/>
      </c>
      <c r="AO46" s="96" t="str">
        <f t="shared" si="23"/>
        <v/>
      </c>
      <c r="AP46" s="100" t="str">
        <f t="shared" ref="AP46:AT46" si="145">IF($G46 &lt;&gt; "", IF(R46 &gt;0,R46/R$54*log(R46/R$54,2),""), "")</f>
        <v/>
      </c>
      <c r="AQ46" s="100" t="str">
        <f t="shared" si="145"/>
        <v/>
      </c>
      <c r="AR46" s="100" t="str">
        <f t="shared" si="145"/>
        <v/>
      </c>
      <c r="AS46" s="100" t="str">
        <f t="shared" si="145"/>
        <v/>
      </c>
      <c r="AT46" s="100" t="str">
        <f t="shared" si="145"/>
        <v/>
      </c>
      <c r="AU46" s="97"/>
    </row>
    <row r="47">
      <c r="A47" s="74" t="str">
        <f>IF(B47=Settings!$D$5,"INICIO",IF(B47=Settings!$D$6,"FIN",""))</f>
        <v/>
      </c>
      <c r="B47" s="75" t="str">
        <f>IF(AND(ISNUMBER(B46),B46+1&lt;=Settings!$D$6),B46+1,"")</f>
        <v/>
      </c>
      <c r="C47" s="76">
        <f t="shared" si="3"/>
        <v>-72.28571429</v>
      </c>
      <c r="D47" s="76" t="str">
        <f t="shared" si="4"/>
        <v/>
      </c>
      <c r="E47" s="77">
        <f>SUMIF(Historias!$F$6:$F$187,B47,Historias!$G$6:$G$187)</f>
        <v>0</v>
      </c>
      <c r="F47" s="80">
        <f t="shared" si="14"/>
        <v>0</v>
      </c>
      <c r="G47" s="78" t="str">
        <f>Settings!A53</f>
        <v/>
      </c>
      <c r="H47" s="77" t="str">
        <f>Settings!D53</f>
        <v/>
      </c>
      <c r="I47" s="77" t="str">
        <f>IF(G47 &lt;&gt; "", SUMIF(Historias!$B$6:$B$187,G47,Historias!$G$6:$G$187), "")</f>
        <v/>
      </c>
      <c r="J47" s="77" t="str">
        <f>IF(G47 &lt;&gt; "", SUMIF(Historias!$B$6:$B$187,G47,Historias!$H$6:$H$187), "")</f>
        <v/>
      </c>
      <c r="K47" s="105" t="str">
        <f t="shared" si="15"/>
        <v/>
      </c>
      <c r="L47" s="102" t="str">
        <f t="shared" si="16"/>
        <v/>
      </c>
      <c r="M47" s="103" t="str">
        <f t="shared" si="17"/>
        <v/>
      </c>
      <c r="N47" s="91"/>
      <c r="O47" s="94" t="str">
        <f t="shared" si="18"/>
        <v/>
      </c>
      <c r="P47" s="104" t="str">
        <f t="shared" si="19"/>
        <v/>
      </c>
      <c r="Q47" s="96" t="str">
        <f t="shared" si="137"/>
        <v/>
      </c>
      <c r="R47" s="94" t="str">
        <f>IF(AND($G47 &lt;&gt; "",R$14&lt;&gt;""), SUMIFS(Historias!$H$6:$H$187,Historias!$B$6:$B$187,$G47,Historias!$A$6:$A$187,R$14),"")</f>
        <v/>
      </c>
      <c r="S47" s="94" t="str">
        <f>IF(AND($G47 &lt;&gt; "",S$14&lt;&gt;""), SUMIFS(Historias!$H$6:$H$187,Historias!$B$6:$B$187,$G47,Historias!$A$6:$A$187,S$14),"")</f>
        <v/>
      </c>
      <c r="T47" s="94" t="str">
        <f>IF(AND($G47 &lt;&gt; "",T$14&lt;&gt;""), SUMIFS(Historias!$H$6:$H$187,Historias!$B$6:$B$187,$G47,Historias!$A$6:$A$187,T$14),"")</f>
        <v/>
      </c>
      <c r="U47" s="94" t="str">
        <f>IF(AND($G47 &lt;&gt; "",U$14&lt;&gt;""), SUMIFS(Historias!$H$6:$H$187,Historias!$B$6:$B$187,$G47,Historias!$A$6:$A$187,U$14),"")</f>
        <v/>
      </c>
      <c r="V47" s="94" t="str">
        <f>IF(AND($G47 &lt;&gt; "",V$14&lt;&gt;""), SUMIFS(Historias!$H$6:$H$187,Historias!$B$6:$B$187,$G47,Historias!$A$6:$A$187,V$14),"")</f>
        <v/>
      </c>
      <c r="W47" s="96"/>
      <c r="X47" s="94" t="str">
        <f t="shared" ref="X47:AB47" si="146">IF(AND($G47 &lt;&gt;"", X$14&lt;&gt;""), IF(max($R47:$V47)&gt;0,IF(AND(R47 = max($R47:$V47),COUNTIF($R47:$V47,R47)=1), 1 , 0), 0), "")</f>
        <v/>
      </c>
      <c r="Y47" s="94" t="str">
        <f t="shared" si="146"/>
        <v/>
      </c>
      <c r="Z47" s="94" t="str">
        <f t="shared" si="146"/>
        <v/>
      </c>
      <c r="AA47" s="94" t="str">
        <f t="shared" si="146"/>
        <v/>
      </c>
      <c r="AB47" s="94" t="str">
        <f t="shared" si="146"/>
        <v/>
      </c>
      <c r="AC47" s="96"/>
      <c r="AD47" s="94" t="str">
        <f t="shared" ref="AD47:AH47" si="147">IF(AND($G47 &lt;&gt;"",AD$14&lt;&gt;""), IF(max($R47:$V47)&gt;0,IF(R47 = $J47, 1 , 0), 0), "")</f>
        <v/>
      </c>
      <c r="AE47" s="94" t="str">
        <f t="shared" si="147"/>
        <v/>
      </c>
      <c r="AF47" s="94" t="str">
        <f t="shared" si="147"/>
        <v/>
      </c>
      <c r="AG47" s="94" t="str">
        <f t="shared" si="147"/>
        <v/>
      </c>
      <c r="AH47" s="94" t="str">
        <f t="shared" si="147"/>
        <v/>
      </c>
      <c r="AI47" s="96"/>
      <c r="AJ47" s="100" t="str">
        <f t="shared" ref="AJ47:AN47" si="148">IF($G47 &lt;&gt; "", IF(R47 &gt;0,R47/$J47*log(R47/$J47,2),""), "")</f>
        <v/>
      </c>
      <c r="AK47" s="100" t="str">
        <f t="shared" si="148"/>
        <v/>
      </c>
      <c r="AL47" s="100" t="str">
        <f t="shared" si="148"/>
        <v/>
      </c>
      <c r="AM47" s="100" t="str">
        <f t="shared" si="148"/>
        <v/>
      </c>
      <c r="AN47" s="100" t="str">
        <f t="shared" si="148"/>
        <v/>
      </c>
      <c r="AO47" s="96" t="str">
        <f t="shared" si="23"/>
        <v/>
      </c>
      <c r="AP47" s="100" t="str">
        <f t="shared" ref="AP47:AT47" si="149">IF($G47 &lt;&gt; "", IF(R47 &gt;0,R47/R$54*log(R47/R$54,2),""), "")</f>
        <v/>
      </c>
      <c r="AQ47" s="100" t="str">
        <f t="shared" si="149"/>
        <v/>
      </c>
      <c r="AR47" s="100" t="str">
        <f t="shared" si="149"/>
        <v/>
      </c>
      <c r="AS47" s="100" t="str">
        <f t="shared" si="149"/>
        <v/>
      </c>
      <c r="AT47" s="100" t="str">
        <f t="shared" si="149"/>
        <v/>
      </c>
      <c r="AU47" s="97"/>
    </row>
    <row r="48">
      <c r="A48" s="74" t="str">
        <f>IF(B48=Settings!$D$5,"INICIO",IF(B48=Settings!$D$6,"FIN",""))</f>
        <v/>
      </c>
      <c r="B48" s="75" t="str">
        <f>IF(AND(ISNUMBER(B47),B47+1&lt;=Settings!$D$6),B47+1,"")</f>
        <v/>
      </c>
      <c r="C48" s="76">
        <f t="shared" si="3"/>
        <v>-75.42857143</v>
      </c>
      <c r="D48" s="76" t="str">
        <f t="shared" si="4"/>
        <v/>
      </c>
      <c r="E48" s="77">
        <f>SUMIF(Historias!$F$6:$F$187,B48,Historias!$G$6:$G$187)</f>
        <v>0</v>
      </c>
      <c r="F48" s="80">
        <f t="shared" si="14"/>
        <v>0</v>
      </c>
      <c r="G48" s="78" t="str">
        <f>Settings!A54</f>
        <v/>
      </c>
      <c r="H48" s="77" t="str">
        <f>Settings!D54</f>
        <v/>
      </c>
      <c r="I48" s="77" t="str">
        <f>IF(G48 &lt;&gt; "", SUMIF(Historias!$B$6:$B$187,G48,Historias!$G$6:$G$187), "")</f>
        <v/>
      </c>
      <c r="J48" s="77" t="str">
        <f>IF(G48 &lt;&gt; "", SUMIF(Historias!$B$6:$B$187,G48,Historias!$H$6:$H$187), "")</f>
        <v/>
      </c>
      <c r="K48" s="105" t="str">
        <f t="shared" si="15"/>
        <v/>
      </c>
      <c r="L48" s="102" t="str">
        <f t="shared" si="16"/>
        <v/>
      </c>
      <c r="M48" s="103" t="str">
        <f t="shared" si="17"/>
        <v/>
      </c>
      <c r="N48" s="91"/>
      <c r="O48" s="94" t="str">
        <f t="shared" si="18"/>
        <v/>
      </c>
      <c r="P48" s="104" t="str">
        <f t="shared" si="19"/>
        <v/>
      </c>
      <c r="Q48" s="96" t="str">
        <f t="shared" si="137"/>
        <v/>
      </c>
      <c r="R48" s="94" t="str">
        <f>IF(AND($G48 &lt;&gt; "",R$14&lt;&gt;""), SUMIFS(Historias!$H$6:$H$187,Historias!$B$6:$B$187,$G48,Historias!$A$6:$A$187,R$14),"")</f>
        <v/>
      </c>
      <c r="S48" s="94" t="str">
        <f>IF(AND($G48 &lt;&gt; "",S$14&lt;&gt;""), SUMIFS(Historias!$H$6:$H$187,Historias!$B$6:$B$187,$G48,Historias!$A$6:$A$187,S$14),"")</f>
        <v/>
      </c>
      <c r="T48" s="94" t="str">
        <f>IF(AND($G48 &lt;&gt; "",T$14&lt;&gt;""), SUMIFS(Historias!$H$6:$H$187,Historias!$B$6:$B$187,$G48,Historias!$A$6:$A$187,T$14),"")</f>
        <v/>
      </c>
      <c r="U48" s="94" t="str">
        <f>IF(AND($G48 &lt;&gt; "",U$14&lt;&gt;""), SUMIFS(Historias!$H$6:$H$187,Historias!$B$6:$B$187,$G48,Historias!$A$6:$A$187,U$14),"")</f>
        <v/>
      </c>
      <c r="V48" s="94" t="str">
        <f>IF(AND($G48 &lt;&gt; "",V$14&lt;&gt;""), SUMIFS(Historias!$H$6:$H$187,Historias!$B$6:$B$187,$G48,Historias!$A$6:$A$187,V$14),"")</f>
        <v/>
      </c>
      <c r="W48" s="96"/>
      <c r="X48" s="94" t="str">
        <f t="shared" ref="X48:AB48" si="150">IF(AND($G48 &lt;&gt;"", X$14&lt;&gt;""), IF(max($R48:$V48)&gt;0,IF(AND(R48 = max($R48:$V48),COUNTIF($R48:$V48,R48)=1), 1 , 0), 0), "")</f>
        <v/>
      </c>
      <c r="Y48" s="94" t="str">
        <f t="shared" si="150"/>
        <v/>
      </c>
      <c r="Z48" s="94" t="str">
        <f t="shared" si="150"/>
        <v/>
      </c>
      <c r="AA48" s="94" t="str">
        <f t="shared" si="150"/>
        <v/>
      </c>
      <c r="AB48" s="94" t="str">
        <f t="shared" si="150"/>
        <v/>
      </c>
      <c r="AC48" s="96"/>
      <c r="AD48" s="94" t="str">
        <f t="shared" ref="AD48:AH48" si="151">IF(AND($G48 &lt;&gt;"",AD$14&lt;&gt;""), IF(max($R48:$V48)&gt;0,IF(R48 = $J48, 1 , 0), 0), "")</f>
        <v/>
      </c>
      <c r="AE48" s="94" t="str">
        <f t="shared" si="151"/>
        <v/>
      </c>
      <c r="AF48" s="94" t="str">
        <f t="shared" si="151"/>
        <v/>
      </c>
      <c r="AG48" s="94" t="str">
        <f t="shared" si="151"/>
        <v/>
      </c>
      <c r="AH48" s="94" t="str">
        <f t="shared" si="151"/>
        <v/>
      </c>
      <c r="AI48" s="96"/>
      <c r="AJ48" s="100" t="str">
        <f t="shared" ref="AJ48:AN48" si="152">IF($G48 &lt;&gt; "", IF(R48 &gt;0,R48/$J48*log(R48/$J48,2),""), "")</f>
        <v/>
      </c>
      <c r="AK48" s="100" t="str">
        <f t="shared" si="152"/>
        <v/>
      </c>
      <c r="AL48" s="100" t="str">
        <f t="shared" si="152"/>
        <v/>
      </c>
      <c r="AM48" s="100" t="str">
        <f t="shared" si="152"/>
        <v/>
      </c>
      <c r="AN48" s="100" t="str">
        <f t="shared" si="152"/>
        <v/>
      </c>
      <c r="AO48" s="96" t="str">
        <f t="shared" si="23"/>
        <v/>
      </c>
      <c r="AP48" s="100" t="str">
        <f t="shared" ref="AP48:AT48" si="153">IF($G48 &lt;&gt; "", IF(R48 &gt;0,R48/R$54*log(R48/R$54,2),""), "")</f>
        <v/>
      </c>
      <c r="AQ48" s="100" t="str">
        <f t="shared" si="153"/>
        <v/>
      </c>
      <c r="AR48" s="100" t="str">
        <f t="shared" si="153"/>
        <v/>
      </c>
      <c r="AS48" s="100" t="str">
        <f t="shared" si="153"/>
        <v/>
      </c>
      <c r="AT48" s="100" t="str">
        <f t="shared" si="153"/>
        <v/>
      </c>
      <c r="AU48" s="97"/>
    </row>
    <row r="49">
      <c r="A49" s="74" t="str">
        <f>IF(B49=Settings!$D$5,"INICIO",IF(B49=Settings!$D$6,"FIN",""))</f>
        <v/>
      </c>
      <c r="B49" s="75" t="str">
        <f>IF(AND(ISNUMBER(B48),B48+1&lt;=Settings!$D$6),B48+1,"")</f>
        <v/>
      </c>
      <c r="C49" s="76">
        <f t="shared" si="3"/>
        <v>-78.57142857</v>
      </c>
      <c r="D49" s="76" t="str">
        <f t="shared" si="4"/>
        <v/>
      </c>
      <c r="E49" s="77">
        <f>SUMIF(Historias!$F$6:$F$187,B49,Historias!$G$6:$G$187)</f>
        <v>0</v>
      </c>
      <c r="F49" s="80">
        <f t="shared" si="14"/>
        <v>0</v>
      </c>
      <c r="G49" s="78" t="str">
        <f>Settings!A55</f>
        <v/>
      </c>
      <c r="H49" s="77" t="str">
        <f>Settings!D55</f>
        <v/>
      </c>
      <c r="I49" s="77" t="str">
        <f>IF(G49 &lt;&gt; "", SUMIF(Historias!$B$6:$B$187,G49,Historias!$G$6:$G$187), "")</f>
        <v/>
      </c>
      <c r="J49" s="77" t="str">
        <f>IF(G49 &lt;&gt; "", SUMIF(Historias!$B$6:$B$187,G49,Historias!$H$6:$H$187), "")</f>
        <v/>
      </c>
      <c r="K49" s="105" t="str">
        <f t="shared" si="15"/>
        <v/>
      </c>
      <c r="L49" s="102" t="str">
        <f t="shared" si="16"/>
        <v/>
      </c>
      <c r="M49" s="103" t="str">
        <f t="shared" si="17"/>
        <v/>
      </c>
      <c r="N49" s="91"/>
      <c r="O49" s="94" t="str">
        <f t="shared" si="18"/>
        <v/>
      </c>
      <c r="P49" s="104" t="str">
        <f t="shared" si="19"/>
        <v/>
      </c>
      <c r="Q49" s="96" t="str">
        <f t="shared" si="137"/>
        <v/>
      </c>
      <c r="R49" s="94" t="str">
        <f>IF(AND($G49 &lt;&gt; "",R$14&lt;&gt;""), SUMIFS(Historias!$H$6:$H$187,Historias!$B$6:$B$187,$G49,Historias!$A$6:$A$187,R$14),"")</f>
        <v/>
      </c>
      <c r="S49" s="94" t="str">
        <f>IF(AND($G49 &lt;&gt; "",S$14&lt;&gt;""), SUMIFS(Historias!$H$6:$H$187,Historias!$B$6:$B$187,$G49,Historias!$A$6:$A$187,S$14),"")</f>
        <v/>
      </c>
      <c r="T49" s="94" t="str">
        <f>IF(AND($G49 &lt;&gt; "",T$14&lt;&gt;""), SUMIFS(Historias!$H$6:$H$187,Historias!$B$6:$B$187,$G49,Historias!$A$6:$A$187,T$14),"")</f>
        <v/>
      </c>
      <c r="U49" s="94" t="str">
        <f>IF(AND($G49 &lt;&gt; "",U$14&lt;&gt;""), SUMIFS(Historias!$H$6:$H$187,Historias!$B$6:$B$187,$G49,Historias!$A$6:$A$187,U$14),"")</f>
        <v/>
      </c>
      <c r="V49" s="94" t="str">
        <f>IF(AND($G49 &lt;&gt; "",V$14&lt;&gt;""), SUMIFS(Historias!$H$6:$H$187,Historias!$B$6:$B$187,$G49,Historias!$A$6:$A$187,V$14),"")</f>
        <v/>
      </c>
      <c r="W49" s="96"/>
      <c r="X49" s="94" t="str">
        <f t="shared" ref="X49:AB49" si="154">IF(AND($G49 &lt;&gt;"", X$14&lt;&gt;""), IF(max($R49:$V49)&gt;0,IF(AND(R49 = max($R49:$V49),COUNTIF($R49:$V49,R49)=1), 1 , 0), 0), "")</f>
        <v/>
      </c>
      <c r="Y49" s="94" t="str">
        <f t="shared" si="154"/>
        <v/>
      </c>
      <c r="Z49" s="94" t="str">
        <f t="shared" si="154"/>
        <v/>
      </c>
      <c r="AA49" s="94" t="str">
        <f t="shared" si="154"/>
        <v/>
      </c>
      <c r="AB49" s="94" t="str">
        <f t="shared" si="154"/>
        <v/>
      </c>
      <c r="AC49" s="96"/>
      <c r="AD49" s="94" t="str">
        <f t="shared" ref="AD49:AH49" si="155">IF(AND($G49 &lt;&gt;"",AD$14&lt;&gt;""), IF(max($R49:$V49)&gt;0,IF(R49 = $J49, 1 , 0), 0), "")</f>
        <v/>
      </c>
      <c r="AE49" s="94" t="str">
        <f t="shared" si="155"/>
        <v/>
      </c>
      <c r="AF49" s="94" t="str">
        <f t="shared" si="155"/>
        <v/>
      </c>
      <c r="AG49" s="94" t="str">
        <f t="shared" si="155"/>
        <v/>
      </c>
      <c r="AH49" s="94" t="str">
        <f t="shared" si="155"/>
        <v/>
      </c>
      <c r="AI49" s="96"/>
      <c r="AJ49" s="100" t="str">
        <f t="shared" ref="AJ49:AN49" si="156">IF($G49 &lt;&gt; "", IF(R49 &gt;0,R49/$J49*log(R49/$J49,2),""), "")</f>
        <v/>
      </c>
      <c r="AK49" s="100" t="str">
        <f t="shared" si="156"/>
        <v/>
      </c>
      <c r="AL49" s="100" t="str">
        <f t="shared" si="156"/>
        <v/>
      </c>
      <c r="AM49" s="100" t="str">
        <f t="shared" si="156"/>
        <v/>
      </c>
      <c r="AN49" s="100" t="str">
        <f t="shared" si="156"/>
        <v/>
      </c>
      <c r="AO49" s="96" t="str">
        <f t="shared" si="23"/>
        <v/>
      </c>
      <c r="AP49" s="100" t="str">
        <f t="shared" ref="AP49:AT49" si="157">IF($G49 &lt;&gt; "", IF(R49 &gt;0,R49/R$54*log(R49/R$54,2),""), "")</f>
        <v/>
      </c>
      <c r="AQ49" s="100" t="str">
        <f t="shared" si="157"/>
        <v/>
      </c>
      <c r="AR49" s="100" t="str">
        <f t="shared" si="157"/>
        <v/>
      </c>
      <c r="AS49" s="100" t="str">
        <f t="shared" si="157"/>
        <v/>
      </c>
      <c r="AT49" s="100" t="str">
        <f t="shared" si="157"/>
        <v/>
      </c>
      <c r="AU49" s="97"/>
    </row>
    <row r="50">
      <c r="A50" s="74" t="str">
        <f>IF(B50=Settings!$D$5,"INICIO",IF(B50=Settings!$D$6,"FIN",""))</f>
        <v/>
      </c>
      <c r="B50" s="75" t="str">
        <f>IF(AND(ISNUMBER(B49),B49+1&lt;=Settings!$D$6),B49+1,"")</f>
        <v/>
      </c>
      <c r="C50" s="76">
        <f t="shared" si="3"/>
        <v>-81.71428571</v>
      </c>
      <c r="D50" s="76" t="str">
        <f t="shared" si="4"/>
        <v/>
      </c>
      <c r="E50" s="77">
        <f>SUMIF(Historias!$F$6:$F$187,B50,Historias!$G$6:$G$187)</f>
        <v>0</v>
      </c>
      <c r="F50" s="80">
        <f t="shared" si="14"/>
        <v>0</v>
      </c>
      <c r="G50" s="78" t="str">
        <f>Settings!A56</f>
        <v/>
      </c>
      <c r="H50" s="77" t="str">
        <f>Settings!D56</f>
        <v/>
      </c>
      <c r="I50" s="77" t="str">
        <f>IF(G50 &lt;&gt; "", SUMIF(Historias!$B$6:$B$187,G50,Historias!$G$6:$G$187), "")</f>
        <v/>
      </c>
      <c r="J50" s="77" t="str">
        <f>IF(G50 &lt;&gt; "", SUMIF(Historias!$B$6:$B$187,G50,Historias!$H$6:$H$187), "")</f>
        <v/>
      </c>
      <c r="K50" s="105" t="str">
        <f t="shared" si="15"/>
        <v/>
      </c>
      <c r="L50" s="102" t="str">
        <f t="shared" si="16"/>
        <v/>
      </c>
      <c r="M50" s="103" t="str">
        <f t="shared" si="17"/>
        <v/>
      </c>
      <c r="N50" s="106"/>
      <c r="O50" s="94" t="str">
        <f t="shared" si="18"/>
        <v/>
      </c>
      <c r="P50" s="104" t="str">
        <f t="shared" si="19"/>
        <v/>
      </c>
      <c r="Q50" s="96" t="str">
        <f t="shared" si="137"/>
        <v/>
      </c>
      <c r="R50" s="94" t="str">
        <f>IF(AND($G50 &lt;&gt; "",R$14&lt;&gt;""), SUMIFS(Historias!$H$6:$H$187,Historias!$B$6:$B$187,$G50,Historias!$A$6:$A$187,R$14),"")</f>
        <v/>
      </c>
      <c r="S50" s="94" t="str">
        <f>IF(AND($G50 &lt;&gt; "",S$14&lt;&gt;""), SUMIFS(Historias!$H$6:$H$187,Historias!$B$6:$B$187,$G50,Historias!$A$6:$A$187,S$14),"")</f>
        <v/>
      </c>
      <c r="T50" s="94" t="str">
        <f>IF(AND($G50 &lt;&gt; "",T$14&lt;&gt;""), SUMIFS(Historias!$H$6:$H$187,Historias!$B$6:$B$187,$G50,Historias!$A$6:$A$187,T$14),"")</f>
        <v/>
      </c>
      <c r="U50" s="94" t="str">
        <f>IF(AND($G50 &lt;&gt; "",U$14&lt;&gt;""), SUMIFS(Historias!$H$6:$H$187,Historias!$B$6:$B$187,$G50,Historias!$A$6:$A$187,U$14),"")</f>
        <v/>
      </c>
      <c r="V50" s="94" t="str">
        <f>IF(AND($G50 &lt;&gt; "",V$14&lt;&gt;""), SUMIFS(Historias!$H$6:$H$187,Historias!$B$6:$B$187,$G50,Historias!$A$6:$A$187,V$14),"")</f>
        <v/>
      </c>
      <c r="W50" s="96"/>
      <c r="X50" s="94" t="str">
        <f t="shared" ref="X50:AB50" si="158">IF(AND($G50 &lt;&gt;"", X$14&lt;&gt;""), IF(max($R50:$V50)&gt;0,IF(AND(R50 = max($R50:$V50),COUNTIF($R50:$V50,R50)=1), 1 , 0), 0), "")</f>
        <v/>
      </c>
      <c r="Y50" s="94" t="str">
        <f t="shared" si="158"/>
        <v/>
      </c>
      <c r="Z50" s="94" t="str">
        <f t="shared" si="158"/>
        <v/>
      </c>
      <c r="AA50" s="94" t="str">
        <f t="shared" si="158"/>
        <v/>
      </c>
      <c r="AB50" s="94" t="str">
        <f t="shared" si="158"/>
        <v/>
      </c>
      <c r="AC50" s="96"/>
      <c r="AD50" s="94" t="str">
        <f t="shared" ref="AD50:AH50" si="159">IF(AND($G50 &lt;&gt;"",AD$14&lt;&gt;""), IF(max($R50:$V50)&gt;0,IF(R50 = $J50, 1 , 0), 0), "")</f>
        <v/>
      </c>
      <c r="AE50" s="94" t="str">
        <f t="shared" si="159"/>
        <v/>
      </c>
      <c r="AF50" s="94" t="str">
        <f t="shared" si="159"/>
        <v/>
      </c>
      <c r="AG50" s="94" t="str">
        <f t="shared" si="159"/>
        <v/>
      </c>
      <c r="AH50" s="94" t="str">
        <f t="shared" si="159"/>
        <v/>
      </c>
      <c r="AI50" s="96"/>
      <c r="AJ50" s="100" t="str">
        <f t="shared" ref="AJ50:AN50" si="160">IF($G50 &lt;&gt; "", IF(R50 &gt;0,R50/$J50*log(R50/$J50,2),""), "")</f>
        <v/>
      </c>
      <c r="AK50" s="100" t="str">
        <f t="shared" si="160"/>
        <v/>
      </c>
      <c r="AL50" s="100" t="str">
        <f t="shared" si="160"/>
        <v/>
      </c>
      <c r="AM50" s="100" t="str">
        <f t="shared" si="160"/>
        <v/>
      </c>
      <c r="AN50" s="100" t="str">
        <f t="shared" si="160"/>
        <v/>
      </c>
      <c r="AO50" s="96" t="str">
        <f t="shared" si="23"/>
        <v/>
      </c>
      <c r="AP50" s="100" t="str">
        <f t="shared" ref="AP50:AT50" si="161">IF($G50 &lt;&gt; "", IF(R50 &gt;0,R50/R$54*log(R50/R$54,2),""), "")</f>
        <v/>
      </c>
      <c r="AQ50" s="100" t="str">
        <f t="shared" si="161"/>
        <v/>
      </c>
      <c r="AR50" s="100" t="str">
        <f t="shared" si="161"/>
        <v/>
      </c>
      <c r="AS50" s="100" t="str">
        <f t="shared" si="161"/>
        <v/>
      </c>
      <c r="AT50" s="100" t="str">
        <f t="shared" si="161"/>
        <v/>
      </c>
      <c r="AU50" s="97"/>
    </row>
    <row r="51">
      <c r="A51" s="74" t="str">
        <f>IF(B51=Settings!$D$5,"INICIO",IF(B51=Settings!$D$6,"FIN",""))</f>
        <v/>
      </c>
      <c r="B51" s="75" t="str">
        <f>IF(AND(ISNUMBER(B50),B50+1&lt;=Settings!$D$6),B50+1,"")</f>
        <v/>
      </c>
      <c r="C51" s="76">
        <f t="shared" si="3"/>
        <v>-84.85714286</v>
      </c>
      <c r="D51" s="76" t="str">
        <f t="shared" si="4"/>
        <v/>
      </c>
      <c r="E51" s="77">
        <f>SUMIF(Historias!$F$6:$F$187,B51,Historias!$G$6:$G$187)</f>
        <v>0</v>
      </c>
      <c r="F51" s="80">
        <f t="shared" si="14"/>
        <v>0</v>
      </c>
      <c r="G51" s="78" t="str">
        <f>Settings!A57</f>
        <v/>
      </c>
      <c r="H51" s="77" t="str">
        <f>Settings!D57</f>
        <v/>
      </c>
      <c r="I51" s="77" t="str">
        <f>IF(G51 &lt;&gt; "", SUMIF(Historias!$B$6:$B$187,G51,Historias!$G$6:$G$187), "")</f>
        <v/>
      </c>
      <c r="J51" s="77" t="str">
        <f>IF(G51 &lt;&gt; "", SUMIF(Historias!$B$6:$B$187,G51,Historias!$H$6:$H$187), "")</f>
        <v/>
      </c>
      <c r="K51" s="105" t="str">
        <f t="shared" si="15"/>
        <v/>
      </c>
      <c r="L51" s="102" t="str">
        <f t="shared" si="16"/>
        <v/>
      </c>
      <c r="M51" s="103" t="str">
        <f t="shared" si="17"/>
        <v/>
      </c>
      <c r="N51" s="106"/>
      <c r="O51" s="94" t="str">
        <f t="shared" si="18"/>
        <v/>
      </c>
      <c r="P51" s="104" t="str">
        <f t="shared" si="19"/>
        <v/>
      </c>
      <c r="Q51" s="96" t="str">
        <f t="shared" si="137"/>
        <v/>
      </c>
      <c r="R51" s="94" t="str">
        <f>IF(AND($G51 &lt;&gt; "",R$14&lt;&gt;""), SUMIFS(Historias!$H$6:$H$187,Historias!$B$6:$B$187,$G51,Historias!$A$6:$A$187,R$14),"")</f>
        <v/>
      </c>
      <c r="S51" s="94" t="str">
        <f>IF(AND($G51 &lt;&gt; "",S$14&lt;&gt;""), SUMIFS(Historias!$H$6:$H$187,Historias!$B$6:$B$187,$G51,Historias!$A$6:$A$187,S$14),"")</f>
        <v/>
      </c>
      <c r="T51" s="94" t="str">
        <f>IF(AND($G51 &lt;&gt; "",T$14&lt;&gt;""), SUMIFS(Historias!$H$6:$H$187,Historias!$B$6:$B$187,$G51,Historias!$A$6:$A$187,T$14),"")</f>
        <v/>
      </c>
      <c r="U51" s="94" t="str">
        <f>IF(AND($G51 &lt;&gt; "",U$14&lt;&gt;""), SUMIFS(Historias!$H$6:$H$187,Historias!$B$6:$B$187,$G51,Historias!$A$6:$A$187,U$14),"")</f>
        <v/>
      </c>
      <c r="V51" s="94" t="str">
        <f>IF(AND($G51 &lt;&gt; "",V$14&lt;&gt;""), SUMIFS(Historias!$H$6:$H$187,Historias!$B$6:$B$187,$G51,Historias!$A$6:$A$187,V$14),"")</f>
        <v/>
      </c>
      <c r="W51" s="96"/>
      <c r="X51" s="94" t="str">
        <f t="shared" ref="X51:AB51" si="162">IF(AND($G51 &lt;&gt;"", X$14&lt;&gt;""), IF(max($R51:$V51)&gt;0,IF(AND(R51 = max($R51:$V51),COUNTIF($R51:$V51,R51)=1), 1 , 0), 0), "")</f>
        <v/>
      </c>
      <c r="Y51" s="94" t="str">
        <f t="shared" si="162"/>
        <v/>
      </c>
      <c r="Z51" s="94" t="str">
        <f t="shared" si="162"/>
        <v/>
      </c>
      <c r="AA51" s="94" t="str">
        <f t="shared" si="162"/>
        <v/>
      </c>
      <c r="AB51" s="94" t="str">
        <f t="shared" si="162"/>
        <v/>
      </c>
      <c r="AC51" s="96"/>
      <c r="AD51" s="94" t="str">
        <f t="shared" ref="AD51:AH51" si="163">IF(AND($G51 &lt;&gt;"",AD$14&lt;&gt;""), IF(max($R51:$V51)&gt;0,IF(R51 = $J51, 1 , 0), 0), "")</f>
        <v/>
      </c>
      <c r="AE51" s="94" t="str">
        <f t="shared" si="163"/>
        <v/>
      </c>
      <c r="AF51" s="94" t="str">
        <f t="shared" si="163"/>
        <v/>
      </c>
      <c r="AG51" s="94" t="str">
        <f t="shared" si="163"/>
        <v/>
      </c>
      <c r="AH51" s="94" t="str">
        <f t="shared" si="163"/>
        <v/>
      </c>
      <c r="AI51" s="96"/>
      <c r="AJ51" s="100" t="str">
        <f t="shared" ref="AJ51:AN51" si="164">IF($G51 &lt;&gt; "", IF(R51 &gt;0,R51/$J51*log(R51/$J51,2),""), "")</f>
        <v/>
      </c>
      <c r="AK51" s="100" t="str">
        <f t="shared" si="164"/>
        <v/>
      </c>
      <c r="AL51" s="100" t="str">
        <f t="shared" si="164"/>
        <v/>
      </c>
      <c r="AM51" s="100" t="str">
        <f t="shared" si="164"/>
        <v/>
      </c>
      <c r="AN51" s="100" t="str">
        <f t="shared" si="164"/>
        <v/>
      </c>
      <c r="AO51" s="96" t="str">
        <f t="shared" si="23"/>
        <v/>
      </c>
      <c r="AP51" s="100" t="str">
        <f t="shared" ref="AP51:AT51" si="165">IF($G51 &lt;&gt; "", IF(R51 &gt;0,R51/R$54*log(R51/R$54,2),""), "")</f>
        <v/>
      </c>
      <c r="AQ51" s="100" t="str">
        <f t="shared" si="165"/>
        <v/>
      </c>
      <c r="AR51" s="100" t="str">
        <f t="shared" si="165"/>
        <v/>
      </c>
      <c r="AS51" s="100" t="str">
        <f t="shared" si="165"/>
        <v/>
      </c>
      <c r="AT51" s="100" t="str">
        <f t="shared" si="165"/>
        <v/>
      </c>
      <c r="AU51" s="97"/>
    </row>
    <row r="52">
      <c r="A52" s="74" t="str">
        <f>IF(B52=Settings!$D$5,"INICIO",IF(B52=Settings!$D$6,"FIN",""))</f>
        <v/>
      </c>
      <c r="B52" s="75" t="str">
        <f>IF(AND(ISNUMBER(B51),B51+1&lt;=Settings!$D$6),B51+1,"")</f>
        <v/>
      </c>
      <c r="C52" s="76">
        <f t="shared" si="3"/>
        <v>-88</v>
      </c>
      <c r="D52" s="76" t="str">
        <f t="shared" si="4"/>
        <v/>
      </c>
      <c r="E52" s="77">
        <f>SUMIF(Historias!$F$6:$F$187,B52,Historias!$G$6:$G$187)</f>
        <v>0</v>
      </c>
      <c r="F52" s="80">
        <f t="shared" si="14"/>
        <v>0</v>
      </c>
      <c r="G52" s="78" t="str">
        <f>Settings!A58</f>
        <v/>
      </c>
      <c r="H52" s="77" t="str">
        <f>Settings!D58</f>
        <v/>
      </c>
      <c r="I52" s="77" t="str">
        <f>IF(G52 &lt;&gt; "", SUMIF(Historias!$B$6:$B$187,G52,Historias!$G$6:$G$187), "")</f>
        <v/>
      </c>
      <c r="J52" s="77" t="str">
        <f>IF(G52 &lt;&gt; "", SUMIF(Historias!$B$6:$B$187,G52,Historias!$H$6:$H$187), "")</f>
        <v/>
      </c>
      <c r="K52" s="105" t="str">
        <f t="shared" si="15"/>
        <v/>
      </c>
      <c r="L52" s="102" t="str">
        <f t="shared" si="16"/>
        <v/>
      </c>
      <c r="M52" s="103" t="str">
        <f t="shared" si="17"/>
        <v/>
      </c>
      <c r="N52" s="106"/>
      <c r="O52" s="94" t="str">
        <f t="shared" si="18"/>
        <v/>
      </c>
      <c r="P52" s="104" t="str">
        <f t="shared" si="19"/>
        <v/>
      </c>
      <c r="Q52" s="96" t="str">
        <f t="shared" si="137"/>
        <v/>
      </c>
      <c r="R52" s="94" t="str">
        <f>IF(AND($G52 &lt;&gt; "",R$14&lt;&gt;""), SUMIFS(Historias!$H$6:$H$187,Historias!$B$6:$B$187,$G52,Historias!$A$6:$A$187,R$14),"")</f>
        <v/>
      </c>
      <c r="S52" s="94" t="str">
        <f>IF(AND($G52 &lt;&gt; "",S$14&lt;&gt;""), SUMIFS(Historias!$H$6:$H$187,Historias!$B$6:$B$187,$G52,Historias!$A$6:$A$187,S$14),"")</f>
        <v/>
      </c>
      <c r="T52" s="94" t="str">
        <f>IF(AND($G52 &lt;&gt; "",T$14&lt;&gt;""), SUMIFS(Historias!$H$6:$H$187,Historias!$B$6:$B$187,$G52,Historias!$A$6:$A$187,T$14),"")</f>
        <v/>
      </c>
      <c r="U52" s="94" t="str">
        <f>IF(AND($G52 &lt;&gt; "",U$14&lt;&gt;""), SUMIFS(Historias!$H$6:$H$187,Historias!$B$6:$B$187,$G52,Historias!$A$6:$A$187,U$14),"")</f>
        <v/>
      </c>
      <c r="V52" s="94" t="str">
        <f>IF(AND($G52 &lt;&gt; "",V$14&lt;&gt;""), SUMIFS(Historias!$H$6:$H$187,Historias!$B$6:$B$187,$G52,Historias!$A$6:$A$187,V$14),"")</f>
        <v/>
      </c>
      <c r="W52" s="96"/>
      <c r="X52" s="94" t="str">
        <f t="shared" ref="X52:AB52" si="166">IF(AND($G52 &lt;&gt;"", X$14&lt;&gt;""), IF(max($R52:$V52)&gt;0,IF(AND(R52 = max($R52:$V52),COUNTIF($R52:$V52,R52)=1), 1 , 0), 0), "")</f>
        <v/>
      </c>
      <c r="Y52" s="94" t="str">
        <f t="shared" si="166"/>
        <v/>
      </c>
      <c r="Z52" s="94" t="str">
        <f t="shared" si="166"/>
        <v/>
      </c>
      <c r="AA52" s="94" t="str">
        <f t="shared" si="166"/>
        <v/>
      </c>
      <c r="AB52" s="94" t="str">
        <f t="shared" si="166"/>
        <v/>
      </c>
      <c r="AC52" s="96"/>
      <c r="AD52" s="94" t="str">
        <f t="shared" ref="AD52:AH52" si="167">IF(AND($G52 &lt;&gt;"",AD$14&lt;&gt;""), IF(max($R52:$V52)&gt;0,IF(R52 = $J52, 1 , 0), 0), "")</f>
        <v/>
      </c>
      <c r="AE52" s="94" t="str">
        <f t="shared" si="167"/>
        <v/>
      </c>
      <c r="AF52" s="94" t="str">
        <f t="shared" si="167"/>
        <v/>
      </c>
      <c r="AG52" s="94" t="str">
        <f t="shared" si="167"/>
        <v/>
      </c>
      <c r="AH52" s="94" t="str">
        <f t="shared" si="167"/>
        <v/>
      </c>
      <c r="AI52" s="96"/>
      <c r="AJ52" s="100" t="str">
        <f t="shared" ref="AJ52:AN52" si="168">IF($G52 &lt;&gt; "", IF(R52 &gt;0,R52/$J52*log(R52/$J52,2),""), "")</f>
        <v/>
      </c>
      <c r="AK52" s="100" t="str">
        <f t="shared" si="168"/>
        <v/>
      </c>
      <c r="AL52" s="100" t="str">
        <f t="shared" si="168"/>
        <v/>
      </c>
      <c r="AM52" s="100" t="str">
        <f t="shared" si="168"/>
        <v/>
      </c>
      <c r="AN52" s="100" t="str">
        <f t="shared" si="168"/>
        <v/>
      </c>
      <c r="AO52" s="96" t="str">
        <f t="shared" si="23"/>
        <v/>
      </c>
      <c r="AP52" s="100" t="str">
        <f t="shared" ref="AP52:AT52" si="169">IF($G52 &lt;&gt; "", IF(R52 &gt;0,R52/R$54*log(R52/R$54,2),""), "")</f>
        <v/>
      </c>
      <c r="AQ52" s="100" t="str">
        <f t="shared" si="169"/>
        <v/>
      </c>
      <c r="AR52" s="100" t="str">
        <f t="shared" si="169"/>
        <v/>
      </c>
      <c r="AS52" s="100" t="str">
        <f t="shared" si="169"/>
        <v/>
      </c>
      <c r="AT52" s="100" t="str">
        <f t="shared" si="169"/>
        <v/>
      </c>
      <c r="AU52" s="97"/>
    </row>
    <row r="53">
      <c r="A53" s="74" t="str">
        <f>IF(B53=Settings!$D$5,"INICIO",IF(B53=Settings!$D$6,"FIN",""))</f>
        <v/>
      </c>
      <c r="B53" s="75" t="str">
        <f>IF(AND(ISNUMBER(B52),B52+1&lt;=Settings!$D$6),B52+1,"")</f>
        <v/>
      </c>
      <c r="C53" s="76">
        <f t="shared" si="3"/>
        <v>-91.14285714</v>
      </c>
      <c r="D53" s="76" t="str">
        <f t="shared" si="4"/>
        <v/>
      </c>
      <c r="E53" s="77">
        <f>SUMIF(Historias!$F$6:$F$187,B53,Historias!$G$6:$G$187)</f>
        <v>0</v>
      </c>
      <c r="F53" s="80">
        <f t="shared" si="14"/>
        <v>0</v>
      </c>
      <c r="G53" s="78" t="str">
        <f>Settings!A59</f>
        <v/>
      </c>
      <c r="H53" s="77" t="str">
        <f>Settings!D59</f>
        <v/>
      </c>
      <c r="I53" s="77" t="str">
        <f>IF(G53 &lt;&gt; "", SUMIF(Historias!$B$6:$B$187,G53,Historias!$G$6:$G$187), "")</f>
        <v/>
      </c>
      <c r="J53" s="77" t="str">
        <f>IF(G53 &lt;&gt; "", SUMIF(Historias!$B$6:$B$187,G53,Historias!$H$6:$H$187), "")</f>
        <v/>
      </c>
      <c r="K53" s="105" t="str">
        <f t="shared" si="15"/>
        <v/>
      </c>
      <c r="L53" s="102" t="str">
        <f t="shared" si="16"/>
        <v/>
      </c>
      <c r="M53" s="103" t="str">
        <f t="shared" si="17"/>
        <v/>
      </c>
      <c r="N53" s="91"/>
      <c r="O53" s="94" t="str">
        <f t="shared" si="18"/>
        <v/>
      </c>
      <c r="P53" s="104" t="str">
        <f t="shared" si="19"/>
        <v/>
      </c>
      <c r="Q53" s="96" t="str">
        <f t="shared" si="137"/>
        <v/>
      </c>
      <c r="R53" s="94" t="str">
        <f>IF(AND($G53 &lt;&gt; "",R$14&lt;&gt;""), SUMIFS(Historias!$H$6:$H$187,Historias!$B$6:$B$187,$G53,Historias!$A$6:$A$187,R$14),"")</f>
        <v/>
      </c>
      <c r="S53" s="94" t="str">
        <f>IF(AND($G53 &lt;&gt; "",S$14&lt;&gt;""), SUMIFS(Historias!$H$6:$H$187,Historias!$B$6:$B$187,$G53,Historias!$A$6:$A$187,S$14),"")</f>
        <v/>
      </c>
      <c r="T53" s="94" t="str">
        <f>IF(AND($G53 &lt;&gt; "",T$14&lt;&gt;""), SUMIFS(Historias!$H$6:$H$187,Historias!$B$6:$B$187,$G53,Historias!$A$6:$A$187,T$14),"")</f>
        <v/>
      </c>
      <c r="U53" s="94" t="str">
        <f>IF(AND($G53 &lt;&gt; "",U$14&lt;&gt;""), SUMIFS(Historias!$H$6:$H$187,Historias!$B$6:$B$187,$G53,Historias!$A$6:$A$187,U$14),"")</f>
        <v/>
      </c>
      <c r="V53" s="94" t="str">
        <f>IF(AND($G53 &lt;&gt; "",V$14&lt;&gt;""), SUMIFS(Historias!$H$6:$H$187,Historias!$B$6:$B$187,$G53,Historias!$A$6:$A$187,V$14),"")</f>
        <v/>
      </c>
      <c r="W53" s="96"/>
      <c r="X53" s="94" t="str">
        <f t="shared" ref="X53:AB53" si="170">IF(AND($G53 &lt;&gt;"", X$14&lt;&gt;""), IF(max($R53:$V53)&gt;0,IF(AND(R53 = max($R53:$V53),COUNTIF($R53:$V53,R53)=1), 1 , 0), 0), "")</f>
        <v/>
      </c>
      <c r="Y53" s="94" t="str">
        <f t="shared" si="170"/>
        <v/>
      </c>
      <c r="Z53" s="94" t="str">
        <f t="shared" si="170"/>
        <v/>
      </c>
      <c r="AA53" s="94" t="str">
        <f t="shared" si="170"/>
        <v/>
      </c>
      <c r="AB53" s="94" t="str">
        <f t="shared" si="170"/>
        <v/>
      </c>
      <c r="AC53" s="96"/>
      <c r="AD53" s="94" t="str">
        <f t="shared" ref="AD53:AH53" si="171">IF(AND($G53 &lt;&gt;"",AD$14&lt;&gt;""), IF(max($R53:$V53)&gt;0,IF(R53 = $J53, 1 , 0), 0), "")</f>
        <v/>
      </c>
      <c r="AE53" s="94" t="str">
        <f t="shared" si="171"/>
        <v/>
      </c>
      <c r="AF53" s="94" t="str">
        <f t="shared" si="171"/>
        <v/>
      </c>
      <c r="AG53" s="94" t="str">
        <f t="shared" si="171"/>
        <v/>
      </c>
      <c r="AH53" s="94" t="str">
        <f t="shared" si="171"/>
        <v/>
      </c>
      <c r="AI53" s="96"/>
      <c r="AJ53" s="100" t="str">
        <f t="shared" ref="AJ53:AN53" si="172">IF($G53 &lt;&gt; "", IF(R53 &gt;0,R53/$J53*log(R53/$J53,2),""), "")</f>
        <v/>
      </c>
      <c r="AK53" s="100" t="str">
        <f t="shared" si="172"/>
        <v/>
      </c>
      <c r="AL53" s="100" t="str">
        <f t="shared" si="172"/>
        <v/>
      </c>
      <c r="AM53" s="100" t="str">
        <f t="shared" si="172"/>
        <v/>
      </c>
      <c r="AN53" s="100" t="str">
        <f t="shared" si="172"/>
        <v/>
      </c>
      <c r="AO53" s="96" t="str">
        <f t="shared" si="23"/>
        <v/>
      </c>
      <c r="AP53" s="100" t="str">
        <f t="shared" ref="AP53:AT53" si="173">IF($G53 &lt;&gt; "", IF(R53 &gt;0,R53/R$54*log(R53/R$54,2),""), "")</f>
        <v/>
      </c>
      <c r="AQ53" s="100" t="str">
        <f t="shared" si="173"/>
        <v/>
      </c>
      <c r="AR53" s="100" t="str">
        <f t="shared" si="173"/>
        <v/>
      </c>
      <c r="AS53" s="100" t="str">
        <f t="shared" si="173"/>
        <v/>
      </c>
      <c r="AT53" s="100" t="str">
        <f t="shared" si="173"/>
        <v/>
      </c>
      <c r="AU53" s="97"/>
    </row>
    <row r="54">
      <c r="A54" s="72" t="str">
        <f>IF(B54=Settings!$D$5,"INICIO",IF(B54=Settings!$D$6,"FIN",""))</f>
        <v/>
      </c>
      <c r="B54" s="75" t="str">
        <f>IF(AND(ISNUMBER(B53),B53+1&lt;=Settings!$D$6),B53+1,"")</f>
        <v/>
      </c>
      <c r="C54" s="76">
        <f t="shared" si="3"/>
        <v>-94.28571429</v>
      </c>
      <c r="D54" s="76" t="str">
        <f t="shared" si="4"/>
        <v/>
      </c>
      <c r="E54" s="105">
        <f>SUMIF(Historias!$F$6:$F$187,B54,Historias!$G$6:$G$187)</f>
        <v>0</v>
      </c>
      <c r="F54" s="83"/>
      <c r="G54" s="4">
        <f>COUNTA(G15:G53)</f>
        <v>18</v>
      </c>
      <c r="H54" s="82">
        <f t="shared" ref="H54:J54" si="174">SUM(H15:H53)</f>
        <v>55</v>
      </c>
      <c r="I54" s="82">
        <f t="shared" si="174"/>
        <v>70.5</v>
      </c>
      <c r="J54" s="82">
        <f t="shared" si="174"/>
        <v>57</v>
      </c>
      <c r="K54" s="83"/>
      <c r="L54" s="83"/>
      <c r="M54" s="83"/>
      <c r="N54" s="83"/>
      <c r="O54" s="107"/>
      <c r="P54" s="107"/>
      <c r="Q54" s="83"/>
      <c r="R54" s="108">
        <f t="shared" ref="R54:V54" si="175">SUM(R15:R53)</f>
        <v>9</v>
      </c>
      <c r="S54" s="108">
        <f t="shared" si="175"/>
        <v>16</v>
      </c>
      <c r="T54" s="108">
        <f t="shared" si="175"/>
        <v>21.5</v>
      </c>
      <c r="U54" s="108">
        <f t="shared" si="175"/>
        <v>10.5</v>
      </c>
      <c r="V54" s="108">
        <f t="shared" si="175"/>
        <v>0</v>
      </c>
      <c r="W54" s="108">
        <f>SUM(R54:V54)</f>
        <v>57</v>
      </c>
      <c r="X54" s="108">
        <f t="shared" ref="X54:AB54" si="176">SUM(X15:X53)</f>
        <v>5</v>
      </c>
      <c r="Y54" s="108">
        <f t="shared" si="176"/>
        <v>2</v>
      </c>
      <c r="Z54" s="108">
        <f t="shared" si="176"/>
        <v>6</v>
      </c>
      <c r="AA54" s="108">
        <f t="shared" si="176"/>
        <v>2</v>
      </c>
      <c r="AB54" s="108">
        <f t="shared" si="176"/>
        <v>0</v>
      </c>
      <c r="AC54" s="97"/>
      <c r="AD54" s="108">
        <f t="shared" ref="AD54:AH54" si="177">SUM(AD15:AD53)</f>
        <v>4</v>
      </c>
      <c r="AE54" s="108">
        <f t="shared" si="177"/>
        <v>0</v>
      </c>
      <c r="AF54" s="108">
        <f t="shared" si="177"/>
        <v>4</v>
      </c>
      <c r="AG54" s="108">
        <f t="shared" si="177"/>
        <v>2</v>
      </c>
      <c r="AH54" s="108">
        <f t="shared" si="177"/>
        <v>0</v>
      </c>
      <c r="AI54" s="97"/>
      <c r="AJ54" s="97"/>
      <c r="AK54" s="97"/>
      <c r="AL54" s="97"/>
      <c r="AM54" s="97"/>
      <c r="AN54" s="97"/>
      <c r="AO54" s="97"/>
      <c r="AP54" s="104"/>
      <c r="AQ54" s="104"/>
      <c r="AR54" s="104"/>
      <c r="AS54" s="104"/>
      <c r="AT54" s="104"/>
      <c r="AU54" s="97"/>
    </row>
    <row r="55">
      <c r="A55" s="72" t="str">
        <f>IF(B55=Settings!$D$5,"INICIO",IF(B55=Settings!$D$6,"FIN",""))</f>
        <v/>
      </c>
      <c r="B55" s="75" t="str">
        <f>IF(AND(ISNUMBER(B54),B54+1&lt;=Settings!$D$6),B54+1,"")</f>
        <v/>
      </c>
      <c r="C55" s="76">
        <f t="shared" si="3"/>
        <v>-97.42857143</v>
      </c>
      <c r="D55" s="76" t="str">
        <f t="shared" si="4"/>
        <v/>
      </c>
      <c r="E55" s="105">
        <f>SUMIF(Historias!$F$6:$F$187,B55,Historias!$G$6:$G$187)</f>
        <v>0</v>
      </c>
      <c r="F55" s="65"/>
      <c r="G55" s="65"/>
      <c r="H55" s="65"/>
      <c r="I55" s="65"/>
      <c r="J55" s="65"/>
      <c r="K55" s="65"/>
      <c r="L55" s="65"/>
      <c r="M55" s="65"/>
      <c r="N55" s="91"/>
      <c r="O55" s="100" t="s">
        <v>86</v>
      </c>
      <c r="P55" s="109">
        <f>COUNTIFS($P$15:$P$53,"&gt;=0",$P$15:$P$53,"&lt;0,25")</f>
        <v>0</v>
      </c>
      <c r="Q55" s="83"/>
      <c r="R55" s="85" t="str">
        <f>R13</f>
        <v>P(p)</v>
      </c>
      <c r="S55" s="67"/>
      <c r="T55" s="67"/>
      <c r="U55" s="67"/>
      <c r="V55" s="67"/>
      <c r="W55" s="65"/>
      <c r="X55" s="85" t="str">
        <f>X13</f>
        <v>D(p)</v>
      </c>
      <c r="Y55" s="67"/>
      <c r="Z55" s="110"/>
      <c r="AA55" s="110"/>
      <c r="AB55" s="110"/>
      <c r="AC55" s="111"/>
      <c r="AD55" s="112" t="str">
        <f>AD13</f>
        <v>I(p)</v>
      </c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3" t="s">
        <v>82</v>
      </c>
      <c r="AQ55" s="111"/>
      <c r="AR55" s="111"/>
      <c r="AS55" s="111"/>
      <c r="AT55" s="111"/>
      <c r="AU55" s="111"/>
    </row>
    <row r="56">
      <c r="A56" s="72" t="str">
        <f>IF(B56=Settings!$D$5,"INICIO",IF(B56=Settings!$D$6,"FIN",""))</f>
        <v/>
      </c>
      <c r="B56" s="114" t="str">
        <f>IF(AND(ISNUMBER(B55),B55+1&lt;=Settings!$D$6),B55+1,"")</f>
        <v/>
      </c>
      <c r="C56" s="76"/>
      <c r="D56" s="76"/>
      <c r="E56" s="105"/>
      <c r="F56" s="65"/>
      <c r="G56" s="65"/>
      <c r="H56" s="65"/>
      <c r="I56" s="65"/>
      <c r="J56" s="65"/>
      <c r="K56" s="69"/>
      <c r="L56" s="65"/>
      <c r="M56" s="65"/>
      <c r="N56" s="91"/>
      <c r="O56" s="90" t="s">
        <v>87</v>
      </c>
      <c r="P56" s="109">
        <f>COUNTIFS($P$15:$P$53,"&gt;=0,25",$P$15:$P$53,"&lt;0,50")</f>
        <v>10</v>
      </c>
      <c r="Q56" s="91"/>
      <c r="R56" s="93">
        <f t="shared" ref="R56:V56" si="178">COUNTIF(R15:R53,"&gt;0")/$G$54</f>
        <v>0.3333333333</v>
      </c>
      <c r="S56" s="93">
        <f t="shared" si="178"/>
        <v>0.4444444444</v>
      </c>
      <c r="T56" s="93">
        <f t="shared" si="178"/>
        <v>0.5555555556</v>
      </c>
      <c r="U56" s="93">
        <f t="shared" si="178"/>
        <v>0.3888888889</v>
      </c>
      <c r="V56" s="93">
        <f t="shared" si="178"/>
        <v>0</v>
      </c>
      <c r="W56" s="115"/>
      <c r="X56" s="93">
        <f t="shared" ref="X56:AB56" si="179">X54/$G$54</f>
        <v>0.2777777778</v>
      </c>
      <c r="Y56" s="93">
        <f t="shared" si="179"/>
        <v>0.1111111111</v>
      </c>
      <c r="Z56" s="93">
        <f t="shared" si="179"/>
        <v>0.3333333333</v>
      </c>
      <c r="AA56" s="93">
        <f t="shared" si="179"/>
        <v>0.1111111111</v>
      </c>
      <c r="AB56" s="93">
        <f t="shared" si="179"/>
        <v>0</v>
      </c>
      <c r="AC56" s="104"/>
      <c r="AD56" s="95">
        <f t="shared" ref="AD56:AH56" si="180">AD54/$G$54</f>
        <v>0.2222222222</v>
      </c>
      <c r="AE56" s="95">
        <f t="shared" si="180"/>
        <v>0</v>
      </c>
      <c r="AF56" s="95">
        <f t="shared" si="180"/>
        <v>0.2222222222</v>
      </c>
      <c r="AG56" s="95">
        <f t="shared" si="180"/>
        <v>0.1111111111</v>
      </c>
      <c r="AH56" s="95">
        <f t="shared" si="180"/>
        <v>0</v>
      </c>
      <c r="AI56" s="104"/>
      <c r="AJ56" s="104"/>
      <c r="AK56" s="104"/>
      <c r="AL56" s="104"/>
      <c r="AM56" s="104"/>
      <c r="AN56" s="104"/>
      <c r="AO56" s="104"/>
      <c r="AP56" s="108">
        <f t="shared" ref="AP56:AT56" si="181">SUM(AP15:AP53)*-1</f>
        <v>2.483006781</v>
      </c>
      <c r="AQ56" s="108">
        <f t="shared" si="181"/>
        <v>2.632048828</v>
      </c>
      <c r="AR56" s="108">
        <f t="shared" si="181"/>
        <v>3.213276022</v>
      </c>
      <c r="AS56" s="108">
        <f t="shared" si="181"/>
        <v>2.451608494</v>
      </c>
      <c r="AT56" s="108" t="str">
        <f t="shared" si="181"/>
        <v>#DIV/0!</v>
      </c>
      <c r="AU56" s="104"/>
    </row>
    <row r="57">
      <c r="A57" s="72" t="str">
        <f>IF(B57=Settings!$D$5,"INICIO",IF(B57=Settings!$D$6,"FIN",""))</f>
        <v/>
      </c>
      <c r="B57" s="114" t="str">
        <f>IF(AND(ISNUMBER(B56),B56+1&lt;=Settings!$D$6),B56+1,"")</f>
        <v/>
      </c>
      <c r="C57" s="76"/>
      <c r="D57" s="76"/>
      <c r="E57" s="105"/>
      <c r="F57" s="65"/>
      <c r="G57" s="65"/>
      <c r="H57" s="65"/>
      <c r="I57" s="65"/>
      <c r="J57" s="65"/>
      <c r="K57" s="116"/>
      <c r="L57" s="117"/>
      <c r="M57" s="65"/>
      <c r="N57" s="91"/>
      <c r="O57" s="90" t="s">
        <v>88</v>
      </c>
      <c r="P57" s="109">
        <f>COUNTIFS($P$15:$P$53,"&gt;=0,5",$P$15:$P$53,"&lt;0,75")</f>
        <v>4</v>
      </c>
      <c r="Q57" s="83"/>
      <c r="R57" s="65"/>
      <c r="S57" s="84"/>
      <c r="T57" s="117"/>
      <c r="U57" s="111"/>
      <c r="V57" s="117"/>
      <c r="W57" s="117"/>
      <c r="X57" s="111"/>
      <c r="Y57" s="84"/>
      <c r="Z57" s="117"/>
      <c r="AA57" s="111"/>
      <c r="AB57" s="117"/>
      <c r="AC57" s="117"/>
      <c r="AD57" s="111"/>
      <c r="AE57" s="84"/>
      <c r="AF57" s="84"/>
      <c r="AG57" s="111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</row>
    <row r="58">
      <c r="A58" s="72" t="str">
        <f>IF(B58=Settings!$D$5,"INICIO",IF(B58=Settings!$D$6,"FIN",""))</f>
        <v/>
      </c>
      <c r="B58" s="118" t="str">
        <f>IF(AND(ISNUMBER(B57),B57+1&lt;=Settings!$D$6),B57+1,"")</f>
        <v/>
      </c>
      <c r="C58" s="76"/>
      <c r="D58" s="76"/>
      <c r="E58" s="105"/>
      <c r="F58" s="65"/>
      <c r="G58" s="65"/>
      <c r="H58" s="65"/>
      <c r="I58" s="65"/>
      <c r="J58" s="65"/>
      <c r="K58" s="119"/>
      <c r="L58" s="111"/>
      <c r="M58" s="111"/>
      <c r="N58" s="96"/>
      <c r="O58" s="100" t="s">
        <v>89</v>
      </c>
      <c r="P58" s="94">
        <f>COUNTIFS($P$15:$P$53,"&gt;=0,75",$P$15:$P$53,"&lt;1")</f>
        <v>3</v>
      </c>
      <c r="Q58" s="97"/>
      <c r="R58" s="119"/>
      <c r="S58" s="65"/>
      <c r="T58" s="65"/>
      <c r="U58" s="65"/>
      <c r="V58" s="65"/>
      <c r="W58" s="65"/>
      <c r="X58" s="65"/>
      <c r="Y58" s="119"/>
      <c r="Z58" s="111"/>
      <c r="AA58" s="111"/>
      <c r="AB58" s="111"/>
      <c r="AC58" s="111"/>
      <c r="AD58" s="111"/>
      <c r="AE58" s="111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</row>
    <row r="59">
      <c r="A59" s="72" t="str">
        <f>IF(B59=Settings!$D$5,"INICIO",IF(B59=Settings!$D$6,"FIN",""))</f>
        <v/>
      </c>
      <c r="B59" s="120" t="str">
        <f>IF(AND(ISNUMBER(B58),B58+1&lt;=Settings!$D$6),B58+1,"")</f>
        <v/>
      </c>
      <c r="C59" s="76"/>
      <c r="D59" s="76"/>
      <c r="E59" s="105"/>
      <c r="F59" s="65"/>
      <c r="G59" s="65"/>
      <c r="H59" s="65"/>
      <c r="I59" s="65"/>
      <c r="J59" s="65"/>
      <c r="K59" s="119"/>
      <c r="L59" s="111"/>
      <c r="M59" s="111"/>
      <c r="N59" s="96"/>
      <c r="O59" s="121">
        <v>1.0</v>
      </c>
      <c r="P59" s="94">
        <f>COUNTIFS($P$15:$P$53,"=1")</f>
        <v>1</v>
      </c>
      <c r="Q59" s="97"/>
      <c r="R59" s="119"/>
      <c r="S59" s="65"/>
      <c r="T59" s="65"/>
      <c r="U59" s="65"/>
      <c r="V59" s="65"/>
      <c r="W59" s="65"/>
      <c r="X59" s="65"/>
      <c r="Y59" s="119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</row>
    <row r="60">
      <c r="A60" s="72" t="str">
        <f>IF(B60=Settings!$D$5,"INICIO",IF(B60=Settings!$D$6,"FIN",""))</f>
        <v/>
      </c>
      <c r="B60" s="120" t="str">
        <f>IF(AND(ISNUMBER(B59),B59+1&lt;=Settings!$D$6),B59+1,"")</f>
        <v/>
      </c>
      <c r="C60" s="76"/>
      <c r="D60" s="76"/>
      <c r="E60" s="105"/>
      <c r="F60" s="65"/>
      <c r="G60" s="65"/>
      <c r="H60" s="65"/>
      <c r="I60" s="65"/>
      <c r="J60" s="65"/>
      <c r="K60" s="119"/>
      <c r="L60" s="111"/>
      <c r="M60" s="111"/>
      <c r="N60" s="97" t="s">
        <v>90</v>
      </c>
      <c r="O60" s="108" t="s">
        <v>91</v>
      </c>
      <c r="P60" s="95">
        <f>(-1*(P55+P56)+P57+P58+P59)/G54</f>
        <v>-0.1111111111</v>
      </c>
      <c r="Q60" s="97"/>
      <c r="R60" s="119"/>
      <c r="S60" s="65"/>
      <c r="T60" s="65"/>
      <c r="U60" s="65"/>
      <c r="V60" s="65"/>
      <c r="W60" s="65"/>
      <c r="X60" s="65"/>
      <c r="Y60" s="119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</row>
    <row r="61">
      <c r="A61" s="72" t="str">
        <f>IF(B61=Settings!$D$5,"INICIO",IF(B61=Settings!$D$6,"FIN",""))</f>
        <v/>
      </c>
      <c r="B61" s="120" t="str">
        <f>IF(AND(ISNUMBER(B60),B60+1&lt;=Settings!$D$6),B60+1,"")</f>
        <v/>
      </c>
      <c r="C61" s="76"/>
      <c r="D61" s="76"/>
      <c r="E61" s="105"/>
      <c r="F61" s="65"/>
      <c r="G61" s="65"/>
      <c r="H61" s="65"/>
      <c r="I61" s="65"/>
      <c r="J61" s="65"/>
      <c r="K61" s="119"/>
      <c r="L61" s="111"/>
      <c r="M61" s="111"/>
      <c r="N61" s="97" t="s">
        <v>92</v>
      </c>
      <c r="O61" s="122" t="s">
        <v>93</v>
      </c>
      <c r="P61" s="123">
        <f>SUM(O15:O53)/G54</f>
        <v>1.722222222</v>
      </c>
      <c r="Q61" s="124">
        <f>SUM(P15:P53)/G54</f>
        <v>0.4305555556</v>
      </c>
      <c r="R61" s="119"/>
      <c r="S61" s="65"/>
      <c r="T61" s="65"/>
      <c r="U61" s="65"/>
      <c r="V61" s="65"/>
      <c r="W61" s="65"/>
      <c r="X61" s="65"/>
      <c r="Y61" s="119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</row>
    <row r="62">
      <c r="A62" s="72" t="str">
        <f>IF(B62=Settings!$D$5,"INICIO",IF(B62=Settings!$D$6,"FIN",""))</f>
        <v/>
      </c>
      <c r="B62" s="120" t="str">
        <f>IF(AND(ISNUMBER(B61),B61+1&lt;=Settings!$D$6),B61+1,"")</f>
        <v/>
      </c>
      <c r="C62" s="76"/>
      <c r="D62" s="76"/>
      <c r="E62" s="105"/>
      <c r="F62" s="65"/>
      <c r="G62" s="65"/>
      <c r="H62" s="65"/>
      <c r="I62" s="65"/>
      <c r="J62" s="65"/>
      <c r="K62" s="119"/>
      <c r="L62" s="111"/>
      <c r="M62" s="111"/>
      <c r="N62" s="97"/>
      <c r="O62" s="97"/>
      <c r="P62" s="95"/>
      <c r="Q62" s="97"/>
      <c r="R62" s="119"/>
      <c r="S62" s="65"/>
      <c r="T62" s="65"/>
      <c r="U62" s="65"/>
      <c r="V62" s="65"/>
      <c r="W62" s="65"/>
      <c r="X62" s="65"/>
      <c r="Y62" s="119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</row>
    <row r="63">
      <c r="A63" s="72" t="str">
        <f>IF(B63=Settings!$D$5,"INICIO",IF(B63=Settings!$D$6,"FIN",""))</f>
        <v/>
      </c>
      <c r="B63" s="120" t="str">
        <f>IF(AND(ISNUMBER(B62),B62+1&lt;=Settings!$D$6),B62+1,"")</f>
        <v/>
      </c>
      <c r="C63" s="76"/>
      <c r="D63" s="76"/>
      <c r="E63" s="105"/>
      <c r="F63" s="65"/>
      <c r="G63" s="65"/>
      <c r="H63" s="65"/>
      <c r="I63" s="65"/>
      <c r="J63" s="65"/>
      <c r="K63" s="119"/>
      <c r="L63" s="111"/>
      <c r="M63" s="111"/>
      <c r="N63" s="111"/>
      <c r="O63" s="111"/>
      <c r="P63" s="111"/>
      <c r="Q63" s="111"/>
      <c r="R63" s="119"/>
      <c r="S63" s="65"/>
      <c r="T63" s="65"/>
      <c r="U63" s="65"/>
      <c r="V63" s="65"/>
      <c r="W63" s="65"/>
      <c r="X63" s="65"/>
      <c r="Y63" s="119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</row>
    <row r="64">
      <c r="A64" s="65"/>
      <c r="B64" s="116"/>
      <c r="C64" s="65"/>
      <c r="D64" s="65"/>
      <c r="E64" s="65"/>
      <c r="F64" s="65"/>
      <c r="G64" s="65"/>
      <c r="H64" s="65"/>
      <c r="I64" s="65"/>
      <c r="J64" s="65"/>
      <c r="K64" s="119"/>
      <c r="L64" s="111"/>
      <c r="M64" s="111"/>
      <c r="N64" s="111"/>
      <c r="O64" s="111"/>
      <c r="P64" s="111"/>
      <c r="Q64" s="111"/>
      <c r="R64" s="119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</row>
    <row r="65">
      <c r="A65" s="65"/>
      <c r="B65" s="125"/>
      <c r="C65" s="126"/>
      <c r="D65" s="65"/>
      <c r="E65" s="65"/>
      <c r="F65" s="65"/>
      <c r="G65" s="65"/>
      <c r="H65" s="65"/>
      <c r="I65" s="65"/>
      <c r="J65" s="65"/>
      <c r="K65" s="127"/>
      <c r="L65" s="126"/>
      <c r="M65" s="111"/>
      <c r="N65" s="111"/>
      <c r="O65" s="111">
        <f>5-AVERAGE(L68:O68)</f>
        <v>4.25</v>
      </c>
      <c r="P65" s="111"/>
      <c r="Q65" s="111"/>
      <c r="R65" s="119"/>
      <c r="S65" s="65"/>
      <c r="T65" s="65"/>
      <c r="U65" s="65"/>
      <c r="V65" s="65"/>
      <c r="W65" s="65"/>
      <c r="X65" s="65"/>
      <c r="Y65" s="119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</row>
    <row r="66">
      <c r="A66" s="65"/>
      <c r="B66" s="85" t="s">
        <v>94</v>
      </c>
      <c r="C66" s="9"/>
      <c r="D66" s="67"/>
      <c r="E66" s="67"/>
      <c r="F66" s="67"/>
      <c r="G66" s="67"/>
      <c r="H66" s="67"/>
      <c r="I66" s="65"/>
      <c r="J66" s="65"/>
      <c r="K66" s="128" t="s">
        <v>95</v>
      </c>
      <c r="L66" s="129"/>
      <c r="M66" s="110"/>
      <c r="N66" s="110"/>
      <c r="O66" s="110"/>
      <c r="P66" s="110"/>
      <c r="Q66" s="110"/>
      <c r="R66" s="119"/>
      <c r="S66" s="85" t="s">
        <v>96</v>
      </c>
      <c r="T66" s="9"/>
      <c r="U66" s="67"/>
      <c r="V66" s="67"/>
      <c r="W66" s="67"/>
      <c r="X66" s="67"/>
      <c r="Y66" s="119"/>
      <c r="Z66" s="113" t="s">
        <v>97</v>
      </c>
      <c r="AA66" s="9"/>
      <c r="AB66" s="110"/>
      <c r="AC66" s="110"/>
      <c r="AD66" s="110"/>
      <c r="AE66" s="110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</row>
    <row r="67">
      <c r="A67" s="91"/>
      <c r="B67" s="130" t="s">
        <v>98</v>
      </c>
      <c r="C67" s="90" t="str">
        <f>Settings!A5</f>
        <v>RAFAEL GUZMAN VALVERDE</v>
      </c>
      <c r="D67" s="90" t="str">
        <f>Settings!A6</f>
        <v>DANIEL CALDERON GONZALEZ</v>
      </c>
      <c r="E67" s="90" t="str">
        <f>Settings!A7</f>
        <v>MARIA AGUADO MARTINEZ</v>
      </c>
      <c r="F67" s="90" t="str">
        <f>Settings!A8</f>
        <v>CARLOS GARCIA SEGURA</v>
      </c>
      <c r="G67" s="90" t="str">
        <f>Settings!A9</f>
        <v/>
      </c>
      <c r="H67" s="90" t="str">
        <f>Settings!A10</f>
        <v/>
      </c>
      <c r="I67" s="83"/>
      <c r="J67" s="91"/>
      <c r="K67" s="131"/>
      <c r="L67" s="103" t="str">
        <f t="shared" ref="L67:Q67" si="182">C67</f>
        <v>RAFAEL GUZMAN VALVERDE</v>
      </c>
      <c r="M67" s="100" t="str">
        <f t="shared" si="182"/>
        <v>DANIEL CALDERON GONZALEZ</v>
      </c>
      <c r="N67" s="100" t="str">
        <f t="shared" si="182"/>
        <v>MARIA AGUADO MARTINEZ</v>
      </c>
      <c r="O67" s="100" t="str">
        <f t="shared" si="182"/>
        <v>CARLOS GARCIA SEGURA</v>
      </c>
      <c r="P67" s="100" t="str">
        <f t="shared" si="182"/>
        <v/>
      </c>
      <c r="Q67" s="100" t="str">
        <f t="shared" si="182"/>
        <v/>
      </c>
      <c r="R67" s="132"/>
      <c r="S67" s="103" t="str">
        <f t="shared" ref="S67:X67" si="183">C67</f>
        <v>RAFAEL GUZMAN VALVERDE</v>
      </c>
      <c r="T67" s="103" t="str">
        <f t="shared" si="183"/>
        <v>DANIEL CALDERON GONZALEZ</v>
      </c>
      <c r="U67" s="103" t="str">
        <f t="shared" si="183"/>
        <v>MARIA AGUADO MARTINEZ</v>
      </c>
      <c r="V67" s="103" t="str">
        <f t="shared" si="183"/>
        <v>CARLOS GARCIA SEGURA</v>
      </c>
      <c r="W67" s="103" t="str">
        <f t="shared" si="183"/>
        <v/>
      </c>
      <c r="X67" s="103" t="str">
        <f t="shared" si="183"/>
        <v/>
      </c>
      <c r="Y67" s="115"/>
      <c r="Z67" s="103" t="str">
        <f t="shared" ref="Z67:AE67" si="184">S67</f>
        <v>RAFAEL GUZMAN VALVERDE</v>
      </c>
      <c r="AA67" s="103" t="str">
        <f t="shared" si="184"/>
        <v>DANIEL CALDERON GONZALEZ</v>
      </c>
      <c r="AB67" s="103" t="str">
        <f t="shared" si="184"/>
        <v>MARIA AGUADO MARTINEZ</v>
      </c>
      <c r="AC67" s="103" t="str">
        <f t="shared" si="184"/>
        <v>CARLOS GARCIA SEGURA</v>
      </c>
      <c r="AD67" s="103" t="str">
        <f t="shared" si="184"/>
        <v/>
      </c>
      <c r="AE67" s="103" t="str">
        <f t="shared" si="184"/>
        <v/>
      </c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</row>
    <row r="68">
      <c r="A68" s="91"/>
      <c r="B68" s="133">
        <f>Resumen!B3</f>
        <v>44848</v>
      </c>
      <c r="C68" s="134">
        <f>IF(C$67&lt;&gt;"", SUMIFS(Historias!$H$6:$H$137,Historias!$F$6:$F$137,$B68,Historias!$A$6:$A$137,C$67), "")</f>
        <v>0</v>
      </c>
      <c r="D68" s="134">
        <f>IF(D$67&lt;&gt;"", SUMIFS(Historias!$H$6:$H$137,Historias!$F$6:$F$137,$B68,Historias!$A$6:$A$137,D$67), "")</f>
        <v>1</v>
      </c>
      <c r="E68" s="134">
        <f>IF(E$67&lt;&gt;"", SUMIFS(Historias!$H$6:$H$137,Historias!$F$6:$F$137,$B68,Historias!$A$6:$A$137,E$67), "")</f>
        <v>1</v>
      </c>
      <c r="F68" s="134">
        <f>IF(F$67&lt;&gt;"", SUMIFS(Historias!$H$6:$H$137,Historias!$F$6:$F$137,$B68,Historias!$A$6:$A$137,F$67), "")</f>
        <v>1</v>
      </c>
      <c r="G68" s="134" t="str">
        <f>IF(G$67&lt;&gt;"", SUMIFS(Historias!$H$6:$H$137,Historias!$F$6:$F$137,$B68,Historias!$A$6:$A$137,G$67), "")</f>
        <v/>
      </c>
      <c r="H68" s="134" t="str">
        <f>IF(H$67&lt;&gt;"", SUMIFS(Historias!$H$6:$H$137,Historias!$F$6:$F$137,$B68,Historias!$A$6:$A$137,H$67), "")</f>
        <v/>
      </c>
      <c r="I68" s="83"/>
      <c r="J68" s="91"/>
      <c r="K68" s="135">
        <f t="shared" ref="K68:K124" si="187">B68</f>
        <v>44848</v>
      </c>
      <c r="L68" s="136">
        <f>IF(AND($K68&lt;=TODAY(), L$67&lt;&gt;""),SUMIFS(Historias!$H$6:$H$137,Historias!$F$6:$F$137,$K68,Historias!$A$6:$A$137,L$67),"")</f>
        <v>0</v>
      </c>
      <c r="M68" s="136">
        <f>IF(AND($K68&lt;=TODAY(), M$67&lt;&gt;""),SUMIFS(Historias!$H$6:$H$137,Historias!$F$6:$F$137,$K68,Historias!$A$6:$A$137,M$67),"")</f>
        <v>1</v>
      </c>
      <c r="N68" s="136">
        <f>IF(AND($K68&lt;=TODAY(), N$67&lt;&gt;""),SUMIFS(Historias!$H$6:$H$137,Historias!$F$6:$F$137,$K68,Historias!$A$6:$A$137,N$67),"")</f>
        <v>1</v>
      </c>
      <c r="O68" s="136">
        <f>IF(AND($K68&lt;=TODAY(), O$67&lt;&gt;""),SUMIFS(Historias!$H$6:$H$137,Historias!$F$6:$F$137,$K68,Historias!$A$6:$A$137,O$67),"")</f>
        <v>1</v>
      </c>
      <c r="P68" s="136" t="str">
        <f>IF(AND($K68&lt;=TODAY(), P$67&lt;&gt;""),SUMIFS(Historias!$H$6:$H$137,Historias!$F$6:$F$137,$K68,Historias!$A$6:$A$137,P$67),"")</f>
        <v/>
      </c>
      <c r="Q68" s="136" t="str">
        <f>IF(AND($K68&lt;=TODAY(), Q$67&lt;&gt;""),SUMIFS(Historias!$H$6:$H$137,Historias!$F$6:$F$137,$K68,Historias!$A$6:$A$137,Q$67),"")</f>
        <v/>
      </c>
      <c r="R68" s="137">
        <f t="shared" ref="R68:R124" si="188">K68</f>
        <v>44848</v>
      </c>
      <c r="S68" s="109">
        <f t="shared" ref="S68:X68" si="185">IF($K68&lt;&gt;"", IF(max($C68:$H68)&gt;0,IF(L68 = max($L68:$Q68), 1 , 0), 0), "")</f>
        <v>0</v>
      </c>
      <c r="T68" s="109">
        <f t="shared" si="185"/>
        <v>1</v>
      </c>
      <c r="U68" s="109">
        <f t="shared" si="185"/>
        <v>1</v>
      </c>
      <c r="V68" s="109">
        <f t="shared" si="185"/>
        <v>1</v>
      </c>
      <c r="W68" s="109">
        <f t="shared" si="185"/>
        <v>0</v>
      </c>
      <c r="X68" s="109">
        <f t="shared" si="185"/>
        <v>0</v>
      </c>
      <c r="Y68" s="137">
        <f t="shared" ref="Y68:Y124" si="190">R68</f>
        <v>44848</v>
      </c>
      <c r="Z68" s="94">
        <f t="shared" ref="Z68:AE68" si="186">IF($K68&lt;&gt;"", IF(L68 = max($L68:$Q68), (L68-AVERAGE($L68:$Q68)) , 0), 0)</f>
        <v>0</v>
      </c>
      <c r="AA68" s="94">
        <f t="shared" si="186"/>
        <v>0.25</v>
      </c>
      <c r="AB68" s="94">
        <f t="shared" si="186"/>
        <v>0.25</v>
      </c>
      <c r="AC68" s="94">
        <f t="shared" si="186"/>
        <v>0.25</v>
      </c>
      <c r="AD68" s="94">
        <f t="shared" si="186"/>
        <v>0</v>
      </c>
      <c r="AE68" s="94">
        <f t="shared" si="186"/>
        <v>0</v>
      </c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</row>
    <row r="69">
      <c r="A69" s="91"/>
      <c r="B69" s="138">
        <f>Resumen!B4</f>
        <v>44849</v>
      </c>
      <c r="C69" s="134">
        <f>IF(C$67&lt;&gt;"", SUMIFS(Historias!$H$6:$H$137,Historias!$F$6:$F$137,$B69,Historias!$A$6:$A$137,C$67), "")</f>
        <v>0</v>
      </c>
      <c r="D69" s="134">
        <f>IF(D$67&lt;&gt;"", SUMIFS(Historias!$H$6:$H$137,Historias!$F$6:$F$137,$B69,Historias!$A$6:$A$137,D$67), "")</f>
        <v>0</v>
      </c>
      <c r="E69" s="134">
        <f>IF(E$67&lt;&gt;"", SUMIFS(Historias!$H$6:$H$137,Historias!$F$6:$F$137,$B69,Historias!$A$6:$A$137,E$67), "")</f>
        <v>0</v>
      </c>
      <c r="F69" s="134">
        <f>IF(F$67&lt;&gt;"", SUMIFS(Historias!$H$6:$H$137,Historias!$F$6:$F$137,$B69,Historias!$A$6:$A$137,F$67), "")</f>
        <v>0</v>
      </c>
      <c r="G69" s="134" t="str">
        <f>IF(G$67&lt;&gt;"", SUMIFS(Historias!$H$6:$H$137,Historias!$F$6:$F$137,$B69,Historias!$A$6:$A$137,G$67), "")</f>
        <v/>
      </c>
      <c r="H69" s="134" t="str">
        <f>IF(H$67&lt;&gt;"", SUMIFS(Historias!$H$6:$H$137,Historias!$F$6:$F$137,$B69,Historias!$A$6:$A$137,H$67), "")</f>
        <v/>
      </c>
      <c r="I69" s="83"/>
      <c r="J69" s="91"/>
      <c r="K69" s="135">
        <f t="shared" si="187"/>
        <v>44849</v>
      </c>
      <c r="L69" s="136">
        <f>IF(AND($K69&lt;=TODAY(),L$67&lt;&gt;""),L68+SUMIFS(Historias!$H$6:$H$135,Historias!$F$6:$F$135,$K69,Historias!$A$6:$A$135,L$67),"")</f>
        <v>0</v>
      </c>
      <c r="M69" s="136">
        <f>IF(AND($K69&lt;=TODAY(),M$67&lt;&gt;""),M68+SUMIFS(Historias!$H$6:$H$135,Historias!$F$6:$F$135,$K69,Historias!$A$6:$A$135,M$67),"")</f>
        <v>1</v>
      </c>
      <c r="N69" s="136">
        <f>IF(AND($K69&lt;=TODAY(),N$67&lt;&gt;""),N68+SUMIFS(Historias!$H$6:$H$135,Historias!$F$6:$F$135,$K69,Historias!$A$6:$A$135,N$67),"")</f>
        <v>1</v>
      </c>
      <c r="O69" s="136">
        <f>IF(AND($K69&lt;=TODAY(),O$67&lt;&gt;""),O68+SUMIFS(Historias!$H$6:$H$135,Historias!$F$6:$F$135,$K69,Historias!$A$6:$A$135,O$67),"")</f>
        <v>1</v>
      </c>
      <c r="P69" s="136" t="str">
        <f>IF(AND($K69&lt;=TODAY(),P$67&lt;&gt;""),P68+SUMIFS(Historias!$H$6:$H$135,Historias!$F$6:$F$135,$K69,Historias!$A$6:$A$135,P$67),"")</f>
        <v/>
      </c>
      <c r="Q69" s="136" t="str">
        <f>IF(AND($K69&lt;=TODAY(),Q$67&lt;&gt;""),Q68+SUMIFS(Historias!$H$6:$H$135,Historias!$F$6:$F$135,$K69,Historias!$A$6:$A$135,Q$67),"")</f>
        <v/>
      </c>
      <c r="R69" s="137">
        <f t="shared" si="188"/>
        <v>44849</v>
      </c>
      <c r="S69" s="109">
        <f t="shared" ref="S69:X69" si="189">IF($K69&lt;&gt;"", IF(max($C69:$H69)&gt;0,IF(L69 = max($L69:$Q69), 1 , 0), S68), "")</f>
        <v>0</v>
      </c>
      <c r="T69" s="109">
        <f t="shared" si="189"/>
        <v>1</v>
      </c>
      <c r="U69" s="109">
        <f t="shared" si="189"/>
        <v>1</v>
      </c>
      <c r="V69" s="109">
        <f t="shared" si="189"/>
        <v>1</v>
      </c>
      <c r="W69" s="109">
        <f t="shared" si="189"/>
        <v>0</v>
      </c>
      <c r="X69" s="109">
        <f t="shared" si="189"/>
        <v>0</v>
      </c>
      <c r="Y69" s="137">
        <f t="shared" si="190"/>
        <v>44849</v>
      </c>
      <c r="Z69" s="94">
        <f t="shared" ref="Z69:AE69" si="191">IF($K69&lt;&gt;"", IF(L69 = max($L69:$Q69), (L69-AVERAGE($L69:$Q69)) , 0), 0)</f>
        <v>0</v>
      </c>
      <c r="AA69" s="94">
        <f t="shared" si="191"/>
        <v>0.25</v>
      </c>
      <c r="AB69" s="94">
        <f t="shared" si="191"/>
        <v>0.25</v>
      </c>
      <c r="AC69" s="94">
        <f t="shared" si="191"/>
        <v>0.25</v>
      </c>
      <c r="AD69" s="94">
        <f t="shared" si="191"/>
        <v>0</v>
      </c>
      <c r="AE69" s="94">
        <f t="shared" si="191"/>
        <v>0</v>
      </c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</row>
    <row r="70">
      <c r="A70" s="91"/>
      <c r="B70" s="138">
        <f>Resumen!B5</f>
        <v>44850</v>
      </c>
      <c r="C70" s="134">
        <f>IF(C$67&lt;&gt;"", SUMIFS(Historias!$H$6:$H$137,Historias!$F$6:$F$137,$B70,Historias!$A$6:$A$137,C$67), "")</f>
        <v>0</v>
      </c>
      <c r="D70" s="134">
        <f>IF(D$67&lt;&gt;"", SUMIFS(Historias!$H$6:$H$137,Historias!$F$6:$F$137,$B70,Historias!$A$6:$A$137,D$67), "")</f>
        <v>0</v>
      </c>
      <c r="E70" s="134">
        <f>IF(E$67&lt;&gt;"", SUMIFS(Historias!$H$6:$H$137,Historias!$F$6:$F$137,$B70,Historias!$A$6:$A$137,E$67), "")</f>
        <v>0</v>
      </c>
      <c r="F70" s="134">
        <f>IF(F$67&lt;&gt;"", SUMIFS(Historias!$H$6:$H$137,Historias!$F$6:$F$137,$B70,Historias!$A$6:$A$137,F$67), "")</f>
        <v>0</v>
      </c>
      <c r="G70" s="134" t="str">
        <f>IF(G$67&lt;&gt;"", SUMIFS(Historias!$H$6:$H$137,Historias!$F$6:$F$137,$B70,Historias!$A$6:$A$137,G$67), "")</f>
        <v/>
      </c>
      <c r="H70" s="134" t="str">
        <f>IF(H$67&lt;&gt;"", SUMIFS(Historias!$H$6:$H$137,Historias!$F$6:$F$137,$B70,Historias!$A$6:$A$137,H$67), "")</f>
        <v/>
      </c>
      <c r="I70" s="83"/>
      <c r="J70" s="91"/>
      <c r="K70" s="135">
        <f t="shared" si="187"/>
        <v>44850</v>
      </c>
      <c r="L70" s="136">
        <f>IF(AND($K70&lt;=TODAY(),L$67&lt;&gt;""),L69+SUMIFS(Historias!$H$6:$H$135,Historias!$F$6:$F$135,$K70,Historias!$A$6:$A$135,L$67),"")</f>
        <v>0</v>
      </c>
      <c r="M70" s="136">
        <f>IF(AND($K70&lt;=TODAY(),M$67&lt;&gt;""),M69+SUMIFS(Historias!$H$6:$H$135,Historias!$F$6:$F$135,$K70,Historias!$A$6:$A$135,M$67),"")</f>
        <v>1</v>
      </c>
      <c r="N70" s="136">
        <f>IF(AND($K70&lt;=TODAY(),N$67&lt;&gt;""),N69+SUMIFS(Historias!$H$6:$H$135,Historias!$F$6:$F$135,$K70,Historias!$A$6:$A$135,N$67),"")</f>
        <v>1</v>
      </c>
      <c r="O70" s="136">
        <f>IF(AND($K70&lt;=TODAY(),O$67&lt;&gt;""),O69+SUMIFS(Historias!$H$6:$H$135,Historias!$F$6:$F$135,$K70,Historias!$A$6:$A$135,O$67),"")</f>
        <v>1</v>
      </c>
      <c r="P70" s="136" t="str">
        <f>IF(AND($K70&lt;=TODAY(),P$67&lt;&gt;""),P69+SUMIFS(Historias!$H$6:$H$135,Historias!$F$6:$F$135,$K70,Historias!$A$6:$A$135,P$67),"")</f>
        <v/>
      </c>
      <c r="Q70" s="136" t="str">
        <f>IF(AND($K70&lt;=TODAY(),Q$67&lt;&gt;""),Q69+SUMIFS(Historias!$H$6:$H$135,Historias!$F$6:$F$135,$K70,Historias!$A$6:$A$135,Q$67),"")</f>
        <v/>
      </c>
      <c r="R70" s="137">
        <f t="shared" si="188"/>
        <v>44850</v>
      </c>
      <c r="S70" s="109">
        <f t="shared" ref="S70:X70" si="192">IF($K70&lt;&gt;"", IF(max($C70:$H70)&gt;0,IF(L70 = max($L70:$Q70), 1 , 0), S69), "")</f>
        <v>0</v>
      </c>
      <c r="T70" s="109">
        <f t="shared" si="192"/>
        <v>1</v>
      </c>
      <c r="U70" s="109">
        <f t="shared" si="192"/>
        <v>1</v>
      </c>
      <c r="V70" s="109">
        <f t="shared" si="192"/>
        <v>1</v>
      </c>
      <c r="W70" s="109">
        <f t="shared" si="192"/>
        <v>0</v>
      </c>
      <c r="X70" s="109">
        <f t="shared" si="192"/>
        <v>0</v>
      </c>
      <c r="Y70" s="137">
        <f t="shared" si="190"/>
        <v>44850</v>
      </c>
      <c r="Z70" s="94">
        <f t="shared" ref="Z70:AE70" si="193">IF($K70&lt;&gt;"", IF(L70 = max($L70:$Q70), (L70-AVERAGE($L70:$Q70)) , 0), 0)</f>
        <v>0</v>
      </c>
      <c r="AA70" s="94">
        <f t="shared" si="193"/>
        <v>0.25</v>
      </c>
      <c r="AB70" s="94">
        <f t="shared" si="193"/>
        <v>0.25</v>
      </c>
      <c r="AC70" s="94">
        <f t="shared" si="193"/>
        <v>0.25</v>
      </c>
      <c r="AD70" s="94">
        <f t="shared" si="193"/>
        <v>0</v>
      </c>
      <c r="AE70" s="94">
        <f t="shared" si="193"/>
        <v>0</v>
      </c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</row>
    <row r="71">
      <c r="A71" s="91"/>
      <c r="B71" s="138">
        <f>Resumen!B6</f>
        <v>44851</v>
      </c>
      <c r="C71" s="134">
        <f>IF(C$67&lt;&gt;"", SUMIFS(Historias!$H$6:$H$137,Historias!$F$6:$F$137,$B71,Historias!$A$6:$A$137,C$67), "")</f>
        <v>1</v>
      </c>
      <c r="D71" s="134">
        <f>IF(D$67&lt;&gt;"", SUMIFS(Historias!$H$6:$H$137,Historias!$F$6:$F$137,$B71,Historias!$A$6:$A$137,D$67), "")</f>
        <v>4</v>
      </c>
      <c r="E71" s="134">
        <f>IF(E$67&lt;&gt;"", SUMIFS(Historias!$H$6:$H$137,Historias!$F$6:$F$137,$B71,Historias!$A$6:$A$137,E$67), "")</f>
        <v>6</v>
      </c>
      <c r="F71" s="134">
        <f>IF(F$67&lt;&gt;"", SUMIFS(Historias!$H$6:$H$137,Historias!$F$6:$F$137,$B71,Historias!$A$6:$A$137,F$67), "")</f>
        <v>1</v>
      </c>
      <c r="G71" s="134" t="str">
        <f>IF(G$67&lt;&gt;"", SUMIFS(Historias!$H$6:$H$137,Historias!$F$6:$F$137,$B71,Historias!$A$6:$A$137,G$67), "")</f>
        <v/>
      </c>
      <c r="H71" s="134" t="str">
        <f>IF(H$67&lt;&gt;"", SUMIFS(Historias!$H$6:$H$137,Historias!$F$6:$F$137,$B71,Historias!$A$6:$A$137,H$67), "")</f>
        <v/>
      </c>
      <c r="I71" s="83"/>
      <c r="J71" s="91"/>
      <c r="K71" s="135">
        <f t="shared" si="187"/>
        <v>44851</v>
      </c>
      <c r="L71" s="136">
        <f>IF(AND($K71&lt;=TODAY(),L$67&lt;&gt;""),L70+SUMIFS(Historias!$H$6:$H$135,Historias!$F$6:$F$135,$K71,Historias!$A$6:$A$135,L$67),"")</f>
        <v>1</v>
      </c>
      <c r="M71" s="136">
        <f>IF(AND($K71&lt;=TODAY(),M$67&lt;&gt;""),M70+SUMIFS(Historias!$H$6:$H$135,Historias!$F$6:$F$135,$K71,Historias!$A$6:$A$135,M$67),"")</f>
        <v>5</v>
      </c>
      <c r="N71" s="136">
        <f>IF(AND($K71&lt;=TODAY(),N$67&lt;&gt;""),N70+SUMIFS(Historias!$H$6:$H$135,Historias!$F$6:$F$135,$K71,Historias!$A$6:$A$135,N$67),"")</f>
        <v>7</v>
      </c>
      <c r="O71" s="136">
        <f>IF(AND($K71&lt;=TODAY(),O$67&lt;&gt;""),O70+SUMIFS(Historias!$H$6:$H$135,Historias!$F$6:$F$135,$K71,Historias!$A$6:$A$135,O$67),"")</f>
        <v>2</v>
      </c>
      <c r="P71" s="136" t="str">
        <f>IF(AND($K71&lt;=TODAY(),P$67&lt;&gt;""),P70+SUMIFS(Historias!$H$6:$H$135,Historias!$F$6:$F$135,$K71,Historias!$A$6:$A$135,P$67),"")</f>
        <v/>
      </c>
      <c r="Q71" s="136" t="str">
        <f>IF(AND($K71&lt;=TODAY(),Q$67&lt;&gt;""),Q70+SUMIFS(Historias!$H$6:$H$135,Historias!$F$6:$F$135,$K71,Historias!$A$6:$A$135,Q$67),"")</f>
        <v/>
      </c>
      <c r="R71" s="137">
        <f t="shared" si="188"/>
        <v>44851</v>
      </c>
      <c r="S71" s="109">
        <f t="shared" ref="S71:X71" si="194">IF($K71&lt;&gt;"", IF(max($C71:$H71)&gt;0,IF(L71 = max($L71:$Q71), 1 , 0), S70), "")</f>
        <v>0</v>
      </c>
      <c r="T71" s="109">
        <f t="shared" si="194"/>
        <v>0</v>
      </c>
      <c r="U71" s="109">
        <f t="shared" si="194"/>
        <v>1</v>
      </c>
      <c r="V71" s="109">
        <f t="shared" si="194"/>
        <v>0</v>
      </c>
      <c r="W71" s="109">
        <f t="shared" si="194"/>
        <v>0</v>
      </c>
      <c r="X71" s="109">
        <f t="shared" si="194"/>
        <v>0</v>
      </c>
      <c r="Y71" s="137">
        <f t="shared" si="190"/>
        <v>44851</v>
      </c>
      <c r="Z71" s="94">
        <f t="shared" ref="Z71:AE71" si="195">IF($K71&lt;&gt;"", IF(L71 = max($L71:$Q71), (L71-AVERAGE($L71:$Q71)) , 0), 0)</f>
        <v>0</v>
      </c>
      <c r="AA71" s="94">
        <f t="shared" si="195"/>
        <v>0</v>
      </c>
      <c r="AB71" s="94">
        <f t="shared" si="195"/>
        <v>3.25</v>
      </c>
      <c r="AC71" s="94">
        <f t="shared" si="195"/>
        <v>0</v>
      </c>
      <c r="AD71" s="94">
        <f t="shared" si="195"/>
        <v>0</v>
      </c>
      <c r="AE71" s="94">
        <f t="shared" si="195"/>
        <v>0</v>
      </c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</row>
    <row r="72">
      <c r="A72" s="91"/>
      <c r="B72" s="138">
        <f>Resumen!B7</f>
        <v>44852</v>
      </c>
      <c r="C72" s="134">
        <f>IF(C$67&lt;&gt;"", SUMIFS(Historias!$H$6:$H$137,Historias!$F$6:$F$137,$B72,Historias!$A$6:$A$137,C$67), "")</f>
        <v>8.5</v>
      </c>
      <c r="D72" s="134">
        <f>IF(D$67&lt;&gt;"", SUMIFS(Historias!$H$6:$H$137,Historias!$F$6:$F$137,$B72,Historias!$A$6:$A$137,D$67), "")</f>
        <v>0</v>
      </c>
      <c r="E72" s="134">
        <f>IF(E$67&lt;&gt;"", SUMIFS(Historias!$H$6:$H$137,Historias!$F$6:$F$137,$B72,Historias!$A$6:$A$137,E$67), "")</f>
        <v>1.5</v>
      </c>
      <c r="F72" s="134">
        <f>IF(F$67&lt;&gt;"", SUMIFS(Historias!$H$6:$H$137,Historias!$F$6:$F$137,$B72,Historias!$A$6:$A$137,F$67), "")</f>
        <v>0</v>
      </c>
      <c r="G72" s="134" t="str">
        <f>IF(G$67&lt;&gt;"", SUMIFS(Historias!$H$6:$H$137,Historias!$F$6:$F$137,$B72,Historias!$A$6:$A$137,G$67), "")</f>
        <v/>
      </c>
      <c r="H72" s="134" t="str">
        <f>IF(H$67&lt;&gt;"", SUMIFS(Historias!$H$6:$H$137,Historias!$F$6:$F$137,$B72,Historias!$A$6:$A$137,H$67), "")</f>
        <v/>
      </c>
      <c r="I72" s="83"/>
      <c r="J72" s="91"/>
      <c r="K72" s="135">
        <f t="shared" si="187"/>
        <v>44852</v>
      </c>
      <c r="L72" s="136">
        <f>IF(AND($K72&lt;=TODAY(),L$67&lt;&gt;""),L71+SUMIFS(Historias!$H$6:$H$135,Historias!$F$6:$F$135,$K72,Historias!$A$6:$A$135,L$67),"")</f>
        <v>9.5</v>
      </c>
      <c r="M72" s="136">
        <f>IF(AND($K72&lt;=TODAY(),M$67&lt;&gt;""),M71+SUMIFS(Historias!$H$6:$H$135,Historias!$F$6:$F$135,$K72,Historias!$A$6:$A$135,M$67),"")</f>
        <v>5</v>
      </c>
      <c r="N72" s="136">
        <f>IF(AND($K72&lt;=TODAY(),N$67&lt;&gt;""),N71+SUMIFS(Historias!$H$6:$H$135,Historias!$F$6:$F$135,$K72,Historias!$A$6:$A$135,N$67),"")</f>
        <v>8.5</v>
      </c>
      <c r="O72" s="136">
        <f>IF(AND($K72&lt;=TODAY(),O$67&lt;&gt;""),O71+SUMIFS(Historias!$H$6:$H$135,Historias!$F$6:$F$135,$K72,Historias!$A$6:$A$135,O$67),"")</f>
        <v>2</v>
      </c>
      <c r="P72" s="136" t="str">
        <f>IF(AND($K72&lt;=TODAY(),P$67&lt;&gt;""),P71+SUMIFS(Historias!$H$6:$H$135,Historias!$F$6:$F$135,$K72,Historias!$A$6:$A$135,P$67),"")</f>
        <v/>
      </c>
      <c r="Q72" s="136" t="str">
        <f>IF(AND($K72&lt;=TODAY(),Q$67&lt;&gt;""),Q71+SUMIFS(Historias!$H$6:$H$135,Historias!$F$6:$F$135,$K72,Historias!$A$6:$A$135,Q$67),"")</f>
        <v/>
      </c>
      <c r="R72" s="137">
        <f t="shared" si="188"/>
        <v>44852</v>
      </c>
      <c r="S72" s="109">
        <f t="shared" ref="S72:X72" si="196">IF($K72&lt;&gt;"", IF(max($C72:$H72)&gt;0,IF(L72 = max($L72:$Q72), 1 , 0), S71), "")</f>
        <v>1</v>
      </c>
      <c r="T72" s="109">
        <f t="shared" si="196"/>
        <v>0</v>
      </c>
      <c r="U72" s="109">
        <f t="shared" si="196"/>
        <v>0</v>
      </c>
      <c r="V72" s="109">
        <f t="shared" si="196"/>
        <v>0</v>
      </c>
      <c r="W72" s="109">
        <f t="shared" si="196"/>
        <v>0</v>
      </c>
      <c r="X72" s="109">
        <f t="shared" si="196"/>
        <v>0</v>
      </c>
      <c r="Y72" s="137">
        <f t="shared" si="190"/>
        <v>44852</v>
      </c>
      <c r="Z72" s="94">
        <f t="shared" ref="Z72:AE72" si="197">IF($K72&lt;&gt;"", IF(L72 = max($L72:$Q72), (L72-AVERAGE($L72:$Q72)) , 0), 0)</f>
        <v>3.25</v>
      </c>
      <c r="AA72" s="94">
        <f t="shared" si="197"/>
        <v>0</v>
      </c>
      <c r="AB72" s="94">
        <f t="shared" si="197"/>
        <v>0</v>
      </c>
      <c r="AC72" s="94">
        <f t="shared" si="197"/>
        <v>0</v>
      </c>
      <c r="AD72" s="94">
        <f t="shared" si="197"/>
        <v>0</v>
      </c>
      <c r="AE72" s="94">
        <f t="shared" si="197"/>
        <v>0</v>
      </c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</row>
    <row r="73">
      <c r="A73" s="91"/>
      <c r="B73" s="138">
        <f>Resumen!B8</f>
        <v>44853</v>
      </c>
      <c r="C73" s="134">
        <f>IF(C$67&lt;&gt;"", SUMIFS(Historias!$H$6:$H$137,Historias!$F$6:$F$137,$B73,Historias!$A$6:$A$137,C$67), "")</f>
        <v>1</v>
      </c>
      <c r="D73" s="134">
        <f>IF(D$67&lt;&gt;"", SUMIFS(Historias!$H$6:$H$137,Historias!$F$6:$F$137,$B73,Historias!$A$6:$A$137,D$67), "")</f>
        <v>4</v>
      </c>
      <c r="E73" s="134">
        <f>IF(E$67&lt;&gt;"", SUMIFS(Historias!$H$6:$H$137,Historias!$F$6:$F$137,$B73,Historias!$A$6:$A$137,E$67), "")</f>
        <v>3.5</v>
      </c>
      <c r="F73" s="134">
        <f>IF(F$67&lt;&gt;"", SUMIFS(Historias!$H$6:$H$137,Historias!$F$6:$F$137,$B73,Historias!$A$6:$A$137,F$67), "")</f>
        <v>0.5</v>
      </c>
      <c r="G73" s="134" t="str">
        <f>IF(G$67&lt;&gt;"", SUMIFS(Historias!$H$6:$H$137,Historias!$F$6:$F$137,$B73,Historias!$A$6:$A$137,G$67), "")</f>
        <v/>
      </c>
      <c r="H73" s="134" t="str">
        <f>IF(H$67&lt;&gt;"", SUMIFS(Historias!$H$6:$H$137,Historias!$F$6:$F$137,$B73,Historias!$A$6:$A$137,H$67), "")</f>
        <v/>
      </c>
      <c r="I73" s="83"/>
      <c r="J73" s="91"/>
      <c r="K73" s="135">
        <f t="shared" si="187"/>
        <v>44853</v>
      </c>
      <c r="L73" s="136">
        <f>IF(AND($K73&lt;=TODAY(),L$67&lt;&gt;""),L72+SUMIFS(Historias!$H$6:$H$135,Historias!$F$6:$F$135,$K73,Historias!$A$6:$A$135,L$67),"")</f>
        <v>10.5</v>
      </c>
      <c r="M73" s="136">
        <f>IF(AND($K73&lt;=TODAY(),M$67&lt;&gt;""),M72+SUMIFS(Historias!$H$6:$H$135,Historias!$F$6:$F$135,$K73,Historias!$A$6:$A$135,M$67),"")</f>
        <v>9</v>
      </c>
      <c r="N73" s="136">
        <f>IF(AND($K73&lt;=TODAY(),N$67&lt;&gt;""),N72+SUMIFS(Historias!$H$6:$H$135,Historias!$F$6:$F$135,$K73,Historias!$A$6:$A$135,N$67),"")</f>
        <v>12</v>
      </c>
      <c r="O73" s="136">
        <f>IF(AND($K73&lt;=TODAY(),O$67&lt;&gt;""),O72+SUMIFS(Historias!$H$6:$H$135,Historias!$F$6:$F$135,$K73,Historias!$A$6:$A$135,O$67),"")</f>
        <v>2.5</v>
      </c>
      <c r="P73" s="136" t="str">
        <f>IF(AND($K73&lt;=TODAY(),P$67&lt;&gt;""),P72+SUMIFS(Historias!$H$6:$H$135,Historias!$F$6:$F$135,$K73,Historias!$A$6:$A$135,P$67),"")</f>
        <v/>
      </c>
      <c r="Q73" s="136" t="str">
        <f>IF(AND($K73&lt;=TODAY(),Q$67&lt;&gt;""),Q72+SUMIFS(Historias!$H$6:$H$135,Historias!$F$6:$F$135,$K73,Historias!$A$6:$A$135,Q$67),"")</f>
        <v/>
      </c>
      <c r="R73" s="137">
        <f t="shared" si="188"/>
        <v>44853</v>
      </c>
      <c r="S73" s="109">
        <f t="shared" ref="S73:X73" si="198">IF($K73&lt;&gt;"", IF(max($C73:$H73)&gt;0,IF(L73 = max($L73:$Q73), 1 , 0), S72), "")</f>
        <v>0</v>
      </c>
      <c r="T73" s="109">
        <f t="shared" si="198"/>
        <v>0</v>
      </c>
      <c r="U73" s="109">
        <f t="shared" si="198"/>
        <v>1</v>
      </c>
      <c r="V73" s="109">
        <f t="shared" si="198"/>
        <v>0</v>
      </c>
      <c r="W73" s="109">
        <f t="shared" si="198"/>
        <v>0</v>
      </c>
      <c r="X73" s="109">
        <f t="shared" si="198"/>
        <v>0</v>
      </c>
      <c r="Y73" s="137">
        <f t="shared" si="190"/>
        <v>44853</v>
      </c>
      <c r="Z73" s="94">
        <f t="shared" ref="Z73:AE73" si="199">IF($K73&lt;&gt;"", IF(L73 = max($L73:$Q73), (L73-AVERAGE($L73:$Q73)) , 0), 0)</f>
        <v>0</v>
      </c>
      <c r="AA73" s="94">
        <f t="shared" si="199"/>
        <v>0</v>
      </c>
      <c r="AB73" s="94">
        <f t="shared" si="199"/>
        <v>3.5</v>
      </c>
      <c r="AC73" s="94">
        <f t="shared" si="199"/>
        <v>0</v>
      </c>
      <c r="AD73" s="94">
        <f t="shared" si="199"/>
        <v>0</v>
      </c>
      <c r="AE73" s="94">
        <f t="shared" si="199"/>
        <v>0</v>
      </c>
      <c r="AF73" s="97"/>
      <c r="AG73" s="97"/>
      <c r="AH73" s="97"/>
      <c r="AI73" s="97"/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  <c r="AU73" s="97"/>
    </row>
    <row r="74">
      <c r="A74" s="91"/>
      <c r="B74" s="138">
        <f>Resumen!B9</f>
        <v>44854</v>
      </c>
      <c r="C74" s="134">
        <f>IF(C$67&lt;&gt;"", SUMIFS(Historias!$H$6:$H$137,Historias!$F$6:$F$137,$B74,Historias!$A$6:$A$137,C$67), "")</f>
        <v>0</v>
      </c>
      <c r="D74" s="134">
        <f>IF(D$67&lt;&gt;"", SUMIFS(Historias!$H$6:$H$137,Historias!$F$6:$F$137,$B74,Historias!$A$6:$A$137,D$67), "")</f>
        <v>0</v>
      </c>
      <c r="E74" s="134">
        <f>IF(E$67&lt;&gt;"", SUMIFS(Historias!$H$6:$H$137,Historias!$F$6:$F$137,$B74,Historias!$A$6:$A$137,E$67), "")</f>
        <v>0</v>
      </c>
      <c r="F74" s="134">
        <f>IF(F$67&lt;&gt;"", SUMIFS(Historias!$H$6:$H$137,Historias!$F$6:$F$137,$B74,Historias!$A$6:$A$137,F$67), "")</f>
        <v>0</v>
      </c>
      <c r="G74" s="134" t="str">
        <f>IF(G$67&lt;&gt;"", SUMIFS(Historias!$H$6:$H$137,Historias!$F$6:$F$137,$B74,Historias!$A$6:$A$137,G$67), "")</f>
        <v/>
      </c>
      <c r="H74" s="134" t="str">
        <f>IF(H$67&lt;&gt;"", SUMIFS(Historias!$H$6:$H$137,Historias!$F$6:$F$137,$B74,Historias!$A$6:$A$137,H$67), "")</f>
        <v/>
      </c>
      <c r="I74" s="83"/>
      <c r="J74" s="91"/>
      <c r="K74" s="135">
        <f t="shared" si="187"/>
        <v>44854</v>
      </c>
      <c r="L74" s="136">
        <f>IF(AND($K74&lt;=TODAY(),L$67&lt;&gt;""),L73+SUMIFS(Historias!$H$6:$H$135,Historias!$F$6:$F$135,$K74,Historias!$A$6:$A$135,L$67),"")</f>
        <v>10.5</v>
      </c>
      <c r="M74" s="136">
        <f>IF(AND($K74&lt;=TODAY(),M$67&lt;&gt;""),M73+SUMIFS(Historias!$H$6:$H$135,Historias!$F$6:$F$135,$K74,Historias!$A$6:$A$135,M$67),"")</f>
        <v>9</v>
      </c>
      <c r="N74" s="136">
        <f>IF(AND($K74&lt;=TODAY(),N$67&lt;&gt;""),N73+SUMIFS(Historias!$H$6:$H$135,Historias!$F$6:$F$135,$K74,Historias!$A$6:$A$135,N$67),"")</f>
        <v>12</v>
      </c>
      <c r="O74" s="136">
        <f>IF(AND($K74&lt;=TODAY(),O$67&lt;&gt;""),O73+SUMIFS(Historias!$H$6:$H$135,Historias!$F$6:$F$135,$K74,Historias!$A$6:$A$135,O$67),"")</f>
        <v>2.5</v>
      </c>
      <c r="P74" s="136" t="str">
        <f>IF(AND($K74&lt;=TODAY(),P$67&lt;&gt;""),P73+SUMIFS(Historias!$H$6:$H$135,Historias!$F$6:$F$135,$K74,Historias!$A$6:$A$135,P$67),"")</f>
        <v/>
      </c>
      <c r="Q74" s="136" t="str">
        <f>IF(AND($K74&lt;=TODAY(),Q$67&lt;&gt;""),Q73+SUMIFS(Historias!$H$6:$H$135,Historias!$F$6:$F$135,$K74,Historias!$A$6:$A$135,Q$67),"")</f>
        <v/>
      </c>
      <c r="R74" s="137">
        <f t="shared" si="188"/>
        <v>44854</v>
      </c>
      <c r="S74" s="109">
        <f t="shared" ref="S74:X74" si="200">IF($K74&lt;&gt;"", IF(max($C74:$H74)&gt;0,IF(L74 = max($L74:$Q74), 1 , 0), S73), "")</f>
        <v>0</v>
      </c>
      <c r="T74" s="109">
        <f t="shared" si="200"/>
        <v>0</v>
      </c>
      <c r="U74" s="109">
        <f t="shared" si="200"/>
        <v>1</v>
      </c>
      <c r="V74" s="109">
        <f t="shared" si="200"/>
        <v>0</v>
      </c>
      <c r="W74" s="109">
        <f t="shared" si="200"/>
        <v>0</v>
      </c>
      <c r="X74" s="109">
        <f t="shared" si="200"/>
        <v>0</v>
      </c>
      <c r="Y74" s="137">
        <f t="shared" si="190"/>
        <v>44854</v>
      </c>
      <c r="Z74" s="94">
        <f t="shared" ref="Z74:AE74" si="201">IF($K74&lt;&gt;"", IF(L74 = max($L74:$Q74), (L74-AVERAGE($L74:$Q74)) , 0), 0)</f>
        <v>0</v>
      </c>
      <c r="AA74" s="94">
        <f t="shared" si="201"/>
        <v>0</v>
      </c>
      <c r="AB74" s="94">
        <f t="shared" si="201"/>
        <v>3.5</v>
      </c>
      <c r="AC74" s="94">
        <f t="shared" si="201"/>
        <v>0</v>
      </c>
      <c r="AD74" s="94">
        <f t="shared" si="201"/>
        <v>0</v>
      </c>
      <c r="AE74" s="94">
        <f t="shared" si="201"/>
        <v>0</v>
      </c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</row>
    <row r="75">
      <c r="A75" s="91"/>
      <c r="B75" s="138">
        <f>Resumen!B10</f>
        <v>44855</v>
      </c>
      <c r="C75" s="134">
        <f>IF(C$67&lt;&gt;"", SUMIFS(Historias!$H$6:$H$137,Historias!$F$6:$F$137,$B75,Historias!$A$6:$A$137,C$67), "")</f>
        <v>0</v>
      </c>
      <c r="D75" s="134">
        <f>IF(D$67&lt;&gt;"", SUMIFS(Historias!$H$6:$H$137,Historias!$F$6:$F$137,$B75,Historias!$A$6:$A$137,D$67), "")</f>
        <v>0</v>
      </c>
      <c r="E75" s="134">
        <f>IF(E$67&lt;&gt;"", SUMIFS(Historias!$H$6:$H$137,Historias!$F$6:$F$137,$B75,Historias!$A$6:$A$137,E$67), "")</f>
        <v>0</v>
      </c>
      <c r="F75" s="134">
        <f>IF(F$67&lt;&gt;"", SUMIFS(Historias!$H$6:$H$137,Historias!$F$6:$F$137,$B75,Historias!$A$6:$A$137,F$67), "")</f>
        <v>0</v>
      </c>
      <c r="G75" s="134" t="str">
        <f>IF(G$67&lt;&gt;"", SUMIFS(Historias!$H$6:$H$137,Historias!$F$6:$F$137,$B75,Historias!$A$6:$A$137,G$67), "")</f>
        <v/>
      </c>
      <c r="H75" s="134" t="str">
        <f>IF(H$67&lt;&gt;"", SUMIFS(Historias!$H$6:$H$137,Historias!$F$6:$F$137,$B75,Historias!$A$6:$A$137,H$67), "")</f>
        <v/>
      </c>
      <c r="I75" s="83"/>
      <c r="J75" s="91"/>
      <c r="K75" s="135">
        <f t="shared" si="187"/>
        <v>44855</v>
      </c>
      <c r="L75" s="136">
        <f>IF(AND($K75&lt;=TODAY(),L$67&lt;&gt;""),L74+SUMIFS(Historias!$H$6:$H$135,Historias!$F$6:$F$135,$K75,Historias!$A$6:$A$135,L$67),"")</f>
        <v>10.5</v>
      </c>
      <c r="M75" s="136">
        <f>IF(AND($K75&lt;=TODAY(),M$67&lt;&gt;""),M74+SUMIFS(Historias!$H$6:$H$135,Historias!$F$6:$F$135,$K75,Historias!$A$6:$A$135,M$67),"")</f>
        <v>9</v>
      </c>
      <c r="N75" s="136">
        <f>IF(AND($K75&lt;=TODAY(),N$67&lt;&gt;""),N74+SUMIFS(Historias!$H$6:$H$135,Historias!$F$6:$F$135,$K75,Historias!$A$6:$A$135,N$67),"")</f>
        <v>12</v>
      </c>
      <c r="O75" s="136">
        <f>IF(AND($K75&lt;=TODAY(),O$67&lt;&gt;""),O74+SUMIFS(Historias!$H$6:$H$135,Historias!$F$6:$F$135,$K75,Historias!$A$6:$A$135,O$67),"")</f>
        <v>2.5</v>
      </c>
      <c r="P75" s="136" t="str">
        <f>IF(AND($K75&lt;=TODAY(),P$67&lt;&gt;""),P74+SUMIFS(Historias!$H$6:$H$135,Historias!$F$6:$F$135,$K75,Historias!$A$6:$A$135,P$67),"")</f>
        <v/>
      </c>
      <c r="Q75" s="136" t="str">
        <f>IF(AND($K75&lt;=TODAY(),Q$67&lt;&gt;""),Q74+SUMIFS(Historias!$H$6:$H$135,Historias!$F$6:$F$135,$K75,Historias!$A$6:$A$135,Q$67),"")</f>
        <v/>
      </c>
      <c r="R75" s="137">
        <f t="shared" si="188"/>
        <v>44855</v>
      </c>
      <c r="S75" s="109">
        <f t="shared" ref="S75:X75" si="202">IF($K75&lt;&gt;"", IF(max($C75:$H75)&gt;0,IF(L75 = max($L75:$Q75), 1 , 0), S74), "")</f>
        <v>0</v>
      </c>
      <c r="T75" s="109">
        <f t="shared" si="202"/>
        <v>0</v>
      </c>
      <c r="U75" s="109">
        <f t="shared" si="202"/>
        <v>1</v>
      </c>
      <c r="V75" s="109">
        <f t="shared" si="202"/>
        <v>0</v>
      </c>
      <c r="W75" s="109">
        <f t="shared" si="202"/>
        <v>0</v>
      </c>
      <c r="X75" s="109">
        <f t="shared" si="202"/>
        <v>0</v>
      </c>
      <c r="Y75" s="137">
        <f t="shared" si="190"/>
        <v>44855</v>
      </c>
      <c r="Z75" s="94">
        <f t="shared" ref="Z75:AE75" si="203">IF($K75&lt;&gt;"", IF(L75 = max($L75:$Q75), (L75-AVERAGE($L75:$Q75)) , 0), 0)</f>
        <v>0</v>
      </c>
      <c r="AA75" s="94">
        <f t="shared" si="203"/>
        <v>0</v>
      </c>
      <c r="AB75" s="94">
        <f t="shared" si="203"/>
        <v>3.5</v>
      </c>
      <c r="AC75" s="94">
        <f t="shared" si="203"/>
        <v>0</v>
      </c>
      <c r="AD75" s="94">
        <f t="shared" si="203"/>
        <v>0</v>
      </c>
      <c r="AE75" s="94">
        <f t="shared" si="203"/>
        <v>0</v>
      </c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</row>
    <row r="76">
      <c r="A76" s="91"/>
      <c r="B76" s="138">
        <f>Resumen!B11</f>
        <v>44856</v>
      </c>
      <c r="C76" s="134">
        <f>IF(C$67&lt;&gt;"", SUMIFS(Historias!$H$6:$H$137,Historias!$F$6:$F$137,$B76,Historias!$A$6:$A$137,C$67), "")</f>
        <v>0</v>
      </c>
      <c r="D76" s="134">
        <f>IF(D$67&lt;&gt;"", SUMIFS(Historias!$H$6:$H$137,Historias!$F$6:$F$137,$B76,Historias!$A$6:$A$137,D$67), "")</f>
        <v>0</v>
      </c>
      <c r="E76" s="134">
        <f>IF(E$67&lt;&gt;"", SUMIFS(Historias!$H$6:$H$137,Historias!$F$6:$F$137,$B76,Historias!$A$6:$A$137,E$67), "")</f>
        <v>0</v>
      </c>
      <c r="F76" s="134">
        <f>IF(F$67&lt;&gt;"", SUMIFS(Historias!$H$6:$H$137,Historias!$F$6:$F$137,$B76,Historias!$A$6:$A$137,F$67), "")</f>
        <v>0</v>
      </c>
      <c r="G76" s="134" t="str">
        <f>IF(G$67&lt;&gt;"", SUMIFS(Historias!$H$6:$H$137,Historias!$F$6:$F$137,$B76,Historias!$A$6:$A$137,G$67), "")</f>
        <v/>
      </c>
      <c r="H76" s="134" t="str">
        <f>IF(H$67&lt;&gt;"", SUMIFS(Historias!$H$6:$H$137,Historias!$F$6:$F$137,$B76,Historias!$A$6:$A$137,H$67), "")</f>
        <v/>
      </c>
      <c r="I76" s="83"/>
      <c r="J76" s="91"/>
      <c r="K76" s="135">
        <f t="shared" si="187"/>
        <v>44856</v>
      </c>
      <c r="L76" s="136">
        <f>IF(AND($K76&lt;=TODAY(),L$67&lt;&gt;""),L75+SUMIFS(Historias!$H$6:$H$135,Historias!$F$6:$F$135,$K76,Historias!$A$6:$A$135,L$67),"")</f>
        <v>10.5</v>
      </c>
      <c r="M76" s="136">
        <f>IF(AND($K76&lt;=TODAY(),M$67&lt;&gt;""),M75+SUMIFS(Historias!$H$6:$H$135,Historias!$F$6:$F$135,$K76,Historias!$A$6:$A$135,M$67),"")</f>
        <v>9</v>
      </c>
      <c r="N76" s="136">
        <f>IF(AND($K76&lt;=TODAY(),N$67&lt;&gt;""),N75+SUMIFS(Historias!$H$6:$H$135,Historias!$F$6:$F$135,$K76,Historias!$A$6:$A$135,N$67),"")</f>
        <v>12</v>
      </c>
      <c r="O76" s="136">
        <f>IF(AND($K76&lt;=TODAY(),O$67&lt;&gt;""),O75+SUMIFS(Historias!$H$6:$H$135,Historias!$F$6:$F$135,$K76,Historias!$A$6:$A$135,O$67),"")</f>
        <v>2.5</v>
      </c>
      <c r="P76" s="136" t="str">
        <f>IF(AND($K76&lt;=TODAY(),P$67&lt;&gt;""),P75+SUMIFS(Historias!$H$6:$H$135,Historias!$F$6:$F$135,$K76,Historias!$A$6:$A$135,P$67),"")</f>
        <v/>
      </c>
      <c r="Q76" s="136" t="str">
        <f>IF(AND($K76&lt;=TODAY(),Q$67&lt;&gt;""),Q75+SUMIFS(Historias!$H$6:$H$135,Historias!$F$6:$F$135,$K76,Historias!$A$6:$A$135,Q$67),"")</f>
        <v/>
      </c>
      <c r="R76" s="137">
        <f t="shared" si="188"/>
        <v>44856</v>
      </c>
      <c r="S76" s="109">
        <f t="shared" ref="S76:X76" si="204">IF($K76&lt;&gt;"", IF(max($C76:$H76)&gt;0,IF(L76 = max($L76:$Q76), 1 , 0), S75), "")</f>
        <v>0</v>
      </c>
      <c r="T76" s="109">
        <f t="shared" si="204"/>
        <v>0</v>
      </c>
      <c r="U76" s="109">
        <f t="shared" si="204"/>
        <v>1</v>
      </c>
      <c r="V76" s="109">
        <f t="shared" si="204"/>
        <v>0</v>
      </c>
      <c r="W76" s="109">
        <f t="shared" si="204"/>
        <v>0</v>
      </c>
      <c r="X76" s="109">
        <f t="shared" si="204"/>
        <v>0</v>
      </c>
      <c r="Y76" s="137">
        <f t="shared" si="190"/>
        <v>44856</v>
      </c>
      <c r="Z76" s="94">
        <f t="shared" ref="Z76:AE76" si="205">IF($K76&lt;&gt;"", IF(L76 = max($L76:$Q76), (L76-AVERAGE($L76:$Q76)) , 0), 0)</f>
        <v>0</v>
      </c>
      <c r="AA76" s="94">
        <f t="shared" si="205"/>
        <v>0</v>
      </c>
      <c r="AB76" s="94">
        <f t="shared" si="205"/>
        <v>3.5</v>
      </c>
      <c r="AC76" s="94">
        <f t="shared" si="205"/>
        <v>0</v>
      </c>
      <c r="AD76" s="94">
        <f t="shared" si="205"/>
        <v>0</v>
      </c>
      <c r="AE76" s="94">
        <f t="shared" si="205"/>
        <v>0</v>
      </c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</row>
    <row r="77">
      <c r="A77" s="91"/>
      <c r="B77" s="138">
        <f>Resumen!B12</f>
        <v>44857</v>
      </c>
      <c r="C77" s="134">
        <f>IF(C$67&lt;&gt;"", SUMIFS(Historias!$H$6:$H$137,Historias!$F$6:$F$137,$B77,Historias!$A$6:$A$137,C$67), "")</f>
        <v>0</v>
      </c>
      <c r="D77" s="134">
        <f>IF(D$67&lt;&gt;"", SUMIFS(Historias!$H$6:$H$137,Historias!$F$6:$F$137,$B77,Historias!$A$6:$A$137,D$67), "")</f>
        <v>0</v>
      </c>
      <c r="E77" s="134">
        <f>IF(E$67&lt;&gt;"", SUMIFS(Historias!$H$6:$H$137,Historias!$F$6:$F$137,$B77,Historias!$A$6:$A$137,E$67), "")</f>
        <v>0</v>
      </c>
      <c r="F77" s="134">
        <f>IF(F$67&lt;&gt;"", SUMIFS(Historias!$H$6:$H$137,Historias!$F$6:$F$137,$B77,Historias!$A$6:$A$137,F$67), "")</f>
        <v>0</v>
      </c>
      <c r="G77" s="134" t="str">
        <f>IF(G$67&lt;&gt;"", SUMIFS(Historias!$H$6:$H$137,Historias!$F$6:$F$137,$B77,Historias!$A$6:$A$137,G$67), "")</f>
        <v/>
      </c>
      <c r="H77" s="134" t="str">
        <f>IF(H$67&lt;&gt;"", SUMIFS(Historias!$H$6:$H$137,Historias!$F$6:$F$137,$B77,Historias!$A$6:$A$137,H$67), "")</f>
        <v/>
      </c>
      <c r="I77" s="83"/>
      <c r="J77" s="91"/>
      <c r="K77" s="135">
        <f t="shared" si="187"/>
        <v>44857</v>
      </c>
      <c r="L77" s="136">
        <f>IF(AND($K77&lt;=TODAY(),L$67&lt;&gt;""),L76+SUMIFS(Historias!$H$6:$H$135,Historias!$F$6:$F$135,$K77,Historias!$A$6:$A$135,L$67),"")</f>
        <v>10.5</v>
      </c>
      <c r="M77" s="136">
        <f>IF(AND($K77&lt;=TODAY(),M$67&lt;&gt;""),M76+SUMIFS(Historias!$H$6:$H$135,Historias!$F$6:$F$135,$K77,Historias!$A$6:$A$135,M$67),"")</f>
        <v>9</v>
      </c>
      <c r="N77" s="136">
        <f>IF(AND($K77&lt;=TODAY(),N$67&lt;&gt;""),N76+SUMIFS(Historias!$H$6:$H$135,Historias!$F$6:$F$135,$K77,Historias!$A$6:$A$135,N$67),"")</f>
        <v>12</v>
      </c>
      <c r="O77" s="136">
        <f>IF(AND($K77&lt;=TODAY(),O$67&lt;&gt;""),O76+SUMIFS(Historias!$H$6:$H$135,Historias!$F$6:$F$135,$K77,Historias!$A$6:$A$135,O$67),"")</f>
        <v>2.5</v>
      </c>
      <c r="P77" s="136" t="str">
        <f>IF(AND($K77&lt;=TODAY(),P$67&lt;&gt;""),P76+SUMIFS(Historias!$H$6:$H$135,Historias!$F$6:$F$135,$K77,Historias!$A$6:$A$135,P$67),"")</f>
        <v/>
      </c>
      <c r="Q77" s="136" t="str">
        <f>IF(AND($K77&lt;=TODAY(),Q$67&lt;&gt;""),Q76+SUMIFS(Historias!$H$6:$H$135,Historias!$F$6:$F$135,$K77,Historias!$A$6:$A$135,Q$67),"")</f>
        <v/>
      </c>
      <c r="R77" s="137">
        <f t="shared" si="188"/>
        <v>44857</v>
      </c>
      <c r="S77" s="109">
        <f t="shared" ref="S77:X77" si="206">IF($K77&lt;&gt;"", IF(max($C77:$H77)&gt;0,IF(L77 = max($L77:$Q77), 1 , 0), S76), "")</f>
        <v>0</v>
      </c>
      <c r="T77" s="109">
        <f t="shared" si="206"/>
        <v>0</v>
      </c>
      <c r="U77" s="109">
        <f t="shared" si="206"/>
        <v>1</v>
      </c>
      <c r="V77" s="109">
        <f t="shared" si="206"/>
        <v>0</v>
      </c>
      <c r="W77" s="109">
        <f t="shared" si="206"/>
        <v>0</v>
      </c>
      <c r="X77" s="109">
        <f t="shared" si="206"/>
        <v>0</v>
      </c>
      <c r="Y77" s="137">
        <f t="shared" si="190"/>
        <v>44857</v>
      </c>
      <c r="Z77" s="94">
        <f t="shared" ref="Z77:AE77" si="207">IF($K77&lt;&gt;"", IF(L77 = max($L77:$Q77), (L77-AVERAGE($L77:$Q77)) , 0), 0)</f>
        <v>0</v>
      </c>
      <c r="AA77" s="94">
        <f t="shared" si="207"/>
        <v>0</v>
      </c>
      <c r="AB77" s="94">
        <f t="shared" si="207"/>
        <v>3.5</v>
      </c>
      <c r="AC77" s="94">
        <f t="shared" si="207"/>
        <v>0</v>
      </c>
      <c r="AD77" s="94">
        <f t="shared" si="207"/>
        <v>0</v>
      </c>
      <c r="AE77" s="94">
        <f t="shared" si="207"/>
        <v>0</v>
      </c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</row>
    <row r="78">
      <c r="A78" s="91"/>
      <c r="B78" s="138">
        <f>Resumen!B13</f>
        <v>44858</v>
      </c>
      <c r="C78" s="134">
        <f>IF(C$67&lt;&gt;"", SUMIFS(Historias!$H$6:$H$137,Historias!$F$6:$F$137,$B78,Historias!$A$6:$A$137,C$67), "")</f>
        <v>0</v>
      </c>
      <c r="D78" s="134">
        <f>IF(D$67&lt;&gt;"", SUMIFS(Historias!$H$6:$H$137,Historias!$F$6:$F$137,$B78,Historias!$A$6:$A$137,D$67), "")</f>
        <v>0</v>
      </c>
      <c r="E78" s="134">
        <f>IF(E$67&lt;&gt;"", SUMIFS(Historias!$H$6:$H$137,Historias!$F$6:$F$137,$B78,Historias!$A$6:$A$137,E$67), "")</f>
        <v>0</v>
      </c>
      <c r="F78" s="134">
        <f>IF(F$67&lt;&gt;"", SUMIFS(Historias!$H$6:$H$137,Historias!$F$6:$F$137,$B78,Historias!$A$6:$A$137,F$67), "")</f>
        <v>5.5</v>
      </c>
      <c r="G78" s="134" t="str">
        <f>IF(G$67&lt;&gt;"", SUMIFS(Historias!$H$6:$H$137,Historias!$F$6:$F$137,$B78,Historias!$A$6:$A$137,G$67), "")</f>
        <v/>
      </c>
      <c r="H78" s="134" t="str">
        <f>IF(H$67&lt;&gt;"", SUMIFS(Historias!$H$6:$H$137,Historias!$F$6:$F$137,$B78,Historias!$A$6:$A$137,H$67), "")</f>
        <v/>
      </c>
      <c r="I78" s="83"/>
      <c r="J78" s="91"/>
      <c r="K78" s="135">
        <f t="shared" si="187"/>
        <v>44858</v>
      </c>
      <c r="L78" s="136">
        <f>IF(AND($K78&lt;=TODAY(),L$67&lt;&gt;""),L77+SUMIFS(Historias!$H$6:$H$135,Historias!$F$6:$F$135,$K78,Historias!$A$6:$A$135,L$67),"")</f>
        <v>10.5</v>
      </c>
      <c r="M78" s="136">
        <f>IF(AND($K78&lt;=TODAY(),M$67&lt;&gt;""),M77+SUMIFS(Historias!$H$6:$H$135,Historias!$F$6:$F$135,$K78,Historias!$A$6:$A$135,M$67),"")</f>
        <v>9</v>
      </c>
      <c r="N78" s="136">
        <f>IF(AND($K78&lt;=TODAY(),N$67&lt;&gt;""),N77+SUMIFS(Historias!$H$6:$H$135,Historias!$F$6:$F$135,$K78,Historias!$A$6:$A$135,N$67),"")</f>
        <v>12</v>
      </c>
      <c r="O78" s="136">
        <f>IF(AND($K78&lt;=TODAY(),O$67&lt;&gt;""),O77+SUMIFS(Historias!$H$6:$H$135,Historias!$F$6:$F$135,$K78,Historias!$A$6:$A$135,O$67),"")</f>
        <v>8</v>
      </c>
      <c r="P78" s="136" t="str">
        <f>IF(AND($K78&lt;=TODAY(),P$67&lt;&gt;""),P77+SUMIFS(Historias!$H$6:$H$135,Historias!$F$6:$F$135,$K78,Historias!$A$6:$A$135,P$67),"")</f>
        <v/>
      </c>
      <c r="Q78" s="136" t="str">
        <f>IF(AND($K78&lt;=TODAY(),Q$67&lt;&gt;""),Q77+SUMIFS(Historias!$H$6:$H$135,Historias!$F$6:$F$135,$K78,Historias!$A$6:$A$135,Q$67),"")</f>
        <v/>
      </c>
      <c r="R78" s="137">
        <f t="shared" si="188"/>
        <v>44858</v>
      </c>
      <c r="S78" s="109">
        <f t="shared" ref="S78:X78" si="208">IF($K78&lt;&gt;"", IF(max($C78:$H78)&gt;0,IF(L78 = max($L78:$Q78), 1 , 0), S77), "")</f>
        <v>0</v>
      </c>
      <c r="T78" s="109">
        <f t="shared" si="208"/>
        <v>0</v>
      </c>
      <c r="U78" s="109">
        <f t="shared" si="208"/>
        <v>1</v>
      </c>
      <c r="V78" s="109">
        <f t="shared" si="208"/>
        <v>0</v>
      </c>
      <c r="W78" s="109">
        <f t="shared" si="208"/>
        <v>0</v>
      </c>
      <c r="X78" s="109">
        <f t="shared" si="208"/>
        <v>0</v>
      </c>
      <c r="Y78" s="137">
        <f t="shared" si="190"/>
        <v>44858</v>
      </c>
      <c r="Z78" s="94">
        <f t="shared" ref="Z78:AE78" si="209">IF($K78&lt;&gt;"", IF(L78 = max($L78:$Q78), (L78-AVERAGE($L78:$Q78)) , 0), 0)</f>
        <v>0</v>
      </c>
      <c r="AA78" s="94">
        <f t="shared" si="209"/>
        <v>0</v>
      </c>
      <c r="AB78" s="94">
        <f t="shared" si="209"/>
        <v>2.125</v>
      </c>
      <c r="AC78" s="94">
        <f t="shared" si="209"/>
        <v>0</v>
      </c>
      <c r="AD78" s="94">
        <f t="shared" si="209"/>
        <v>0</v>
      </c>
      <c r="AE78" s="94">
        <f t="shared" si="209"/>
        <v>0</v>
      </c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</row>
    <row r="79">
      <c r="A79" s="91"/>
      <c r="B79" s="138">
        <f>Resumen!B14</f>
        <v>44859</v>
      </c>
      <c r="C79" s="134">
        <f>IF(C$67&lt;&gt;"", SUMIFS(Historias!$H$6:$H$137,Historias!$F$6:$F$137,$B79,Historias!$A$6:$A$137,C$67), "")</f>
        <v>0</v>
      </c>
      <c r="D79" s="134">
        <f>IF(D$67&lt;&gt;"", SUMIFS(Historias!$H$6:$H$137,Historias!$F$6:$F$137,$B79,Historias!$A$6:$A$137,D$67), "")</f>
        <v>0</v>
      </c>
      <c r="E79" s="134">
        <f>IF(E$67&lt;&gt;"", SUMIFS(Historias!$H$6:$H$137,Historias!$F$6:$F$137,$B79,Historias!$A$6:$A$137,E$67), "")</f>
        <v>0</v>
      </c>
      <c r="F79" s="134">
        <f>IF(F$67&lt;&gt;"", SUMIFS(Historias!$H$6:$H$137,Historias!$F$6:$F$137,$B79,Historias!$A$6:$A$137,F$67), "")</f>
        <v>0</v>
      </c>
      <c r="G79" s="134" t="str">
        <f>IF(G$67&lt;&gt;"", SUMIFS(Historias!$H$6:$H$137,Historias!$F$6:$F$137,$B79,Historias!$A$6:$A$137,G$67), "")</f>
        <v/>
      </c>
      <c r="H79" s="134" t="str">
        <f>IF(H$67&lt;&gt;"", SUMIFS(Historias!$H$6:$H$137,Historias!$F$6:$F$137,$B79,Historias!$A$6:$A$137,H$67), "")</f>
        <v/>
      </c>
      <c r="I79" s="83"/>
      <c r="J79" s="91"/>
      <c r="K79" s="135">
        <f t="shared" si="187"/>
        <v>44859</v>
      </c>
      <c r="L79" s="136">
        <f>IF(AND($K79&lt;=TODAY(),L$67&lt;&gt;""),L78+SUMIFS(Historias!$H$6:$H$135,Historias!$F$6:$F$135,$K79,Historias!$A$6:$A$135,L$67),"")</f>
        <v>10.5</v>
      </c>
      <c r="M79" s="136">
        <f>IF(AND($K79&lt;=TODAY(),M$67&lt;&gt;""),M78+SUMIFS(Historias!$H$6:$H$135,Historias!$F$6:$F$135,$K79,Historias!$A$6:$A$135,M$67),"")</f>
        <v>9</v>
      </c>
      <c r="N79" s="136">
        <f>IF(AND($K79&lt;=TODAY(),N$67&lt;&gt;""),N78+SUMIFS(Historias!$H$6:$H$135,Historias!$F$6:$F$135,$K79,Historias!$A$6:$A$135,N$67),"")</f>
        <v>12</v>
      </c>
      <c r="O79" s="136">
        <f>IF(AND($K79&lt;=TODAY(),O$67&lt;&gt;""),O78+SUMIFS(Historias!$H$6:$H$135,Historias!$F$6:$F$135,$K79,Historias!$A$6:$A$135,O$67),"")</f>
        <v>8</v>
      </c>
      <c r="P79" s="136" t="str">
        <f>IF(AND($K79&lt;=TODAY(),P$67&lt;&gt;""),P78+SUMIFS(Historias!$H$6:$H$135,Historias!$F$6:$F$135,$K79,Historias!$A$6:$A$135,P$67),"")</f>
        <v/>
      </c>
      <c r="Q79" s="136" t="str">
        <f>IF(AND($K79&lt;=TODAY(),Q$67&lt;&gt;""),Q78+SUMIFS(Historias!$H$6:$H$135,Historias!$F$6:$F$135,$K79,Historias!$A$6:$A$135,Q$67),"")</f>
        <v/>
      </c>
      <c r="R79" s="137">
        <f t="shared" si="188"/>
        <v>44859</v>
      </c>
      <c r="S79" s="109">
        <f t="shared" ref="S79:X79" si="210">IF($K79&lt;&gt;"", IF(max($C79:$H79)&gt;0,IF(L79 = max($L79:$Q79), 1 , 0), S78), "")</f>
        <v>0</v>
      </c>
      <c r="T79" s="109">
        <f t="shared" si="210"/>
        <v>0</v>
      </c>
      <c r="U79" s="109">
        <f t="shared" si="210"/>
        <v>1</v>
      </c>
      <c r="V79" s="109">
        <f t="shared" si="210"/>
        <v>0</v>
      </c>
      <c r="W79" s="109">
        <f t="shared" si="210"/>
        <v>0</v>
      </c>
      <c r="X79" s="109">
        <f t="shared" si="210"/>
        <v>0</v>
      </c>
      <c r="Y79" s="137">
        <f t="shared" si="190"/>
        <v>44859</v>
      </c>
      <c r="Z79" s="94">
        <f t="shared" ref="Z79:AE79" si="211">IF($K79&lt;&gt;"", IF(L79 = max($L79:$Q79), (L79-AVERAGE($L79:$Q79)) , 0), 0)</f>
        <v>0</v>
      </c>
      <c r="AA79" s="94">
        <f t="shared" si="211"/>
        <v>0</v>
      </c>
      <c r="AB79" s="94">
        <f t="shared" si="211"/>
        <v>2.125</v>
      </c>
      <c r="AC79" s="94">
        <f t="shared" si="211"/>
        <v>0</v>
      </c>
      <c r="AD79" s="94">
        <f t="shared" si="211"/>
        <v>0</v>
      </c>
      <c r="AE79" s="94">
        <f t="shared" si="211"/>
        <v>0</v>
      </c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</row>
    <row r="80">
      <c r="A80" s="91"/>
      <c r="B80" s="138">
        <f>Resumen!B15</f>
        <v>44860</v>
      </c>
      <c r="C80" s="134">
        <f>IF(C$67&lt;&gt;"", SUMIFS(Historias!$H$6:$H$137,Historias!$F$6:$F$137,$B80,Historias!$A$6:$A$137,C$67), "")</f>
        <v>0</v>
      </c>
      <c r="D80" s="134">
        <f>IF(D$67&lt;&gt;"", SUMIFS(Historias!$H$6:$H$137,Historias!$F$6:$F$137,$B80,Historias!$A$6:$A$137,D$67), "")</f>
        <v>0</v>
      </c>
      <c r="E80" s="134">
        <f>IF(E$67&lt;&gt;"", SUMIFS(Historias!$H$6:$H$137,Historias!$F$6:$F$137,$B80,Historias!$A$6:$A$137,E$67), "")</f>
        <v>0</v>
      </c>
      <c r="F80" s="134">
        <f>IF(F$67&lt;&gt;"", SUMIFS(Historias!$H$6:$H$137,Historias!$F$6:$F$137,$B80,Historias!$A$6:$A$137,F$67), "")</f>
        <v>0</v>
      </c>
      <c r="G80" s="134" t="str">
        <f>IF(G$67&lt;&gt;"", SUMIFS(Historias!$H$6:$H$137,Historias!$F$6:$F$137,$B80,Historias!$A$6:$A$137,G$67), "")</f>
        <v/>
      </c>
      <c r="H80" s="134" t="str">
        <f>IF(H$67&lt;&gt;"", SUMIFS(Historias!$H$6:$H$137,Historias!$F$6:$F$137,$B80,Historias!$A$6:$A$137,H$67), "")</f>
        <v/>
      </c>
      <c r="I80" s="83"/>
      <c r="J80" s="91"/>
      <c r="K80" s="135">
        <f t="shared" si="187"/>
        <v>44860</v>
      </c>
      <c r="L80" s="136">
        <f>IF(AND($K80&lt;=TODAY(),L$67&lt;&gt;""),L79+SUMIFS(Historias!$H$6:$H$135,Historias!$F$6:$F$135,$K80,Historias!$A$6:$A$135,L$67),"")</f>
        <v>10.5</v>
      </c>
      <c r="M80" s="136">
        <f>IF(AND($K80&lt;=TODAY(),M$67&lt;&gt;""),M79+SUMIFS(Historias!$H$6:$H$135,Historias!$F$6:$F$135,$K80,Historias!$A$6:$A$135,M$67),"")</f>
        <v>9</v>
      </c>
      <c r="N80" s="136">
        <f>IF(AND($K80&lt;=TODAY(),N$67&lt;&gt;""),N79+SUMIFS(Historias!$H$6:$H$135,Historias!$F$6:$F$135,$K80,Historias!$A$6:$A$135,N$67),"")</f>
        <v>12</v>
      </c>
      <c r="O80" s="136">
        <f>IF(AND($K80&lt;=TODAY(),O$67&lt;&gt;""),O79+SUMIFS(Historias!$H$6:$H$135,Historias!$F$6:$F$135,$K80,Historias!$A$6:$A$135,O$67),"")</f>
        <v>8</v>
      </c>
      <c r="P80" s="136" t="str">
        <f>IF(AND($K80&lt;=TODAY(),P$67&lt;&gt;""),P79+SUMIFS(Historias!$H$6:$H$135,Historias!$F$6:$F$135,$K80,Historias!$A$6:$A$135,P$67),"")</f>
        <v/>
      </c>
      <c r="Q80" s="136" t="str">
        <f>IF(AND($K80&lt;=TODAY(),Q$67&lt;&gt;""),Q79+SUMIFS(Historias!$H$6:$H$135,Historias!$F$6:$F$135,$K80,Historias!$A$6:$A$135,Q$67),"")</f>
        <v/>
      </c>
      <c r="R80" s="137">
        <f t="shared" si="188"/>
        <v>44860</v>
      </c>
      <c r="S80" s="109">
        <f t="shared" ref="S80:X80" si="212">IF($K80&lt;&gt;"", IF(max($C80:$H80)&gt;0,IF(L80 = max($L80:$Q80), 1 , 0), S79), "")</f>
        <v>0</v>
      </c>
      <c r="T80" s="109">
        <f t="shared" si="212"/>
        <v>0</v>
      </c>
      <c r="U80" s="109">
        <f t="shared" si="212"/>
        <v>1</v>
      </c>
      <c r="V80" s="109">
        <f t="shared" si="212"/>
        <v>0</v>
      </c>
      <c r="W80" s="109">
        <f t="shared" si="212"/>
        <v>0</v>
      </c>
      <c r="X80" s="109">
        <f t="shared" si="212"/>
        <v>0</v>
      </c>
      <c r="Y80" s="137">
        <f t="shared" si="190"/>
        <v>44860</v>
      </c>
      <c r="Z80" s="94">
        <f t="shared" ref="Z80:AE80" si="213">IF($K80&lt;&gt;"", IF(L80 = max($L80:$Q80), (L80-AVERAGE($L80:$Q80)) , 0), 0)</f>
        <v>0</v>
      </c>
      <c r="AA80" s="94">
        <f t="shared" si="213"/>
        <v>0</v>
      </c>
      <c r="AB80" s="94">
        <f t="shared" si="213"/>
        <v>2.125</v>
      </c>
      <c r="AC80" s="94">
        <f t="shared" si="213"/>
        <v>0</v>
      </c>
      <c r="AD80" s="94">
        <f t="shared" si="213"/>
        <v>0</v>
      </c>
      <c r="AE80" s="94">
        <f t="shared" si="213"/>
        <v>0</v>
      </c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</row>
    <row r="81">
      <c r="A81" s="91"/>
      <c r="B81" s="138">
        <f>Resumen!B16</f>
        <v>44861</v>
      </c>
      <c r="C81" s="134">
        <f>IF(C$67&lt;&gt;"", SUMIFS(Historias!$H$6:$H$137,Historias!$F$6:$F$137,$B81,Historias!$A$6:$A$137,C$67), "")</f>
        <v>0</v>
      </c>
      <c r="D81" s="134">
        <f>IF(D$67&lt;&gt;"", SUMIFS(Historias!$H$6:$H$137,Historias!$F$6:$F$137,$B81,Historias!$A$6:$A$137,D$67), "")</f>
        <v>0</v>
      </c>
      <c r="E81" s="134">
        <f>IF(E$67&lt;&gt;"", SUMIFS(Historias!$H$6:$H$137,Historias!$F$6:$F$137,$B81,Historias!$A$6:$A$137,E$67), "")</f>
        <v>0</v>
      </c>
      <c r="F81" s="134">
        <f>IF(F$67&lt;&gt;"", SUMIFS(Historias!$H$6:$H$137,Historias!$F$6:$F$137,$B81,Historias!$A$6:$A$137,F$67), "")</f>
        <v>0</v>
      </c>
      <c r="G81" s="134" t="str">
        <f>IF(G$67&lt;&gt;"", SUMIFS(Historias!$H$6:$H$137,Historias!$F$6:$F$137,$B81,Historias!$A$6:$A$137,G$67), "")</f>
        <v/>
      </c>
      <c r="H81" s="134" t="str">
        <f>IF(H$67&lt;&gt;"", SUMIFS(Historias!$H$6:$H$137,Historias!$F$6:$F$137,$B81,Historias!$A$6:$A$137,H$67), "")</f>
        <v/>
      </c>
      <c r="I81" s="83"/>
      <c r="J81" s="91"/>
      <c r="K81" s="135">
        <f t="shared" si="187"/>
        <v>44861</v>
      </c>
      <c r="L81" s="136">
        <f>IF(AND($K81&lt;=TODAY(),L$67&lt;&gt;""),L80+SUMIFS(Historias!$H$6:$H$135,Historias!$F$6:$F$135,$K81,Historias!$A$6:$A$135,L$67),"")</f>
        <v>10.5</v>
      </c>
      <c r="M81" s="136">
        <f>IF(AND($K81&lt;=TODAY(),M$67&lt;&gt;""),M80+SUMIFS(Historias!$H$6:$H$135,Historias!$F$6:$F$135,$K81,Historias!$A$6:$A$135,M$67),"")</f>
        <v>9</v>
      </c>
      <c r="N81" s="136">
        <f>IF(AND($K81&lt;=TODAY(),N$67&lt;&gt;""),N80+SUMIFS(Historias!$H$6:$H$135,Historias!$F$6:$F$135,$K81,Historias!$A$6:$A$135,N$67),"")</f>
        <v>12</v>
      </c>
      <c r="O81" s="136">
        <f>IF(AND($K81&lt;=TODAY(),O$67&lt;&gt;""),O80+SUMIFS(Historias!$H$6:$H$135,Historias!$F$6:$F$135,$K81,Historias!$A$6:$A$135,O$67),"")</f>
        <v>8</v>
      </c>
      <c r="P81" s="136" t="str">
        <f>IF(AND($K81&lt;=TODAY(),P$67&lt;&gt;""),P80+SUMIFS(Historias!$H$6:$H$135,Historias!$F$6:$F$135,$K81,Historias!$A$6:$A$135,P$67),"")</f>
        <v/>
      </c>
      <c r="Q81" s="136" t="str">
        <f>IF(AND($K81&lt;=TODAY(),Q$67&lt;&gt;""),Q80+SUMIFS(Historias!$H$6:$H$135,Historias!$F$6:$F$135,$K81,Historias!$A$6:$A$135,Q$67),"")</f>
        <v/>
      </c>
      <c r="R81" s="137">
        <f t="shared" si="188"/>
        <v>44861</v>
      </c>
      <c r="S81" s="109">
        <f t="shared" ref="S81:X81" si="214">IF($K81&lt;&gt;"", IF(max($C81:$H81)&gt;0,IF(L81 = max($L81:$Q81), 1 , 0), S80), "")</f>
        <v>0</v>
      </c>
      <c r="T81" s="109">
        <f t="shared" si="214"/>
        <v>0</v>
      </c>
      <c r="U81" s="109">
        <f t="shared" si="214"/>
        <v>1</v>
      </c>
      <c r="V81" s="109">
        <f t="shared" si="214"/>
        <v>0</v>
      </c>
      <c r="W81" s="109">
        <f t="shared" si="214"/>
        <v>0</v>
      </c>
      <c r="X81" s="109">
        <f t="shared" si="214"/>
        <v>0</v>
      </c>
      <c r="Y81" s="137">
        <f t="shared" si="190"/>
        <v>44861</v>
      </c>
      <c r="Z81" s="94">
        <f t="shared" ref="Z81:AE81" si="215">IF($K81&lt;&gt;"", IF(L81 = max($L81:$Q81), (L81-AVERAGE($L81:$Q81)) , 0), 0)</f>
        <v>0</v>
      </c>
      <c r="AA81" s="94">
        <f t="shared" si="215"/>
        <v>0</v>
      </c>
      <c r="AB81" s="94">
        <f t="shared" si="215"/>
        <v>2.125</v>
      </c>
      <c r="AC81" s="94">
        <f t="shared" si="215"/>
        <v>0</v>
      </c>
      <c r="AD81" s="94">
        <f t="shared" si="215"/>
        <v>0</v>
      </c>
      <c r="AE81" s="94">
        <f t="shared" si="215"/>
        <v>0</v>
      </c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</row>
    <row r="82">
      <c r="A82" s="91"/>
      <c r="B82" s="138">
        <f>Resumen!B17</f>
        <v>44862</v>
      </c>
      <c r="C82" s="134">
        <f>IF(C$67&lt;&gt;"", SUMIFS(Historias!$H$6:$H$137,Historias!$F$6:$F$137,$B82,Historias!$A$6:$A$137,C$67), "")</f>
        <v>1.5</v>
      </c>
      <c r="D82" s="134">
        <f>IF(D$67&lt;&gt;"", SUMIFS(Historias!$H$6:$H$137,Historias!$F$6:$F$137,$B82,Historias!$A$6:$A$137,D$67), "")</f>
        <v>1.5</v>
      </c>
      <c r="E82" s="134">
        <f>IF(E$67&lt;&gt;"", SUMIFS(Historias!$H$6:$H$137,Historias!$F$6:$F$137,$B82,Historias!$A$6:$A$137,E$67), "")</f>
        <v>1.5</v>
      </c>
      <c r="F82" s="134">
        <f>IF(F$67&lt;&gt;"", SUMIFS(Historias!$H$6:$H$137,Historias!$F$6:$F$137,$B82,Historias!$A$6:$A$137,F$67), "")</f>
        <v>0</v>
      </c>
      <c r="G82" s="134" t="str">
        <f>IF(G$67&lt;&gt;"", SUMIFS(Historias!$H$6:$H$137,Historias!$F$6:$F$137,$B82,Historias!$A$6:$A$137,G$67), "")</f>
        <v/>
      </c>
      <c r="H82" s="134" t="str">
        <f>IF(H$67&lt;&gt;"", SUMIFS(Historias!$H$6:$H$137,Historias!$F$6:$F$137,$B82,Historias!$A$6:$A$137,H$67), "")</f>
        <v/>
      </c>
      <c r="I82" s="83"/>
      <c r="J82" s="91"/>
      <c r="K82" s="135">
        <f t="shared" si="187"/>
        <v>44862</v>
      </c>
      <c r="L82" s="136">
        <f>IF(AND($K82&lt;=TODAY(),L$67&lt;&gt;""),L81+SUMIFS(Historias!$H$6:$H$135,Historias!$F$6:$F$135,$K82,Historias!$A$6:$A$135,L$67),"")</f>
        <v>12</v>
      </c>
      <c r="M82" s="136">
        <f>IF(AND($K82&lt;=TODAY(),M$67&lt;&gt;""),M81+SUMIFS(Historias!$H$6:$H$135,Historias!$F$6:$F$135,$K82,Historias!$A$6:$A$135,M$67),"")</f>
        <v>10.5</v>
      </c>
      <c r="N82" s="136">
        <f>IF(AND($K82&lt;=TODAY(),N$67&lt;&gt;""),N81+SUMIFS(Historias!$H$6:$H$135,Historias!$F$6:$F$135,$K82,Historias!$A$6:$A$135,N$67),"")</f>
        <v>13.5</v>
      </c>
      <c r="O82" s="136">
        <f>IF(AND($K82&lt;=TODAY(),O$67&lt;&gt;""),O81+SUMIFS(Historias!$H$6:$H$135,Historias!$F$6:$F$135,$K82,Historias!$A$6:$A$135,O$67),"")</f>
        <v>8</v>
      </c>
      <c r="P82" s="136" t="str">
        <f>IF(AND($K82&lt;=TODAY(),P$67&lt;&gt;""),P81+SUMIFS(Historias!$H$6:$H$135,Historias!$F$6:$F$135,$K82,Historias!$A$6:$A$135,P$67),"")</f>
        <v/>
      </c>
      <c r="Q82" s="136" t="str">
        <f>IF(AND($K82&lt;=TODAY(),Q$67&lt;&gt;""),Q81+SUMIFS(Historias!$H$6:$H$135,Historias!$F$6:$F$135,$K82,Historias!$A$6:$A$135,Q$67),"")</f>
        <v/>
      </c>
      <c r="R82" s="137">
        <f t="shared" si="188"/>
        <v>44862</v>
      </c>
      <c r="S82" s="109">
        <f t="shared" ref="S82:X82" si="216">IF($K82&lt;&gt;"", IF(max($C82:$H82)&gt;0,IF(L82 = max($L82:$Q82), 1 , 0), S81), "")</f>
        <v>0</v>
      </c>
      <c r="T82" s="109">
        <f t="shared" si="216"/>
        <v>0</v>
      </c>
      <c r="U82" s="109">
        <f t="shared" si="216"/>
        <v>1</v>
      </c>
      <c r="V82" s="109">
        <f t="shared" si="216"/>
        <v>0</v>
      </c>
      <c r="W82" s="109">
        <f t="shared" si="216"/>
        <v>0</v>
      </c>
      <c r="X82" s="109">
        <f t="shared" si="216"/>
        <v>0</v>
      </c>
      <c r="Y82" s="137">
        <f t="shared" si="190"/>
        <v>44862</v>
      </c>
      <c r="Z82" s="94">
        <f t="shared" ref="Z82:AE82" si="217">IF($K82&lt;&gt;"", IF(L82 = max($L82:$Q82), (L82-AVERAGE($L82:$Q82)) , 0), 0)</f>
        <v>0</v>
      </c>
      <c r="AA82" s="94">
        <f t="shared" si="217"/>
        <v>0</v>
      </c>
      <c r="AB82" s="94">
        <f t="shared" si="217"/>
        <v>2.5</v>
      </c>
      <c r="AC82" s="94">
        <f t="shared" si="217"/>
        <v>0</v>
      </c>
      <c r="AD82" s="94">
        <f t="shared" si="217"/>
        <v>0</v>
      </c>
      <c r="AE82" s="94">
        <f t="shared" si="217"/>
        <v>0</v>
      </c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</row>
    <row r="83">
      <c r="A83" s="91"/>
      <c r="B83" s="138">
        <f>Resumen!B18</f>
        <v>44863</v>
      </c>
      <c r="C83" s="134">
        <f>IF(C$67&lt;&gt;"", SUMIFS(Historias!$H$6:$H$137,Historias!$F$6:$F$137,$B83,Historias!$A$6:$A$137,C$67), "")</f>
        <v>0</v>
      </c>
      <c r="D83" s="134">
        <f>IF(D$67&lt;&gt;"", SUMIFS(Historias!$H$6:$H$137,Historias!$F$6:$F$137,$B83,Historias!$A$6:$A$137,D$67), "")</f>
        <v>0</v>
      </c>
      <c r="E83" s="134">
        <f>IF(E$67&lt;&gt;"", SUMIFS(Historias!$H$6:$H$137,Historias!$F$6:$F$137,$B83,Historias!$A$6:$A$137,E$67), "")</f>
        <v>0</v>
      </c>
      <c r="F83" s="134">
        <f>IF(F$67&lt;&gt;"", SUMIFS(Historias!$H$6:$H$137,Historias!$F$6:$F$137,$B83,Historias!$A$6:$A$137,F$67), "")</f>
        <v>0</v>
      </c>
      <c r="G83" s="134" t="str">
        <f>IF(G$67&lt;&gt;"", SUMIFS(Historias!$H$6:$H$137,Historias!$F$6:$F$137,$B83,Historias!$A$6:$A$137,G$67), "")</f>
        <v/>
      </c>
      <c r="H83" s="134" t="str">
        <f>IF(H$67&lt;&gt;"", SUMIFS(Historias!$H$6:$H$137,Historias!$F$6:$F$137,$B83,Historias!$A$6:$A$137,H$67), "")</f>
        <v/>
      </c>
      <c r="I83" s="83"/>
      <c r="J83" s="91"/>
      <c r="K83" s="135">
        <f t="shared" si="187"/>
        <v>44863</v>
      </c>
      <c r="L83" s="136">
        <f>IF(AND($K83&lt;=TODAY(),L$67&lt;&gt;""),L82+SUMIFS(Historias!$H$6:$H$135,Historias!$F$6:$F$135,$K83,Historias!$A$6:$A$135,L$67),"")</f>
        <v>12</v>
      </c>
      <c r="M83" s="136">
        <f>IF(AND($K83&lt;=TODAY(),M$67&lt;&gt;""),M82+SUMIFS(Historias!$H$6:$H$135,Historias!$F$6:$F$135,$K83,Historias!$A$6:$A$135,M$67),"")</f>
        <v>10.5</v>
      </c>
      <c r="N83" s="136">
        <f>IF(AND($K83&lt;=TODAY(),N$67&lt;&gt;""),N82+SUMIFS(Historias!$H$6:$H$135,Historias!$F$6:$F$135,$K83,Historias!$A$6:$A$135,N$67),"")</f>
        <v>13.5</v>
      </c>
      <c r="O83" s="136">
        <f>IF(AND($K83&lt;=TODAY(),O$67&lt;&gt;""),O82+SUMIFS(Historias!$H$6:$H$135,Historias!$F$6:$F$135,$K83,Historias!$A$6:$A$135,O$67),"")</f>
        <v>8</v>
      </c>
      <c r="P83" s="136" t="str">
        <f>IF(AND($K83&lt;=TODAY(),P$67&lt;&gt;""),P82+SUMIFS(Historias!$H$6:$H$135,Historias!$F$6:$F$135,$K83,Historias!$A$6:$A$135,P$67),"")</f>
        <v/>
      </c>
      <c r="Q83" s="136" t="str">
        <f>IF(AND($K83&lt;=TODAY(),Q$67&lt;&gt;""),Q82+SUMIFS(Historias!$H$6:$H$135,Historias!$F$6:$F$135,$K83,Historias!$A$6:$A$135,Q$67),"")</f>
        <v/>
      </c>
      <c r="R83" s="137">
        <f t="shared" si="188"/>
        <v>44863</v>
      </c>
      <c r="S83" s="109">
        <f t="shared" ref="S83:X83" si="218">IF($K83&lt;&gt;"", IF(max($C83:$H83)&gt;0,IF(L83 = max($L83:$Q83), 1 , 0), S82), "")</f>
        <v>0</v>
      </c>
      <c r="T83" s="109">
        <f t="shared" si="218"/>
        <v>0</v>
      </c>
      <c r="U83" s="109">
        <f t="shared" si="218"/>
        <v>1</v>
      </c>
      <c r="V83" s="109">
        <f t="shared" si="218"/>
        <v>0</v>
      </c>
      <c r="W83" s="109">
        <f t="shared" si="218"/>
        <v>0</v>
      </c>
      <c r="X83" s="109">
        <f t="shared" si="218"/>
        <v>0</v>
      </c>
      <c r="Y83" s="137">
        <f t="shared" si="190"/>
        <v>44863</v>
      </c>
      <c r="Z83" s="94">
        <f t="shared" ref="Z83:AE83" si="219">IF($K83&lt;&gt;"", IF(L83 = max($L83:$Q83), (L83-AVERAGE($L83:$Q83)) , 0), 0)</f>
        <v>0</v>
      </c>
      <c r="AA83" s="94">
        <f t="shared" si="219"/>
        <v>0</v>
      </c>
      <c r="AB83" s="94">
        <f t="shared" si="219"/>
        <v>2.5</v>
      </c>
      <c r="AC83" s="94">
        <f t="shared" si="219"/>
        <v>0</v>
      </c>
      <c r="AD83" s="94">
        <f t="shared" si="219"/>
        <v>0</v>
      </c>
      <c r="AE83" s="94">
        <f t="shared" si="219"/>
        <v>0</v>
      </c>
      <c r="AF83" s="97"/>
      <c r="AG83" s="97"/>
      <c r="AH83" s="97"/>
      <c r="AI83" s="97"/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  <c r="AU83" s="97"/>
    </row>
    <row r="84">
      <c r="A84" s="91"/>
      <c r="B84" s="138">
        <f>Resumen!B19</f>
        <v>44864</v>
      </c>
      <c r="C84" s="134">
        <f>IF(C$67&lt;&gt;"", SUMIFS(Historias!$H$6:$H$137,Historias!$F$6:$F$137,$B84,Historias!$A$6:$A$137,C$67), "")</f>
        <v>0</v>
      </c>
      <c r="D84" s="134">
        <f>IF(D$67&lt;&gt;"", SUMIFS(Historias!$H$6:$H$137,Historias!$F$6:$F$137,$B84,Historias!$A$6:$A$137,D$67), "")</f>
        <v>0</v>
      </c>
      <c r="E84" s="134">
        <f>IF(E$67&lt;&gt;"", SUMIFS(Historias!$H$6:$H$137,Historias!$F$6:$F$137,$B84,Historias!$A$6:$A$137,E$67), "")</f>
        <v>0</v>
      </c>
      <c r="F84" s="134">
        <f>IF(F$67&lt;&gt;"", SUMIFS(Historias!$H$6:$H$137,Historias!$F$6:$F$137,$B84,Historias!$A$6:$A$137,F$67), "")</f>
        <v>0</v>
      </c>
      <c r="G84" s="134" t="str">
        <f>IF(G$67&lt;&gt;"", SUMIFS(Historias!$H$6:$H$137,Historias!$F$6:$F$137,$B84,Historias!$A$6:$A$137,G$67), "")</f>
        <v/>
      </c>
      <c r="H84" s="134" t="str">
        <f>IF(H$67&lt;&gt;"", SUMIFS(Historias!$H$6:$H$137,Historias!$F$6:$F$137,$B84,Historias!$A$6:$A$137,H$67), "")</f>
        <v/>
      </c>
      <c r="I84" s="83"/>
      <c r="J84" s="91"/>
      <c r="K84" s="135">
        <f t="shared" si="187"/>
        <v>44864</v>
      </c>
      <c r="L84" s="136">
        <f>IF(AND($K84&lt;=TODAY(),L$67&lt;&gt;""),L83+SUMIFS(Historias!$H$6:$H$135,Historias!$F$6:$F$135,$K84,Historias!$A$6:$A$135,L$67),"")</f>
        <v>12</v>
      </c>
      <c r="M84" s="136">
        <f>IF(AND($K84&lt;=TODAY(),M$67&lt;&gt;""),M83+SUMIFS(Historias!$H$6:$H$135,Historias!$F$6:$F$135,$K84,Historias!$A$6:$A$135,M$67),"")</f>
        <v>10.5</v>
      </c>
      <c r="N84" s="136">
        <f>IF(AND($K84&lt;=TODAY(),N$67&lt;&gt;""),N83+SUMIFS(Historias!$H$6:$H$135,Historias!$F$6:$F$135,$K84,Historias!$A$6:$A$135,N$67),"")</f>
        <v>13.5</v>
      </c>
      <c r="O84" s="136">
        <f>IF(AND($K84&lt;=TODAY(),O$67&lt;&gt;""),O83+SUMIFS(Historias!$H$6:$H$135,Historias!$F$6:$F$135,$K84,Historias!$A$6:$A$135,O$67),"")</f>
        <v>8</v>
      </c>
      <c r="P84" s="136" t="str">
        <f>IF(AND($K84&lt;=TODAY(),P$67&lt;&gt;""),P83+SUMIFS(Historias!$H$6:$H$135,Historias!$F$6:$F$135,$K84,Historias!$A$6:$A$135,P$67),"")</f>
        <v/>
      </c>
      <c r="Q84" s="136" t="str">
        <f>IF(AND($K84&lt;=TODAY(),Q$67&lt;&gt;""),Q83+SUMIFS(Historias!$H$6:$H$135,Historias!$F$6:$F$135,$K84,Historias!$A$6:$A$135,Q$67),"")</f>
        <v/>
      </c>
      <c r="R84" s="137">
        <f t="shared" si="188"/>
        <v>44864</v>
      </c>
      <c r="S84" s="109">
        <f t="shared" ref="S84:X84" si="220">IF($K84&lt;&gt;"", IF(max($C84:$H84)&gt;0,IF(L84 = max($L84:$Q84), 1 , 0), S83), "")</f>
        <v>0</v>
      </c>
      <c r="T84" s="109">
        <f t="shared" si="220"/>
        <v>0</v>
      </c>
      <c r="U84" s="109">
        <f t="shared" si="220"/>
        <v>1</v>
      </c>
      <c r="V84" s="109">
        <f t="shared" si="220"/>
        <v>0</v>
      </c>
      <c r="W84" s="109">
        <f t="shared" si="220"/>
        <v>0</v>
      </c>
      <c r="X84" s="109">
        <f t="shared" si="220"/>
        <v>0</v>
      </c>
      <c r="Y84" s="137">
        <f t="shared" si="190"/>
        <v>44864</v>
      </c>
      <c r="Z84" s="94">
        <f t="shared" ref="Z84:AE84" si="221">IF($K84&lt;&gt;"", IF(L84 = max($L84:$Q84), (L84-AVERAGE($L84:$Q84)) , 0), 0)</f>
        <v>0</v>
      </c>
      <c r="AA84" s="94">
        <f t="shared" si="221"/>
        <v>0</v>
      </c>
      <c r="AB84" s="94">
        <f t="shared" si="221"/>
        <v>2.5</v>
      </c>
      <c r="AC84" s="94">
        <f t="shared" si="221"/>
        <v>0</v>
      </c>
      <c r="AD84" s="94">
        <f t="shared" si="221"/>
        <v>0</v>
      </c>
      <c r="AE84" s="94">
        <f t="shared" si="221"/>
        <v>0</v>
      </c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  <c r="AU84" s="97"/>
    </row>
    <row r="85">
      <c r="A85" s="91"/>
      <c r="B85" s="138">
        <f>Resumen!B20</f>
        <v>44865</v>
      </c>
      <c r="C85" s="134">
        <f>IF(C$67&lt;&gt;"", SUMIFS(Historias!$H$6:$H$137,Historias!$F$6:$F$137,$B85,Historias!$A$6:$A$137,C$67), "")</f>
        <v>0</v>
      </c>
      <c r="D85" s="134">
        <f>IF(D$67&lt;&gt;"", SUMIFS(Historias!$H$6:$H$137,Historias!$F$6:$F$137,$B85,Historias!$A$6:$A$137,D$67), "")</f>
        <v>1</v>
      </c>
      <c r="E85" s="134">
        <f>IF(E$67&lt;&gt;"", SUMIFS(Historias!$H$6:$H$137,Historias!$F$6:$F$137,$B85,Historias!$A$6:$A$137,E$67), "")</f>
        <v>2.5</v>
      </c>
      <c r="F85" s="134">
        <f>IF(F$67&lt;&gt;"", SUMIFS(Historias!$H$6:$H$137,Historias!$F$6:$F$137,$B85,Historias!$A$6:$A$137,F$67), "")</f>
        <v>1</v>
      </c>
      <c r="G85" s="134" t="str">
        <f>IF(G$67&lt;&gt;"", SUMIFS(Historias!$H$6:$H$137,Historias!$F$6:$F$137,$B85,Historias!$A$6:$A$137,G$67), "")</f>
        <v/>
      </c>
      <c r="H85" s="134" t="str">
        <f>IF(H$67&lt;&gt;"", SUMIFS(Historias!$H$6:$H$137,Historias!$F$6:$F$137,$B85,Historias!$A$6:$A$137,H$67), "")</f>
        <v/>
      </c>
      <c r="I85" s="83"/>
      <c r="J85" s="91"/>
      <c r="K85" s="135">
        <f t="shared" si="187"/>
        <v>44865</v>
      </c>
      <c r="L85" s="136">
        <f>IF(AND($K85&lt;=TODAY(),L$67&lt;&gt;""),L84+SUMIFS(Historias!$H$6:$H$135,Historias!$F$6:$F$135,$K85,Historias!$A$6:$A$135,L$67),"")</f>
        <v>12</v>
      </c>
      <c r="M85" s="136">
        <f>IF(AND($K85&lt;=TODAY(),M$67&lt;&gt;""),M84+SUMIFS(Historias!$H$6:$H$135,Historias!$F$6:$F$135,$K85,Historias!$A$6:$A$135,M$67),"")</f>
        <v>11.5</v>
      </c>
      <c r="N85" s="136">
        <f>IF(AND($K85&lt;=TODAY(),N$67&lt;&gt;""),N84+SUMIFS(Historias!$H$6:$H$135,Historias!$F$6:$F$135,$K85,Historias!$A$6:$A$135,N$67),"")</f>
        <v>16</v>
      </c>
      <c r="O85" s="136">
        <f>IF(AND($K85&lt;=TODAY(),O$67&lt;&gt;""),O84+SUMIFS(Historias!$H$6:$H$135,Historias!$F$6:$F$135,$K85,Historias!$A$6:$A$135,O$67),"")</f>
        <v>9</v>
      </c>
      <c r="P85" s="136" t="str">
        <f>IF(AND($K85&lt;=TODAY(),P$67&lt;&gt;""),P84+SUMIFS(Historias!$H$6:$H$135,Historias!$F$6:$F$135,$K85,Historias!$A$6:$A$135,P$67),"")</f>
        <v/>
      </c>
      <c r="Q85" s="136" t="str">
        <f>IF(AND($K85&lt;=TODAY(),Q$67&lt;&gt;""),Q84+SUMIFS(Historias!$H$6:$H$135,Historias!$F$6:$F$135,$K85,Historias!$A$6:$A$135,Q$67),"")</f>
        <v/>
      </c>
      <c r="R85" s="137">
        <f t="shared" si="188"/>
        <v>44865</v>
      </c>
      <c r="S85" s="109">
        <f t="shared" ref="S85:X85" si="222">IF($K85&lt;&gt;"", IF(max($C85:$H85)&gt;0,IF(L85 = max($L85:$Q85), 1 , 0), S84), "")</f>
        <v>0</v>
      </c>
      <c r="T85" s="109">
        <f t="shared" si="222"/>
        <v>0</v>
      </c>
      <c r="U85" s="109">
        <f t="shared" si="222"/>
        <v>1</v>
      </c>
      <c r="V85" s="109">
        <f t="shared" si="222"/>
        <v>0</v>
      </c>
      <c r="W85" s="109">
        <f t="shared" si="222"/>
        <v>0</v>
      </c>
      <c r="X85" s="109">
        <f t="shared" si="222"/>
        <v>0</v>
      </c>
      <c r="Y85" s="137">
        <f t="shared" si="190"/>
        <v>44865</v>
      </c>
      <c r="Z85" s="94">
        <f t="shared" ref="Z85:AE85" si="223">IF($K85&lt;&gt;"", IF(L85 = max($L85:$Q85), (L85-AVERAGE($L85:$Q85)) , 0), 0)</f>
        <v>0</v>
      </c>
      <c r="AA85" s="94">
        <f t="shared" si="223"/>
        <v>0</v>
      </c>
      <c r="AB85" s="94">
        <f t="shared" si="223"/>
        <v>3.875</v>
      </c>
      <c r="AC85" s="94">
        <f t="shared" si="223"/>
        <v>0</v>
      </c>
      <c r="AD85" s="94">
        <f t="shared" si="223"/>
        <v>0</v>
      </c>
      <c r="AE85" s="94">
        <f t="shared" si="223"/>
        <v>0</v>
      </c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</row>
    <row r="86">
      <c r="A86" s="91"/>
      <c r="B86" s="138">
        <f>Resumen!B21</f>
        <v>44866</v>
      </c>
      <c r="C86" s="134">
        <f>IF(C$67&lt;&gt;"", SUMIFS(Historias!$H$6:$H$137,Historias!$F$6:$F$137,$B86,Historias!$A$6:$A$137,C$67), "")</f>
        <v>0</v>
      </c>
      <c r="D86" s="134">
        <f>IF(D$67&lt;&gt;"", SUMIFS(Historias!$H$6:$H$137,Historias!$F$6:$F$137,$B86,Historias!$A$6:$A$137,D$67), "")</f>
        <v>0</v>
      </c>
      <c r="E86" s="134">
        <f>IF(E$67&lt;&gt;"", SUMIFS(Historias!$H$6:$H$137,Historias!$F$6:$F$137,$B86,Historias!$A$6:$A$137,E$67), "")</f>
        <v>2</v>
      </c>
      <c r="F86" s="134">
        <f>IF(F$67&lt;&gt;"", SUMIFS(Historias!$H$6:$H$137,Historias!$F$6:$F$137,$B86,Historias!$A$6:$A$137,F$67), "")</f>
        <v>0</v>
      </c>
      <c r="G86" s="134" t="str">
        <f>IF(G$67&lt;&gt;"", SUMIFS(Historias!$H$6:$H$137,Historias!$F$6:$F$137,$B86,Historias!$A$6:$A$137,G$67), "")</f>
        <v/>
      </c>
      <c r="H86" s="134" t="str">
        <f>IF(H$67&lt;&gt;"", SUMIFS(Historias!$H$6:$H$137,Historias!$F$6:$F$137,$B86,Historias!$A$6:$A$137,H$67), "")</f>
        <v/>
      </c>
      <c r="I86" s="83"/>
      <c r="J86" s="91"/>
      <c r="K86" s="135">
        <f t="shared" si="187"/>
        <v>44866</v>
      </c>
      <c r="L86" s="136">
        <f>IF(AND($K86&lt;=TODAY(),L$67&lt;&gt;""),L85+SUMIFS(Historias!$H$6:$H$135,Historias!$F$6:$F$135,$K86,Historias!$A$6:$A$135,L$67),"")</f>
        <v>12</v>
      </c>
      <c r="M86" s="136">
        <f>IF(AND($K86&lt;=TODAY(),M$67&lt;&gt;""),M85+SUMIFS(Historias!$H$6:$H$135,Historias!$F$6:$F$135,$K86,Historias!$A$6:$A$135,M$67),"")</f>
        <v>11.5</v>
      </c>
      <c r="N86" s="136">
        <f>IF(AND($K86&lt;=TODAY(),N$67&lt;&gt;""),N85+SUMIFS(Historias!$H$6:$H$135,Historias!$F$6:$F$135,$K86,Historias!$A$6:$A$135,N$67),"")</f>
        <v>18</v>
      </c>
      <c r="O86" s="136">
        <f>IF(AND($K86&lt;=TODAY(),O$67&lt;&gt;""),O85+SUMIFS(Historias!$H$6:$H$135,Historias!$F$6:$F$135,$K86,Historias!$A$6:$A$135,O$67),"")</f>
        <v>9</v>
      </c>
      <c r="P86" s="136" t="str">
        <f>IF(AND($K86&lt;=TODAY(),P$67&lt;&gt;""),P85+SUMIFS(Historias!$H$6:$H$135,Historias!$F$6:$F$135,$K86,Historias!$A$6:$A$135,P$67),"")</f>
        <v/>
      </c>
      <c r="Q86" s="136" t="str">
        <f>IF(AND($K86&lt;=TODAY(),Q$67&lt;&gt;""),Q85+SUMIFS(Historias!$H$6:$H$135,Historias!$F$6:$F$135,$K86,Historias!$A$6:$A$135,Q$67),"")</f>
        <v/>
      </c>
      <c r="R86" s="137">
        <f t="shared" si="188"/>
        <v>44866</v>
      </c>
      <c r="S86" s="109">
        <f t="shared" ref="S86:X86" si="224">IF($K86&lt;&gt;"", IF(max($C86:$H86)&gt;0,IF(L86 = max($L86:$Q86), 1 , 0), S85), "")</f>
        <v>0</v>
      </c>
      <c r="T86" s="109">
        <f t="shared" si="224"/>
        <v>0</v>
      </c>
      <c r="U86" s="109">
        <f t="shared" si="224"/>
        <v>1</v>
      </c>
      <c r="V86" s="109">
        <f t="shared" si="224"/>
        <v>0</v>
      </c>
      <c r="W86" s="109">
        <f t="shared" si="224"/>
        <v>0</v>
      </c>
      <c r="X86" s="109">
        <f t="shared" si="224"/>
        <v>0</v>
      </c>
      <c r="Y86" s="137">
        <f t="shared" si="190"/>
        <v>44866</v>
      </c>
      <c r="Z86" s="94">
        <f t="shared" ref="Z86:AE86" si="225">IF($K86&lt;&gt;"", IF(L86 = max($L86:$Q86), (L86-AVERAGE($L86:$Q86)) , 0), 0)</f>
        <v>0</v>
      </c>
      <c r="AA86" s="94">
        <f t="shared" si="225"/>
        <v>0</v>
      </c>
      <c r="AB86" s="94">
        <f t="shared" si="225"/>
        <v>5.375</v>
      </c>
      <c r="AC86" s="94">
        <f t="shared" si="225"/>
        <v>0</v>
      </c>
      <c r="AD86" s="94">
        <f t="shared" si="225"/>
        <v>0</v>
      </c>
      <c r="AE86" s="94">
        <f t="shared" si="225"/>
        <v>0</v>
      </c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</row>
    <row r="87">
      <c r="A87" s="91"/>
      <c r="B87" s="138">
        <f>Resumen!B22</f>
        <v>44867</v>
      </c>
      <c r="C87" s="134">
        <f>IF(C$67&lt;&gt;"", SUMIFS(Historias!$H$6:$H$137,Historias!$F$6:$F$137,$B87,Historias!$A$6:$A$137,C$67), "")</f>
        <v>0</v>
      </c>
      <c r="D87" s="134">
        <f>IF(D$67&lt;&gt;"", SUMIFS(Historias!$H$6:$H$137,Historias!$F$6:$F$137,$B87,Historias!$A$6:$A$137,D$67), "")</f>
        <v>5.5</v>
      </c>
      <c r="E87" s="134">
        <f>IF(E$67&lt;&gt;"", SUMIFS(Historias!$H$6:$H$137,Historias!$F$6:$F$137,$B87,Historias!$A$6:$A$137,E$67), "")</f>
        <v>1</v>
      </c>
      <c r="F87" s="134">
        <f>IF(F$67&lt;&gt;"", SUMIFS(Historias!$H$6:$H$137,Historias!$F$6:$F$137,$B87,Historias!$A$6:$A$137,F$67), "")</f>
        <v>5.5</v>
      </c>
      <c r="G87" s="134" t="str">
        <f>IF(G$67&lt;&gt;"", SUMIFS(Historias!$H$6:$H$137,Historias!$F$6:$F$137,$B87,Historias!$A$6:$A$137,G$67), "")</f>
        <v/>
      </c>
      <c r="H87" s="134" t="str">
        <f>IF(H$67&lt;&gt;"", SUMIFS(Historias!$H$6:$H$137,Historias!$F$6:$F$137,$B87,Historias!$A$6:$A$137,H$67), "")</f>
        <v/>
      </c>
      <c r="I87" s="83"/>
      <c r="J87" s="91"/>
      <c r="K87" s="135">
        <f t="shared" si="187"/>
        <v>44867</v>
      </c>
      <c r="L87" s="136">
        <f>IF(AND($K87&lt;=TODAY(),L$67&lt;&gt;""),L86+SUMIFS(Historias!$H$6:$H$135,Historias!$F$6:$F$135,$K87,Historias!$A$6:$A$135,L$67),"")</f>
        <v>12</v>
      </c>
      <c r="M87" s="136">
        <f>IF(AND($K87&lt;=TODAY(),M$67&lt;&gt;""),M86+SUMIFS(Historias!$H$6:$H$135,Historias!$F$6:$F$135,$K87,Historias!$A$6:$A$135,M$67),"")</f>
        <v>17</v>
      </c>
      <c r="N87" s="136">
        <f>IF(AND($K87&lt;=TODAY(),N$67&lt;&gt;""),N86+SUMIFS(Historias!$H$6:$H$135,Historias!$F$6:$F$135,$K87,Historias!$A$6:$A$135,N$67),"")</f>
        <v>19</v>
      </c>
      <c r="O87" s="136">
        <f>IF(AND($K87&lt;=TODAY(),O$67&lt;&gt;""),O86+SUMIFS(Historias!$H$6:$H$135,Historias!$F$6:$F$135,$K87,Historias!$A$6:$A$135,O$67),"")</f>
        <v>14.5</v>
      </c>
      <c r="P87" s="136" t="str">
        <f>IF(AND($K87&lt;=TODAY(),P$67&lt;&gt;""),P86+SUMIFS(Historias!$H$6:$H$135,Historias!$F$6:$F$135,$K87,Historias!$A$6:$A$135,P$67),"")</f>
        <v/>
      </c>
      <c r="Q87" s="136" t="str">
        <f>IF(AND($K87&lt;=TODAY(),Q$67&lt;&gt;""),Q86+SUMIFS(Historias!$H$6:$H$135,Historias!$F$6:$F$135,$K87,Historias!$A$6:$A$135,Q$67),"")</f>
        <v/>
      </c>
      <c r="R87" s="137">
        <f t="shared" si="188"/>
        <v>44867</v>
      </c>
      <c r="S87" s="109">
        <f t="shared" ref="S87:X87" si="226">IF($K87&lt;&gt;"", IF(max($C87:$H87)&gt;0,IF(L87 = max($L87:$Q87), 1 , 0), S86), "")</f>
        <v>0</v>
      </c>
      <c r="T87" s="109">
        <f t="shared" si="226"/>
        <v>0</v>
      </c>
      <c r="U87" s="109">
        <f t="shared" si="226"/>
        <v>1</v>
      </c>
      <c r="V87" s="109">
        <f t="shared" si="226"/>
        <v>0</v>
      </c>
      <c r="W87" s="109">
        <f t="shared" si="226"/>
        <v>0</v>
      </c>
      <c r="X87" s="109">
        <f t="shared" si="226"/>
        <v>0</v>
      </c>
      <c r="Y87" s="137">
        <f t="shared" si="190"/>
        <v>44867</v>
      </c>
      <c r="Z87" s="94">
        <f t="shared" ref="Z87:AE87" si="227">IF($K87&lt;&gt;"", IF(L87 = max($L87:$Q87), (L87-AVERAGE($L87:$Q87)) , 0), 0)</f>
        <v>0</v>
      </c>
      <c r="AA87" s="94">
        <f t="shared" si="227"/>
        <v>0</v>
      </c>
      <c r="AB87" s="94">
        <f t="shared" si="227"/>
        <v>3.375</v>
      </c>
      <c r="AC87" s="94">
        <f t="shared" si="227"/>
        <v>0</v>
      </c>
      <c r="AD87" s="94">
        <f t="shared" si="227"/>
        <v>0</v>
      </c>
      <c r="AE87" s="94">
        <f t="shared" si="227"/>
        <v>0</v>
      </c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</row>
    <row r="88">
      <c r="A88" s="91"/>
      <c r="B88" s="138">
        <f>Resumen!B23</f>
        <v>44868</v>
      </c>
      <c r="C88" s="134">
        <f>IF(C$67&lt;&gt;"", SUMIFS(Historias!$H$6:$H$137,Historias!$F$6:$F$137,$B88,Historias!$A$6:$A$137,C$67), "")</f>
        <v>0</v>
      </c>
      <c r="D88" s="134">
        <f>IF(D$67&lt;&gt;"", SUMIFS(Historias!$H$6:$H$137,Historias!$F$6:$F$137,$B88,Historias!$A$6:$A$137,D$67), "")</f>
        <v>2</v>
      </c>
      <c r="E88" s="134">
        <f>IF(E$67&lt;&gt;"", SUMIFS(Historias!$H$6:$H$137,Historias!$F$6:$F$137,$B88,Historias!$A$6:$A$137,E$67), "")</f>
        <v>6</v>
      </c>
      <c r="F88" s="134">
        <f>IF(F$67&lt;&gt;"", SUMIFS(Historias!$H$6:$H$137,Historias!$F$6:$F$137,$B88,Historias!$A$6:$A$137,F$67), "")</f>
        <v>0</v>
      </c>
      <c r="G88" s="134" t="str">
        <f>IF(G$67&lt;&gt;"", SUMIFS(Historias!$H$6:$H$137,Historias!$F$6:$F$137,$B88,Historias!$A$6:$A$137,G$67), "")</f>
        <v/>
      </c>
      <c r="H88" s="134" t="str">
        <f>IF(H$67&lt;&gt;"", SUMIFS(Historias!$H$6:$H$137,Historias!$F$6:$F$137,$B88,Historias!$A$6:$A$137,H$67), "")</f>
        <v/>
      </c>
      <c r="I88" s="83"/>
      <c r="J88" s="91"/>
      <c r="K88" s="135">
        <f t="shared" si="187"/>
        <v>44868</v>
      </c>
      <c r="L88" s="136">
        <f>IF(AND($K88&lt;=TODAY(),L$67&lt;&gt;""),L87+SUMIFS(Historias!$H$6:$H$135,Historias!$F$6:$F$135,$K88,Historias!$A$6:$A$135,L$67),"")</f>
        <v>12</v>
      </c>
      <c r="M88" s="136">
        <f>IF(AND($K88&lt;=TODAY(),M$67&lt;&gt;""),M87+SUMIFS(Historias!$H$6:$H$135,Historias!$F$6:$F$135,$K88,Historias!$A$6:$A$135,M$67),"")</f>
        <v>19</v>
      </c>
      <c r="N88" s="136">
        <f>IF(AND($K88&lt;=TODAY(),N$67&lt;&gt;""),N87+SUMIFS(Historias!$H$6:$H$135,Historias!$F$6:$F$135,$K88,Historias!$A$6:$A$135,N$67),"")</f>
        <v>25</v>
      </c>
      <c r="O88" s="136">
        <f>IF(AND($K88&lt;=TODAY(),O$67&lt;&gt;""),O87+SUMIFS(Historias!$H$6:$H$135,Historias!$F$6:$F$135,$K88,Historias!$A$6:$A$135,O$67),"")</f>
        <v>14.5</v>
      </c>
      <c r="P88" s="136" t="str">
        <f>IF(AND($K88&lt;=TODAY(),P$67&lt;&gt;""),P87+SUMIFS(Historias!$H$6:$H$135,Historias!$F$6:$F$135,$K88,Historias!$A$6:$A$135,P$67),"")</f>
        <v/>
      </c>
      <c r="Q88" s="136" t="str">
        <f>IF(AND($K88&lt;=TODAY(),Q$67&lt;&gt;""),Q87+SUMIFS(Historias!$H$6:$H$135,Historias!$F$6:$F$135,$K88,Historias!$A$6:$A$135,Q$67),"")</f>
        <v/>
      </c>
      <c r="R88" s="137">
        <f t="shared" si="188"/>
        <v>44868</v>
      </c>
      <c r="S88" s="109">
        <f t="shared" ref="S88:X88" si="228">IF($K88&lt;&gt;"", IF(max($C88:$H88)&gt;0,IF(L88 = max($L88:$Q88), 1 , 0), S87), "")</f>
        <v>0</v>
      </c>
      <c r="T88" s="109">
        <f t="shared" si="228"/>
        <v>0</v>
      </c>
      <c r="U88" s="109">
        <f t="shared" si="228"/>
        <v>1</v>
      </c>
      <c r="V88" s="109">
        <f t="shared" si="228"/>
        <v>0</v>
      </c>
      <c r="W88" s="109">
        <f t="shared" si="228"/>
        <v>0</v>
      </c>
      <c r="X88" s="109">
        <f t="shared" si="228"/>
        <v>0</v>
      </c>
      <c r="Y88" s="137">
        <f t="shared" si="190"/>
        <v>44868</v>
      </c>
      <c r="Z88" s="94">
        <f t="shared" ref="Z88:AE88" si="229">IF($K88&lt;&gt;"", IF(L88 = max($L88:$Q88), (L88-AVERAGE($L88:$Q88)) , 0), 0)</f>
        <v>0</v>
      </c>
      <c r="AA88" s="94">
        <f t="shared" si="229"/>
        <v>0</v>
      </c>
      <c r="AB88" s="94">
        <f t="shared" si="229"/>
        <v>7.375</v>
      </c>
      <c r="AC88" s="94">
        <f t="shared" si="229"/>
        <v>0</v>
      </c>
      <c r="AD88" s="94">
        <f t="shared" si="229"/>
        <v>0</v>
      </c>
      <c r="AE88" s="94">
        <f t="shared" si="229"/>
        <v>0</v>
      </c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</row>
    <row r="89">
      <c r="A89" s="91"/>
      <c r="B89" s="138">
        <f>Resumen!B24</f>
        <v>44869</v>
      </c>
      <c r="C89" s="134">
        <f>IF(C$67&lt;&gt;"", SUMIFS(Historias!$H$6:$H$137,Historias!$F$6:$F$137,$B89,Historias!$A$6:$A$137,C$67), "")</f>
        <v>0</v>
      </c>
      <c r="D89" s="134">
        <f>IF(D$67&lt;&gt;"", SUMIFS(Historias!$H$6:$H$137,Historias!$F$6:$F$137,$B89,Historias!$A$6:$A$137,D$67), "")</f>
        <v>0</v>
      </c>
      <c r="E89" s="134">
        <f>IF(E$67&lt;&gt;"", SUMIFS(Historias!$H$6:$H$137,Historias!$F$6:$F$137,$B89,Historias!$A$6:$A$137,E$67), "")</f>
        <v>0</v>
      </c>
      <c r="F89" s="134">
        <f>IF(F$67&lt;&gt;"", SUMIFS(Historias!$H$6:$H$137,Historias!$F$6:$F$137,$B89,Historias!$A$6:$A$137,F$67), "")</f>
        <v>0</v>
      </c>
      <c r="G89" s="134" t="str">
        <f>IF(G$67&lt;&gt;"", SUMIFS(Historias!$H$6:$H$137,Historias!$F$6:$F$137,$B89,Historias!$A$6:$A$137,G$67), "")</f>
        <v/>
      </c>
      <c r="H89" s="134" t="str">
        <f>IF(H$67&lt;&gt;"", SUMIFS(Historias!$H$6:$H$137,Historias!$F$6:$F$137,$B89,Historias!$A$6:$A$137,H$67), "")</f>
        <v/>
      </c>
      <c r="I89" s="83"/>
      <c r="J89" s="91"/>
      <c r="K89" s="135">
        <f t="shared" si="187"/>
        <v>44869</v>
      </c>
      <c r="L89" s="136">
        <f>IF(AND($K89&lt;=TODAY(),L$67&lt;&gt;""),L88+SUMIFS(Historias!$H$6:$H$135,Historias!$F$6:$F$135,$K89,Historias!$A$6:$A$135,L$67),"")</f>
        <v>12</v>
      </c>
      <c r="M89" s="136">
        <f>IF(AND($K89&lt;=TODAY(),M$67&lt;&gt;""),M88+SUMIFS(Historias!$H$6:$H$135,Historias!$F$6:$F$135,$K89,Historias!$A$6:$A$135,M$67),"")</f>
        <v>19</v>
      </c>
      <c r="N89" s="136">
        <f>IF(AND($K89&lt;=TODAY(),N$67&lt;&gt;""),N88+SUMIFS(Historias!$H$6:$H$135,Historias!$F$6:$F$135,$K89,Historias!$A$6:$A$135,N$67),"")</f>
        <v>25</v>
      </c>
      <c r="O89" s="136">
        <f>IF(AND($K89&lt;=TODAY(),O$67&lt;&gt;""),O88+SUMIFS(Historias!$H$6:$H$135,Historias!$F$6:$F$135,$K89,Historias!$A$6:$A$135,O$67),"")</f>
        <v>14.5</v>
      </c>
      <c r="P89" s="136" t="str">
        <f>IF(AND($K89&lt;=TODAY(),P$67&lt;&gt;""),P88+SUMIFS(Historias!$H$6:$H$135,Historias!$F$6:$F$135,$K89,Historias!$A$6:$A$135,P$67),"")</f>
        <v/>
      </c>
      <c r="Q89" s="136" t="str">
        <f>IF(AND($K89&lt;=TODAY(),Q$67&lt;&gt;""),Q88+SUMIFS(Historias!$H$6:$H$135,Historias!$F$6:$F$135,$K89,Historias!$A$6:$A$135,Q$67),"")</f>
        <v/>
      </c>
      <c r="R89" s="137">
        <f t="shared" si="188"/>
        <v>44869</v>
      </c>
      <c r="S89" s="109">
        <f t="shared" ref="S89:X89" si="230">IF($K89&lt;&gt;"", IF(max($C89:$H89)&gt;0,IF(L89 = max($L89:$Q89), 1 , 0), S88), "")</f>
        <v>0</v>
      </c>
      <c r="T89" s="109">
        <f t="shared" si="230"/>
        <v>0</v>
      </c>
      <c r="U89" s="109">
        <f t="shared" si="230"/>
        <v>1</v>
      </c>
      <c r="V89" s="109">
        <f t="shared" si="230"/>
        <v>0</v>
      </c>
      <c r="W89" s="109">
        <f t="shared" si="230"/>
        <v>0</v>
      </c>
      <c r="X89" s="109">
        <f t="shared" si="230"/>
        <v>0</v>
      </c>
      <c r="Y89" s="137">
        <f t="shared" si="190"/>
        <v>44869</v>
      </c>
      <c r="Z89" s="94">
        <f t="shared" ref="Z89:AE89" si="231">IF($K89&lt;&gt;"", IF(L89 = max($L89:$Q89), (L89-AVERAGE($L89:$Q89)) , 0), 0)</f>
        <v>0</v>
      </c>
      <c r="AA89" s="94">
        <f t="shared" si="231"/>
        <v>0</v>
      </c>
      <c r="AB89" s="94">
        <f t="shared" si="231"/>
        <v>7.375</v>
      </c>
      <c r="AC89" s="94">
        <f t="shared" si="231"/>
        <v>0</v>
      </c>
      <c r="AD89" s="94">
        <f t="shared" si="231"/>
        <v>0</v>
      </c>
      <c r="AE89" s="94">
        <f t="shared" si="231"/>
        <v>0</v>
      </c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</row>
    <row r="90">
      <c r="A90" s="91"/>
      <c r="B90" s="138" t="str">
        <f>Resumen!B25</f>
        <v/>
      </c>
      <c r="C90" s="134">
        <f>IF(C$67&lt;&gt;"", SUMIFS(Historias!$H$6:$H$137,Historias!$F$6:$F$137,$B90,Historias!$A$6:$A$137,C$67), "")</f>
        <v>0</v>
      </c>
      <c r="D90" s="134">
        <f>IF(D$67&lt;&gt;"", SUMIFS(Historias!$H$6:$H$137,Historias!$F$6:$F$137,$B90,Historias!$A$6:$A$137,D$67), "")</f>
        <v>0</v>
      </c>
      <c r="E90" s="134">
        <f>IF(E$67&lt;&gt;"", SUMIFS(Historias!$H$6:$H$137,Historias!$F$6:$F$137,$B90,Historias!$A$6:$A$137,E$67), "")</f>
        <v>0</v>
      </c>
      <c r="F90" s="134">
        <f>IF(F$67&lt;&gt;"", SUMIFS(Historias!$H$6:$H$137,Historias!$F$6:$F$137,$B90,Historias!$A$6:$A$137,F$67), "")</f>
        <v>0</v>
      </c>
      <c r="G90" s="134" t="str">
        <f>IF(G$67&lt;&gt;"", SUMIFS(Historias!$H$6:$H$137,Historias!$F$6:$F$137,$B90,Historias!$A$6:$A$137,G$67), "")</f>
        <v/>
      </c>
      <c r="H90" s="134" t="str">
        <f>IF(H$67&lt;&gt;"", SUMIFS(Historias!$H$6:$H$137,Historias!$F$6:$F$137,$B90,Historias!$A$6:$A$137,H$67), "")</f>
        <v/>
      </c>
      <c r="I90" s="83"/>
      <c r="J90" s="91"/>
      <c r="K90" s="135" t="str">
        <f t="shared" si="187"/>
        <v/>
      </c>
      <c r="L90" s="136" t="str">
        <f>IF(AND($K90&lt;=TODAY(),L$67&lt;&gt;""),L89+SUMIFS(Historias!$H$6:$H$135,Historias!$F$6:$F$135,$K90,Historias!$A$6:$A$135,L$67),"")</f>
        <v/>
      </c>
      <c r="M90" s="136" t="str">
        <f>IF(AND($K90&lt;=TODAY(),M$67&lt;&gt;""),M89+SUMIFS(Historias!$H$6:$H$135,Historias!$F$6:$F$135,$K90,Historias!$A$6:$A$135,M$67),"")</f>
        <v/>
      </c>
      <c r="N90" s="136" t="str">
        <f>IF(AND($K90&lt;=TODAY(),N$67&lt;&gt;""),N89+SUMIFS(Historias!$H$6:$H$135,Historias!$F$6:$F$135,$K90,Historias!$A$6:$A$135,N$67),"")</f>
        <v/>
      </c>
      <c r="O90" s="136" t="str">
        <f>IF(AND($K90&lt;=TODAY(),O$67&lt;&gt;""),O89+SUMIFS(Historias!$H$6:$H$135,Historias!$F$6:$F$135,$K90,Historias!$A$6:$A$135,O$67),"")</f>
        <v/>
      </c>
      <c r="P90" s="136" t="str">
        <f>IF(AND($K90&lt;=TODAY(),P$67&lt;&gt;""),P89+SUMIFS(Historias!$H$6:$H$135,Historias!$F$6:$F$135,$K90,Historias!$A$6:$A$135,P$67),"")</f>
        <v/>
      </c>
      <c r="Q90" s="136" t="str">
        <f>IF(AND($K90&lt;=TODAY(),Q$67&lt;&gt;""),Q89+SUMIFS(Historias!$H$6:$H$135,Historias!$F$6:$F$135,$K90,Historias!$A$6:$A$135,Q$67),"")</f>
        <v/>
      </c>
      <c r="R90" s="137" t="str">
        <f t="shared" si="188"/>
        <v/>
      </c>
      <c r="S90" s="109" t="str">
        <f t="shared" ref="S90:X90" si="232">IF($K90&lt;&gt;"", IF(max($C90:$H90)&gt;0,IF(L90 = max($L90:$Q90), 1 , 0), S89), "")</f>
        <v/>
      </c>
      <c r="T90" s="109" t="str">
        <f t="shared" si="232"/>
        <v/>
      </c>
      <c r="U90" s="109" t="str">
        <f t="shared" si="232"/>
        <v/>
      </c>
      <c r="V90" s="109" t="str">
        <f t="shared" si="232"/>
        <v/>
      </c>
      <c r="W90" s="109" t="str">
        <f t="shared" si="232"/>
        <v/>
      </c>
      <c r="X90" s="109" t="str">
        <f t="shared" si="232"/>
        <v/>
      </c>
      <c r="Y90" s="137" t="str">
        <f t="shared" si="190"/>
        <v/>
      </c>
      <c r="Z90" s="94">
        <f t="shared" ref="Z90:AE90" si="233">IF($K90&lt;&gt;"", IF(L90 = max($L90:$Q90), (L90-AVERAGE($L90:$Q90)) , 0), 0)</f>
        <v>0</v>
      </c>
      <c r="AA90" s="94">
        <f t="shared" si="233"/>
        <v>0</v>
      </c>
      <c r="AB90" s="94">
        <f t="shared" si="233"/>
        <v>0</v>
      </c>
      <c r="AC90" s="94">
        <f t="shared" si="233"/>
        <v>0</v>
      </c>
      <c r="AD90" s="94">
        <f t="shared" si="233"/>
        <v>0</v>
      </c>
      <c r="AE90" s="94">
        <f t="shared" si="233"/>
        <v>0</v>
      </c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</row>
    <row r="91">
      <c r="A91" s="91"/>
      <c r="B91" s="138" t="str">
        <f>Resumen!B26</f>
        <v/>
      </c>
      <c r="C91" s="134">
        <f>IF(C$67&lt;&gt;"", SUMIFS(Historias!$H$6:$H$137,Historias!$F$6:$F$137,$B91,Historias!$A$6:$A$137,C$67), "")</f>
        <v>0</v>
      </c>
      <c r="D91" s="134">
        <f>IF(D$67&lt;&gt;"", SUMIFS(Historias!$H$6:$H$137,Historias!$F$6:$F$137,$B91,Historias!$A$6:$A$137,D$67), "")</f>
        <v>0</v>
      </c>
      <c r="E91" s="134">
        <f>IF(E$67&lt;&gt;"", SUMIFS(Historias!$H$6:$H$137,Historias!$F$6:$F$137,$B91,Historias!$A$6:$A$137,E$67), "")</f>
        <v>0</v>
      </c>
      <c r="F91" s="134">
        <f>IF(F$67&lt;&gt;"", SUMIFS(Historias!$H$6:$H$137,Historias!$F$6:$F$137,$B91,Historias!$A$6:$A$137,F$67), "")</f>
        <v>0</v>
      </c>
      <c r="G91" s="134" t="str">
        <f>IF(G$67&lt;&gt;"", SUMIFS(Historias!$H$6:$H$137,Historias!$F$6:$F$137,$B91,Historias!$A$6:$A$137,G$67), "")</f>
        <v/>
      </c>
      <c r="H91" s="134" t="str">
        <f>IF(H$67&lt;&gt;"", SUMIFS(Historias!$H$6:$H$137,Historias!$F$6:$F$137,$B91,Historias!$A$6:$A$137,H$67), "")</f>
        <v/>
      </c>
      <c r="I91" s="83"/>
      <c r="J91" s="91"/>
      <c r="K91" s="135" t="str">
        <f t="shared" si="187"/>
        <v/>
      </c>
      <c r="L91" s="136" t="str">
        <f>IF(AND($K91&lt;=TODAY(),L$67&lt;&gt;""),L90+SUMIFS(Historias!$H$6:$H$135,Historias!$F$6:$F$135,$K91,Historias!$A$6:$A$135,L$67),"")</f>
        <v/>
      </c>
      <c r="M91" s="136" t="str">
        <f>IF(AND($K91&lt;=TODAY(),M$67&lt;&gt;""),M90+SUMIFS(Historias!$H$6:$H$135,Historias!$F$6:$F$135,$K91,Historias!$A$6:$A$135,M$67),"")</f>
        <v/>
      </c>
      <c r="N91" s="136" t="str">
        <f>IF(AND($K91&lt;=TODAY(),N$67&lt;&gt;""),N90+SUMIFS(Historias!$H$6:$H$135,Historias!$F$6:$F$135,$K91,Historias!$A$6:$A$135,N$67),"")</f>
        <v/>
      </c>
      <c r="O91" s="136" t="str">
        <f>IF(AND($K91&lt;=TODAY(),O$67&lt;&gt;""),O90+SUMIFS(Historias!$H$6:$H$135,Historias!$F$6:$F$135,$K91,Historias!$A$6:$A$135,O$67),"")</f>
        <v/>
      </c>
      <c r="P91" s="136" t="str">
        <f>IF(AND($K91&lt;=TODAY(),P$67&lt;&gt;""),P90+SUMIFS(Historias!$H$6:$H$135,Historias!$F$6:$F$135,$K91,Historias!$A$6:$A$135,P$67),"")</f>
        <v/>
      </c>
      <c r="Q91" s="136" t="str">
        <f>IF(AND($K91&lt;=TODAY(),Q$67&lt;&gt;""),Q90+SUMIFS(Historias!$H$6:$H$135,Historias!$F$6:$F$135,$K91,Historias!$A$6:$A$135,Q$67),"")</f>
        <v/>
      </c>
      <c r="R91" s="137" t="str">
        <f t="shared" si="188"/>
        <v/>
      </c>
      <c r="S91" s="109" t="str">
        <f t="shared" ref="S91:X91" si="234">IF($K91&lt;&gt;"", IF(max($C91:$H91)&gt;0,IF(L91 = max($L91:$Q91), 1 , 0), S90), "")</f>
        <v/>
      </c>
      <c r="T91" s="109" t="str">
        <f t="shared" si="234"/>
        <v/>
      </c>
      <c r="U91" s="109" t="str">
        <f t="shared" si="234"/>
        <v/>
      </c>
      <c r="V91" s="109" t="str">
        <f t="shared" si="234"/>
        <v/>
      </c>
      <c r="W91" s="109" t="str">
        <f t="shared" si="234"/>
        <v/>
      </c>
      <c r="X91" s="109" t="str">
        <f t="shared" si="234"/>
        <v/>
      </c>
      <c r="Y91" s="137" t="str">
        <f t="shared" si="190"/>
        <v/>
      </c>
      <c r="Z91" s="94">
        <f t="shared" ref="Z91:AE91" si="235">IF($K91&lt;&gt;"", IF(L91 = max($L91:$Q91), (L91-AVERAGE($L91:$Q91)) , 0), 0)</f>
        <v>0</v>
      </c>
      <c r="AA91" s="94">
        <f t="shared" si="235"/>
        <v>0</v>
      </c>
      <c r="AB91" s="94">
        <f t="shared" si="235"/>
        <v>0</v>
      </c>
      <c r="AC91" s="94">
        <f t="shared" si="235"/>
        <v>0</v>
      </c>
      <c r="AD91" s="94">
        <f t="shared" si="235"/>
        <v>0</v>
      </c>
      <c r="AE91" s="94">
        <f t="shared" si="235"/>
        <v>0</v>
      </c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</row>
    <row r="92">
      <c r="A92" s="91"/>
      <c r="B92" s="138" t="str">
        <f>Resumen!B27</f>
        <v/>
      </c>
      <c r="C92" s="134">
        <f>IF(C$67&lt;&gt;"", SUMIFS(Historias!$H$6:$H$137,Historias!$F$6:$F$137,$B92,Historias!$A$6:$A$137,C$67), "")</f>
        <v>0</v>
      </c>
      <c r="D92" s="134">
        <f>IF(D$67&lt;&gt;"", SUMIFS(Historias!$H$6:$H$137,Historias!$F$6:$F$137,$B92,Historias!$A$6:$A$137,D$67), "")</f>
        <v>0</v>
      </c>
      <c r="E92" s="134">
        <f>IF(E$67&lt;&gt;"", SUMIFS(Historias!$H$6:$H$137,Historias!$F$6:$F$137,$B92,Historias!$A$6:$A$137,E$67), "")</f>
        <v>0</v>
      </c>
      <c r="F92" s="134">
        <f>IF(F$67&lt;&gt;"", SUMIFS(Historias!$H$6:$H$137,Historias!$F$6:$F$137,$B92,Historias!$A$6:$A$137,F$67), "")</f>
        <v>0</v>
      </c>
      <c r="G92" s="134" t="str">
        <f>IF(G$67&lt;&gt;"", SUMIFS(Historias!$H$6:$H$137,Historias!$F$6:$F$137,$B92,Historias!$A$6:$A$137,G$67), "")</f>
        <v/>
      </c>
      <c r="H92" s="134" t="str">
        <f>IF(H$67&lt;&gt;"", SUMIFS(Historias!$H$6:$H$137,Historias!$F$6:$F$137,$B92,Historias!$A$6:$A$137,H$67), "")</f>
        <v/>
      </c>
      <c r="I92" s="83"/>
      <c r="J92" s="91"/>
      <c r="K92" s="135" t="str">
        <f t="shared" si="187"/>
        <v/>
      </c>
      <c r="L92" s="136" t="str">
        <f>IF(AND($K92&lt;=TODAY(),L$67&lt;&gt;""),L91+SUMIFS(Historias!$H$6:$H$135,Historias!$F$6:$F$135,$K92,Historias!$A$6:$A$135,L$67),"")</f>
        <v/>
      </c>
      <c r="M92" s="136" t="str">
        <f>IF(AND($K92&lt;=TODAY(),M$67&lt;&gt;""),M91+SUMIFS(Historias!$H$6:$H$135,Historias!$F$6:$F$135,$K92,Historias!$A$6:$A$135,M$67),"")</f>
        <v/>
      </c>
      <c r="N92" s="136" t="str">
        <f>IF(AND($K92&lt;=TODAY(),N$67&lt;&gt;""),N91+SUMIFS(Historias!$H$6:$H$135,Historias!$F$6:$F$135,$K92,Historias!$A$6:$A$135,N$67),"")</f>
        <v/>
      </c>
      <c r="O92" s="136" t="str">
        <f>IF(AND($K92&lt;=TODAY(),O$67&lt;&gt;""),O91+SUMIFS(Historias!$H$6:$H$135,Historias!$F$6:$F$135,$K92,Historias!$A$6:$A$135,O$67),"")</f>
        <v/>
      </c>
      <c r="P92" s="136" t="str">
        <f>IF(AND($K92&lt;=TODAY(),P$67&lt;&gt;""),P91+SUMIFS(Historias!$H$6:$H$135,Historias!$F$6:$F$135,$K92,Historias!$A$6:$A$135,P$67),"")</f>
        <v/>
      </c>
      <c r="Q92" s="136" t="str">
        <f>IF(AND($K92&lt;=TODAY(),Q$67&lt;&gt;""),Q91+SUMIFS(Historias!$H$6:$H$135,Historias!$F$6:$F$135,$K92,Historias!$A$6:$A$135,Q$67),"")</f>
        <v/>
      </c>
      <c r="R92" s="137" t="str">
        <f t="shared" si="188"/>
        <v/>
      </c>
      <c r="S92" s="109" t="str">
        <f t="shared" ref="S92:X92" si="236">IF($K92&lt;&gt;"", IF(max($C92:$H92)&gt;0,IF(L92 = max($L92:$Q92), 1 , 0), S91), "")</f>
        <v/>
      </c>
      <c r="T92" s="109" t="str">
        <f t="shared" si="236"/>
        <v/>
      </c>
      <c r="U92" s="109" t="str">
        <f t="shared" si="236"/>
        <v/>
      </c>
      <c r="V92" s="109" t="str">
        <f t="shared" si="236"/>
        <v/>
      </c>
      <c r="W92" s="109" t="str">
        <f t="shared" si="236"/>
        <v/>
      </c>
      <c r="X92" s="109" t="str">
        <f t="shared" si="236"/>
        <v/>
      </c>
      <c r="Y92" s="137" t="str">
        <f t="shared" si="190"/>
        <v/>
      </c>
      <c r="Z92" s="94">
        <f t="shared" ref="Z92:AE92" si="237">IF($K92&lt;&gt;"", IF(L92 = max($L92:$Q92), (L92-AVERAGE($L92:$Q92)) , 0), 0)</f>
        <v>0</v>
      </c>
      <c r="AA92" s="94">
        <f t="shared" si="237"/>
        <v>0</v>
      </c>
      <c r="AB92" s="94">
        <f t="shared" si="237"/>
        <v>0</v>
      </c>
      <c r="AC92" s="94">
        <f t="shared" si="237"/>
        <v>0</v>
      </c>
      <c r="AD92" s="94">
        <f t="shared" si="237"/>
        <v>0</v>
      </c>
      <c r="AE92" s="94">
        <f t="shared" si="237"/>
        <v>0</v>
      </c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</row>
    <row r="93">
      <c r="A93" s="91"/>
      <c r="B93" s="138" t="str">
        <f>Resumen!B28</f>
        <v/>
      </c>
      <c r="C93" s="134">
        <f>IF(C$67&lt;&gt;"", SUMIFS(Historias!$H$6:$H$137,Historias!$F$6:$F$137,$B93,Historias!$A$6:$A$137,C$67), "")</f>
        <v>0</v>
      </c>
      <c r="D93" s="134">
        <f>IF(D$67&lt;&gt;"", SUMIFS(Historias!$H$6:$H$137,Historias!$F$6:$F$137,$B93,Historias!$A$6:$A$137,D$67), "")</f>
        <v>0</v>
      </c>
      <c r="E93" s="134">
        <f>IF(E$67&lt;&gt;"", SUMIFS(Historias!$H$6:$H$137,Historias!$F$6:$F$137,$B93,Historias!$A$6:$A$137,E$67), "")</f>
        <v>0</v>
      </c>
      <c r="F93" s="134">
        <f>IF(F$67&lt;&gt;"", SUMIFS(Historias!$H$6:$H$137,Historias!$F$6:$F$137,$B93,Historias!$A$6:$A$137,F$67), "")</f>
        <v>0</v>
      </c>
      <c r="G93" s="134" t="str">
        <f>IF(G$67&lt;&gt;"", SUMIFS(Historias!$H$6:$H$137,Historias!$F$6:$F$137,$B93,Historias!$A$6:$A$137,G$67), "")</f>
        <v/>
      </c>
      <c r="H93" s="134" t="str">
        <f>IF(H$67&lt;&gt;"", SUMIFS(Historias!$H$6:$H$137,Historias!$F$6:$F$137,$B93,Historias!$A$6:$A$137,H$67), "")</f>
        <v/>
      </c>
      <c r="I93" s="83"/>
      <c r="J93" s="91"/>
      <c r="K93" s="135" t="str">
        <f t="shared" si="187"/>
        <v/>
      </c>
      <c r="L93" s="136" t="str">
        <f>IF(AND($K93&lt;=TODAY(),L$67&lt;&gt;""),L92+SUMIFS(Historias!$H$6:$H$135,Historias!$F$6:$F$135,$K93,Historias!$A$6:$A$135,L$67),"")</f>
        <v/>
      </c>
      <c r="M93" s="136" t="str">
        <f>IF(AND($K93&lt;=TODAY(),M$67&lt;&gt;""),M92+SUMIFS(Historias!$H$6:$H$135,Historias!$F$6:$F$135,$K93,Historias!$A$6:$A$135,M$67),"")</f>
        <v/>
      </c>
      <c r="N93" s="136" t="str">
        <f>IF(AND($K93&lt;=TODAY(),N$67&lt;&gt;""),N92+SUMIFS(Historias!$H$6:$H$135,Historias!$F$6:$F$135,$K93,Historias!$A$6:$A$135,N$67),"")</f>
        <v/>
      </c>
      <c r="O93" s="136" t="str">
        <f>IF(AND($K93&lt;=TODAY(),O$67&lt;&gt;""),O92+SUMIFS(Historias!$H$6:$H$135,Historias!$F$6:$F$135,$K93,Historias!$A$6:$A$135,O$67),"")</f>
        <v/>
      </c>
      <c r="P93" s="136" t="str">
        <f>IF(AND($K93&lt;=TODAY(),P$67&lt;&gt;""),P92+SUMIFS(Historias!$H$6:$H$135,Historias!$F$6:$F$135,$K93,Historias!$A$6:$A$135,P$67),"")</f>
        <v/>
      </c>
      <c r="Q93" s="136" t="str">
        <f>IF(AND($K93&lt;=TODAY(),Q$67&lt;&gt;""),Q92+SUMIFS(Historias!$H$6:$H$135,Historias!$F$6:$F$135,$K93,Historias!$A$6:$A$135,Q$67),"")</f>
        <v/>
      </c>
      <c r="R93" s="137" t="str">
        <f t="shared" si="188"/>
        <v/>
      </c>
      <c r="S93" s="109" t="str">
        <f t="shared" ref="S93:X93" si="238">IF($K93&lt;&gt;"", IF(max($C93:$H93)&gt;0,IF(L93 = max($L93:$Q93), 1 , 0), S92), "")</f>
        <v/>
      </c>
      <c r="T93" s="109" t="str">
        <f t="shared" si="238"/>
        <v/>
      </c>
      <c r="U93" s="109" t="str">
        <f t="shared" si="238"/>
        <v/>
      </c>
      <c r="V93" s="109" t="str">
        <f t="shared" si="238"/>
        <v/>
      </c>
      <c r="W93" s="109" t="str">
        <f t="shared" si="238"/>
        <v/>
      </c>
      <c r="X93" s="109" t="str">
        <f t="shared" si="238"/>
        <v/>
      </c>
      <c r="Y93" s="137" t="str">
        <f t="shared" si="190"/>
        <v/>
      </c>
      <c r="Z93" s="94">
        <f t="shared" ref="Z93:AE93" si="239">IF($K93&lt;&gt;"", IF(L93 = max($L93:$Q93), (L93-AVERAGE($L93:$Q93)) , 0), 0)</f>
        <v>0</v>
      </c>
      <c r="AA93" s="94">
        <f t="shared" si="239"/>
        <v>0</v>
      </c>
      <c r="AB93" s="94">
        <f t="shared" si="239"/>
        <v>0</v>
      </c>
      <c r="AC93" s="94">
        <f t="shared" si="239"/>
        <v>0</v>
      </c>
      <c r="AD93" s="94">
        <f t="shared" si="239"/>
        <v>0</v>
      </c>
      <c r="AE93" s="94">
        <f t="shared" si="239"/>
        <v>0</v>
      </c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</row>
    <row r="94">
      <c r="A94" s="91"/>
      <c r="B94" s="138" t="str">
        <f>Resumen!B29</f>
        <v/>
      </c>
      <c r="C94" s="134">
        <f>IF(C$67&lt;&gt;"", SUMIFS(Historias!$H$6:$H$137,Historias!$F$6:$F$137,$B94,Historias!$A$6:$A$137,C$67), "")</f>
        <v>0</v>
      </c>
      <c r="D94" s="134">
        <f>IF(D$67&lt;&gt;"", SUMIFS(Historias!$H$6:$H$137,Historias!$F$6:$F$137,$B94,Historias!$A$6:$A$137,D$67), "")</f>
        <v>0</v>
      </c>
      <c r="E94" s="134">
        <f>IF(E$67&lt;&gt;"", SUMIFS(Historias!$H$6:$H$137,Historias!$F$6:$F$137,$B94,Historias!$A$6:$A$137,E$67), "")</f>
        <v>0</v>
      </c>
      <c r="F94" s="134">
        <f>IF(F$67&lt;&gt;"", SUMIFS(Historias!$H$6:$H$137,Historias!$F$6:$F$137,$B94,Historias!$A$6:$A$137,F$67), "")</f>
        <v>0</v>
      </c>
      <c r="G94" s="134" t="str">
        <f>IF(G$67&lt;&gt;"", SUMIFS(Historias!$H$6:$H$137,Historias!$F$6:$F$137,$B94,Historias!$A$6:$A$137,G$67), "")</f>
        <v/>
      </c>
      <c r="H94" s="134" t="str">
        <f>IF(H$67&lt;&gt;"", SUMIFS(Historias!$H$6:$H$137,Historias!$F$6:$F$137,$B94,Historias!$A$6:$A$137,H$67), "")</f>
        <v/>
      </c>
      <c r="I94" s="83"/>
      <c r="J94" s="91"/>
      <c r="K94" s="135" t="str">
        <f t="shared" si="187"/>
        <v/>
      </c>
      <c r="L94" s="136" t="str">
        <f>IF(AND($K94&lt;=TODAY(),L$67&lt;&gt;""),L93+SUMIFS(Historias!$H$6:$H$135,Historias!$F$6:$F$135,$K94,Historias!$A$6:$A$135,L$67),"")</f>
        <v/>
      </c>
      <c r="M94" s="136" t="str">
        <f>IF(AND($K94&lt;=TODAY(),M$67&lt;&gt;""),M93+SUMIFS(Historias!$H$6:$H$135,Historias!$F$6:$F$135,$K94,Historias!$A$6:$A$135,M$67),"")</f>
        <v/>
      </c>
      <c r="N94" s="136" t="str">
        <f>IF(AND($K94&lt;=TODAY(),N$67&lt;&gt;""),N93+SUMIFS(Historias!$H$6:$H$135,Historias!$F$6:$F$135,$K94,Historias!$A$6:$A$135,N$67),"")</f>
        <v/>
      </c>
      <c r="O94" s="136" t="str">
        <f>IF(AND($K94&lt;=TODAY(),O$67&lt;&gt;""),O93+SUMIFS(Historias!$H$6:$H$135,Historias!$F$6:$F$135,$K94,Historias!$A$6:$A$135,O$67),"")</f>
        <v/>
      </c>
      <c r="P94" s="136" t="str">
        <f>IF(AND($K94&lt;=TODAY(),P$67&lt;&gt;""),P93+SUMIFS(Historias!$H$6:$H$135,Historias!$F$6:$F$135,$K94,Historias!$A$6:$A$135,P$67),"")</f>
        <v/>
      </c>
      <c r="Q94" s="136" t="str">
        <f>IF(AND($K94&lt;=TODAY(),Q$67&lt;&gt;""),Q93+SUMIFS(Historias!$H$6:$H$135,Historias!$F$6:$F$135,$K94,Historias!$A$6:$A$135,Q$67),"")</f>
        <v/>
      </c>
      <c r="R94" s="137" t="str">
        <f t="shared" si="188"/>
        <v/>
      </c>
      <c r="S94" s="109" t="str">
        <f t="shared" ref="S94:X94" si="240">IF($K94&lt;&gt;"", IF(max($C94:$H94)&gt;0,IF(L94 = max($L94:$Q94), 1 , 0), S93), "")</f>
        <v/>
      </c>
      <c r="T94" s="109" t="str">
        <f t="shared" si="240"/>
        <v/>
      </c>
      <c r="U94" s="109" t="str">
        <f t="shared" si="240"/>
        <v/>
      </c>
      <c r="V94" s="109" t="str">
        <f t="shared" si="240"/>
        <v/>
      </c>
      <c r="W94" s="109" t="str">
        <f t="shared" si="240"/>
        <v/>
      </c>
      <c r="X94" s="109" t="str">
        <f t="shared" si="240"/>
        <v/>
      </c>
      <c r="Y94" s="137" t="str">
        <f t="shared" si="190"/>
        <v/>
      </c>
      <c r="Z94" s="94">
        <f t="shared" ref="Z94:AE94" si="241">IF($K94&lt;&gt;"", IF(L94 = max($L94:$Q94), (L94-AVERAGE($L94:$Q94)) , 0), 0)</f>
        <v>0</v>
      </c>
      <c r="AA94" s="94">
        <f t="shared" si="241"/>
        <v>0</v>
      </c>
      <c r="AB94" s="94">
        <f t="shared" si="241"/>
        <v>0</v>
      </c>
      <c r="AC94" s="94">
        <f t="shared" si="241"/>
        <v>0</v>
      </c>
      <c r="AD94" s="94">
        <f t="shared" si="241"/>
        <v>0</v>
      </c>
      <c r="AE94" s="94">
        <f t="shared" si="241"/>
        <v>0</v>
      </c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</row>
    <row r="95">
      <c r="A95" s="91"/>
      <c r="B95" s="138" t="str">
        <f>Resumen!B30</f>
        <v/>
      </c>
      <c r="C95" s="134">
        <f>IF(C$67&lt;&gt;"", SUMIFS(Historias!$H$6:$H$137,Historias!$F$6:$F$137,$B95,Historias!$A$6:$A$137,C$67), "")</f>
        <v>0</v>
      </c>
      <c r="D95" s="134">
        <f>IF(D$67&lt;&gt;"", SUMIFS(Historias!$H$6:$H$137,Historias!$F$6:$F$137,$B95,Historias!$A$6:$A$137,D$67), "")</f>
        <v>0</v>
      </c>
      <c r="E95" s="134">
        <f>IF(E$67&lt;&gt;"", SUMIFS(Historias!$H$6:$H$137,Historias!$F$6:$F$137,$B95,Historias!$A$6:$A$137,E$67), "")</f>
        <v>0</v>
      </c>
      <c r="F95" s="134">
        <f>IF(F$67&lt;&gt;"", SUMIFS(Historias!$H$6:$H$137,Historias!$F$6:$F$137,$B95,Historias!$A$6:$A$137,F$67), "")</f>
        <v>0</v>
      </c>
      <c r="G95" s="134" t="str">
        <f>IF(G$67&lt;&gt;"", SUMIFS(Historias!$H$6:$H$137,Historias!$F$6:$F$137,$B95,Historias!$A$6:$A$137,G$67), "")</f>
        <v/>
      </c>
      <c r="H95" s="134" t="str">
        <f>IF(H$67&lt;&gt;"", SUMIFS(Historias!$H$6:$H$137,Historias!$F$6:$F$137,$B95,Historias!$A$6:$A$137,H$67), "")</f>
        <v/>
      </c>
      <c r="I95" s="83"/>
      <c r="J95" s="91"/>
      <c r="K95" s="135" t="str">
        <f t="shared" si="187"/>
        <v/>
      </c>
      <c r="L95" s="136" t="str">
        <f>IF(AND($K95&lt;=TODAY(),L$67&lt;&gt;""),L94+SUMIFS(Historias!$H$6:$H$135,Historias!$F$6:$F$135,$K95,Historias!$A$6:$A$135,L$67),"")</f>
        <v/>
      </c>
      <c r="M95" s="136" t="str">
        <f>IF(AND($K95&lt;=TODAY(),M$67&lt;&gt;""),M94+SUMIFS(Historias!$H$6:$H$135,Historias!$F$6:$F$135,$K95,Historias!$A$6:$A$135,M$67),"")</f>
        <v/>
      </c>
      <c r="N95" s="136" t="str">
        <f>IF(AND($K95&lt;=TODAY(),N$67&lt;&gt;""),N94+SUMIFS(Historias!$H$6:$H$135,Historias!$F$6:$F$135,$K95,Historias!$A$6:$A$135,N$67),"")</f>
        <v/>
      </c>
      <c r="O95" s="136" t="str">
        <f>IF(AND($K95&lt;=TODAY(),O$67&lt;&gt;""),O94+SUMIFS(Historias!$H$6:$H$135,Historias!$F$6:$F$135,$K95,Historias!$A$6:$A$135,O$67),"")</f>
        <v/>
      </c>
      <c r="P95" s="136" t="str">
        <f>IF(AND($K95&lt;=TODAY(),P$67&lt;&gt;""),P94+SUMIFS(Historias!$H$6:$H$135,Historias!$F$6:$F$135,$K95,Historias!$A$6:$A$135,P$67),"")</f>
        <v/>
      </c>
      <c r="Q95" s="136" t="str">
        <f>IF(AND($K95&lt;=TODAY(),Q$67&lt;&gt;""),Q94+SUMIFS(Historias!$H$6:$H$135,Historias!$F$6:$F$135,$K95,Historias!$A$6:$A$135,Q$67),"")</f>
        <v/>
      </c>
      <c r="R95" s="137" t="str">
        <f t="shared" si="188"/>
        <v/>
      </c>
      <c r="S95" s="109" t="str">
        <f t="shared" ref="S95:X95" si="242">IF($K95&lt;&gt;"", IF(max($C95:$H95)&gt;0,IF(L95 = max($L95:$Q95), 1 , 0), S94), "")</f>
        <v/>
      </c>
      <c r="T95" s="109" t="str">
        <f t="shared" si="242"/>
        <v/>
      </c>
      <c r="U95" s="109" t="str">
        <f t="shared" si="242"/>
        <v/>
      </c>
      <c r="V95" s="109" t="str">
        <f t="shared" si="242"/>
        <v/>
      </c>
      <c r="W95" s="109" t="str">
        <f t="shared" si="242"/>
        <v/>
      </c>
      <c r="X95" s="109" t="str">
        <f t="shared" si="242"/>
        <v/>
      </c>
      <c r="Y95" s="137" t="str">
        <f t="shared" si="190"/>
        <v/>
      </c>
      <c r="Z95" s="94">
        <f t="shared" ref="Z95:AE95" si="243">IF($K95&lt;&gt;"", IF(L95 = max($L95:$Q95), (L95-AVERAGE($L95:$Q95)) , 0), 0)</f>
        <v>0</v>
      </c>
      <c r="AA95" s="94">
        <f t="shared" si="243"/>
        <v>0</v>
      </c>
      <c r="AB95" s="94">
        <f t="shared" si="243"/>
        <v>0</v>
      </c>
      <c r="AC95" s="94">
        <f t="shared" si="243"/>
        <v>0</v>
      </c>
      <c r="AD95" s="94">
        <f t="shared" si="243"/>
        <v>0</v>
      </c>
      <c r="AE95" s="94">
        <f t="shared" si="243"/>
        <v>0</v>
      </c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</row>
    <row r="96">
      <c r="A96" s="91"/>
      <c r="B96" s="138" t="str">
        <f>Resumen!B31</f>
        <v/>
      </c>
      <c r="C96" s="134">
        <f>IF(C$67&lt;&gt;"", SUMIFS(Historias!$H$6:$H$137,Historias!$F$6:$F$137,$B96,Historias!$A$6:$A$137,C$67), "")</f>
        <v>0</v>
      </c>
      <c r="D96" s="134">
        <f>IF(D$67&lt;&gt;"", SUMIFS(Historias!$H$6:$H$137,Historias!$F$6:$F$137,$B96,Historias!$A$6:$A$137,D$67), "")</f>
        <v>0</v>
      </c>
      <c r="E96" s="134">
        <f>IF(E$67&lt;&gt;"", SUMIFS(Historias!$H$6:$H$137,Historias!$F$6:$F$137,$B96,Historias!$A$6:$A$137,E$67), "")</f>
        <v>0</v>
      </c>
      <c r="F96" s="134">
        <f>IF(F$67&lt;&gt;"", SUMIFS(Historias!$H$6:$H$137,Historias!$F$6:$F$137,$B96,Historias!$A$6:$A$137,F$67), "")</f>
        <v>0</v>
      </c>
      <c r="G96" s="134" t="str">
        <f>IF(G$67&lt;&gt;"", SUMIFS(Historias!$H$6:$H$137,Historias!$F$6:$F$137,$B96,Historias!$A$6:$A$137,G$67), "")</f>
        <v/>
      </c>
      <c r="H96" s="134" t="str">
        <f>IF(H$67&lt;&gt;"", SUMIFS(Historias!$H$6:$H$137,Historias!$F$6:$F$137,$B96,Historias!$A$6:$A$137,H$67), "")</f>
        <v/>
      </c>
      <c r="I96" s="83"/>
      <c r="J96" s="91"/>
      <c r="K96" s="135" t="str">
        <f t="shared" si="187"/>
        <v/>
      </c>
      <c r="L96" s="136" t="str">
        <f>IF(AND($K96&lt;=TODAY(),L$67&lt;&gt;""),L95+SUMIFS(Historias!$H$6:$H$135,Historias!$F$6:$F$135,$K96,Historias!$A$6:$A$135,L$67),"")</f>
        <v/>
      </c>
      <c r="M96" s="136" t="str">
        <f>IF(AND($K96&lt;=TODAY(),M$67&lt;&gt;""),M95+SUMIFS(Historias!$H$6:$H$135,Historias!$F$6:$F$135,$K96,Historias!$A$6:$A$135,M$67),"")</f>
        <v/>
      </c>
      <c r="N96" s="136" t="str">
        <f>IF(AND($K96&lt;=TODAY(),N$67&lt;&gt;""),N95+SUMIFS(Historias!$H$6:$H$135,Historias!$F$6:$F$135,$K96,Historias!$A$6:$A$135,N$67),"")</f>
        <v/>
      </c>
      <c r="O96" s="136" t="str">
        <f>IF(AND($K96&lt;=TODAY(),O$67&lt;&gt;""),O95+SUMIFS(Historias!$H$6:$H$135,Historias!$F$6:$F$135,$K96,Historias!$A$6:$A$135,O$67),"")</f>
        <v/>
      </c>
      <c r="P96" s="136" t="str">
        <f>IF(AND($K96&lt;=TODAY(),P$67&lt;&gt;""),P95+SUMIFS(Historias!$H$6:$H$135,Historias!$F$6:$F$135,$K96,Historias!$A$6:$A$135,P$67),"")</f>
        <v/>
      </c>
      <c r="Q96" s="136" t="str">
        <f>IF(AND($K96&lt;=TODAY(),Q$67&lt;&gt;""),Q95+SUMIFS(Historias!$H$6:$H$135,Historias!$F$6:$F$135,$K96,Historias!$A$6:$A$135,Q$67),"")</f>
        <v/>
      </c>
      <c r="R96" s="137" t="str">
        <f t="shared" si="188"/>
        <v/>
      </c>
      <c r="S96" s="109" t="str">
        <f t="shared" ref="S96:X96" si="244">IF($K96&lt;&gt;"", IF(max($C96:$H96)&gt;0,IF(L96 = max($L96:$Q96), 1 , 0), S95), "")</f>
        <v/>
      </c>
      <c r="T96" s="109" t="str">
        <f t="shared" si="244"/>
        <v/>
      </c>
      <c r="U96" s="109" t="str">
        <f t="shared" si="244"/>
        <v/>
      </c>
      <c r="V96" s="109" t="str">
        <f t="shared" si="244"/>
        <v/>
      </c>
      <c r="W96" s="109" t="str">
        <f t="shared" si="244"/>
        <v/>
      </c>
      <c r="X96" s="109" t="str">
        <f t="shared" si="244"/>
        <v/>
      </c>
      <c r="Y96" s="137" t="str">
        <f t="shared" si="190"/>
        <v/>
      </c>
      <c r="Z96" s="94">
        <f t="shared" ref="Z96:AE96" si="245">IF($K96&lt;&gt;"", IF(L96 = max($L96:$Q96), (L96-AVERAGE($L96:$Q96)) , 0), 0)</f>
        <v>0</v>
      </c>
      <c r="AA96" s="94">
        <f t="shared" si="245"/>
        <v>0</v>
      </c>
      <c r="AB96" s="94">
        <f t="shared" si="245"/>
        <v>0</v>
      </c>
      <c r="AC96" s="94">
        <f t="shared" si="245"/>
        <v>0</v>
      </c>
      <c r="AD96" s="94">
        <f t="shared" si="245"/>
        <v>0</v>
      </c>
      <c r="AE96" s="94">
        <f t="shared" si="245"/>
        <v>0</v>
      </c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</row>
    <row r="97">
      <c r="A97" s="91"/>
      <c r="B97" s="138" t="str">
        <f>Resumen!B32</f>
        <v/>
      </c>
      <c r="C97" s="134">
        <f>IF(C$67&lt;&gt;"", SUMIFS(Historias!$H$6:$H$137,Historias!$F$6:$F$137,$B97,Historias!$A$6:$A$137,C$67), "")</f>
        <v>0</v>
      </c>
      <c r="D97" s="134">
        <f>IF(D$67&lt;&gt;"", SUMIFS(Historias!$H$6:$H$137,Historias!$F$6:$F$137,$B97,Historias!$A$6:$A$137,D$67), "")</f>
        <v>0</v>
      </c>
      <c r="E97" s="134">
        <f>IF(E$67&lt;&gt;"", SUMIFS(Historias!$H$6:$H$137,Historias!$F$6:$F$137,$B97,Historias!$A$6:$A$137,E$67), "")</f>
        <v>0</v>
      </c>
      <c r="F97" s="134">
        <f>IF(F$67&lt;&gt;"", SUMIFS(Historias!$H$6:$H$137,Historias!$F$6:$F$137,$B97,Historias!$A$6:$A$137,F$67), "")</f>
        <v>0</v>
      </c>
      <c r="G97" s="134" t="str">
        <f>IF(G$67&lt;&gt;"", SUMIFS(Historias!$H$6:$H$137,Historias!$F$6:$F$137,$B97,Historias!$A$6:$A$137,G$67), "")</f>
        <v/>
      </c>
      <c r="H97" s="134" t="str">
        <f>IF(H$67&lt;&gt;"", SUMIFS(Historias!$H$6:$H$137,Historias!$F$6:$F$137,$B97,Historias!$A$6:$A$137,H$67), "")</f>
        <v/>
      </c>
      <c r="I97" s="83"/>
      <c r="J97" s="91"/>
      <c r="K97" s="135" t="str">
        <f t="shared" si="187"/>
        <v/>
      </c>
      <c r="L97" s="136" t="str">
        <f>IF(AND($K97&lt;=TODAY(),L$67&lt;&gt;""),L96+SUMIFS(Historias!$H$6:$H$135,Historias!$F$6:$F$135,$K97,Historias!$A$6:$A$135,L$67),"")</f>
        <v/>
      </c>
      <c r="M97" s="136" t="str">
        <f>IF(AND($K97&lt;=TODAY(),M$67&lt;&gt;""),M96+SUMIFS(Historias!$H$6:$H$135,Historias!$F$6:$F$135,$K97,Historias!$A$6:$A$135,M$67),"")</f>
        <v/>
      </c>
      <c r="N97" s="136" t="str">
        <f>IF(AND($K97&lt;=TODAY(),N$67&lt;&gt;""),N96+SUMIFS(Historias!$H$6:$H$135,Historias!$F$6:$F$135,$K97,Historias!$A$6:$A$135,N$67),"")</f>
        <v/>
      </c>
      <c r="O97" s="136" t="str">
        <f>IF(AND($K97&lt;=TODAY(),O$67&lt;&gt;""),O96+SUMIFS(Historias!$H$6:$H$135,Historias!$F$6:$F$135,$K97,Historias!$A$6:$A$135,O$67),"")</f>
        <v/>
      </c>
      <c r="P97" s="136" t="str">
        <f>IF(AND($K97&lt;=TODAY(),P$67&lt;&gt;""),P96+SUMIFS(Historias!$H$6:$H$135,Historias!$F$6:$F$135,$K97,Historias!$A$6:$A$135,P$67),"")</f>
        <v/>
      </c>
      <c r="Q97" s="136" t="str">
        <f>IF(AND($K97&lt;=TODAY(),Q$67&lt;&gt;""),Q96+SUMIFS(Historias!$H$6:$H$135,Historias!$F$6:$F$135,$K97,Historias!$A$6:$A$135,Q$67),"")</f>
        <v/>
      </c>
      <c r="R97" s="137" t="str">
        <f t="shared" si="188"/>
        <v/>
      </c>
      <c r="S97" s="109" t="str">
        <f t="shared" ref="S97:X97" si="246">IF($K97&lt;&gt;"", IF(max($C97:$H97)&gt;0,IF(L97 = max($L97:$Q97), 1 , 0), S96), "")</f>
        <v/>
      </c>
      <c r="T97" s="109" t="str">
        <f t="shared" si="246"/>
        <v/>
      </c>
      <c r="U97" s="109" t="str">
        <f t="shared" si="246"/>
        <v/>
      </c>
      <c r="V97" s="109" t="str">
        <f t="shared" si="246"/>
        <v/>
      </c>
      <c r="W97" s="109" t="str">
        <f t="shared" si="246"/>
        <v/>
      </c>
      <c r="X97" s="109" t="str">
        <f t="shared" si="246"/>
        <v/>
      </c>
      <c r="Y97" s="137" t="str">
        <f t="shared" si="190"/>
        <v/>
      </c>
      <c r="Z97" s="94">
        <f t="shared" ref="Z97:AE97" si="247">IF($K97&lt;&gt;"", IF(L97 = max($L97:$Q97), (L97-AVERAGE($L97:$Q97)) , 0), 0)</f>
        <v>0</v>
      </c>
      <c r="AA97" s="94">
        <f t="shared" si="247"/>
        <v>0</v>
      </c>
      <c r="AB97" s="94">
        <f t="shared" si="247"/>
        <v>0</v>
      </c>
      <c r="AC97" s="94">
        <f t="shared" si="247"/>
        <v>0</v>
      </c>
      <c r="AD97" s="94">
        <f t="shared" si="247"/>
        <v>0</v>
      </c>
      <c r="AE97" s="94">
        <f t="shared" si="247"/>
        <v>0</v>
      </c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</row>
    <row r="98">
      <c r="A98" s="91"/>
      <c r="B98" s="138" t="str">
        <f>Resumen!B33</f>
        <v/>
      </c>
      <c r="C98" s="134">
        <f>IF(C$67&lt;&gt;"", SUMIFS(Historias!$H$6:$H$137,Historias!$F$6:$F$137,$B98,Historias!$A$6:$A$137,C$67), "")</f>
        <v>0</v>
      </c>
      <c r="D98" s="134">
        <f>IF(D$67&lt;&gt;"", SUMIFS(Historias!$H$6:$H$137,Historias!$F$6:$F$137,$B98,Historias!$A$6:$A$137,D$67), "")</f>
        <v>0</v>
      </c>
      <c r="E98" s="134">
        <f>IF(E$67&lt;&gt;"", SUMIFS(Historias!$H$6:$H$137,Historias!$F$6:$F$137,$B98,Historias!$A$6:$A$137,E$67), "")</f>
        <v>0</v>
      </c>
      <c r="F98" s="134">
        <f>IF(F$67&lt;&gt;"", SUMIFS(Historias!$H$6:$H$137,Historias!$F$6:$F$137,$B98,Historias!$A$6:$A$137,F$67), "")</f>
        <v>0</v>
      </c>
      <c r="G98" s="134" t="str">
        <f>IF(G$67&lt;&gt;"", SUMIFS(Historias!$H$6:$H$137,Historias!$F$6:$F$137,$B98,Historias!$A$6:$A$137,G$67), "")</f>
        <v/>
      </c>
      <c r="H98" s="134" t="str">
        <f>IF(H$67&lt;&gt;"", SUMIFS(Historias!$H$6:$H$137,Historias!$F$6:$F$137,$B98,Historias!$A$6:$A$137,H$67), "")</f>
        <v/>
      </c>
      <c r="I98" s="83"/>
      <c r="J98" s="91"/>
      <c r="K98" s="135" t="str">
        <f t="shared" si="187"/>
        <v/>
      </c>
      <c r="L98" s="136" t="str">
        <f>IF(AND($K98&lt;=TODAY(),L$67&lt;&gt;""),L97+SUMIFS(Historias!$H$6:$H$135,Historias!$F$6:$F$135,$K98,Historias!$A$6:$A$135,L$67),"")</f>
        <v/>
      </c>
      <c r="M98" s="136" t="str">
        <f>IF(AND($K98&lt;=TODAY(),M$67&lt;&gt;""),M97+SUMIFS(Historias!$H$6:$H$135,Historias!$F$6:$F$135,$K98,Historias!$A$6:$A$135,M$67),"")</f>
        <v/>
      </c>
      <c r="N98" s="136" t="str">
        <f>IF(AND($K98&lt;=TODAY(),N$67&lt;&gt;""),N97+SUMIFS(Historias!$H$6:$H$135,Historias!$F$6:$F$135,$K98,Historias!$A$6:$A$135,N$67),"")</f>
        <v/>
      </c>
      <c r="O98" s="136" t="str">
        <f>IF(AND($K98&lt;=TODAY(),O$67&lt;&gt;""),O97+SUMIFS(Historias!$H$6:$H$135,Historias!$F$6:$F$135,$K98,Historias!$A$6:$A$135,O$67),"")</f>
        <v/>
      </c>
      <c r="P98" s="136" t="str">
        <f>IF(AND($K98&lt;=TODAY(),P$67&lt;&gt;""),P97+SUMIFS(Historias!$H$6:$H$135,Historias!$F$6:$F$135,$K98,Historias!$A$6:$A$135,P$67),"")</f>
        <v/>
      </c>
      <c r="Q98" s="136" t="str">
        <f>IF(AND($K98&lt;=TODAY(),Q$67&lt;&gt;""),Q97+SUMIFS(Historias!$H$6:$H$135,Historias!$F$6:$F$135,$K98,Historias!$A$6:$A$135,Q$67),"")</f>
        <v/>
      </c>
      <c r="R98" s="137" t="str">
        <f t="shared" si="188"/>
        <v/>
      </c>
      <c r="S98" s="109" t="str">
        <f t="shared" ref="S98:X98" si="248">IF($K98&lt;&gt;"", IF(max($C98:$H98)&gt;0,IF(L98 = max($L98:$Q98), 1 , 0), S97), "")</f>
        <v/>
      </c>
      <c r="T98" s="109" t="str">
        <f t="shared" si="248"/>
        <v/>
      </c>
      <c r="U98" s="109" t="str">
        <f t="shared" si="248"/>
        <v/>
      </c>
      <c r="V98" s="109" t="str">
        <f t="shared" si="248"/>
        <v/>
      </c>
      <c r="W98" s="109" t="str">
        <f t="shared" si="248"/>
        <v/>
      </c>
      <c r="X98" s="109" t="str">
        <f t="shared" si="248"/>
        <v/>
      </c>
      <c r="Y98" s="137" t="str">
        <f t="shared" si="190"/>
        <v/>
      </c>
      <c r="Z98" s="94">
        <f t="shared" ref="Z98:AE98" si="249">IF($K98&lt;&gt;"", IF(L98 = max($L98:$Q98), (L98-AVERAGE($L98:$Q98)) , 0), 0)</f>
        <v>0</v>
      </c>
      <c r="AA98" s="94">
        <f t="shared" si="249"/>
        <v>0</v>
      </c>
      <c r="AB98" s="94">
        <f t="shared" si="249"/>
        <v>0</v>
      </c>
      <c r="AC98" s="94">
        <f t="shared" si="249"/>
        <v>0</v>
      </c>
      <c r="AD98" s="94">
        <f t="shared" si="249"/>
        <v>0</v>
      </c>
      <c r="AE98" s="94">
        <f t="shared" si="249"/>
        <v>0</v>
      </c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</row>
    <row r="99">
      <c r="A99" s="91"/>
      <c r="B99" s="138" t="str">
        <f>Resumen!B34</f>
        <v/>
      </c>
      <c r="C99" s="134">
        <f>IF(C$67&lt;&gt;"", SUMIFS(Historias!$H$6:$H$137,Historias!$F$6:$F$137,$B99,Historias!$A$6:$A$137,C$67), "")</f>
        <v>0</v>
      </c>
      <c r="D99" s="134">
        <f>IF(D$67&lt;&gt;"", SUMIFS(Historias!$H$6:$H$137,Historias!$F$6:$F$137,$B99,Historias!$A$6:$A$137,D$67), "")</f>
        <v>0</v>
      </c>
      <c r="E99" s="134">
        <f>IF(E$67&lt;&gt;"", SUMIFS(Historias!$H$6:$H$137,Historias!$F$6:$F$137,$B99,Historias!$A$6:$A$137,E$67), "")</f>
        <v>0</v>
      </c>
      <c r="F99" s="134">
        <f>IF(F$67&lt;&gt;"", SUMIFS(Historias!$H$6:$H$137,Historias!$F$6:$F$137,$B99,Historias!$A$6:$A$137,F$67), "")</f>
        <v>0</v>
      </c>
      <c r="G99" s="134" t="str">
        <f>IF(G$67&lt;&gt;"", SUMIFS(Historias!$H$6:$H$137,Historias!$F$6:$F$137,$B99,Historias!$A$6:$A$137,G$67), "")</f>
        <v/>
      </c>
      <c r="H99" s="134" t="str">
        <f>IF(H$67&lt;&gt;"", SUMIFS(Historias!$H$6:$H$137,Historias!$F$6:$F$137,$B99,Historias!$A$6:$A$137,H$67), "")</f>
        <v/>
      </c>
      <c r="I99" s="83"/>
      <c r="J99" s="91"/>
      <c r="K99" s="135" t="str">
        <f t="shared" si="187"/>
        <v/>
      </c>
      <c r="L99" s="136" t="str">
        <f>IF(AND($K99&lt;=TODAY(),L$67&lt;&gt;""),L98+SUMIFS(Historias!$H$6:$H$135,Historias!$F$6:$F$135,$K99,Historias!$A$6:$A$135,L$67),"")</f>
        <v/>
      </c>
      <c r="M99" s="136" t="str">
        <f>IF(AND($K99&lt;=TODAY(),M$67&lt;&gt;""),M98+SUMIFS(Historias!$H$6:$H$135,Historias!$F$6:$F$135,$K99,Historias!$A$6:$A$135,M$67),"")</f>
        <v/>
      </c>
      <c r="N99" s="136" t="str">
        <f>IF(AND($K99&lt;=TODAY(),N$67&lt;&gt;""),N98+SUMIFS(Historias!$H$6:$H$135,Historias!$F$6:$F$135,$K99,Historias!$A$6:$A$135,N$67),"")</f>
        <v/>
      </c>
      <c r="O99" s="136" t="str">
        <f>IF(AND($K99&lt;=TODAY(),O$67&lt;&gt;""),O98+SUMIFS(Historias!$H$6:$H$135,Historias!$F$6:$F$135,$K99,Historias!$A$6:$A$135,O$67),"")</f>
        <v/>
      </c>
      <c r="P99" s="136" t="str">
        <f>IF(AND($K99&lt;=TODAY(),P$67&lt;&gt;""),P98+SUMIFS(Historias!$H$6:$H$135,Historias!$F$6:$F$135,$K99,Historias!$A$6:$A$135,P$67),"")</f>
        <v/>
      </c>
      <c r="Q99" s="136" t="str">
        <f>IF(AND($K99&lt;=TODAY(),Q$67&lt;&gt;""),Q98+SUMIFS(Historias!$H$6:$H$135,Historias!$F$6:$F$135,$K99,Historias!$A$6:$A$135,Q$67),"")</f>
        <v/>
      </c>
      <c r="R99" s="137" t="str">
        <f t="shared" si="188"/>
        <v/>
      </c>
      <c r="S99" s="109" t="str">
        <f t="shared" ref="S99:X99" si="250">IF($K99&lt;&gt;"", IF(max($C99:$H99)&gt;0,IF(L99 = max($L99:$Q99), 1 , 0), S98), "")</f>
        <v/>
      </c>
      <c r="T99" s="109" t="str">
        <f t="shared" si="250"/>
        <v/>
      </c>
      <c r="U99" s="109" t="str">
        <f t="shared" si="250"/>
        <v/>
      </c>
      <c r="V99" s="109" t="str">
        <f t="shared" si="250"/>
        <v/>
      </c>
      <c r="W99" s="109" t="str">
        <f t="shared" si="250"/>
        <v/>
      </c>
      <c r="X99" s="109" t="str">
        <f t="shared" si="250"/>
        <v/>
      </c>
      <c r="Y99" s="137" t="str">
        <f t="shared" si="190"/>
        <v/>
      </c>
      <c r="Z99" s="94">
        <f t="shared" ref="Z99:AE99" si="251">IF($K99&lt;&gt;"", IF(L99 = max($L99:$Q99), (L99-AVERAGE($L99:$Q99)) , 0), 0)</f>
        <v>0</v>
      </c>
      <c r="AA99" s="94">
        <f t="shared" si="251"/>
        <v>0</v>
      </c>
      <c r="AB99" s="94">
        <f t="shared" si="251"/>
        <v>0</v>
      </c>
      <c r="AC99" s="94">
        <f t="shared" si="251"/>
        <v>0</v>
      </c>
      <c r="AD99" s="94">
        <f t="shared" si="251"/>
        <v>0</v>
      </c>
      <c r="AE99" s="94">
        <f t="shared" si="251"/>
        <v>0</v>
      </c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</row>
    <row r="100">
      <c r="A100" s="91"/>
      <c r="B100" s="138" t="str">
        <f>Resumen!B35</f>
        <v/>
      </c>
      <c r="C100" s="134">
        <f>IF(C$67&lt;&gt;"", SUMIFS(Historias!$H$6:$H$137,Historias!$F$6:$F$137,$B100,Historias!$A$6:$A$137,C$67), "")</f>
        <v>0</v>
      </c>
      <c r="D100" s="134">
        <f>IF(D$67&lt;&gt;"", SUMIFS(Historias!$H$6:$H$137,Historias!$F$6:$F$137,$B100,Historias!$A$6:$A$137,D$67), "")</f>
        <v>0</v>
      </c>
      <c r="E100" s="134">
        <f>IF(E$67&lt;&gt;"", SUMIFS(Historias!$H$6:$H$137,Historias!$F$6:$F$137,$B100,Historias!$A$6:$A$137,E$67), "")</f>
        <v>0</v>
      </c>
      <c r="F100" s="134">
        <f>IF(F$67&lt;&gt;"", SUMIFS(Historias!$H$6:$H$137,Historias!$F$6:$F$137,$B100,Historias!$A$6:$A$137,F$67), "")</f>
        <v>0</v>
      </c>
      <c r="G100" s="134" t="str">
        <f>IF(G$67&lt;&gt;"", SUMIFS(Historias!$H$6:$H$137,Historias!$F$6:$F$137,$B100,Historias!$A$6:$A$137,G$67), "")</f>
        <v/>
      </c>
      <c r="H100" s="134" t="str">
        <f>IF(H$67&lt;&gt;"", SUMIFS(Historias!$H$6:$H$137,Historias!$F$6:$F$137,$B100,Historias!$A$6:$A$137,H$67), "")</f>
        <v/>
      </c>
      <c r="I100" s="83"/>
      <c r="J100" s="91"/>
      <c r="K100" s="135" t="str">
        <f t="shared" si="187"/>
        <v/>
      </c>
      <c r="L100" s="136" t="str">
        <f>IF(AND($K100&lt;=TODAY(),L$67&lt;&gt;""),L99+SUMIFS(Historias!$H$6:$H$135,Historias!$F$6:$F$135,$K100,Historias!$A$6:$A$135,L$67),"")</f>
        <v/>
      </c>
      <c r="M100" s="136" t="str">
        <f>IF(AND($K100&lt;=TODAY(),M$67&lt;&gt;""),M99+SUMIFS(Historias!$H$6:$H$135,Historias!$F$6:$F$135,$K100,Historias!$A$6:$A$135,M$67),"")</f>
        <v/>
      </c>
      <c r="N100" s="136" t="str">
        <f>IF(AND($K100&lt;=TODAY(),N$67&lt;&gt;""),N99+SUMIFS(Historias!$H$6:$H$135,Historias!$F$6:$F$135,$K100,Historias!$A$6:$A$135,N$67),"")</f>
        <v/>
      </c>
      <c r="O100" s="136" t="str">
        <f>IF(AND($K100&lt;=TODAY(),O$67&lt;&gt;""),O99+SUMIFS(Historias!$H$6:$H$135,Historias!$F$6:$F$135,$K100,Historias!$A$6:$A$135,O$67),"")</f>
        <v/>
      </c>
      <c r="P100" s="136" t="str">
        <f>IF(AND($K100&lt;=TODAY(),P$67&lt;&gt;""),P99+SUMIFS(Historias!$H$6:$H$135,Historias!$F$6:$F$135,$K100,Historias!$A$6:$A$135,P$67),"")</f>
        <v/>
      </c>
      <c r="Q100" s="136" t="str">
        <f>IF(AND($K100&lt;=TODAY(),Q$67&lt;&gt;""),Q99+SUMIFS(Historias!$H$6:$H$135,Historias!$F$6:$F$135,$K100,Historias!$A$6:$A$135,Q$67),"")</f>
        <v/>
      </c>
      <c r="R100" s="137" t="str">
        <f t="shared" si="188"/>
        <v/>
      </c>
      <c r="S100" s="109" t="str">
        <f t="shared" ref="S100:X100" si="252">IF($K100&lt;&gt;"", IF(max($C100:$H100)&gt;0,IF(L100 = max($L100:$Q100), 1 , 0), S99), "")</f>
        <v/>
      </c>
      <c r="T100" s="109" t="str">
        <f t="shared" si="252"/>
        <v/>
      </c>
      <c r="U100" s="109" t="str">
        <f t="shared" si="252"/>
        <v/>
      </c>
      <c r="V100" s="109" t="str">
        <f t="shared" si="252"/>
        <v/>
      </c>
      <c r="W100" s="109" t="str">
        <f t="shared" si="252"/>
        <v/>
      </c>
      <c r="X100" s="109" t="str">
        <f t="shared" si="252"/>
        <v/>
      </c>
      <c r="Y100" s="137" t="str">
        <f t="shared" si="190"/>
        <v/>
      </c>
      <c r="Z100" s="94">
        <f t="shared" ref="Z100:AE100" si="253">IF($K100&lt;&gt;"", IF(L100 = max($L100:$Q100), (L100-AVERAGE($L100:$Q100)) , 0), 0)</f>
        <v>0</v>
      </c>
      <c r="AA100" s="94">
        <f t="shared" si="253"/>
        <v>0</v>
      </c>
      <c r="AB100" s="94">
        <f t="shared" si="253"/>
        <v>0</v>
      </c>
      <c r="AC100" s="94">
        <f t="shared" si="253"/>
        <v>0</v>
      </c>
      <c r="AD100" s="94">
        <f t="shared" si="253"/>
        <v>0</v>
      </c>
      <c r="AE100" s="94">
        <f t="shared" si="253"/>
        <v>0</v>
      </c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</row>
    <row r="101">
      <c r="A101" s="91"/>
      <c r="B101" s="138" t="str">
        <f>Resumen!B36</f>
        <v/>
      </c>
      <c r="C101" s="134">
        <f>IF(C$67&lt;&gt;"", SUMIFS(Historias!$H$6:$H$137,Historias!$F$6:$F$137,$B101,Historias!$A$6:$A$137,C$67), "")</f>
        <v>0</v>
      </c>
      <c r="D101" s="134">
        <f>IF(D$67&lt;&gt;"", SUMIFS(Historias!$H$6:$H$137,Historias!$F$6:$F$137,$B101,Historias!$A$6:$A$137,D$67), "")</f>
        <v>0</v>
      </c>
      <c r="E101" s="134">
        <f>IF(E$67&lt;&gt;"", SUMIFS(Historias!$H$6:$H$137,Historias!$F$6:$F$137,$B101,Historias!$A$6:$A$137,E$67), "")</f>
        <v>0</v>
      </c>
      <c r="F101" s="134">
        <f>IF(F$67&lt;&gt;"", SUMIFS(Historias!$H$6:$H$137,Historias!$F$6:$F$137,$B101,Historias!$A$6:$A$137,F$67), "")</f>
        <v>0</v>
      </c>
      <c r="G101" s="134" t="str">
        <f>IF(G$67&lt;&gt;"", SUMIFS(Historias!$H$6:$H$137,Historias!$F$6:$F$137,$B101,Historias!$A$6:$A$137,G$67), "")</f>
        <v/>
      </c>
      <c r="H101" s="134" t="str">
        <f>IF(H$67&lt;&gt;"", SUMIFS(Historias!$H$6:$H$137,Historias!$F$6:$F$137,$B101,Historias!$A$6:$A$137,H$67), "")</f>
        <v/>
      </c>
      <c r="I101" s="83"/>
      <c r="J101" s="91"/>
      <c r="K101" s="135" t="str">
        <f t="shared" si="187"/>
        <v/>
      </c>
      <c r="L101" s="136" t="str">
        <f>IF(AND($K101&lt;=TODAY(),L$67&lt;&gt;""),L100+SUMIFS(Historias!$H$6:$H$135,Historias!$F$6:$F$135,$K101,Historias!$A$6:$A$135,L$67),"")</f>
        <v/>
      </c>
      <c r="M101" s="136" t="str">
        <f>IF(AND($K101&lt;=TODAY(),M$67&lt;&gt;""),M100+SUMIFS(Historias!$H$6:$H$135,Historias!$F$6:$F$135,$K101,Historias!$A$6:$A$135,M$67),"")</f>
        <v/>
      </c>
      <c r="N101" s="136" t="str">
        <f>IF(AND($K101&lt;=TODAY(),N$67&lt;&gt;""),N100+SUMIFS(Historias!$H$6:$H$135,Historias!$F$6:$F$135,$K101,Historias!$A$6:$A$135,N$67),"")</f>
        <v/>
      </c>
      <c r="O101" s="136" t="str">
        <f>IF(AND($K101&lt;=TODAY(),O$67&lt;&gt;""),O100+SUMIFS(Historias!$H$6:$H$135,Historias!$F$6:$F$135,$K101,Historias!$A$6:$A$135,O$67),"")</f>
        <v/>
      </c>
      <c r="P101" s="136" t="str">
        <f>IF(AND($K101&lt;=TODAY(),P$67&lt;&gt;""),P100+SUMIFS(Historias!$H$6:$H$135,Historias!$F$6:$F$135,$K101,Historias!$A$6:$A$135,P$67),"")</f>
        <v/>
      </c>
      <c r="Q101" s="136" t="str">
        <f>IF(AND($K101&lt;=TODAY(),Q$67&lt;&gt;""),Q100+SUMIFS(Historias!$H$6:$H$135,Historias!$F$6:$F$135,$K101,Historias!$A$6:$A$135,Q$67),"")</f>
        <v/>
      </c>
      <c r="R101" s="137" t="str">
        <f t="shared" si="188"/>
        <v/>
      </c>
      <c r="S101" s="109" t="str">
        <f t="shared" ref="S101:X101" si="254">IF($K101&lt;&gt;"", IF(max($C101:$H101)&gt;0,IF(L101 = max($L101:$Q101), 1 , 0), S100), "")</f>
        <v/>
      </c>
      <c r="T101" s="109" t="str">
        <f t="shared" si="254"/>
        <v/>
      </c>
      <c r="U101" s="109" t="str">
        <f t="shared" si="254"/>
        <v/>
      </c>
      <c r="V101" s="109" t="str">
        <f t="shared" si="254"/>
        <v/>
      </c>
      <c r="W101" s="109" t="str">
        <f t="shared" si="254"/>
        <v/>
      </c>
      <c r="X101" s="109" t="str">
        <f t="shared" si="254"/>
        <v/>
      </c>
      <c r="Y101" s="137" t="str">
        <f t="shared" si="190"/>
        <v/>
      </c>
      <c r="Z101" s="94">
        <f t="shared" ref="Z101:AE101" si="255">IF($K101&lt;&gt;"", IF(L101 = max($L101:$Q101), (L101-AVERAGE($L101:$Q101)) , 0), 0)</f>
        <v>0</v>
      </c>
      <c r="AA101" s="94">
        <f t="shared" si="255"/>
        <v>0</v>
      </c>
      <c r="AB101" s="94">
        <f t="shared" si="255"/>
        <v>0</v>
      </c>
      <c r="AC101" s="94">
        <f t="shared" si="255"/>
        <v>0</v>
      </c>
      <c r="AD101" s="94">
        <f t="shared" si="255"/>
        <v>0</v>
      </c>
      <c r="AE101" s="94">
        <f t="shared" si="255"/>
        <v>0</v>
      </c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  <c r="AU101" s="97"/>
    </row>
    <row r="102">
      <c r="A102" s="91"/>
      <c r="B102" s="138" t="str">
        <f>Resumen!B37</f>
        <v/>
      </c>
      <c r="C102" s="134">
        <f>IF(C$67&lt;&gt;"", SUMIFS(Historias!$H$6:$H$137,Historias!$F$6:$F$137,$B102,Historias!$A$6:$A$137,C$67), "")</f>
        <v>0</v>
      </c>
      <c r="D102" s="134">
        <f>IF(D$67&lt;&gt;"", SUMIFS(Historias!$H$6:$H$137,Historias!$F$6:$F$137,$B102,Historias!$A$6:$A$137,D$67), "")</f>
        <v>0</v>
      </c>
      <c r="E102" s="134">
        <f>IF(E$67&lt;&gt;"", SUMIFS(Historias!$H$6:$H$137,Historias!$F$6:$F$137,$B102,Historias!$A$6:$A$137,E$67), "")</f>
        <v>0</v>
      </c>
      <c r="F102" s="134">
        <f>IF(F$67&lt;&gt;"", SUMIFS(Historias!$H$6:$H$137,Historias!$F$6:$F$137,$B102,Historias!$A$6:$A$137,F$67), "")</f>
        <v>0</v>
      </c>
      <c r="G102" s="134" t="str">
        <f>IF(G$67&lt;&gt;"", SUMIFS(Historias!$H$6:$H$137,Historias!$F$6:$F$137,$B102,Historias!$A$6:$A$137,G$67), "")</f>
        <v/>
      </c>
      <c r="H102" s="134" t="str">
        <f>IF(H$67&lt;&gt;"", SUMIFS(Historias!$H$6:$H$137,Historias!$F$6:$F$137,$B102,Historias!$A$6:$A$137,H$67), "")</f>
        <v/>
      </c>
      <c r="I102" s="83"/>
      <c r="J102" s="91"/>
      <c r="K102" s="135" t="str">
        <f t="shared" si="187"/>
        <v/>
      </c>
      <c r="L102" s="136" t="str">
        <f>IF(AND($K102&lt;=TODAY(),L$67&lt;&gt;""),L101+SUMIFS(Historias!$H$6:$H$135,Historias!$F$6:$F$135,$K102,Historias!$A$6:$A$135,L$67),"")</f>
        <v/>
      </c>
      <c r="M102" s="136" t="str">
        <f>IF(AND($K102&lt;=TODAY(),M$67&lt;&gt;""),M101+SUMIFS(Historias!$H$6:$H$135,Historias!$F$6:$F$135,$K102,Historias!$A$6:$A$135,M$67),"")</f>
        <v/>
      </c>
      <c r="N102" s="136" t="str">
        <f>IF(AND($K102&lt;=TODAY(),N$67&lt;&gt;""),N101+SUMIFS(Historias!$H$6:$H$135,Historias!$F$6:$F$135,$K102,Historias!$A$6:$A$135,N$67),"")</f>
        <v/>
      </c>
      <c r="O102" s="136" t="str">
        <f>IF(AND($K102&lt;=TODAY(),O$67&lt;&gt;""),O101+SUMIFS(Historias!$H$6:$H$135,Historias!$F$6:$F$135,$K102,Historias!$A$6:$A$135,O$67),"")</f>
        <v/>
      </c>
      <c r="P102" s="136" t="str">
        <f>IF(AND($K102&lt;=TODAY(),P$67&lt;&gt;""),P101+SUMIFS(Historias!$H$6:$H$135,Historias!$F$6:$F$135,$K102,Historias!$A$6:$A$135,P$67),"")</f>
        <v/>
      </c>
      <c r="Q102" s="136" t="str">
        <f>IF(AND($K102&lt;=TODAY(),Q$67&lt;&gt;""),Q101+SUMIFS(Historias!$H$6:$H$135,Historias!$F$6:$F$135,$K102,Historias!$A$6:$A$135,Q$67),"")</f>
        <v/>
      </c>
      <c r="R102" s="137" t="str">
        <f t="shared" si="188"/>
        <v/>
      </c>
      <c r="S102" s="109" t="str">
        <f t="shared" ref="S102:X102" si="256">IF($K102&lt;&gt;"", IF(max($C102:$H102)&gt;0,IF(L102 = max($L102:$Q102), 1 , 0), S101), "")</f>
        <v/>
      </c>
      <c r="T102" s="109" t="str">
        <f t="shared" si="256"/>
        <v/>
      </c>
      <c r="U102" s="109" t="str">
        <f t="shared" si="256"/>
        <v/>
      </c>
      <c r="V102" s="109" t="str">
        <f t="shared" si="256"/>
        <v/>
      </c>
      <c r="W102" s="109" t="str">
        <f t="shared" si="256"/>
        <v/>
      </c>
      <c r="X102" s="109" t="str">
        <f t="shared" si="256"/>
        <v/>
      </c>
      <c r="Y102" s="137" t="str">
        <f t="shared" si="190"/>
        <v/>
      </c>
      <c r="Z102" s="94">
        <f t="shared" ref="Z102:AE102" si="257">IF($K102&lt;&gt;"", IF(L102 = max($L102:$Q102), (L102-AVERAGE($L102:$Q102)) , 0), 0)</f>
        <v>0</v>
      </c>
      <c r="AA102" s="94">
        <f t="shared" si="257"/>
        <v>0</v>
      </c>
      <c r="AB102" s="94">
        <f t="shared" si="257"/>
        <v>0</v>
      </c>
      <c r="AC102" s="94">
        <f t="shared" si="257"/>
        <v>0</v>
      </c>
      <c r="AD102" s="94">
        <f t="shared" si="257"/>
        <v>0</v>
      </c>
      <c r="AE102" s="94">
        <f t="shared" si="257"/>
        <v>0</v>
      </c>
      <c r="AF102" s="97"/>
      <c r="AG102" s="97"/>
      <c r="AH102" s="97"/>
      <c r="AI102" s="97"/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  <c r="AU102" s="97"/>
    </row>
    <row r="103">
      <c r="A103" s="91"/>
      <c r="B103" s="138" t="str">
        <f>Resumen!B38</f>
        <v/>
      </c>
      <c r="C103" s="134">
        <f>IF(C$67&lt;&gt;"", SUMIFS(Historias!$H$6:$H$137,Historias!$F$6:$F$137,$B103,Historias!$A$6:$A$137,C$67), "")</f>
        <v>0</v>
      </c>
      <c r="D103" s="134">
        <f>IF(D$67&lt;&gt;"", SUMIFS(Historias!$H$6:$H$137,Historias!$F$6:$F$137,$B103,Historias!$A$6:$A$137,D$67), "")</f>
        <v>0</v>
      </c>
      <c r="E103" s="134">
        <f>IF(E$67&lt;&gt;"", SUMIFS(Historias!$H$6:$H$137,Historias!$F$6:$F$137,$B103,Historias!$A$6:$A$137,E$67), "")</f>
        <v>0</v>
      </c>
      <c r="F103" s="134">
        <f>IF(F$67&lt;&gt;"", SUMIFS(Historias!$H$6:$H$137,Historias!$F$6:$F$137,$B103,Historias!$A$6:$A$137,F$67), "")</f>
        <v>0</v>
      </c>
      <c r="G103" s="134" t="str">
        <f>IF(G$67&lt;&gt;"", SUMIFS(Historias!$H$6:$H$137,Historias!$F$6:$F$137,$B103,Historias!$A$6:$A$137,G$67), "")</f>
        <v/>
      </c>
      <c r="H103" s="134" t="str">
        <f>IF(H$67&lt;&gt;"", SUMIFS(Historias!$H$6:$H$137,Historias!$F$6:$F$137,$B103,Historias!$A$6:$A$137,H$67), "")</f>
        <v/>
      </c>
      <c r="I103" s="83"/>
      <c r="J103" s="91"/>
      <c r="K103" s="135" t="str">
        <f t="shared" si="187"/>
        <v/>
      </c>
      <c r="L103" s="136" t="str">
        <f>IF(AND($K103&lt;=TODAY(),L$67&lt;&gt;""),L102+SUMIFS(Historias!$H$6:$H$135,Historias!$F$6:$F$135,$K103,Historias!$A$6:$A$135,L$67),"")</f>
        <v/>
      </c>
      <c r="M103" s="136" t="str">
        <f>IF(AND($K103&lt;=TODAY(),M$67&lt;&gt;""),M102+SUMIFS(Historias!$H$6:$H$135,Historias!$F$6:$F$135,$K103,Historias!$A$6:$A$135,M$67),"")</f>
        <v/>
      </c>
      <c r="N103" s="136" t="str">
        <f>IF(AND($K103&lt;=TODAY(),N$67&lt;&gt;""),N102+SUMIFS(Historias!$H$6:$H$135,Historias!$F$6:$F$135,$K103,Historias!$A$6:$A$135,N$67),"")</f>
        <v/>
      </c>
      <c r="O103" s="136" t="str">
        <f>IF(AND($K103&lt;=TODAY(),O$67&lt;&gt;""),O102+SUMIFS(Historias!$H$6:$H$135,Historias!$F$6:$F$135,$K103,Historias!$A$6:$A$135,O$67),"")</f>
        <v/>
      </c>
      <c r="P103" s="136" t="str">
        <f>IF(AND($K103&lt;=TODAY(),P$67&lt;&gt;""),P102+SUMIFS(Historias!$H$6:$H$135,Historias!$F$6:$F$135,$K103,Historias!$A$6:$A$135,P$67),"")</f>
        <v/>
      </c>
      <c r="Q103" s="136" t="str">
        <f>IF(AND($K103&lt;=TODAY(),Q$67&lt;&gt;""),Q102+SUMIFS(Historias!$H$6:$H$135,Historias!$F$6:$F$135,$K103,Historias!$A$6:$A$135,Q$67),"")</f>
        <v/>
      </c>
      <c r="R103" s="137" t="str">
        <f t="shared" si="188"/>
        <v/>
      </c>
      <c r="S103" s="109" t="str">
        <f t="shared" ref="S103:X103" si="258">IF($K103&lt;&gt;"", IF(max($C103:$H103)&gt;0,IF(L103 = max($L103:$Q103), 1 , 0), S102), "")</f>
        <v/>
      </c>
      <c r="T103" s="109" t="str">
        <f t="shared" si="258"/>
        <v/>
      </c>
      <c r="U103" s="109" t="str">
        <f t="shared" si="258"/>
        <v/>
      </c>
      <c r="V103" s="109" t="str">
        <f t="shared" si="258"/>
        <v/>
      </c>
      <c r="W103" s="109" t="str">
        <f t="shared" si="258"/>
        <v/>
      </c>
      <c r="X103" s="109" t="str">
        <f t="shared" si="258"/>
        <v/>
      </c>
      <c r="Y103" s="137" t="str">
        <f t="shared" si="190"/>
        <v/>
      </c>
      <c r="Z103" s="94">
        <f t="shared" ref="Z103:AE103" si="259">IF($K103&lt;&gt;"", IF(L103 = max($L103:$Q103), (L103-AVERAGE($L103:$Q103)) , 0), 0)</f>
        <v>0</v>
      </c>
      <c r="AA103" s="94">
        <f t="shared" si="259"/>
        <v>0</v>
      </c>
      <c r="AB103" s="94">
        <f t="shared" si="259"/>
        <v>0</v>
      </c>
      <c r="AC103" s="94">
        <f t="shared" si="259"/>
        <v>0</v>
      </c>
      <c r="AD103" s="94">
        <f t="shared" si="259"/>
        <v>0</v>
      </c>
      <c r="AE103" s="94">
        <f t="shared" si="259"/>
        <v>0</v>
      </c>
      <c r="AF103" s="97"/>
      <c r="AG103" s="97"/>
      <c r="AH103" s="97"/>
      <c r="AI103" s="97"/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  <c r="AU103" s="97"/>
    </row>
    <row r="104">
      <c r="A104" s="91"/>
      <c r="B104" s="138" t="str">
        <f>Resumen!B39</f>
        <v/>
      </c>
      <c r="C104" s="134">
        <f>IF(C$67&lt;&gt;"", SUMIFS(Historias!$H$6:$H$137,Historias!$F$6:$F$137,$B104,Historias!$A$6:$A$137,C$67), "")</f>
        <v>0</v>
      </c>
      <c r="D104" s="134">
        <f>IF(D$67&lt;&gt;"", SUMIFS(Historias!$H$6:$H$137,Historias!$F$6:$F$137,$B104,Historias!$A$6:$A$137,D$67), "")</f>
        <v>0</v>
      </c>
      <c r="E104" s="134">
        <f>IF(E$67&lt;&gt;"", SUMIFS(Historias!$H$6:$H$137,Historias!$F$6:$F$137,$B104,Historias!$A$6:$A$137,E$67), "")</f>
        <v>0</v>
      </c>
      <c r="F104" s="134">
        <f>IF(F$67&lt;&gt;"", SUMIFS(Historias!$H$6:$H$137,Historias!$F$6:$F$137,$B104,Historias!$A$6:$A$137,F$67), "")</f>
        <v>0</v>
      </c>
      <c r="G104" s="134" t="str">
        <f>IF(G$67&lt;&gt;"", SUMIFS(Historias!$H$6:$H$137,Historias!$F$6:$F$137,$B104,Historias!$A$6:$A$137,G$67), "")</f>
        <v/>
      </c>
      <c r="H104" s="134" t="str">
        <f>IF(H$67&lt;&gt;"", SUMIFS(Historias!$H$6:$H$137,Historias!$F$6:$F$137,$B104,Historias!$A$6:$A$137,H$67), "")</f>
        <v/>
      </c>
      <c r="I104" s="83"/>
      <c r="J104" s="91"/>
      <c r="K104" s="135" t="str">
        <f t="shared" si="187"/>
        <v/>
      </c>
      <c r="L104" s="136" t="str">
        <f>IF(AND($K104&lt;=TODAY(),L$67&lt;&gt;""),L103+SUMIFS(Historias!$H$6:$H$135,Historias!$F$6:$F$135,$K104,Historias!$A$6:$A$135,L$67),"")</f>
        <v/>
      </c>
      <c r="M104" s="136" t="str">
        <f>IF(AND($K104&lt;=TODAY(),M$67&lt;&gt;""),M103+SUMIFS(Historias!$H$6:$H$135,Historias!$F$6:$F$135,$K104,Historias!$A$6:$A$135,M$67),"")</f>
        <v/>
      </c>
      <c r="N104" s="136" t="str">
        <f>IF(AND($K104&lt;=TODAY(),N$67&lt;&gt;""),N103+SUMIFS(Historias!$H$6:$H$135,Historias!$F$6:$F$135,$K104,Historias!$A$6:$A$135,N$67),"")</f>
        <v/>
      </c>
      <c r="O104" s="136" t="str">
        <f>IF(AND($K104&lt;=TODAY(),O$67&lt;&gt;""),O103+SUMIFS(Historias!$H$6:$H$135,Historias!$F$6:$F$135,$K104,Historias!$A$6:$A$135,O$67),"")</f>
        <v/>
      </c>
      <c r="P104" s="136" t="str">
        <f>IF(AND($K104&lt;=TODAY(),P$67&lt;&gt;""),P103+SUMIFS(Historias!$H$6:$H$135,Historias!$F$6:$F$135,$K104,Historias!$A$6:$A$135,P$67),"")</f>
        <v/>
      </c>
      <c r="Q104" s="136" t="str">
        <f>IF(AND($K104&lt;=TODAY(),Q$67&lt;&gt;""),Q103+SUMIFS(Historias!$H$6:$H$135,Historias!$F$6:$F$135,$K104,Historias!$A$6:$A$135,Q$67),"")</f>
        <v/>
      </c>
      <c r="R104" s="137" t="str">
        <f t="shared" si="188"/>
        <v/>
      </c>
      <c r="S104" s="109" t="str">
        <f t="shared" ref="S104:X104" si="260">IF($K104&lt;&gt;"", IF(max($C104:$H104)&gt;0,IF(L104 = max($L104:$Q104), 1 , 0), S103), "")</f>
        <v/>
      </c>
      <c r="T104" s="109" t="str">
        <f t="shared" si="260"/>
        <v/>
      </c>
      <c r="U104" s="109" t="str">
        <f t="shared" si="260"/>
        <v/>
      </c>
      <c r="V104" s="109" t="str">
        <f t="shared" si="260"/>
        <v/>
      </c>
      <c r="W104" s="109" t="str">
        <f t="shared" si="260"/>
        <v/>
      </c>
      <c r="X104" s="109" t="str">
        <f t="shared" si="260"/>
        <v/>
      </c>
      <c r="Y104" s="137" t="str">
        <f t="shared" si="190"/>
        <v/>
      </c>
      <c r="Z104" s="94">
        <f t="shared" ref="Z104:AE104" si="261">IF($K104&lt;&gt;"", IF(L104 = max($L104:$Q104), (L104-AVERAGE($L104:$Q104)) , 0), 0)</f>
        <v>0</v>
      </c>
      <c r="AA104" s="94">
        <f t="shared" si="261"/>
        <v>0</v>
      </c>
      <c r="AB104" s="94">
        <f t="shared" si="261"/>
        <v>0</v>
      </c>
      <c r="AC104" s="94">
        <f t="shared" si="261"/>
        <v>0</v>
      </c>
      <c r="AD104" s="94">
        <f t="shared" si="261"/>
        <v>0</v>
      </c>
      <c r="AE104" s="94">
        <f t="shared" si="261"/>
        <v>0</v>
      </c>
      <c r="AF104" s="97"/>
      <c r="AG104" s="97"/>
      <c r="AH104" s="97"/>
      <c r="AI104" s="97"/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  <c r="AU104" s="97"/>
    </row>
    <row r="105">
      <c r="A105" s="91"/>
      <c r="B105" s="138" t="str">
        <f>Resumen!B40</f>
        <v/>
      </c>
      <c r="C105" s="134">
        <f>IF(C$67&lt;&gt;"", SUMIFS(Historias!$H$6:$H$137,Historias!$F$6:$F$137,$B105,Historias!$A$6:$A$137,C$67), "")</f>
        <v>0</v>
      </c>
      <c r="D105" s="134">
        <f>IF(D$67&lt;&gt;"", SUMIFS(Historias!$H$6:$H$137,Historias!$F$6:$F$137,$B105,Historias!$A$6:$A$137,D$67), "")</f>
        <v>0</v>
      </c>
      <c r="E105" s="134">
        <f>IF(E$67&lt;&gt;"", SUMIFS(Historias!$H$6:$H$137,Historias!$F$6:$F$137,$B105,Historias!$A$6:$A$137,E$67), "")</f>
        <v>0</v>
      </c>
      <c r="F105" s="134">
        <f>IF(F$67&lt;&gt;"", SUMIFS(Historias!$H$6:$H$137,Historias!$F$6:$F$137,$B105,Historias!$A$6:$A$137,F$67), "")</f>
        <v>0</v>
      </c>
      <c r="G105" s="134" t="str">
        <f>IF(G$67&lt;&gt;"", SUMIFS(Historias!$H$6:$H$137,Historias!$F$6:$F$137,$B105,Historias!$A$6:$A$137,G$67), "")</f>
        <v/>
      </c>
      <c r="H105" s="134" t="str">
        <f>IF(H$67&lt;&gt;"", SUMIFS(Historias!$H$6:$H$137,Historias!$F$6:$F$137,$B105,Historias!$A$6:$A$137,H$67), "")</f>
        <v/>
      </c>
      <c r="I105" s="83"/>
      <c r="J105" s="91"/>
      <c r="K105" s="135" t="str">
        <f t="shared" si="187"/>
        <v/>
      </c>
      <c r="L105" s="136" t="str">
        <f>IF(AND($K105&lt;=TODAY(),L$67&lt;&gt;""),L104+SUMIFS(Historias!$H$6:$H$135,Historias!$F$6:$F$135,$K105,Historias!$A$6:$A$135,L$67),"")</f>
        <v/>
      </c>
      <c r="M105" s="136" t="str">
        <f>IF(AND($K105&lt;=TODAY(),M$67&lt;&gt;""),M104+SUMIFS(Historias!$H$6:$H$135,Historias!$F$6:$F$135,$K105,Historias!$A$6:$A$135,M$67),"")</f>
        <v/>
      </c>
      <c r="N105" s="136" t="str">
        <f>IF(AND($K105&lt;=TODAY(),N$67&lt;&gt;""),N104+SUMIFS(Historias!$H$6:$H$135,Historias!$F$6:$F$135,$K105,Historias!$A$6:$A$135,N$67),"")</f>
        <v/>
      </c>
      <c r="O105" s="136" t="str">
        <f>IF(AND($K105&lt;=TODAY(),O$67&lt;&gt;""),O104+SUMIFS(Historias!$H$6:$H$135,Historias!$F$6:$F$135,$K105,Historias!$A$6:$A$135,O$67),"")</f>
        <v/>
      </c>
      <c r="P105" s="136" t="str">
        <f>IF(AND($K105&lt;=TODAY(),P$67&lt;&gt;""),P104+SUMIFS(Historias!$H$6:$H$135,Historias!$F$6:$F$135,$K105,Historias!$A$6:$A$135,P$67),"")</f>
        <v/>
      </c>
      <c r="Q105" s="136" t="str">
        <f>IF(AND($K105&lt;=TODAY(),Q$67&lt;&gt;""),Q104+SUMIFS(Historias!$H$6:$H$135,Historias!$F$6:$F$135,$K105,Historias!$A$6:$A$135,Q$67),"")</f>
        <v/>
      </c>
      <c r="R105" s="137" t="str">
        <f t="shared" si="188"/>
        <v/>
      </c>
      <c r="S105" s="109" t="str">
        <f t="shared" ref="S105:X105" si="262">IF($K105&lt;&gt;"", IF(max($C105:$H105)&gt;0,IF(L105 = max($L105:$Q105), 1 , 0), S104), "")</f>
        <v/>
      </c>
      <c r="T105" s="109" t="str">
        <f t="shared" si="262"/>
        <v/>
      </c>
      <c r="U105" s="109" t="str">
        <f t="shared" si="262"/>
        <v/>
      </c>
      <c r="V105" s="109" t="str">
        <f t="shared" si="262"/>
        <v/>
      </c>
      <c r="W105" s="109" t="str">
        <f t="shared" si="262"/>
        <v/>
      </c>
      <c r="X105" s="109" t="str">
        <f t="shared" si="262"/>
        <v/>
      </c>
      <c r="Y105" s="137" t="str">
        <f t="shared" si="190"/>
        <v/>
      </c>
      <c r="Z105" s="94">
        <f t="shared" ref="Z105:AE105" si="263">IF($K105&lt;&gt;"", IF(L105 = max($L105:$Q105), (L105-AVERAGE($L105:$Q105)) , 0), 0)</f>
        <v>0</v>
      </c>
      <c r="AA105" s="94">
        <f t="shared" si="263"/>
        <v>0</v>
      </c>
      <c r="AB105" s="94">
        <f t="shared" si="263"/>
        <v>0</v>
      </c>
      <c r="AC105" s="94">
        <f t="shared" si="263"/>
        <v>0</v>
      </c>
      <c r="AD105" s="94">
        <f t="shared" si="263"/>
        <v>0</v>
      </c>
      <c r="AE105" s="94">
        <f t="shared" si="263"/>
        <v>0</v>
      </c>
      <c r="AF105" s="97"/>
      <c r="AG105" s="97"/>
      <c r="AH105" s="97"/>
      <c r="AI105" s="97"/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  <c r="AU105" s="97"/>
    </row>
    <row r="106">
      <c r="A106" s="91"/>
      <c r="B106" s="138" t="str">
        <f>Resumen!B41</f>
        <v/>
      </c>
      <c r="C106" s="134">
        <f>IF(C$67&lt;&gt;"", SUMIFS(Historias!$H$6:$H$137,Historias!$F$6:$F$137,$B106,Historias!$A$6:$A$137,C$67), "")</f>
        <v>0</v>
      </c>
      <c r="D106" s="134">
        <f>IF(D$67&lt;&gt;"", SUMIFS(Historias!$H$6:$H$137,Historias!$F$6:$F$137,$B106,Historias!$A$6:$A$137,D$67), "")</f>
        <v>0</v>
      </c>
      <c r="E106" s="134">
        <f>IF(E$67&lt;&gt;"", SUMIFS(Historias!$H$6:$H$137,Historias!$F$6:$F$137,$B106,Historias!$A$6:$A$137,E$67), "")</f>
        <v>0</v>
      </c>
      <c r="F106" s="134">
        <f>IF(F$67&lt;&gt;"", SUMIFS(Historias!$H$6:$H$137,Historias!$F$6:$F$137,$B106,Historias!$A$6:$A$137,F$67), "")</f>
        <v>0</v>
      </c>
      <c r="G106" s="134" t="str">
        <f>IF(G$67&lt;&gt;"", SUMIFS(Historias!$H$6:$H$137,Historias!$F$6:$F$137,$B106,Historias!$A$6:$A$137,G$67), "")</f>
        <v/>
      </c>
      <c r="H106" s="134" t="str">
        <f>IF(H$67&lt;&gt;"", SUMIFS(Historias!$H$6:$H$137,Historias!$F$6:$F$137,$B106,Historias!$A$6:$A$137,H$67), "")</f>
        <v/>
      </c>
      <c r="I106" s="83"/>
      <c r="J106" s="91"/>
      <c r="K106" s="135" t="str">
        <f t="shared" si="187"/>
        <v/>
      </c>
      <c r="L106" s="136" t="str">
        <f>IF(AND($K106&lt;=TODAY(),L$67&lt;&gt;""),L105+SUMIFS(Historias!$H$6:$H$135,Historias!$F$6:$F$135,$K106,Historias!$A$6:$A$135,L$67),"")</f>
        <v/>
      </c>
      <c r="M106" s="136" t="str">
        <f>IF(AND($K106&lt;=TODAY(),M$67&lt;&gt;""),M105+SUMIFS(Historias!$H$6:$H$135,Historias!$F$6:$F$135,$K106,Historias!$A$6:$A$135,M$67),"")</f>
        <v/>
      </c>
      <c r="N106" s="136" t="str">
        <f>IF(AND($K106&lt;=TODAY(),N$67&lt;&gt;""),N105+SUMIFS(Historias!$H$6:$H$135,Historias!$F$6:$F$135,$K106,Historias!$A$6:$A$135,N$67),"")</f>
        <v/>
      </c>
      <c r="O106" s="136" t="str">
        <f>IF(AND($K106&lt;=TODAY(),O$67&lt;&gt;""),O105+SUMIFS(Historias!$H$6:$H$135,Historias!$F$6:$F$135,$K106,Historias!$A$6:$A$135,O$67),"")</f>
        <v/>
      </c>
      <c r="P106" s="136" t="str">
        <f>IF(AND($K106&lt;=TODAY(),P$67&lt;&gt;""),P105+SUMIFS(Historias!$H$6:$H$135,Historias!$F$6:$F$135,$K106,Historias!$A$6:$A$135,P$67),"")</f>
        <v/>
      </c>
      <c r="Q106" s="136" t="str">
        <f>IF(AND($K106&lt;=TODAY(),Q$67&lt;&gt;""),Q105+SUMIFS(Historias!$H$6:$H$135,Historias!$F$6:$F$135,$K106,Historias!$A$6:$A$135,Q$67),"")</f>
        <v/>
      </c>
      <c r="R106" s="137" t="str">
        <f t="shared" si="188"/>
        <v/>
      </c>
      <c r="S106" s="109" t="str">
        <f t="shared" ref="S106:X106" si="264">IF($K106&lt;&gt;"", IF(max($C106:$H106)&gt;0,IF(L106 = max($L106:$Q106), 1 , 0), S105), "")</f>
        <v/>
      </c>
      <c r="T106" s="109" t="str">
        <f t="shared" si="264"/>
        <v/>
      </c>
      <c r="U106" s="109" t="str">
        <f t="shared" si="264"/>
        <v/>
      </c>
      <c r="V106" s="109" t="str">
        <f t="shared" si="264"/>
        <v/>
      </c>
      <c r="W106" s="109" t="str">
        <f t="shared" si="264"/>
        <v/>
      </c>
      <c r="X106" s="109" t="str">
        <f t="shared" si="264"/>
        <v/>
      </c>
      <c r="Y106" s="137" t="str">
        <f t="shared" si="190"/>
        <v/>
      </c>
      <c r="Z106" s="94">
        <f t="shared" ref="Z106:AE106" si="265">IF($K106&lt;&gt;"", IF(L106 = max($L106:$Q106), (L106-AVERAGE($L106:$Q106)) , 0), 0)</f>
        <v>0</v>
      </c>
      <c r="AA106" s="94">
        <f t="shared" si="265"/>
        <v>0</v>
      </c>
      <c r="AB106" s="94">
        <f t="shared" si="265"/>
        <v>0</v>
      </c>
      <c r="AC106" s="94">
        <f t="shared" si="265"/>
        <v>0</v>
      </c>
      <c r="AD106" s="94">
        <f t="shared" si="265"/>
        <v>0</v>
      </c>
      <c r="AE106" s="94">
        <f t="shared" si="265"/>
        <v>0</v>
      </c>
      <c r="AF106" s="97"/>
      <c r="AG106" s="97"/>
      <c r="AH106" s="97"/>
      <c r="AI106" s="97"/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  <c r="AU106" s="97"/>
    </row>
    <row r="107">
      <c r="A107" s="91"/>
      <c r="B107" s="138" t="str">
        <f>Resumen!B42</f>
        <v/>
      </c>
      <c r="C107" s="134">
        <f>IF(C$67&lt;&gt;"", SUMIFS(Historias!$H$6:$H$137,Historias!$F$6:$F$137,$B107,Historias!$A$6:$A$137,C$67), "")</f>
        <v>0</v>
      </c>
      <c r="D107" s="134">
        <f>IF(D$67&lt;&gt;"", SUMIFS(Historias!$H$6:$H$137,Historias!$F$6:$F$137,$B107,Historias!$A$6:$A$137,D$67), "")</f>
        <v>0</v>
      </c>
      <c r="E107" s="134">
        <f>IF(E$67&lt;&gt;"", SUMIFS(Historias!$H$6:$H$137,Historias!$F$6:$F$137,$B107,Historias!$A$6:$A$137,E$67), "")</f>
        <v>0</v>
      </c>
      <c r="F107" s="134">
        <f>IF(F$67&lt;&gt;"", SUMIFS(Historias!$H$6:$H$137,Historias!$F$6:$F$137,$B107,Historias!$A$6:$A$137,F$67), "")</f>
        <v>0</v>
      </c>
      <c r="G107" s="134" t="str">
        <f>IF(G$67&lt;&gt;"", SUMIFS(Historias!$H$6:$H$137,Historias!$F$6:$F$137,$B107,Historias!$A$6:$A$137,G$67), "")</f>
        <v/>
      </c>
      <c r="H107" s="134" t="str">
        <f>IF(H$67&lt;&gt;"", SUMIFS(Historias!$H$6:$H$137,Historias!$F$6:$F$137,$B107,Historias!$A$6:$A$137,H$67), "")</f>
        <v/>
      </c>
      <c r="I107" s="83"/>
      <c r="J107" s="91"/>
      <c r="K107" s="135" t="str">
        <f t="shared" si="187"/>
        <v/>
      </c>
      <c r="L107" s="136" t="str">
        <f>IF(AND($K107&lt;=TODAY(),L$67&lt;&gt;""),L106+SUMIFS(Historias!$H$6:$H$135,Historias!$F$6:$F$135,$K107,Historias!$A$6:$A$135,L$67),"")</f>
        <v/>
      </c>
      <c r="M107" s="136" t="str">
        <f>IF(AND($K107&lt;=TODAY(),M$67&lt;&gt;""),M106+SUMIFS(Historias!$H$6:$H$135,Historias!$F$6:$F$135,$K107,Historias!$A$6:$A$135,M$67),"")</f>
        <v/>
      </c>
      <c r="N107" s="136" t="str">
        <f>IF(AND($K107&lt;=TODAY(),N$67&lt;&gt;""),N106+SUMIFS(Historias!$H$6:$H$135,Historias!$F$6:$F$135,$K107,Historias!$A$6:$A$135,N$67),"")</f>
        <v/>
      </c>
      <c r="O107" s="136" t="str">
        <f>IF(AND($K107&lt;=TODAY(),O$67&lt;&gt;""),O106+SUMIFS(Historias!$H$6:$H$135,Historias!$F$6:$F$135,$K107,Historias!$A$6:$A$135,O$67),"")</f>
        <v/>
      </c>
      <c r="P107" s="136" t="str">
        <f>IF(AND($K107&lt;=TODAY(),P$67&lt;&gt;""),P106+SUMIFS(Historias!$H$6:$H$135,Historias!$F$6:$F$135,$K107,Historias!$A$6:$A$135,P$67),"")</f>
        <v/>
      </c>
      <c r="Q107" s="136" t="str">
        <f>IF(AND($K107&lt;=TODAY(),Q$67&lt;&gt;""),Q106+SUMIFS(Historias!$H$6:$H$135,Historias!$F$6:$F$135,$K107,Historias!$A$6:$A$135,Q$67),"")</f>
        <v/>
      </c>
      <c r="R107" s="137" t="str">
        <f t="shared" si="188"/>
        <v/>
      </c>
      <c r="S107" s="109" t="str">
        <f t="shared" ref="S107:X107" si="266">IF($K107&lt;&gt;"", IF(max($C107:$H107)&gt;0,IF(L107 = max($L107:$Q107), 1 , 0), S106), "")</f>
        <v/>
      </c>
      <c r="T107" s="109" t="str">
        <f t="shared" si="266"/>
        <v/>
      </c>
      <c r="U107" s="109" t="str">
        <f t="shared" si="266"/>
        <v/>
      </c>
      <c r="V107" s="109" t="str">
        <f t="shared" si="266"/>
        <v/>
      </c>
      <c r="W107" s="109" t="str">
        <f t="shared" si="266"/>
        <v/>
      </c>
      <c r="X107" s="109" t="str">
        <f t="shared" si="266"/>
        <v/>
      </c>
      <c r="Y107" s="137" t="str">
        <f t="shared" si="190"/>
        <v/>
      </c>
      <c r="Z107" s="94">
        <f t="shared" ref="Z107:AE107" si="267">IF($K107&lt;&gt;"", IF(L107 = max($L107:$Q107), (L107-AVERAGE($L107:$Q107)) , 0), 0)</f>
        <v>0</v>
      </c>
      <c r="AA107" s="94">
        <f t="shared" si="267"/>
        <v>0</v>
      </c>
      <c r="AB107" s="94">
        <f t="shared" si="267"/>
        <v>0</v>
      </c>
      <c r="AC107" s="94">
        <f t="shared" si="267"/>
        <v>0</v>
      </c>
      <c r="AD107" s="94">
        <f t="shared" si="267"/>
        <v>0</v>
      </c>
      <c r="AE107" s="94">
        <f t="shared" si="267"/>
        <v>0</v>
      </c>
      <c r="AF107" s="97"/>
      <c r="AG107" s="97"/>
      <c r="AH107" s="97"/>
      <c r="AI107" s="97"/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  <c r="AU107" s="97"/>
    </row>
    <row r="108">
      <c r="A108" s="91"/>
      <c r="B108" s="138" t="str">
        <f>Resumen!B43</f>
        <v/>
      </c>
      <c r="C108" s="134">
        <f>IF(C$67&lt;&gt;"", SUMIFS(Historias!$H$6:$H$137,Historias!$F$6:$F$137,$B108,Historias!$A$6:$A$137,C$67), "")</f>
        <v>0</v>
      </c>
      <c r="D108" s="134">
        <f>IF(D$67&lt;&gt;"", SUMIFS(Historias!$H$6:$H$137,Historias!$F$6:$F$137,$B108,Historias!$A$6:$A$137,D$67), "")</f>
        <v>0</v>
      </c>
      <c r="E108" s="134">
        <f>IF(E$67&lt;&gt;"", SUMIFS(Historias!$H$6:$H$137,Historias!$F$6:$F$137,$B108,Historias!$A$6:$A$137,E$67), "")</f>
        <v>0</v>
      </c>
      <c r="F108" s="134">
        <f>IF(F$67&lt;&gt;"", SUMIFS(Historias!$H$6:$H$137,Historias!$F$6:$F$137,$B108,Historias!$A$6:$A$137,F$67), "")</f>
        <v>0</v>
      </c>
      <c r="G108" s="134" t="str">
        <f>IF(G$67&lt;&gt;"", SUMIFS(Historias!$H$6:$H$137,Historias!$F$6:$F$137,$B108,Historias!$A$6:$A$137,G$67), "")</f>
        <v/>
      </c>
      <c r="H108" s="134" t="str">
        <f>IF(H$67&lt;&gt;"", SUMIFS(Historias!$H$6:$H$137,Historias!$F$6:$F$137,$B108,Historias!$A$6:$A$137,H$67), "")</f>
        <v/>
      </c>
      <c r="I108" s="83"/>
      <c r="J108" s="91"/>
      <c r="K108" s="135" t="str">
        <f t="shared" si="187"/>
        <v/>
      </c>
      <c r="L108" s="136" t="str">
        <f>IF(AND($K108&lt;=TODAY(),L$67&lt;&gt;""),L107+SUMIFS(Historias!$H$6:$H$135,Historias!$F$6:$F$135,$K108,Historias!$A$6:$A$135,L$67),"")</f>
        <v/>
      </c>
      <c r="M108" s="136" t="str">
        <f>IF(AND($K108&lt;=TODAY(),M$67&lt;&gt;""),M107+SUMIFS(Historias!$H$6:$H$135,Historias!$F$6:$F$135,$K108,Historias!$A$6:$A$135,M$67),"")</f>
        <v/>
      </c>
      <c r="N108" s="136" t="str">
        <f>IF(AND($K108&lt;=TODAY(),N$67&lt;&gt;""),N107+SUMIFS(Historias!$H$6:$H$135,Historias!$F$6:$F$135,$K108,Historias!$A$6:$A$135,N$67),"")</f>
        <v/>
      </c>
      <c r="O108" s="136" t="str">
        <f>IF(AND($K108&lt;=TODAY(),O$67&lt;&gt;""),O107+SUMIFS(Historias!$H$6:$H$135,Historias!$F$6:$F$135,$K108,Historias!$A$6:$A$135,O$67),"")</f>
        <v/>
      </c>
      <c r="P108" s="136" t="str">
        <f>IF(AND($K108&lt;=TODAY(),P$67&lt;&gt;""),P107+SUMIFS(Historias!$H$6:$H$135,Historias!$F$6:$F$135,$K108,Historias!$A$6:$A$135,P$67),"")</f>
        <v/>
      </c>
      <c r="Q108" s="136" t="str">
        <f>IF(AND($K108&lt;=TODAY(),Q$67&lt;&gt;""),Q107+SUMIFS(Historias!$H$6:$H$135,Historias!$F$6:$F$135,$K108,Historias!$A$6:$A$135,Q$67),"")</f>
        <v/>
      </c>
      <c r="R108" s="137" t="str">
        <f t="shared" si="188"/>
        <v/>
      </c>
      <c r="S108" s="109" t="str">
        <f t="shared" ref="S108:X108" si="268">IF($K108&lt;&gt;"", IF(max($C108:$H108)&gt;0,IF(L108 = max($L108:$Q108), 1 , 0), S107), "")</f>
        <v/>
      </c>
      <c r="T108" s="109" t="str">
        <f t="shared" si="268"/>
        <v/>
      </c>
      <c r="U108" s="109" t="str">
        <f t="shared" si="268"/>
        <v/>
      </c>
      <c r="V108" s="109" t="str">
        <f t="shared" si="268"/>
        <v/>
      </c>
      <c r="W108" s="109" t="str">
        <f t="shared" si="268"/>
        <v/>
      </c>
      <c r="X108" s="109" t="str">
        <f t="shared" si="268"/>
        <v/>
      </c>
      <c r="Y108" s="137" t="str">
        <f t="shared" si="190"/>
        <v/>
      </c>
      <c r="Z108" s="94">
        <f t="shared" ref="Z108:AE108" si="269">IF($K108&lt;&gt;"", IF(L108 = max($L108:$Q108), (L108-AVERAGE($L108:$Q108)) , 0), 0)</f>
        <v>0</v>
      </c>
      <c r="AA108" s="94">
        <f t="shared" si="269"/>
        <v>0</v>
      </c>
      <c r="AB108" s="94">
        <f t="shared" si="269"/>
        <v>0</v>
      </c>
      <c r="AC108" s="94">
        <f t="shared" si="269"/>
        <v>0</v>
      </c>
      <c r="AD108" s="94">
        <f t="shared" si="269"/>
        <v>0</v>
      </c>
      <c r="AE108" s="94">
        <f t="shared" si="269"/>
        <v>0</v>
      </c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</row>
    <row r="109">
      <c r="A109" s="91"/>
      <c r="B109" s="138" t="str">
        <f>Resumen!B44</f>
        <v/>
      </c>
      <c r="C109" s="134">
        <f>IF(C$67&lt;&gt;"", SUMIFS(Historias!$H$6:$H$137,Historias!$F$6:$F$137,$B109,Historias!$A$6:$A$137,C$67), "")</f>
        <v>0</v>
      </c>
      <c r="D109" s="134">
        <f>IF(D$67&lt;&gt;"", SUMIFS(Historias!$H$6:$H$137,Historias!$F$6:$F$137,$B109,Historias!$A$6:$A$137,D$67), "")</f>
        <v>0</v>
      </c>
      <c r="E109" s="134">
        <f>IF(E$67&lt;&gt;"", SUMIFS(Historias!$H$6:$H$137,Historias!$F$6:$F$137,$B109,Historias!$A$6:$A$137,E$67), "")</f>
        <v>0</v>
      </c>
      <c r="F109" s="134">
        <f>IF(F$67&lt;&gt;"", SUMIFS(Historias!$H$6:$H$137,Historias!$F$6:$F$137,$B109,Historias!$A$6:$A$137,F$67), "")</f>
        <v>0</v>
      </c>
      <c r="G109" s="134" t="str">
        <f>IF(G$67&lt;&gt;"", SUMIFS(Historias!$H$6:$H$137,Historias!$F$6:$F$137,$B109,Historias!$A$6:$A$137,G$67), "")</f>
        <v/>
      </c>
      <c r="H109" s="134" t="str">
        <f>IF(H$67&lt;&gt;"", SUMIFS(Historias!$H$6:$H$137,Historias!$F$6:$F$137,$B109,Historias!$A$6:$A$137,H$67), "")</f>
        <v/>
      </c>
      <c r="I109" s="83"/>
      <c r="J109" s="91"/>
      <c r="K109" s="135" t="str">
        <f t="shared" si="187"/>
        <v/>
      </c>
      <c r="L109" s="136" t="str">
        <f>IF(AND($K109&lt;=TODAY(),L$67&lt;&gt;""),L108+SUMIFS(Historias!$H$6:$H$135,Historias!$F$6:$F$135,$K109,Historias!$A$6:$A$135,L$67),"")</f>
        <v/>
      </c>
      <c r="M109" s="136" t="str">
        <f>IF(AND($K109&lt;=TODAY(),M$67&lt;&gt;""),M108+SUMIFS(Historias!$H$6:$H$135,Historias!$F$6:$F$135,$K109,Historias!$A$6:$A$135,M$67),"")</f>
        <v/>
      </c>
      <c r="N109" s="136" t="str">
        <f>IF(AND($K109&lt;=TODAY(),N$67&lt;&gt;""),N108+SUMIFS(Historias!$H$6:$H$135,Historias!$F$6:$F$135,$K109,Historias!$A$6:$A$135,N$67),"")</f>
        <v/>
      </c>
      <c r="O109" s="136" t="str">
        <f>IF(AND($K109&lt;=TODAY(),O$67&lt;&gt;""),O108+SUMIFS(Historias!$H$6:$H$135,Historias!$F$6:$F$135,$K109,Historias!$A$6:$A$135,O$67),"")</f>
        <v/>
      </c>
      <c r="P109" s="136" t="str">
        <f>IF(AND($K109&lt;=TODAY(),P$67&lt;&gt;""),P108+SUMIFS(Historias!$H$6:$H$135,Historias!$F$6:$F$135,$K109,Historias!$A$6:$A$135,P$67),"")</f>
        <v/>
      </c>
      <c r="Q109" s="136" t="str">
        <f>IF(AND($K109&lt;=TODAY(),Q$67&lt;&gt;""),Q108+SUMIFS(Historias!$H$6:$H$135,Historias!$F$6:$F$135,$K109,Historias!$A$6:$A$135,Q$67),"")</f>
        <v/>
      </c>
      <c r="R109" s="137" t="str">
        <f t="shared" si="188"/>
        <v/>
      </c>
      <c r="S109" s="109" t="str">
        <f t="shared" ref="S109:X109" si="270">IF($K109&lt;&gt;"", IF(max($C109:$H109)&gt;0,IF(L109 = max($L109:$Q109), 1 , 0), S108), "")</f>
        <v/>
      </c>
      <c r="T109" s="109" t="str">
        <f t="shared" si="270"/>
        <v/>
      </c>
      <c r="U109" s="109" t="str">
        <f t="shared" si="270"/>
        <v/>
      </c>
      <c r="V109" s="109" t="str">
        <f t="shared" si="270"/>
        <v/>
      </c>
      <c r="W109" s="109" t="str">
        <f t="shared" si="270"/>
        <v/>
      </c>
      <c r="X109" s="109" t="str">
        <f t="shared" si="270"/>
        <v/>
      </c>
      <c r="Y109" s="137" t="str">
        <f t="shared" si="190"/>
        <v/>
      </c>
      <c r="Z109" s="94">
        <f t="shared" ref="Z109:AE109" si="271">IF($K109&lt;&gt;"", IF(L109 = max($L109:$Q109), (L109-AVERAGE($L109:$Q109)) , 0), 0)</f>
        <v>0</v>
      </c>
      <c r="AA109" s="94">
        <f t="shared" si="271"/>
        <v>0</v>
      </c>
      <c r="AB109" s="94">
        <f t="shared" si="271"/>
        <v>0</v>
      </c>
      <c r="AC109" s="94">
        <f t="shared" si="271"/>
        <v>0</v>
      </c>
      <c r="AD109" s="94">
        <f t="shared" si="271"/>
        <v>0</v>
      </c>
      <c r="AE109" s="94">
        <f t="shared" si="271"/>
        <v>0</v>
      </c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  <c r="AP109" s="97"/>
      <c r="AQ109" s="97"/>
      <c r="AR109" s="97"/>
      <c r="AS109" s="97"/>
      <c r="AT109" s="97"/>
      <c r="AU109" s="97"/>
    </row>
    <row r="110">
      <c r="A110" s="91"/>
      <c r="B110" s="138" t="str">
        <f>Resumen!B45</f>
        <v/>
      </c>
      <c r="C110" s="134">
        <f>IF(C$67&lt;&gt;"", SUMIFS(Historias!$H$6:$H$137,Historias!$F$6:$F$137,$B110,Historias!$A$6:$A$137,C$67), "")</f>
        <v>0</v>
      </c>
      <c r="D110" s="134">
        <f>IF(D$67&lt;&gt;"", SUMIFS(Historias!$H$6:$H$137,Historias!$F$6:$F$137,$B110,Historias!$A$6:$A$137,D$67), "")</f>
        <v>0</v>
      </c>
      <c r="E110" s="134">
        <f>IF(E$67&lt;&gt;"", SUMIFS(Historias!$H$6:$H$137,Historias!$F$6:$F$137,$B110,Historias!$A$6:$A$137,E$67), "")</f>
        <v>0</v>
      </c>
      <c r="F110" s="134">
        <f>IF(F$67&lt;&gt;"", SUMIFS(Historias!$H$6:$H$137,Historias!$F$6:$F$137,$B110,Historias!$A$6:$A$137,F$67), "")</f>
        <v>0</v>
      </c>
      <c r="G110" s="134" t="str">
        <f>IF(G$67&lt;&gt;"", SUMIFS(Historias!$H$6:$H$137,Historias!$F$6:$F$137,$B110,Historias!$A$6:$A$137,G$67), "")</f>
        <v/>
      </c>
      <c r="H110" s="134" t="str">
        <f>IF(H$67&lt;&gt;"", SUMIFS(Historias!$H$6:$H$137,Historias!$F$6:$F$137,$B110,Historias!$A$6:$A$137,H$67), "")</f>
        <v/>
      </c>
      <c r="I110" s="83"/>
      <c r="J110" s="91"/>
      <c r="K110" s="135" t="str">
        <f t="shared" si="187"/>
        <v/>
      </c>
      <c r="L110" s="136" t="str">
        <f>IF(AND($K110&lt;=TODAY(),L$67&lt;&gt;""),L109+SUMIFS(Historias!$H$6:$H$135,Historias!$F$6:$F$135,$K110,Historias!$A$6:$A$135,L$67),"")</f>
        <v/>
      </c>
      <c r="M110" s="136" t="str">
        <f>IF(AND($K110&lt;=TODAY(),M$67&lt;&gt;""),M109+SUMIFS(Historias!$H$6:$H$135,Historias!$F$6:$F$135,$K110,Historias!$A$6:$A$135,M$67),"")</f>
        <v/>
      </c>
      <c r="N110" s="136" t="str">
        <f>IF(AND($K110&lt;=TODAY(),N$67&lt;&gt;""),N109+SUMIFS(Historias!$H$6:$H$135,Historias!$F$6:$F$135,$K110,Historias!$A$6:$A$135,N$67),"")</f>
        <v/>
      </c>
      <c r="O110" s="136" t="str">
        <f>IF(AND($K110&lt;=TODAY(),O$67&lt;&gt;""),O109+SUMIFS(Historias!$H$6:$H$135,Historias!$F$6:$F$135,$K110,Historias!$A$6:$A$135,O$67),"")</f>
        <v/>
      </c>
      <c r="P110" s="136" t="str">
        <f>IF(AND($K110&lt;=TODAY(),P$67&lt;&gt;""),P109+SUMIFS(Historias!$H$6:$H$135,Historias!$F$6:$F$135,$K110,Historias!$A$6:$A$135,P$67),"")</f>
        <v/>
      </c>
      <c r="Q110" s="136" t="str">
        <f>IF(AND($K110&lt;=TODAY(),Q$67&lt;&gt;""),Q109+SUMIFS(Historias!$H$6:$H$135,Historias!$F$6:$F$135,$K110,Historias!$A$6:$A$135,Q$67),"")</f>
        <v/>
      </c>
      <c r="R110" s="137" t="str">
        <f t="shared" si="188"/>
        <v/>
      </c>
      <c r="S110" s="109" t="str">
        <f t="shared" ref="S110:X110" si="272">IF($K110&lt;&gt;"", IF(max($C110:$H110)&gt;0,IF(L110 = max($L110:$Q110), 1 , 0), S109), "")</f>
        <v/>
      </c>
      <c r="T110" s="109" t="str">
        <f t="shared" si="272"/>
        <v/>
      </c>
      <c r="U110" s="109" t="str">
        <f t="shared" si="272"/>
        <v/>
      </c>
      <c r="V110" s="109" t="str">
        <f t="shared" si="272"/>
        <v/>
      </c>
      <c r="W110" s="109" t="str">
        <f t="shared" si="272"/>
        <v/>
      </c>
      <c r="X110" s="109" t="str">
        <f t="shared" si="272"/>
        <v/>
      </c>
      <c r="Y110" s="137" t="str">
        <f t="shared" si="190"/>
        <v/>
      </c>
      <c r="Z110" s="94">
        <f t="shared" ref="Z110:AE110" si="273">IF($K110&lt;&gt;"", IF(L110 = max($L110:$Q110), (L110-AVERAGE($L110:$Q110)) , 0), 0)</f>
        <v>0</v>
      </c>
      <c r="AA110" s="94">
        <f t="shared" si="273"/>
        <v>0</v>
      </c>
      <c r="AB110" s="94">
        <f t="shared" si="273"/>
        <v>0</v>
      </c>
      <c r="AC110" s="94">
        <f t="shared" si="273"/>
        <v>0</v>
      </c>
      <c r="AD110" s="94">
        <f t="shared" si="273"/>
        <v>0</v>
      </c>
      <c r="AE110" s="94">
        <f t="shared" si="273"/>
        <v>0</v>
      </c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  <c r="AP110" s="97"/>
      <c r="AQ110" s="97"/>
      <c r="AR110" s="97"/>
      <c r="AS110" s="97"/>
      <c r="AT110" s="97"/>
      <c r="AU110" s="97"/>
    </row>
    <row r="111">
      <c r="A111" s="91"/>
      <c r="B111" s="138" t="str">
        <f>Resumen!B46</f>
        <v/>
      </c>
      <c r="C111" s="134">
        <f>IF(C$67&lt;&gt;"", SUMIFS(Historias!$H$6:$H$137,Historias!$F$6:$F$137,$B111,Historias!$A$6:$A$137,C$67), "")</f>
        <v>0</v>
      </c>
      <c r="D111" s="134">
        <f>IF(D$67&lt;&gt;"", SUMIFS(Historias!$H$6:$H$137,Historias!$F$6:$F$137,$B111,Historias!$A$6:$A$137,D$67), "")</f>
        <v>0</v>
      </c>
      <c r="E111" s="134">
        <f>IF(E$67&lt;&gt;"", SUMIFS(Historias!$H$6:$H$137,Historias!$F$6:$F$137,$B111,Historias!$A$6:$A$137,E$67), "")</f>
        <v>0</v>
      </c>
      <c r="F111" s="134">
        <f>IF(F$67&lt;&gt;"", SUMIFS(Historias!$H$6:$H$137,Historias!$F$6:$F$137,$B111,Historias!$A$6:$A$137,F$67), "")</f>
        <v>0</v>
      </c>
      <c r="G111" s="134" t="str">
        <f>IF(G$67&lt;&gt;"", SUMIFS(Historias!$H$6:$H$137,Historias!$F$6:$F$137,$B111,Historias!$A$6:$A$137,G$67), "")</f>
        <v/>
      </c>
      <c r="H111" s="134" t="str">
        <f>IF(H$67&lt;&gt;"", SUMIFS(Historias!$H$6:$H$137,Historias!$F$6:$F$137,$B111,Historias!$A$6:$A$137,H$67), "")</f>
        <v/>
      </c>
      <c r="I111" s="83"/>
      <c r="J111" s="91"/>
      <c r="K111" s="135" t="str">
        <f t="shared" si="187"/>
        <v/>
      </c>
      <c r="L111" s="136" t="str">
        <f>IF(AND($K111&lt;=TODAY(),L$67&lt;&gt;""),L110+SUMIFS(Historias!$H$6:$H$135,Historias!$F$6:$F$135,$K111,Historias!$A$6:$A$135,L$67),"")</f>
        <v/>
      </c>
      <c r="M111" s="136" t="str">
        <f>IF(AND($K111&lt;=TODAY(),M$67&lt;&gt;""),M110+SUMIFS(Historias!$H$6:$H$135,Historias!$F$6:$F$135,$K111,Historias!$A$6:$A$135,M$67),"")</f>
        <v/>
      </c>
      <c r="N111" s="136" t="str">
        <f>IF(AND($K111&lt;=TODAY(),N$67&lt;&gt;""),N110+SUMIFS(Historias!$H$6:$H$135,Historias!$F$6:$F$135,$K111,Historias!$A$6:$A$135,N$67),"")</f>
        <v/>
      </c>
      <c r="O111" s="136" t="str">
        <f>IF(AND($K111&lt;=TODAY(),O$67&lt;&gt;""),O110+SUMIFS(Historias!$H$6:$H$135,Historias!$F$6:$F$135,$K111,Historias!$A$6:$A$135,O$67),"")</f>
        <v/>
      </c>
      <c r="P111" s="136" t="str">
        <f>IF(AND($K111&lt;=TODAY(),P$67&lt;&gt;""),P110+SUMIFS(Historias!$H$6:$H$135,Historias!$F$6:$F$135,$K111,Historias!$A$6:$A$135,P$67),"")</f>
        <v/>
      </c>
      <c r="Q111" s="136" t="str">
        <f>IF(AND($K111&lt;=TODAY(),Q$67&lt;&gt;""),Q110+SUMIFS(Historias!$H$6:$H$135,Historias!$F$6:$F$135,$K111,Historias!$A$6:$A$135,Q$67),"")</f>
        <v/>
      </c>
      <c r="R111" s="137" t="str">
        <f t="shared" si="188"/>
        <v/>
      </c>
      <c r="S111" s="109" t="str">
        <f t="shared" ref="S111:X111" si="274">IF($K111&lt;&gt;"", IF(max($C111:$H111)&gt;0,IF(L111 = max($L111:$Q111), 1 , 0), S110), "")</f>
        <v/>
      </c>
      <c r="T111" s="109" t="str">
        <f t="shared" si="274"/>
        <v/>
      </c>
      <c r="U111" s="109" t="str">
        <f t="shared" si="274"/>
        <v/>
      </c>
      <c r="V111" s="109" t="str">
        <f t="shared" si="274"/>
        <v/>
      </c>
      <c r="W111" s="109" t="str">
        <f t="shared" si="274"/>
        <v/>
      </c>
      <c r="X111" s="109" t="str">
        <f t="shared" si="274"/>
        <v/>
      </c>
      <c r="Y111" s="137" t="str">
        <f t="shared" si="190"/>
        <v/>
      </c>
      <c r="Z111" s="94">
        <f t="shared" ref="Z111:AE111" si="275">IF($K111&lt;&gt;"", IF(L111 = max($L111:$Q111), (L111-AVERAGE($L111:$Q111)) , 0), 0)</f>
        <v>0</v>
      </c>
      <c r="AA111" s="94">
        <f t="shared" si="275"/>
        <v>0</v>
      </c>
      <c r="AB111" s="94">
        <f t="shared" si="275"/>
        <v>0</v>
      </c>
      <c r="AC111" s="94">
        <f t="shared" si="275"/>
        <v>0</v>
      </c>
      <c r="AD111" s="94">
        <f t="shared" si="275"/>
        <v>0</v>
      </c>
      <c r="AE111" s="94">
        <f t="shared" si="275"/>
        <v>0</v>
      </c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  <c r="AP111" s="97"/>
      <c r="AQ111" s="97"/>
      <c r="AR111" s="97"/>
      <c r="AS111" s="97"/>
      <c r="AT111" s="97"/>
      <c r="AU111" s="97"/>
    </row>
    <row r="112">
      <c r="A112" s="91"/>
      <c r="B112" s="138" t="str">
        <f>Resumen!B47</f>
        <v/>
      </c>
      <c r="C112" s="134">
        <f>IF(C$67&lt;&gt;"", SUMIFS(Historias!$H$6:$H$137,Historias!$F$6:$F$137,$B112,Historias!$A$6:$A$137,C$67), "")</f>
        <v>0</v>
      </c>
      <c r="D112" s="134">
        <f>IF(D$67&lt;&gt;"", SUMIFS(Historias!$H$6:$H$137,Historias!$F$6:$F$137,$B112,Historias!$A$6:$A$137,D$67), "")</f>
        <v>0</v>
      </c>
      <c r="E112" s="134">
        <f>IF(E$67&lt;&gt;"", SUMIFS(Historias!$H$6:$H$137,Historias!$F$6:$F$137,$B112,Historias!$A$6:$A$137,E$67), "")</f>
        <v>0</v>
      </c>
      <c r="F112" s="134">
        <f>IF(F$67&lt;&gt;"", SUMIFS(Historias!$H$6:$H$137,Historias!$F$6:$F$137,$B112,Historias!$A$6:$A$137,F$67), "")</f>
        <v>0</v>
      </c>
      <c r="G112" s="134" t="str">
        <f>IF(G$67&lt;&gt;"", SUMIFS(Historias!$H$6:$H$137,Historias!$F$6:$F$137,$B112,Historias!$A$6:$A$137,G$67), "")</f>
        <v/>
      </c>
      <c r="H112" s="134" t="str">
        <f>IF(H$67&lt;&gt;"", SUMIFS(Historias!$H$6:$H$137,Historias!$F$6:$F$137,$B112,Historias!$A$6:$A$137,H$67), "")</f>
        <v/>
      </c>
      <c r="I112" s="83"/>
      <c r="J112" s="91"/>
      <c r="K112" s="135" t="str">
        <f t="shared" si="187"/>
        <v/>
      </c>
      <c r="L112" s="136" t="str">
        <f>IF(AND($K112&lt;=TODAY(),L$67&lt;&gt;""),L111+SUMIFS(Historias!$H$6:$H$135,Historias!$F$6:$F$135,$K112,Historias!$A$6:$A$135,L$67),"")</f>
        <v/>
      </c>
      <c r="M112" s="136" t="str">
        <f>IF(AND($K112&lt;=TODAY(),M$67&lt;&gt;""),M111+SUMIFS(Historias!$H$6:$H$135,Historias!$F$6:$F$135,$K112,Historias!$A$6:$A$135,M$67),"")</f>
        <v/>
      </c>
      <c r="N112" s="136" t="str">
        <f>IF(AND($K112&lt;=TODAY(),N$67&lt;&gt;""),N111+SUMIFS(Historias!$H$6:$H$135,Historias!$F$6:$F$135,$K112,Historias!$A$6:$A$135,N$67),"")</f>
        <v/>
      </c>
      <c r="O112" s="136" t="str">
        <f>IF(AND($K112&lt;=TODAY(),O$67&lt;&gt;""),O111+SUMIFS(Historias!$H$6:$H$135,Historias!$F$6:$F$135,$K112,Historias!$A$6:$A$135,O$67),"")</f>
        <v/>
      </c>
      <c r="P112" s="136" t="str">
        <f>IF(AND($K112&lt;=TODAY(),P$67&lt;&gt;""),P111+SUMIFS(Historias!$H$6:$H$135,Historias!$F$6:$F$135,$K112,Historias!$A$6:$A$135,P$67),"")</f>
        <v/>
      </c>
      <c r="Q112" s="136" t="str">
        <f>IF(AND($K112&lt;=TODAY(),Q$67&lt;&gt;""),Q111+SUMIFS(Historias!$H$6:$H$135,Historias!$F$6:$F$135,$K112,Historias!$A$6:$A$135,Q$67),"")</f>
        <v/>
      </c>
      <c r="R112" s="137" t="str">
        <f t="shared" si="188"/>
        <v/>
      </c>
      <c r="S112" s="109" t="str">
        <f t="shared" ref="S112:X112" si="276">IF($K112&lt;&gt;"", IF(max($C112:$H112)&gt;0,IF(L112 = max($L112:$Q112), 1 , 0), S111), "")</f>
        <v/>
      </c>
      <c r="T112" s="109" t="str">
        <f t="shared" si="276"/>
        <v/>
      </c>
      <c r="U112" s="109" t="str">
        <f t="shared" si="276"/>
        <v/>
      </c>
      <c r="V112" s="109" t="str">
        <f t="shared" si="276"/>
        <v/>
      </c>
      <c r="W112" s="109" t="str">
        <f t="shared" si="276"/>
        <v/>
      </c>
      <c r="X112" s="109" t="str">
        <f t="shared" si="276"/>
        <v/>
      </c>
      <c r="Y112" s="137" t="str">
        <f t="shared" si="190"/>
        <v/>
      </c>
      <c r="Z112" s="94">
        <f t="shared" ref="Z112:AE112" si="277">IF($K112&lt;&gt;"", IF(L112 = max($L112:$Q112), (L112-AVERAGE($L112:$Q112)) , 0), 0)</f>
        <v>0</v>
      </c>
      <c r="AA112" s="94">
        <f t="shared" si="277"/>
        <v>0</v>
      </c>
      <c r="AB112" s="94">
        <f t="shared" si="277"/>
        <v>0</v>
      </c>
      <c r="AC112" s="94">
        <f t="shared" si="277"/>
        <v>0</v>
      </c>
      <c r="AD112" s="94">
        <f t="shared" si="277"/>
        <v>0</v>
      </c>
      <c r="AE112" s="94">
        <f t="shared" si="277"/>
        <v>0</v>
      </c>
      <c r="AF112" s="97"/>
      <c r="AG112" s="97"/>
      <c r="AH112" s="97"/>
      <c r="AI112" s="97"/>
      <c r="AJ112" s="97"/>
      <c r="AK112" s="97"/>
      <c r="AL112" s="97"/>
      <c r="AM112" s="97"/>
      <c r="AN112" s="97"/>
      <c r="AO112" s="97"/>
      <c r="AP112" s="97"/>
      <c r="AQ112" s="97"/>
      <c r="AR112" s="97"/>
      <c r="AS112" s="97"/>
      <c r="AT112" s="97"/>
      <c r="AU112" s="97"/>
    </row>
    <row r="113">
      <c r="A113" s="91"/>
      <c r="B113" s="138" t="str">
        <f>Resumen!B48</f>
        <v/>
      </c>
      <c r="C113" s="134">
        <f>IF(C$67&lt;&gt;"", SUMIFS(Historias!$H$6:$H$137,Historias!$F$6:$F$137,$B113,Historias!$A$6:$A$137,C$67), "")</f>
        <v>0</v>
      </c>
      <c r="D113" s="134">
        <f>IF(D$67&lt;&gt;"", SUMIFS(Historias!$H$6:$H$137,Historias!$F$6:$F$137,$B113,Historias!$A$6:$A$137,D$67), "")</f>
        <v>0</v>
      </c>
      <c r="E113" s="134">
        <f>IF(E$67&lt;&gt;"", SUMIFS(Historias!$H$6:$H$137,Historias!$F$6:$F$137,$B113,Historias!$A$6:$A$137,E$67), "")</f>
        <v>0</v>
      </c>
      <c r="F113" s="134">
        <f>IF(F$67&lt;&gt;"", SUMIFS(Historias!$H$6:$H$137,Historias!$F$6:$F$137,$B113,Historias!$A$6:$A$137,F$67), "")</f>
        <v>0</v>
      </c>
      <c r="G113" s="134" t="str">
        <f>IF(G$67&lt;&gt;"", SUMIFS(Historias!$H$6:$H$137,Historias!$F$6:$F$137,$B113,Historias!$A$6:$A$137,G$67), "")</f>
        <v/>
      </c>
      <c r="H113" s="134" t="str">
        <f>IF(H$67&lt;&gt;"", SUMIFS(Historias!$H$6:$H$137,Historias!$F$6:$F$137,$B113,Historias!$A$6:$A$137,H$67), "")</f>
        <v/>
      </c>
      <c r="I113" s="83"/>
      <c r="J113" s="91"/>
      <c r="K113" s="135" t="str">
        <f t="shared" si="187"/>
        <v/>
      </c>
      <c r="L113" s="136" t="str">
        <f>IF(AND($K113&lt;=TODAY(),L$67&lt;&gt;""),L112+SUMIFS(Historias!$H$6:$H$135,Historias!$F$6:$F$135,$K113,Historias!$A$6:$A$135,L$67),"")</f>
        <v/>
      </c>
      <c r="M113" s="136" t="str">
        <f>IF(AND($K113&lt;=TODAY(),M$67&lt;&gt;""),M112+SUMIFS(Historias!$H$6:$H$135,Historias!$F$6:$F$135,$K113,Historias!$A$6:$A$135,M$67),"")</f>
        <v/>
      </c>
      <c r="N113" s="136" t="str">
        <f>IF(AND($K113&lt;=TODAY(),N$67&lt;&gt;""),N112+SUMIFS(Historias!$H$6:$H$135,Historias!$F$6:$F$135,$K113,Historias!$A$6:$A$135,N$67),"")</f>
        <v/>
      </c>
      <c r="O113" s="136" t="str">
        <f>IF(AND($K113&lt;=TODAY(),O$67&lt;&gt;""),O112+SUMIFS(Historias!$H$6:$H$135,Historias!$F$6:$F$135,$K113,Historias!$A$6:$A$135,O$67),"")</f>
        <v/>
      </c>
      <c r="P113" s="136" t="str">
        <f>IF(AND($K113&lt;=TODAY(),P$67&lt;&gt;""),P112+SUMIFS(Historias!$H$6:$H$135,Historias!$F$6:$F$135,$K113,Historias!$A$6:$A$135,P$67),"")</f>
        <v/>
      </c>
      <c r="Q113" s="136" t="str">
        <f>IF(AND($K113&lt;=TODAY(),Q$67&lt;&gt;""),Q112+SUMIFS(Historias!$H$6:$H$135,Historias!$F$6:$F$135,$K113,Historias!$A$6:$A$135,Q$67),"")</f>
        <v/>
      </c>
      <c r="R113" s="137" t="str">
        <f t="shared" si="188"/>
        <v/>
      </c>
      <c r="S113" s="109" t="str">
        <f t="shared" ref="S113:X113" si="278">IF($K113&lt;&gt;"", IF(max($C113:$H113)&gt;0,IF(L113 = max($L113:$Q113), 1 , 0), S112), "")</f>
        <v/>
      </c>
      <c r="T113" s="109" t="str">
        <f t="shared" si="278"/>
        <v/>
      </c>
      <c r="U113" s="109" t="str">
        <f t="shared" si="278"/>
        <v/>
      </c>
      <c r="V113" s="109" t="str">
        <f t="shared" si="278"/>
        <v/>
      </c>
      <c r="W113" s="109" t="str">
        <f t="shared" si="278"/>
        <v/>
      </c>
      <c r="X113" s="109" t="str">
        <f t="shared" si="278"/>
        <v/>
      </c>
      <c r="Y113" s="137" t="str">
        <f t="shared" si="190"/>
        <v/>
      </c>
      <c r="Z113" s="94">
        <f t="shared" ref="Z113:AE113" si="279">IF($K113&lt;&gt;"", IF(L113 = max($L113:$Q113), (L113-AVERAGE($L113:$Q113)) , 0), 0)</f>
        <v>0</v>
      </c>
      <c r="AA113" s="94">
        <f t="shared" si="279"/>
        <v>0</v>
      </c>
      <c r="AB113" s="94">
        <f t="shared" si="279"/>
        <v>0</v>
      </c>
      <c r="AC113" s="94">
        <f t="shared" si="279"/>
        <v>0</v>
      </c>
      <c r="AD113" s="94">
        <f t="shared" si="279"/>
        <v>0</v>
      </c>
      <c r="AE113" s="94">
        <f t="shared" si="279"/>
        <v>0</v>
      </c>
      <c r="AF113" s="97"/>
      <c r="AG113" s="97"/>
      <c r="AH113" s="97"/>
      <c r="AI113" s="97"/>
      <c r="AJ113" s="97"/>
      <c r="AK113" s="97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</row>
    <row r="114">
      <c r="A114" s="91"/>
      <c r="B114" s="138" t="str">
        <f>Resumen!B49</f>
        <v/>
      </c>
      <c r="C114" s="134">
        <f>IF(C$67&lt;&gt;"", SUMIFS(Historias!$H$6:$H$137,Historias!$F$6:$F$137,$B114,Historias!$A$6:$A$137,C$67), "")</f>
        <v>0</v>
      </c>
      <c r="D114" s="134">
        <f>IF(D$67&lt;&gt;"", SUMIFS(Historias!$H$6:$H$137,Historias!$F$6:$F$137,$B114,Historias!$A$6:$A$137,D$67), "")</f>
        <v>0</v>
      </c>
      <c r="E114" s="134">
        <f>IF(E$67&lt;&gt;"", SUMIFS(Historias!$H$6:$H$137,Historias!$F$6:$F$137,$B114,Historias!$A$6:$A$137,E$67), "")</f>
        <v>0</v>
      </c>
      <c r="F114" s="134">
        <f>IF(F$67&lt;&gt;"", SUMIFS(Historias!$H$6:$H$137,Historias!$F$6:$F$137,$B114,Historias!$A$6:$A$137,F$67), "")</f>
        <v>0</v>
      </c>
      <c r="G114" s="134" t="str">
        <f>IF(G$67&lt;&gt;"", SUMIFS(Historias!$H$6:$H$137,Historias!$F$6:$F$137,$B114,Historias!$A$6:$A$137,G$67), "")</f>
        <v/>
      </c>
      <c r="H114" s="134" t="str">
        <f>IF(H$67&lt;&gt;"", SUMIFS(Historias!$H$6:$H$137,Historias!$F$6:$F$137,$B114,Historias!$A$6:$A$137,H$67), "")</f>
        <v/>
      </c>
      <c r="I114" s="83"/>
      <c r="J114" s="91"/>
      <c r="K114" s="135" t="str">
        <f t="shared" si="187"/>
        <v/>
      </c>
      <c r="L114" s="136" t="str">
        <f>IF(AND($K114&lt;=TODAY(),L$67&lt;&gt;""),L113+SUMIFS(Historias!$H$6:$H$135,Historias!$F$6:$F$135,$K114,Historias!$A$6:$A$135,L$67),"")</f>
        <v/>
      </c>
      <c r="M114" s="136" t="str">
        <f>IF(AND($K114&lt;=TODAY(),M$67&lt;&gt;""),M113+SUMIFS(Historias!$H$6:$H$135,Historias!$F$6:$F$135,$K114,Historias!$A$6:$A$135,M$67),"")</f>
        <v/>
      </c>
      <c r="N114" s="136" t="str">
        <f>IF(AND($K114&lt;=TODAY(),N$67&lt;&gt;""),N113+SUMIFS(Historias!$H$6:$H$135,Historias!$F$6:$F$135,$K114,Historias!$A$6:$A$135,N$67),"")</f>
        <v/>
      </c>
      <c r="O114" s="136" t="str">
        <f>IF(AND($K114&lt;=TODAY(),O$67&lt;&gt;""),O113+SUMIFS(Historias!$H$6:$H$135,Historias!$F$6:$F$135,$K114,Historias!$A$6:$A$135,O$67),"")</f>
        <v/>
      </c>
      <c r="P114" s="136" t="str">
        <f>IF(AND($K114&lt;=TODAY(),P$67&lt;&gt;""),P113+SUMIFS(Historias!$H$6:$H$135,Historias!$F$6:$F$135,$K114,Historias!$A$6:$A$135,P$67),"")</f>
        <v/>
      </c>
      <c r="Q114" s="136" t="str">
        <f>IF(AND($K114&lt;=TODAY(),Q$67&lt;&gt;""),Q113+SUMIFS(Historias!$H$6:$H$135,Historias!$F$6:$F$135,$K114,Historias!$A$6:$A$135,Q$67),"")</f>
        <v/>
      </c>
      <c r="R114" s="137" t="str">
        <f t="shared" si="188"/>
        <v/>
      </c>
      <c r="S114" s="109" t="str">
        <f t="shared" ref="S114:X114" si="280">IF($K114&lt;&gt;"", IF(max($C114:$H114)&gt;0,IF(L114 = max($L114:$Q114), 1 , 0), S113), "")</f>
        <v/>
      </c>
      <c r="T114" s="109" t="str">
        <f t="shared" si="280"/>
        <v/>
      </c>
      <c r="U114" s="109" t="str">
        <f t="shared" si="280"/>
        <v/>
      </c>
      <c r="V114" s="109" t="str">
        <f t="shared" si="280"/>
        <v/>
      </c>
      <c r="W114" s="109" t="str">
        <f t="shared" si="280"/>
        <v/>
      </c>
      <c r="X114" s="109" t="str">
        <f t="shared" si="280"/>
        <v/>
      </c>
      <c r="Y114" s="137" t="str">
        <f t="shared" si="190"/>
        <v/>
      </c>
      <c r="Z114" s="94">
        <f t="shared" ref="Z114:AE114" si="281">IF($K114&lt;&gt;"", IF(L114 = max($L114:$Q114), (L114-AVERAGE($L114:$Q114)) , 0), 0)</f>
        <v>0</v>
      </c>
      <c r="AA114" s="94">
        <f t="shared" si="281"/>
        <v>0</v>
      </c>
      <c r="AB114" s="94">
        <f t="shared" si="281"/>
        <v>0</v>
      </c>
      <c r="AC114" s="94">
        <f t="shared" si="281"/>
        <v>0</v>
      </c>
      <c r="AD114" s="94">
        <f t="shared" si="281"/>
        <v>0</v>
      </c>
      <c r="AE114" s="94">
        <f t="shared" si="281"/>
        <v>0</v>
      </c>
      <c r="AF114" s="97"/>
      <c r="AG114" s="97"/>
      <c r="AH114" s="97"/>
      <c r="AI114" s="97"/>
      <c r="AJ114" s="97"/>
      <c r="AK114" s="97"/>
      <c r="AL114" s="97"/>
      <c r="AM114" s="97"/>
      <c r="AN114" s="97"/>
      <c r="AO114" s="97"/>
      <c r="AP114" s="97"/>
      <c r="AQ114" s="97"/>
      <c r="AR114" s="97"/>
      <c r="AS114" s="97"/>
      <c r="AT114" s="97"/>
      <c r="AU114" s="97"/>
    </row>
    <row r="115">
      <c r="A115" s="91"/>
      <c r="B115" s="138" t="str">
        <f>Resumen!B50</f>
        <v/>
      </c>
      <c r="C115" s="134">
        <f>IF(C$67&lt;&gt;"", SUMIFS(Historias!$H$6:$H$137,Historias!$F$6:$F$137,$B115,Historias!$A$6:$A$137,C$67), "")</f>
        <v>0</v>
      </c>
      <c r="D115" s="134">
        <f>IF(D$67&lt;&gt;"", SUMIFS(Historias!$H$6:$H$137,Historias!$F$6:$F$137,$B115,Historias!$A$6:$A$137,D$67), "")</f>
        <v>0</v>
      </c>
      <c r="E115" s="134">
        <f>IF(E$67&lt;&gt;"", SUMIFS(Historias!$H$6:$H$137,Historias!$F$6:$F$137,$B115,Historias!$A$6:$A$137,E$67), "")</f>
        <v>0</v>
      </c>
      <c r="F115" s="134">
        <f>IF(F$67&lt;&gt;"", SUMIFS(Historias!$H$6:$H$137,Historias!$F$6:$F$137,$B115,Historias!$A$6:$A$137,F$67), "")</f>
        <v>0</v>
      </c>
      <c r="G115" s="134" t="str">
        <f>IF(G$67&lt;&gt;"", SUMIFS(Historias!$H$6:$H$137,Historias!$F$6:$F$137,$B115,Historias!$A$6:$A$137,G$67), "")</f>
        <v/>
      </c>
      <c r="H115" s="134" t="str">
        <f>IF(H$67&lt;&gt;"", SUMIFS(Historias!$H$6:$H$137,Historias!$F$6:$F$137,$B115,Historias!$A$6:$A$137,H$67), "")</f>
        <v/>
      </c>
      <c r="I115" s="83"/>
      <c r="J115" s="91"/>
      <c r="K115" s="135" t="str">
        <f t="shared" si="187"/>
        <v/>
      </c>
      <c r="L115" s="136" t="str">
        <f>IF(AND($K115&lt;=TODAY(),L$67&lt;&gt;""),L114+SUMIFS(Historias!$H$6:$H$135,Historias!$F$6:$F$135,$K115,Historias!$A$6:$A$135,L$67),"")</f>
        <v/>
      </c>
      <c r="M115" s="136" t="str">
        <f>IF(AND($K115&lt;=TODAY(),M$67&lt;&gt;""),M114+SUMIFS(Historias!$H$6:$H$135,Historias!$F$6:$F$135,$K115,Historias!$A$6:$A$135,M$67),"")</f>
        <v/>
      </c>
      <c r="N115" s="136" t="str">
        <f>IF(AND($K115&lt;=TODAY(),N$67&lt;&gt;""),N114+SUMIFS(Historias!$H$6:$H$135,Historias!$F$6:$F$135,$K115,Historias!$A$6:$A$135,N$67),"")</f>
        <v/>
      </c>
      <c r="O115" s="136" t="str">
        <f>IF(AND($K115&lt;=TODAY(),O$67&lt;&gt;""),O114+SUMIFS(Historias!$H$6:$H$135,Historias!$F$6:$F$135,$K115,Historias!$A$6:$A$135,O$67),"")</f>
        <v/>
      </c>
      <c r="P115" s="136" t="str">
        <f>IF(AND($K115&lt;=TODAY(),P$67&lt;&gt;""),P114+SUMIFS(Historias!$H$6:$H$135,Historias!$F$6:$F$135,$K115,Historias!$A$6:$A$135,P$67),"")</f>
        <v/>
      </c>
      <c r="Q115" s="136" t="str">
        <f>IF(AND($K115&lt;=TODAY(),Q$67&lt;&gt;""),Q114+SUMIFS(Historias!$H$6:$H$135,Historias!$F$6:$F$135,$K115,Historias!$A$6:$A$135,Q$67),"")</f>
        <v/>
      </c>
      <c r="R115" s="137" t="str">
        <f t="shared" si="188"/>
        <v/>
      </c>
      <c r="S115" s="139" t="str">
        <f t="shared" ref="S115:X115" si="282">IF($K115&lt;&gt;"", IF(max($C115:$H115)&gt;0,IF(L115 = max($L115:$Q115), 1 , 0), S114), "")</f>
        <v/>
      </c>
      <c r="T115" s="139" t="str">
        <f t="shared" si="282"/>
        <v/>
      </c>
      <c r="U115" s="139" t="str">
        <f t="shared" si="282"/>
        <v/>
      </c>
      <c r="V115" s="139" t="str">
        <f t="shared" si="282"/>
        <v/>
      </c>
      <c r="W115" s="139" t="str">
        <f t="shared" si="282"/>
        <v/>
      </c>
      <c r="X115" s="139" t="str">
        <f t="shared" si="282"/>
        <v/>
      </c>
      <c r="Y115" s="137" t="str">
        <f t="shared" si="190"/>
        <v/>
      </c>
      <c r="Z115" s="94">
        <f t="shared" ref="Z115:AE115" si="283">IF($K115&lt;&gt;"", IF(L115 = max($L115:$Q115), (L115-AVERAGE($L115:$Q115)) , 0), 0)</f>
        <v>0</v>
      </c>
      <c r="AA115" s="94">
        <f t="shared" si="283"/>
        <v>0</v>
      </c>
      <c r="AB115" s="94">
        <f t="shared" si="283"/>
        <v>0</v>
      </c>
      <c r="AC115" s="94">
        <f t="shared" si="283"/>
        <v>0</v>
      </c>
      <c r="AD115" s="94">
        <f t="shared" si="283"/>
        <v>0</v>
      </c>
      <c r="AE115" s="94">
        <f t="shared" si="283"/>
        <v>0</v>
      </c>
      <c r="AF115" s="97"/>
      <c r="AG115" s="97"/>
      <c r="AH115" s="97"/>
      <c r="AI115" s="97"/>
      <c r="AJ115" s="97"/>
      <c r="AK115" s="97"/>
      <c r="AL115" s="97"/>
      <c r="AM115" s="97"/>
      <c r="AN115" s="97"/>
      <c r="AO115" s="97"/>
      <c r="AP115" s="97"/>
      <c r="AQ115" s="97"/>
      <c r="AR115" s="97"/>
      <c r="AS115" s="97"/>
      <c r="AT115" s="97"/>
      <c r="AU115" s="97"/>
    </row>
    <row r="116">
      <c r="A116" s="91"/>
      <c r="B116" s="138" t="str">
        <f>Resumen!B51</f>
        <v/>
      </c>
      <c r="C116" s="134">
        <f>IF(C$67&lt;&gt;"", SUMIFS(Historias!$H$6:$H$137,Historias!$F$6:$F$137,$B116,Historias!$A$6:$A$137,C$67), "")</f>
        <v>0</v>
      </c>
      <c r="D116" s="134">
        <f>IF(D$67&lt;&gt;"", SUMIFS(Historias!$H$6:$H$137,Historias!$F$6:$F$137,$B116,Historias!$A$6:$A$137,D$67), "")</f>
        <v>0</v>
      </c>
      <c r="E116" s="134">
        <f>IF(E$67&lt;&gt;"", SUMIFS(Historias!$H$6:$H$137,Historias!$F$6:$F$137,$B116,Historias!$A$6:$A$137,E$67), "")</f>
        <v>0</v>
      </c>
      <c r="F116" s="134">
        <f>IF(F$67&lt;&gt;"", SUMIFS(Historias!$H$6:$H$137,Historias!$F$6:$F$137,$B116,Historias!$A$6:$A$137,F$67), "")</f>
        <v>0</v>
      </c>
      <c r="G116" s="134" t="str">
        <f>IF(G$67&lt;&gt;"", SUMIFS(Historias!$H$6:$H$137,Historias!$F$6:$F$137,$B116,Historias!$A$6:$A$137,G$67), "")</f>
        <v/>
      </c>
      <c r="H116" s="134" t="str">
        <f>IF(H$67&lt;&gt;"", SUMIFS(Historias!$H$6:$H$137,Historias!$F$6:$F$137,$B116,Historias!$A$6:$A$137,H$67), "")</f>
        <v/>
      </c>
      <c r="I116" s="83"/>
      <c r="J116" s="91"/>
      <c r="K116" s="135" t="str">
        <f t="shared" si="187"/>
        <v/>
      </c>
      <c r="L116" s="136" t="str">
        <f>IF(AND($K116&lt;=TODAY(),L$67&lt;&gt;""),L115+SUMIFS(Historias!$H$6:$H$135,Historias!$F$6:$F$135,$K116,Historias!$A$6:$A$135,L$67),"")</f>
        <v/>
      </c>
      <c r="M116" s="136" t="str">
        <f>IF(AND($K116&lt;=TODAY(),M$67&lt;&gt;""),M115+SUMIFS(Historias!$H$6:$H$135,Historias!$F$6:$F$135,$K116,Historias!$A$6:$A$135,M$67),"")</f>
        <v/>
      </c>
      <c r="N116" s="136" t="str">
        <f>IF(AND($K116&lt;=TODAY(),N$67&lt;&gt;""),N115+SUMIFS(Historias!$H$6:$H$135,Historias!$F$6:$F$135,$K116,Historias!$A$6:$A$135,N$67),"")</f>
        <v/>
      </c>
      <c r="O116" s="136" t="str">
        <f>IF(AND($K116&lt;=TODAY(),O$67&lt;&gt;""),O115+SUMIFS(Historias!$H$6:$H$135,Historias!$F$6:$F$135,$K116,Historias!$A$6:$A$135,O$67),"")</f>
        <v/>
      </c>
      <c r="P116" s="136" t="str">
        <f>IF(AND($K116&lt;=TODAY(),P$67&lt;&gt;""),P115+SUMIFS(Historias!$H$6:$H$135,Historias!$F$6:$F$135,$K116,Historias!$A$6:$A$135,P$67),"")</f>
        <v/>
      </c>
      <c r="Q116" s="136" t="str">
        <f>IF(AND($K116&lt;=TODAY(),Q$67&lt;&gt;""),Q115+SUMIFS(Historias!$H$6:$H$135,Historias!$F$6:$F$135,$K116,Historias!$A$6:$A$135,Q$67),"")</f>
        <v/>
      </c>
      <c r="R116" s="137" t="str">
        <f t="shared" si="188"/>
        <v/>
      </c>
      <c r="S116" s="93" t="str">
        <f t="shared" ref="S116:X116" si="284">IF($K116&lt;&gt;"", IF(max($C116:$H116)&gt;0,IF(L116 = max($L116:$Q116), 1 , 0), S115), "")</f>
        <v/>
      </c>
      <c r="T116" s="93" t="str">
        <f t="shared" si="284"/>
        <v/>
      </c>
      <c r="U116" s="93" t="str">
        <f t="shared" si="284"/>
        <v/>
      </c>
      <c r="V116" s="93" t="str">
        <f t="shared" si="284"/>
        <v/>
      </c>
      <c r="W116" s="93" t="str">
        <f t="shared" si="284"/>
        <v/>
      </c>
      <c r="X116" s="93" t="str">
        <f t="shared" si="284"/>
        <v/>
      </c>
      <c r="Y116" s="137" t="str">
        <f t="shared" si="190"/>
        <v/>
      </c>
      <c r="Z116" s="94">
        <f t="shared" ref="Z116:AE116" si="285">IF($K116&lt;&gt;"", IF(L116 = max($L116:$Q116), (L116-AVERAGE($L116:$Q116)) , 0), 0)</f>
        <v>0</v>
      </c>
      <c r="AA116" s="94">
        <f t="shared" si="285"/>
        <v>0</v>
      </c>
      <c r="AB116" s="94">
        <f t="shared" si="285"/>
        <v>0</v>
      </c>
      <c r="AC116" s="94">
        <f t="shared" si="285"/>
        <v>0</v>
      </c>
      <c r="AD116" s="94">
        <f t="shared" si="285"/>
        <v>0</v>
      </c>
      <c r="AE116" s="94">
        <f t="shared" si="285"/>
        <v>0</v>
      </c>
      <c r="AF116" s="97"/>
      <c r="AG116" s="97"/>
      <c r="AH116" s="97"/>
      <c r="AI116" s="97"/>
      <c r="AJ116" s="97"/>
      <c r="AK116" s="97"/>
      <c r="AL116" s="97"/>
      <c r="AM116" s="97"/>
      <c r="AN116" s="97"/>
      <c r="AO116" s="97"/>
      <c r="AP116" s="97"/>
      <c r="AQ116" s="97"/>
      <c r="AR116" s="97"/>
      <c r="AS116" s="97"/>
      <c r="AT116" s="97"/>
      <c r="AU116" s="97"/>
    </row>
    <row r="117">
      <c r="A117" s="91"/>
      <c r="B117" s="138" t="str">
        <f>Resumen!B52</f>
        <v/>
      </c>
      <c r="C117" s="134">
        <f>IF(C$67&lt;&gt;"", SUMIFS(Historias!$H$6:$H$137,Historias!$F$6:$F$137,$B117,Historias!$A$6:$A$137,C$67), "")</f>
        <v>0</v>
      </c>
      <c r="D117" s="134">
        <f>IF(D$67&lt;&gt;"", SUMIFS(Historias!$H$6:$H$137,Historias!$F$6:$F$137,$B117,Historias!$A$6:$A$137,D$67), "")</f>
        <v>0</v>
      </c>
      <c r="E117" s="134">
        <f>IF(E$67&lt;&gt;"", SUMIFS(Historias!$H$6:$H$137,Historias!$F$6:$F$137,$B117,Historias!$A$6:$A$137,E$67), "")</f>
        <v>0</v>
      </c>
      <c r="F117" s="134">
        <f>IF(F$67&lt;&gt;"", SUMIFS(Historias!$H$6:$H$137,Historias!$F$6:$F$137,$B117,Historias!$A$6:$A$137,F$67), "")</f>
        <v>0</v>
      </c>
      <c r="G117" s="134" t="str">
        <f>IF(G$67&lt;&gt;"", SUMIFS(Historias!$H$6:$H$137,Historias!$F$6:$F$137,$B117,Historias!$A$6:$A$137,G$67), "")</f>
        <v/>
      </c>
      <c r="H117" s="134" t="str">
        <f>IF(H$67&lt;&gt;"", SUMIFS(Historias!$H$6:$H$137,Historias!$F$6:$F$137,$B117,Historias!$A$6:$A$137,H$67), "")</f>
        <v/>
      </c>
      <c r="I117" s="83"/>
      <c r="J117" s="91"/>
      <c r="K117" s="135" t="str">
        <f t="shared" si="187"/>
        <v/>
      </c>
      <c r="L117" s="136" t="str">
        <f>IF(AND($K117&lt;=TODAY(),L$67&lt;&gt;""),L116+SUMIFS(Historias!$H$6:$H$135,Historias!$F$6:$F$135,$K117,Historias!$A$6:$A$135,L$67),"")</f>
        <v/>
      </c>
      <c r="M117" s="136" t="str">
        <f>IF(AND($K117&lt;=TODAY(),M$67&lt;&gt;""),M116+SUMIFS(Historias!$H$6:$H$135,Historias!$F$6:$F$135,$K117,Historias!$A$6:$A$135,M$67),"")</f>
        <v/>
      </c>
      <c r="N117" s="136" t="str">
        <f>IF(AND($K117&lt;=TODAY(),N$67&lt;&gt;""),N116+SUMIFS(Historias!$H$6:$H$135,Historias!$F$6:$F$135,$K117,Historias!$A$6:$A$135,N$67),"")</f>
        <v/>
      </c>
      <c r="O117" s="136" t="str">
        <f>IF(AND($K117&lt;=TODAY(),O$67&lt;&gt;""),O116+SUMIFS(Historias!$H$6:$H$135,Historias!$F$6:$F$135,$K117,Historias!$A$6:$A$135,O$67),"")</f>
        <v/>
      </c>
      <c r="P117" s="136" t="str">
        <f>IF(AND($K117&lt;=TODAY(),P$67&lt;&gt;""),P116+SUMIFS(Historias!$H$6:$H$135,Historias!$F$6:$F$135,$K117,Historias!$A$6:$A$135,P$67),"")</f>
        <v/>
      </c>
      <c r="Q117" s="136" t="str">
        <f>IF(AND($K117&lt;=TODAY(),Q$67&lt;&gt;""),Q116+SUMIFS(Historias!$H$6:$H$135,Historias!$F$6:$F$135,$K117,Historias!$A$6:$A$135,Q$67),"")</f>
        <v/>
      </c>
      <c r="R117" s="137" t="str">
        <f t="shared" si="188"/>
        <v/>
      </c>
      <c r="S117" s="93" t="str">
        <f t="shared" ref="S117:X117" si="286">IF($K117&lt;&gt;"", IF(max($C117:$H117)&gt;0,IF(L117 = max($L117:$Q117), 1 , 0), S116), "")</f>
        <v/>
      </c>
      <c r="T117" s="93" t="str">
        <f t="shared" si="286"/>
        <v/>
      </c>
      <c r="U117" s="93" t="str">
        <f t="shared" si="286"/>
        <v/>
      </c>
      <c r="V117" s="93" t="str">
        <f t="shared" si="286"/>
        <v/>
      </c>
      <c r="W117" s="93" t="str">
        <f t="shared" si="286"/>
        <v/>
      </c>
      <c r="X117" s="93" t="str">
        <f t="shared" si="286"/>
        <v/>
      </c>
      <c r="Y117" s="137" t="str">
        <f t="shared" si="190"/>
        <v/>
      </c>
      <c r="Z117" s="94">
        <f t="shared" ref="Z117:AE117" si="287">IF($K117&lt;&gt;"", IF(L117 = max($L117:$Q117), (L117-AVERAGE($L117:$Q117)) , 0), 0)</f>
        <v>0</v>
      </c>
      <c r="AA117" s="94">
        <f t="shared" si="287"/>
        <v>0</v>
      </c>
      <c r="AB117" s="94">
        <f t="shared" si="287"/>
        <v>0</v>
      </c>
      <c r="AC117" s="94">
        <f t="shared" si="287"/>
        <v>0</v>
      </c>
      <c r="AD117" s="94">
        <f t="shared" si="287"/>
        <v>0</v>
      </c>
      <c r="AE117" s="94">
        <f t="shared" si="287"/>
        <v>0</v>
      </c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</row>
    <row r="118">
      <c r="A118" s="91"/>
      <c r="B118" s="138" t="str">
        <f>Resumen!B53</f>
        <v/>
      </c>
      <c r="C118" s="134">
        <f>IF(C$67&lt;&gt;"", SUMIFS(Historias!$H$6:$H$137,Historias!$F$6:$F$137,$B118,Historias!$A$6:$A$137,C$67), "")</f>
        <v>0</v>
      </c>
      <c r="D118" s="134">
        <f>IF(D$67&lt;&gt;"", SUMIFS(Historias!$H$6:$H$137,Historias!$F$6:$F$137,$B118,Historias!$A$6:$A$137,D$67), "")</f>
        <v>0</v>
      </c>
      <c r="E118" s="134">
        <f>IF(E$67&lt;&gt;"", SUMIFS(Historias!$H$6:$H$137,Historias!$F$6:$F$137,$B118,Historias!$A$6:$A$137,E$67), "")</f>
        <v>0</v>
      </c>
      <c r="F118" s="134">
        <f>IF(F$67&lt;&gt;"", SUMIFS(Historias!$H$6:$H$137,Historias!$F$6:$F$137,$B118,Historias!$A$6:$A$137,F$67), "")</f>
        <v>0</v>
      </c>
      <c r="G118" s="134" t="str">
        <f>IF(G$67&lt;&gt;"", SUMIFS(Historias!$H$6:$H$137,Historias!$F$6:$F$137,$B118,Historias!$A$6:$A$137,G$67), "")</f>
        <v/>
      </c>
      <c r="H118" s="134" t="str">
        <f>IF(H$67&lt;&gt;"", SUMIFS(Historias!$H$6:$H$137,Historias!$F$6:$F$137,$B118,Historias!$A$6:$A$137,H$67), "")</f>
        <v/>
      </c>
      <c r="I118" s="83"/>
      <c r="J118" s="91"/>
      <c r="K118" s="135" t="str">
        <f t="shared" si="187"/>
        <v/>
      </c>
      <c r="L118" s="136" t="str">
        <f>IF(AND($K118&lt;=TODAY(),L$67&lt;&gt;""),L117+SUMIFS(Historias!$H$6:$H$135,Historias!$F$6:$F$135,$K118,Historias!$A$6:$A$135,L$67),"")</f>
        <v/>
      </c>
      <c r="M118" s="136" t="str">
        <f>IF(AND($K118&lt;=TODAY(),M$67&lt;&gt;""),M117+SUMIFS(Historias!$H$6:$H$135,Historias!$F$6:$F$135,$K118,Historias!$A$6:$A$135,M$67),"")</f>
        <v/>
      </c>
      <c r="N118" s="136" t="str">
        <f>IF(AND($K118&lt;=TODAY(),N$67&lt;&gt;""),N117+SUMIFS(Historias!$H$6:$H$135,Historias!$F$6:$F$135,$K118,Historias!$A$6:$A$135,N$67),"")</f>
        <v/>
      </c>
      <c r="O118" s="136" t="str">
        <f>IF(AND($K118&lt;=TODAY(),O$67&lt;&gt;""),O117+SUMIFS(Historias!$H$6:$H$135,Historias!$F$6:$F$135,$K118,Historias!$A$6:$A$135,O$67),"")</f>
        <v/>
      </c>
      <c r="P118" s="136" t="str">
        <f>IF(AND($K118&lt;=TODAY(),P$67&lt;&gt;""),P117+SUMIFS(Historias!$H$6:$H$135,Historias!$F$6:$F$135,$K118,Historias!$A$6:$A$135,P$67),"")</f>
        <v/>
      </c>
      <c r="Q118" s="136" t="str">
        <f>IF(AND($K118&lt;=TODAY(),Q$67&lt;&gt;""),Q117+SUMIFS(Historias!$H$6:$H$135,Historias!$F$6:$F$135,$K118,Historias!$A$6:$A$135,Q$67),"")</f>
        <v/>
      </c>
      <c r="R118" s="137" t="str">
        <f t="shared" si="188"/>
        <v/>
      </c>
      <c r="S118" s="140" t="str">
        <f t="shared" ref="S118:X118" si="288">IF($K118&lt;&gt;"", IF(max($C118:$H118)&gt;0,IF(L118 = max($L118:$Q118), 1 , 0), S117), "")</f>
        <v/>
      </c>
      <c r="T118" s="93" t="str">
        <f t="shared" si="288"/>
        <v/>
      </c>
      <c r="U118" s="109" t="str">
        <f t="shared" si="288"/>
        <v/>
      </c>
      <c r="V118" s="109" t="str">
        <f t="shared" si="288"/>
        <v/>
      </c>
      <c r="W118" s="109" t="str">
        <f t="shared" si="288"/>
        <v/>
      </c>
      <c r="X118" s="109" t="str">
        <f t="shared" si="288"/>
        <v/>
      </c>
      <c r="Y118" s="137" t="str">
        <f t="shared" si="190"/>
        <v/>
      </c>
      <c r="Z118" s="94">
        <f t="shared" ref="Z118:AE118" si="289">IF($K118&lt;&gt;"", IF(L118 = max($L118:$Q118), (L118-AVERAGE($L118:$Q118)) , 0), 0)</f>
        <v>0</v>
      </c>
      <c r="AA118" s="94">
        <f t="shared" si="289"/>
        <v>0</v>
      </c>
      <c r="AB118" s="94">
        <f t="shared" si="289"/>
        <v>0</v>
      </c>
      <c r="AC118" s="94">
        <f t="shared" si="289"/>
        <v>0</v>
      </c>
      <c r="AD118" s="94">
        <f t="shared" si="289"/>
        <v>0</v>
      </c>
      <c r="AE118" s="94">
        <f t="shared" si="289"/>
        <v>0</v>
      </c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  <c r="AP118" s="97"/>
      <c r="AQ118" s="97"/>
      <c r="AR118" s="97"/>
      <c r="AS118" s="97"/>
      <c r="AT118" s="97"/>
      <c r="AU118" s="97"/>
    </row>
    <row r="119">
      <c r="A119" s="91"/>
      <c r="B119" s="138" t="str">
        <f>Resumen!B54</f>
        <v/>
      </c>
      <c r="C119" s="134">
        <f>IF(C$67&lt;&gt;"", SUMIFS(Historias!$H$6:$H$137,Historias!$F$6:$F$137,$B119,Historias!$A$6:$A$137,C$67), "")</f>
        <v>0</v>
      </c>
      <c r="D119" s="134">
        <f>IF(D$67&lt;&gt;"", SUMIFS(Historias!$H$6:$H$137,Historias!$F$6:$F$137,$B119,Historias!$A$6:$A$137,D$67), "")</f>
        <v>0</v>
      </c>
      <c r="E119" s="134">
        <f>IF(E$67&lt;&gt;"", SUMIFS(Historias!$H$6:$H$137,Historias!$F$6:$F$137,$B119,Historias!$A$6:$A$137,E$67), "")</f>
        <v>0</v>
      </c>
      <c r="F119" s="134">
        <f>IF(F$67&lt;&gt;"", SUMIFS(Historias!$H$6:$H$137,Historias!$F$6:$F$137,$B119,Historias!$A$6:$A$137,F$67), "")</f>
        <v>0</v>
      </c>
      <c r="G119" s="134" t="str">
        <f>IF(G$67&lt;&gt;"", SUMIFS(Historias!$H$6:$H$137,Historias!$F$6:$F$137,$B119,Historias!$A$6:$A$137,G$67), "")</f>
        <v/>
      </c>
      <c r="H119" s="134" t="str">
        <f>IF(H$67&lt;&gt;"", SUMIFS(Historias!$H$6:$H$137,Historias!$F$6:$F$137,$B119,Historias!$A$6:$A$137,H$67), "")</f>
        <v/>
      </c>
      <c r="I119" s="83"/>
      <c r="J119" s="91"/>
      <c r="K119" s="135" t="str">
        <f t="shared" si="187"/>
        <v/>
      </c>
      <c r="L119" s="136" t="str">
        <f>IF(AND($K119&lt;=TODAY(),L$67&lt;&gt;""),L118+SUMIFS(Historias!$H$6:$H$135,Historias!$F$6:$F$135,$K119,Historias!$A$6:$A$135,L$67),"")</f>
        <v/>
      </c>
      <c r="M119" s="136" t="str">
        <f>IF(AND($K119&lt;=TODAY(),M$67&lt;&gt;""),M118+SUMIFS(Historias!$H$6:$H$135,Historias!$F$6:$F$135,$K119,Historias!$A$6:$A$135,M$67),"")</f>
        <v/>
      </c>
      <c r="N119" s="136" t="str">
        <f>IF(AND($K119&lt;=TODAY(),N$67&lt;&gt;""),N118+SUMIFS(Historias!$H$6:$H$135,Historias!$F$6:$F$135,$K119,Historias!$A$6:$A$135,N$67),"")</f>
        <v/>
      </c>
      <c r="O119" s="136" t="str">
        <f>IF(AND($K119&lt;=TODAY(),O$67&lt;&gt;""),O118+SUMIFS(Historias!$H$6:$H$135,Historias!$F$6:$F$135,$K119,Historias!$A$6:$A$135,O$67),"")</f>
        <v/>
      </c>
      <c r="P119" s="136" t="str">
        <f>IF(AND($K119&lt;=TODAY(),P$67&lt;&gt;""),P118+SUMIFS(Historias!$H$6:$H$135,Historias!$F$6:$F$135,$K119,Historias!$A$6:$A$135,P$67),"")</f>
        <v/>
      </c>
      <c r="Q119" s="136" t="str">
        <f>IF(AND($K119&lt;=TODAY(),Q$67&lt;&gt;""),Q118+SUMIFS(Historias!$H$6:$H$135,Historias!$F$6:$F$135,$K119,Historias!$A$6:$A$135,Q$67),"")</f>
        <v/>
      </c>
      <c r="R119" s="137" t="str">
        <f t="shared" si="188"/>
        <v/>
      </c>
      <c r="S119" s="109" t="str">
        <f t="shared" ref="S119:X119" si="290">IF($K119&lt;&gt;"", IF(max($C119:$H119)&gt;0,IF(L119 = max($L119:$Q119), 1 , 0), S118), "")</f>
        <v/>
      </c>
      <c r="T119" s="109" t="str">
        <f t="shared" si="290"/>
        <v/>
      </c>
      <c r="U119" s="109" t="str">
        <f t="shared" si="290"/>
        <v/>
      </c>
      <c r="V119" s="109" t="str">
        <f t="shared" si="290"/>
        <v/>
      </c>
      <c r="W119" s="109" t="str">
        <f t="shared" si="290"/>
        <v/>
      </c>
      <c r="X119" s="109" t="str">
        <f t="shared" si="290"/>
        <v/>
      </c>
      <c r="Y119" s="137" t="str">
        <f t="shared" si="190"/>
        <v/>
      </c>
      <c r="Z119" s="94">
        <f t="shared" ref="Z119:AE119" si="291">IF($K119&lt;&gt;"", IF(L119 = max($L119:$Q119), (L119-AVERAGE($L119:$Q119)) , 0), 0)</f>
        <v>0</v>
      </c>
      <c r="AA119" s="94">
        <f t="shared" si="291"/>
        <v>0</v>
      </c>
      <c r="AB119" s="94">
        <f t="shared" si="291"/>
        <v>0</v>
      </c>
      <c r="AC119" s="94">
        <f t="shared" si="291"/>
        <v>0</v>
      </c>
      <c r="AD119" s="94">
        <f t="shared" si="291"/>
        <v>0</v>
      </c>
      <c r="AE119" s="94">
        <f t="shared" si="291"/>
        <v>0</v>
      </c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  <c r="AP119" s="97"/>
      <c r="AQ119" s="97"/>
      <c r="AR119" s="97"/>
      <c r="AS119" s="97"/>
      <c r="AT119" s="97"/>
      <c r="AU119" s="97"/>
    </row>
    <row r="120">
      <c r="A120" s="91"/>
      <c r="B120" s="138" t="str">
        <f>Resumen!B55</f>
        <v/>
      </c>
      <c r="C120" s="134">
        <f>IF(C$67&lt;&gt;"", SUMIFS(Historias!$H$6:$H$137,Historias!$F$6:$F$137,$B120,Historias!$A$6:$A$137,C$67), "")</f>
        <v>0</v>
      </c>
      <c r="D120" s="134">
        <f>IF(D$67&lt;&gt;"", SUMIFS(Historias!$H$6:$H$137,Historias!$F$6:$F$137,$B120,Historias!$A$6:$A$137,D$67), "")</f>
        <v>0</v>
      </c>
      <c r="E120" s="134">
        <f>IF(E$67&lt;&gt;"", SUMIFS(Historias!$H$6:$H$137,Historias!$F$6:$F$137,$B120,Historias!$A$6:$A$137,E$67), "")</f>
        <v>0</v>
      </c>
      <c r="F120" s="134">
        <f>IF(F$67&lt;&gt;"", SUMIFS(Historias!$H$6:$H$137,Historias!$F$6:$F$137,$B120,Historias!$A$6:$A$137,F$67), "")</f>
        <v>0</v>
      </c>
      <c r="G120" s="134" t="str">
        <f>IF(G$67&lt;&gt;"", SUMIFS(Historias!$H$6:$H$137,Historias!$F$6:$F$137,$B120,Historias!$A$6:$A$137,G$67), "")</f>
        <v/>
      </c>
      <c r="H120" s="136" t="str">
        <f>IF(H$67&lt;&gt;"", SUMIFS(Historias!$H$6:$H$137,Historias!$F$6:$F$137,$B120,Historias!$A$6:$A$137,H$67), "")</f>
        <v/>
      </c>
      <c r="I120" s="104"/>
      <c r="J120" s="115"/>
      <c r="K120" s="135" t="str">
        <f t="shared" si="187"/>
        <v/>
      </c>
      <c r="L120" s="136" t="str">
        <f>IF(AND($K120&lt;=TODAY(),L$67&lt;&gt;""),L119+SUMIFS(Historias!$H$6:$H$135,Historias!$F$6:$F$135,$K120,Historias!$A$6:$A$135,L$67),"")</f>
        <v/>
      </c>
      <c r="M120" s="136" t="str">
        <f>IF(AND($K120&lt;=TODAY(),M$67&lt;&gt;""),M119+SUMIFS(Historias!$H$6:$H$135,Historias!$F$6:$F$135,$K120,Historias!$A$6:$A$135,M$67),"")</f>
        <v/>
      </c>
      <c r="N120" s="136" t="str">
        <f>IF(AND($K120&lt;=TODAY(),N$67&lt;&gt;""),N119+SUMIFS(Historias!$H$6:$H$135,Historias!$F$6:$F$135,$K120,Historias!$A$6:$A$135,N$67),"")</f>
        <v/>
      </c>
      <c r="O120" s="136" t="str">
        <f>IF(AND($K120&lt;=TODAY(),O$67&lt;&gt;""),O119+SUMIFS(Historias!$H$6:$H$135,Historias!$F$6:$F$135,$K120,Historias!$A$6:$A$135,O$67),"")</f>
        <v/>
      </c>
      <c r="P120" s="136" t="str">
        <f>IF(AND($K120&lt;=TODAY(),P$67&lt;&gt;""),P119+SUMIFS(Historias!$H$6:$H$135,Historias!$F$6:$F$135,$K120,Historias!$A$6:$A$135,P$67),"")</f>
        <v/>
      </c>
      <c r="Q120" s="136" t="str">
        <f>IF(AND($K120&lt;=TODAY(),Q$67&lt;&gt;""),Q119+SUMIFS(Historias!$H$6:$H$135,Historias!$F$6:$F$135,$K120,Historias!$A$6:$A$135,Q$67),"")</f>
        <v/>
      </c>
      <c r="R120" s="137" t="str">
        <f t="shared" si="188"/>
        <v/>
      </c>
      <c r="S120" s="109" t="str">
        <f t="shared" ref="S120:X120" si="292">IF($K120&lt;&gt;"", IF(max($C120:$H120)&gt;0,IF(L120 = max($L120:$Q120), 1 , 0), S119), "")</f>
        <v/>
      </c>
      <c r="T120" s="109" t="str">
        <f t="shared" si="292"/>
        <v/>
      </c>
      <c r="U120" s="109" t="str">
        <f t="shared" si="292"/>
        <v/>
      </c>
      <c r="V120" s="109" t="str">
        <f t="shared" si="292"/>
        <v/>
      </c>
      <c r="W120" s="109" t="str">
        <f t="shared" si="292"/>
        <v/>
      </c>
      <c r="X120" s="109" t="str">
        <f t="shared" si="292"/>
        <v/>
      </c>
      <c r="Y120" s="137" t="str">
        <f t="shared" si="190"/>
        <v/>
      </c>
      <c r="Z120" s="94">
        <f t="shared" ref="Z120:AE120" si="293">IF($K120&lt;&gt;"", IF(L120 = max($L120:$Q120), (L120-AVERAGE($L120:$Q120)) , 0), 0)</f>
        <v>0</v>
      </c>
      <c r="AA120" s="94">
        <f t="shared" si="293"/>
        <v>0</v>
      </c>
      <c r="AB120" s="94">
        <f t="shared" si="293"/>
        <v>0</v>
      </c>
      <c r="AC120" s="94">
        <f t="shared" si="293"/>
        <v>0</v>
      </c>
      <c r="AD120" s="94">
        <f t="shared" si="293"/>
        <v>0</v>
      </c>
      <c r="AE120" s="94">
        <f t="shared" si="293"/>
        <v>0</v>
      </c>
      <c r="AF120" s="97"/>
      <c r="AG120" s="97"/>
      <c r="AH120" s="97"/>
      <c r="AI120" s="97"/>
      <c r="AJ120" s="97"/>
      <c r="AK120" s="97"/>
      <c r="AL120" s="97"/>
      <c r="AM120" s="97"/>
      <c r="AN120" s="97"/>
      <c r="AO120" s="97"/>
      <c r="AP120" s="97"/>
      <c r="AQ120" s="97"/>
      <c r="AR120" s="97"/>
      <c r="AS120" s="97"/>
      <c r="AT120" s="97"/>
      <c r="AU120" s="97"/>
    </row>
    <row r="121">
      <c r="A121" s="91"/>
      <c r="B121" s="90" t="str">
        <f>Resumen!B56</f>
        <v/>
      </c>
      <c r="C121" s="134">
        <f>IF(C$67&lt;&gt;"", SUMIFS(Historias!$H$6:$H$137,Historias!$F$6:$F$137,$B121,Historias!$A$6:$A$137,C$67), "")</f>
        <v>0</v>
      </c>
      <c r="D121" s="134">
        <f>IF(D$67&lt;&gt;"", SUMIFS(Historias!$H$6:$H$137,Historias!$F$6:$F$137,$B121,Historias!$A$6:$A$137,D$67), "")</f>
        <v>0</v>
      </c>
      <c r="E121" s="134">
        <f>IF(E$67&lt;&gt;"", SUMIFS(Historias!$H$6:$H$137,Historias!$F$6:$F$137,$B121,Historias!$A$6:$A$137,E$67), "")</f>
        <v>0</v>
      </c>
      <c r="F121" s="134">
        <f>IF(F$67&lt;&gt;"", SUMIFS(Historias!$H$6:$H$137,Historias!$F$6:$F$137,$B121,Historias!$A$6:$A$137,F$67), "")</f>
        <v>0</v>
      </c>
      <c r="G121" s="134" t="str">
        <f>IF(G$67&lt;&gt;"", SUMIFS(Historias!$H$6:$H$137,Historias!$F$6:$F$137,$B121,Historias!$A$6:$A$137,G$67), "")</f>
        <v/>
      </c>
      <c r="H121" s="136" t="str">
        <f>IF(H$67&lt;&gt;"", SUMIFS(Historias!$H$6:$H$137,Historias!$F$6:$F$137,$B121,Historias!$A$6:$A$137,H$67), "")</f>
        <v/>
      </c>
      <c r="I121" s="104"/>
      <c r="J121" s="115"/>
      <c r="K121" s="141" t="str">
        <f t="shared" si="187"/>
        <v/>
      </c>
      <c r="L121" s="136" t="str">
        <f>IF(AND($K121&lt;=TODAY(),L$67&lt;&gt;""),L120+SUMIFS(Historias!$H$6:$H$135,Historias!$F$6:$F$135,$K121,Historias!$A$6:$A$135,L$67),"")</f>
        <v/>
      </c>
      <c r="M121" s="136" t="str">
        <f>IF(AND($K121&lt;=TODAY(),M$67&lt;&gt;""),M120+SUMIFS(Historias!$H$6:$H$135,Historias!$F$6:$F$135,$K121,Historias!$A$6:$A$135,M$67),"")</f>
        <v/>
      </c>
      <c r="N121" s="136" t="str">
        <f>IF(AND($K121&lt;=TODAY(),N$67&lt;&gt;""),N120+SUMIFS(Historias!$H$6:$H$135,Historias!$F$6:$F$135,$K121,Historias!$A$6:$A$135,N$67),"")</f>
        <v/>
      </c>
      <c r="O121" s="136" t="str">
        <f>IF(AND($K121&lt;=TODAY(),O$67&lt;&gt;""),O120+SUMIFS(Historias!$H$6:$H$135,Historias!$F$6:$F$135,$K121,Historias!$A$6:$A$135,O$67),"")</f>
        <v/>
      </c>
      <c r="P121" s="136" t="str">
        <f>IF(AND($K121&lt;=TODAY(),P$67&lt;&gt;""),P120+SUMIFS(Historias!$H$6:$H$135,Historias!$F$6:$F$135,$K121,Historias!$A$6:$A$135,P$67),"")</f>
        <v/>
      </c>
      <c r="Q121" s="136" t="str">
        <f>IF(AND($K121&lt;=TODAY(),Q$67&lt;&gt;""),Q120+SUMIFS(Historias!$H$6:$H$135,Historias!$F$6:$F$135,$K121,Historias!$A$6:$A$135,Q$67),"")</f>
        <v/>
      </c>
      <c r="R121" s="132" t="str">
        <f t="shared" si="188"/>
        <v/>
      </c>
      <c r="S121" s="90" t="str">
        <f t="shared" ref="S121:X121" si="294">IF($K121&lt;&gt;"", IF(max($C121:$H121)&gt;0,IF(L121 = max($L121:$Q121), 1 , 0), S120), "")</f>
        <v/>
      </c>
      <c r="T121" s="90" t="str">
        <f t="shared" si="294"/>
        <v/>
      </c>
      <c r="U121" s="90" t="str">
        <f t="shared" si="294"/>
        <v/>
      </c>
      <c r="V121" s="90" t="str">
        <f t="shared" si="294"/>
        <v/>
      </c>
      <c r="W121" s="90" t="str">
        <f t="shared" si="294"/>
        <v/>
      </c>
      <c r="X121" s="90" t="str">
        <f t="shared" si="294"/>
        <v/>
      </c>
      <c r="Y121" s="137" t="str">
        <f t="shared" si="190"/>
        <v/>
      </c>
      <c r="Z121" s="94">
        <f t="shared" ref="Z121:AE121" si="295">IF($K121&lt;&gt;"", IF(L121 = max($L121:$Q121), (L121-AVERAGE($L121:$Q121)) , 0), 0)</f>
        <v>0</v>
      </c>
      <c r="AA121" s="94">
        <f t="shared" si="295"/>
        <v>0</v>
      </c>
      <c r="AB121" s="94">
        <f t="shared" si="295"/>
        <v>0</v>
      </c>
      <c r="AC121" s="94">
        <f t="shared" si="295"/>
        <v>0</v>
      </c>
      <c r="AD121" s="94">
        <f t="shared" si="295"/>
        <v>0</v>
      </c>
      <c r="AE121" s="94">
        <f t="shared" si="295"/>
        <v>0</v>
      </c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</row>
    <row r="122">
      <c r="A122" s="91"/>
      <c r="B122" s="90" t="str">
        <f>Resumen!B57</f>
        <v/>
      </c>
      <c r="C122" s="134">
        <f>IF(C$67&lt;&gt;"", SUMIFS(Historias!$H$6:$H$137,Historias!$F$6:$F$137,$B122,Historias!$A$6:$A$137,C$67), "")</f>
        <v>0</v>
      </c>
      <c r="D122" s="134">
        <f>IF(D$67&lt;&gt;"", SUMIFS(Historias!$H$6:$H$137,Historias!$F$6:$F$137,$B122,Historias!$A$6:$A$137,D$67), "")</f>
        <v>0</v>
      </c>
      <c r="E122" s="134">
        <f>IF(E$67&lt;&gt;"", SUMIFS(Historias!$H$6:$H$137,Historias!$F$6:$F$137,$B122,Historias!$A$6:$A$137,E$67), "")</f>
        <v>0</v>
      </c>
      <c r="F122" s="134">
        <f>IF(F$67&lt;&gt;"", SUMIFS(Historias!$H$6:$H$137,Historias!$F$6:$F$137,$B122,Historias!$A$6:$A$137,F$67), "")</f>
        <v>0</v>
      </c>
      <c r="G122" s="134" t="str">
        <f>IF(G$67&lt;&gt;"", SUMIFS(Historias!$H$6:$H$137,Historias!$F$6:$F$137,$B122,Historias!$A$6:$A$137,G$67), "")</f>
        <v/>
      </c>
      <c r="H122" s="136" t="str">
        <f>IF(H$67&lt;&gt;"", SUMIFS(Historias!$H$6:$H$137,Historias!$F$6:$F$137,$B122,Historias!$A$6:$A$137,H$67), "")</f>
        <v/>
      </c>
      <c r="I122" s="104"/>
      <c r="J122" s="115"/>
      <c r="K122" s="141" t="str">
        <f t="shared" si="187"/>
        <v/>
      </c>
      <c r="L122" s="136" t="str">
        <f>IF(AND($K122&lt;=TODAY(),L$67&lt;&gt;""),L121+SUMIFS(Historias!$H$6:$H$135,Historias!$F$6:$F$135,$K122,Historias!$A$6:$A$135,L$67),"")</f>
        <v/>
      </c>
      <c r="M122" s="136" t="str">
        <f>IF(AND($K122&lt;=TODAY(),M$67&lt;&gt;""),M121+SUMIFS(Historias!$H$6:$H$135,Historias!$F$6:$F$135,$K122,Historias!$A$6:$A$135,M$67),"")</f>
        <v/>
      </c>
      <c r="N122" s="136" t="str">
        <f>IF(AND($K122&lt;=TODAY(),N$67&lt;&gt;""),N121+SUMIFS(Historias!$H$6:$H$135,Historias!$F$6:$F$135,$K122,Historias!$A$6:$A$135,N$67),"")</f>
        <v/>
      </c>
      <c r="O122" s="136" t="str">
        <f>IF(AND($K122&lt;=TODAY(),O$67&lt;&gt;""),O121+SUMIFS(Historias!$H$6:$H$135,Historias!$F$6:$F$135,$K122,Historias!$A$6:$A$135,O$67),"")</f>
        <v/>
      </c>
      <c r="P122" s="136" t="str">
        <f>IF(AND($K122&lt;=TODAY(),P$67&lt;&gt;""),P121+SUMIFS(Historias!$H$6:$H$135,Historias!$F$6:$F$135,$K122,Historias!$A$6:$A$135,P$67),"")</f>
        <v/>
      </c>
      <c r="Q122" s="136" t="str">
        <f>IF(AND($K122&lt;=TODAY(),Q$67&lt;&gt;""),Q121+SUMIFS(Historias!$H$6:$H$135,Historias!$F$6:$F$135,$K122,Historias!$A$6:$A$135,Q$67),"")</f>
        <v/>
      </c>
      <c r="R122" s="132" t="str">
        <f t="shared" si="188"/>
        <v/>
      </c>
      <c r="S122" s="90" t="str">
        <f t="shared" ref="S122:X122" si="296">IF($K122&lt;&gt;"", IF(max($C122:$H122)&gt;0,IF(L122 = max($L122:$Q122), 1 , 0), S121), "")</f>
        <v/>
      </c>
      <c r="T122" s="90" t="str">
        <f t="shared" si="296"/>
        <v/>
      </c>
      <c r="U122" s="90" t="str">
        <f t="shared" si="296"/>
        <v/>
      </c>
      <c r="V122" s="90" t="str">
        <f t="shared" si="296"/>
        <v/>
      </c>
      <c r="W122" s="90" t="str">
        <f t="shared" si="296"/>
        <v/>
      </c>
      <c r="X122" s="90" t="str">
        <f t="shared" si="296"/>
        <v/>
      </c>
      <c r="Y122" s="137" t="str">
        <f t="shared" si="190"/>
        <v/>
      </c>
      <c r="Z122" s="94">
        <f t="shared" ref="Z122:AE122" si="297">IF($K122&lt;&gt;"", IF(L122 = max($L122:$Q122), (L122-AVERAGE($L122:$Q122)) , 0), 0)</f>
        <v>0</v>
      </c>
      <c r="AA122" s="94">
        <f t="shared" si="297"/>
        <v>0</v>
      </c>
      <c r="AB122" s="94">
        <f t="shared" si="297"/>
        <v>0</v>
      </c>
      <c r="AC122" s="94">
        <f t="shared" si="297"/>
        <v>0</v>
      </c>
      <c r="AD122" s="94">
        <f t="shared" si="297"/>
        <v>0</v>
      </c>
      <c r="AE122" s="94">
        <f t="shared" si="297"/>
        <v>0</v>
      </c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  <c r="AP122" s="97"/>
      <c r="AQ122" s="97"/>
      <c r="AR122" s="97"/>
      <c r="AS122" s="97"/>
      <c r="AT122" s="97"/>
      <c r="AU122" s="97"/>
    </row>
    <row r="123">
      <c r="A123" s="91"/>
      <c r="B123" s="142" t="str">
        <f>Resumen!B58</f>
        <v/>
      </c>
      <c r="C123" s="134">
        <f>IF(C$67&lt;&gt;"", SUMIFS(Historias!$H$6:$H$137,Historias!$F$6:$F$137,$B123,Historias!$A$6:$A$137,C$67), "")</f>
        <v>0</v>
      </c>
      <c r="D123" s="134">
        <f>IF(D$67&lt;&gt;"", SUMIFS(Historias!$H$6:$H$137,Historias!$F$6:$F$137,$B123,Historias!$A$6:$A$137,D$67), "")</f>
        <v>0</v>
      </c>
      <c r="E123" s="134">
        <f>IF(E$67&lt;&gt;"", SUMIFS(Historias!$H$6:$H$137,Historias!$F$6:$F$137,$B123,Historias!$A$6:$A$137,E$67), "")</f>
        <v>0</v>
      </c>
      <c r="F123" s="134">
        <f>IF(F$67&lt;&gt;"", SUMIFS(Historias!$H$6:$H$137,Historias!$F$6:$F$137,$B123,Historias!$A$6:$A$137,F$67), "")</f>
        <v>0</v>
      </c>
      <c r="G123" s="134" t="str">
        <f>IF(G$67&lt;&gt;"", SUMIFS(Historias!$H$6:$H$137,Historias!$F$6:$F$137,$B123,Historias!$A$6:$A$137,G$67), "")</f>
        <v/>
      </c>
      <c r="H123" s="136" t="str">
        <f>IF(H$67&lt;&gt;"", SUMIFS(Historias!$H$6:$H$137,Historias!$F$6:$F$137,$B123,Historias!$A$6:$A$137,H$67), "")</f>
        <v/>
      </c>
      <c r="I123" s="104"/>
      <c r="J123" s="115"/>
      <c r="K123" s="141" t="str">
        <f t="shared" si="187"/>
        <v/>
      </c>
      <c r="L123" s="136" t="str">
        <f>IF(AND($K123&lt;=TODAY(),L$67&lt;&gt;""),L122+SUMIFS(Historias!$H$6:$H$135,Historias!$F$6:$F$135,$K123,Historias!$A$6:$A$135,L$67),"")</f>
        <v/>
      </c>
      <c r="M123" s="136" t="str">
        <f>IF(AND($K123&lt;=TODAY(),M$67&lt;&gt;""),M122+SUMIFS(Historias!$H$6:$H$135,Historias!$F$6:$F$135,$K123,Historias!$A$6:$A$135,M$67),"")</f>
        <v/>
      </c>
      <c r="N123" s="136" t="str">
        <f>IF(AND($K123&lt;=TODAY(),N$67&lt;&gt;""),N122+SUMIFS(Historias!$H$6:$H$135,Historias!$F$6:$F$135,$K123,Historias!$A$6:$A$135,N$67),"")</f>
        <v/>
      </c>
      <c r="O123" s="136" t="str">
        <f>IF(AND($K123&lt;=TODAY(),O$67&lt;&gt;""),O122+SUMIFS(Historias!$H$6:$H$135,Historias!$F$6:$F$135,$K123,Historias!$A$6:$A$135,O$67),"")</f>
        <v/>
      </c>
      <c r="P123" s="136" t="str">
        <f>IF(AND($K123&lt;=TODAY(),P$67&lt;&gt;""),P122+SUMIFS(Historias!$H$6:$H$135,Historias!$F$6:$F$135,$K123,Historias!$A$6:$A$135,P$67),"")</f>
        <v/>
      </c>
      <c r="Q123" s="136" t="str">
        <f>IF(AND($K123&lt;=TODAY(),Q$67&lt;&gt;""),Q122+SUMIFS(Historias!$H$6:$H$135,Historias!$F$6:$F$135,$K123,Historias!$A$6:$A$135,Q$67),"")</f>
        <v/>
      </c>
      <c r="R123" s="132" t="str">
        <f t="shared" si="188"/>
        <v/>
      </c>
      <c r="S123" s="90" t="str">
        <f t="shared" ref="S123:X123" si="298">IF($K123&lt;&gt;"", IF(max($C123:$H123)&gt;0,IF(L123 = max($L123:$Q123), 1 , 0), S122), "")</f>
        <v/>
      </c>
      <c r="T123" s="90" t="str">
        <f t="shared" si="298"/>
        <v/>
      </c>
      <c r="U123" s="90" t="str">
        <f t="shared" si="298"/>
        <v/>
      </c>
      <c r="V123" s="90" t="str">
        <f t="shared" si="298"/>
        <v/>
      </c>
      <c r="W123" s="90" t="str">
        <f t="shared" si="298"/>
        <v/>
      </c>
      <c r="X123" s="90" t="str">
        <f t="shared" si="298"/>
        <v/>
      </c>
      <c r="Y123" s="137" t="str">
        <f t="shared" si="190"/>
        <v/>
      </c>
      <c r="Z123" s="94">
        <f t="shared" ref="Z123:AE123" si="299">IF($K123&lt;&gt;"", IF(L123 = max($L123:$Q123), (L123-AVERAGE($L123:$Q123)) , 0), 0)</f>
        <v>0</v>
      </c>
      <c r="AA123" s="94">
        <f t="shared" si="299"/>
        <v>0</v>
      </c>
      <c r="AB123" s="94">
        <f t="shared" si="299"/>
        <v>0</v>
      </c>
      <c r="AC123" s="94">
        <f t="shared" si="299"/>
        <v>0</v>
      </c>
      <c r="AD123" s="94">
        <f t="shared" si="299"/>
        <v>0</v>
      </c>
      <c r="AE123" s="94">
        <f t="shared" si="299"/>
        <v>0</v>
      </c>
      <c r="AF123" s="97"/>
      <c r="AG123" s="97"/>
      <c r="AH123" s="97"/>
      <c r="AI123" s="97"/>
      <c r="AJ123" s="97"/>
      <c r="AK123" s="97"/>
      <c r="AL123" s="97"/>
      <c r="AM123" s="97"/>
      <c r="AN123" s="97"/>
      <c r="AO123" s="97"/>
      <c r="AP123" s="97"/>
      <c r="AQ123" s="97"/>
      <c r="AR123" s="97"/>
      <c r="AS123" s="97"/>
      <c r="AT123" s="97"/>
      <c r="AU123" s="97"/>
    </row>
    <row r="124">
      <c r="A124" s="91"/>
      <c r="B124" s="130" t="str">
        <f>Resumen!B59</f>
        <v/>
      </c>
      <c r="C124" s="134">
        <f>IF(C$67&lt;&gt;"", SUMIFS(Historias!$H$6:$H$137,Historias!$F$6:$F$137,$B124,Historias!$A$6:$A$137,C$67), "")</f>
        <v>0</v>
      </c>
      <c r="D124" s="134">
        <f>IF(D$67&lt;&gt;"", SUMIFS(Historias!$H$6:$H$137,Historias!$F$6:$F$137,$B124,Historias!$A$6:$A$137,D$67), "")</f>
        <v>0</v>
      </c>
      <c r="E124" s="134">
        <f>IF(E$67&lt;&gt;"", SUMIFS(Historias!$H$6:$H$137,Historias!$F$6:$F$137,$B124,Historias!$A$6:$A$137,E$67), "")</f>
        <v>0</v>
      </c>
      <c r="F124" s="134">
        <f>IF(F$67&lt;&gt;"", SUMIFS(Historias!$H$6:$H$137,Historias!$F$6:$F$137,$B124,Historias!$A$6:$A$137,F$67), "")</f>
        <v>0</v>
      </c>
      <c r="G124" s="134" t="str">
        <f>IF(G$67&lt;&gt;"", SUMIFS(Historias!$H$6:$H$137,Historias!$F$6:$F$137,$B124,Historias!$A$6:$A$137,G$67), "")</f>
        <v/>
      </c>
      <c r="H124" s="136" t="str">
        <f>IF(H$67&lt;&gt;"", SUMIFS(Historias!$H$6:$H$137,Historias!$F$6:$F$137,$B124,Historias!$A$6:$A$137,H$67), "")</f>
        <v/>
      </c>
      <c r="I124" s="104"/>
      <c r="J124" s="115"/>
      <c r="K124" s="141" t="str">
        <f t="shared" si="187"/>
        <v/>
      </c>
      <c r="L124" s="136" t="str">
        <f>IF(AND($K124&lt;=TODAY(),L$67&lt;&gt;""),L123+SUMIFS(Historias!$H$6:$H$135,Historias!$F$6:$F$135,$K124,Historias!$A$6:$A$135,L$67),"")</f>
        <v/>
      </c>
      <c r="M124" s="136" t="str">
        <f>IF(AND($K124&lt;=TODAY(),M$67&lt;&gt;""),M123+SUMIFS(Historias!$H$6:$H$135,Historias!$F$6:$F$135,$K124,Historias!$A$6:$A$135,M$67),"")</f>
        <v/>
      </c>
      <c r="N124" s="136" t="str">
        <f>IF(AND($K124&lt;=TODAY(),N$67&lt;&gt;""),N123+SUMIFS(Historias!$H$6:$H$135,Historias!$F$6:$F$135,$K124,Historias!$A$6:$A$135,N$67),"")</f>
        <v/>
      </c>
      <c r="O124" s="136" t="str">
        <f>IF(AND($K124&lt;=TODAY(),O$67&lt;&gt;""),O123+SUMIFS(Historias!$H$6:$H$135,Historias!$F$6:$F$135,$K124,Historias!$A$6:$A$135,O$67),"")</f>
        <v/>
      </c>
      <c r="P124" s="136" t="str">
        <f>IF(AND($K124&lt;=TODAY(),P$67&lt;&gt;""),P123+SUMIFS(Historias!$H$6:$H$135,Historias!$F$6:$F$135,$K124,Historias!$A$6:$A$135,P$67),"")</f>
        <v/>
      </c>
      <c r="Q124" s="136" t="str">
        <f>IF(AND($K124&lt;=TODAY(),Q$67&lt;&gt;""),Q123+SUMIFS(Historias!$H$6:$H$135,Historias!$F$6:$F$135,$K124,Historias!$A$6:$A$135,Q$67),"")</f>
        <v/>
      </c>
      <c r="R124" s="132" t="str">
        <f t="shared" si="188"/>
        <v/>
      </c>
      <c r="S124" s="90" t="str">
        <f t="shared" ref="S124:X124" si="300">IF($K124&lt;&gt;"", IF(max($C124:$H124)&gt;0,IF(L124 = max($L124:$Q124), 1 , 0), S123), "")</f>
        <v/>
      </c>
      <c r="T124" s="90" t="str">
        <f t="shared" si="300"/>
        <v/>
      </c>
      <c r="U124" s="90" t="str">
        <f t="shared" si="300"/>
        <v/>
      </c>
      <c r="V124" s="90" t="str">
        <f t="shared" si="300"/>
        <v/>
      </c>
      <c r="W124" s="90" t="str">
        <f t="shared" si="300"/>
        <v/>
      </c>
      <c r="X124" s="90" t="str">
        <f t="shared" si="300"/>
        <v/>
      </c>
      <c r="Y124" s="137" t="str">
        <f t="shared" si="190"/>
        <v/>
      </c>
      <c r="Z124" s="94" t="str">
        <f t="shared" ref="Z124:AE124" si="301">IF($K124&lt;&gt;"", IF(max($C124:$H124)&gt;0,IF(L124 = max($L124:$Q124), (L124-AVERAGE($L124:$Q124)) , 0), 0), "")</f>
        <v/>
      </c>
      <c r="AA124" s="94" t="str">
        <f t="shared" si="301"/>
        <v/>
      </c>
      <c r="AB124" s="94" t="str">
        <f t="shared" si="301"/>
        <v/>
      </c>
      <c r="AC124" s="94" t="str">
        <f t="shared" si="301"/>
        <v/>
      </c>
      <c r="AD124" s="94" t="str">
        <f t="shared" si="301"/>
        <v/>
      </c>
      <c r="AE124" s="94" t="str">
        <f t="shared" si="301"/>
        <v/>
      </c>
      <c r="AF124" s="97"/>
      <c r="AG124" s="97"/>
      <c r="AH124" s="97"/>
      <c r="AI124" s="97"/>
      <c r="AJ124" s="97"/>
      <c r="AK124" s="97"/>
      <c r="AL124" s="97"/>
      <c r="AM124" s="97"/>
      <c r="AN124" s="97"/>
      <c r="AO124" s="97"/>
      <c r="AP124" s="97"/>
      <c r="AQ124" s="97"/>
      <c r="AR124" s="97"/>
      <c r="AS124" s="97"/>
      <c r="AT124" s="97"/>
      <c r="AU124" s="97"/>
    </row>
    <row r="125">
      <c r="A125" s="83"/>
      <c r="B125" s="143" t="str">
        <f>B66</f>
        <v>ED(p) (E)</v>
      </c>
      <c r="C125" s="109">
        <f t="shared" ref="C125:G125" si="302">SUM(C68:C124)</f>
        <v>12</v>
      </c>
      <c r="D125" s="109">
        <f t="shared" si="302"/>
        <v>19</v>
      </c>
      <c r="E125" s="109">
        <f t="shared" si="302"/>
        <v>25</v>
      </c>
      <c r="F125" s="109">
        <f t="shared" si="302"/>
        <v>14.5</v>
      </c>
      <c r="G125" s="109">
        <f t="shared" si="302"/>
        <v>0</v>
      </c>
      <c r="H125" s="90"/>
      <c r="I125" s="83"/>
      <c r="J125" s="97"/>
      <c r="K125" s="143" t="str">
        <f>K66</f>
        <v>EDA(p) [E]</v>
      </c>
      <c r="L125" s="94">
        <f t="shared" ref="L125:Q125" si="303">max(L68:L123)</f>
        <v>12</v>
      </c>
      <c r="M125" s="94">
        <f t="shared" si="303"/>
        <v>19</v>
      </c>
      <c r="N125" s="94">
        <f t="shared" si="303"/>
        <v>25</v>
      </c>
      <c r="O125" s="94">
        <f t="shared" si="303"/>
        <v>14.5</v>
      </c>
      <c r="P125" s="94">
        <f t="shared" si="303"/>
        <v>0</v>
      </c>
      <c r="Q125" s="93">
        <f t="shared" si="303"/>
        <v>0</v>
      </c>
      <c r="R125" s="143" t="str">
        <f>S66</f>
        <v>A(p)</v>
      </c>
      <c r="S125" s="144">
        <f t="shared" ref="S125:X125" si="304">SUM(S68:S123)</f>
        <v>1</v>
      </c>
      <c r="T125" s="144">
        <f t="shared" si="304"/>
        <v>3</v>
      </c>
      <c r="U125" s="144">
        <f t="shared" si="304"/>
        <v>21</v>
      </c>
      <c r="V125" s="144">
        <f t="shared" si="304"/>
        <v>3</v>
      </c>
      <c r="W125" s="144">
        <f t="shared" si="304"/>
        <v>0</v>
      </c>
      <c r="X125" s="144">
        <f t="shared" si="304"/>
        <v>0</v>
      </c>
      <c r="Y125" s="145" t="str">
        <f>Z66</f>
        <v>S(p)</v>
      </c>
      <c r="Z125" s="108">
        <f t="shared" ref="Z125:AE125" si="305">SUM(Z68:Z123)</f>
        <v>3.25</v>
      </c>
      <c r="AA125" s="108">
        <f t="shared" si="305"/>
        <v>0.75</v>
      </c>
      <c r="AB125" s="108">
        <f t="shared" si="305"/>
        <v>64.875</v>
      </c>
      <c r="AC125" s="108">
        <f t="shared" si="305"/>
        <v>0.75</v>
      </c>
      <c r="AD125" s="108">
        <f t="shared" si="305"/>
        <v>0</v>
      </c>
      <c r="AE125" s="108">
        <f t="shared" si="305"/>
        <v>0</v>
      </c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</row>
    <row r="126">
      <c r="A126" s="65"/>
      <c r="B126" s="146">
        <f>SUM(C125:H125)</f>
        <v>70.5</v>
      </c>
      <c r="C126" s="65"/>
      <c r="D126" s="65"/>
      <c r="E126" s="65"/>
      <c r="F126" s="65"/>
      <c r="G126" s="65"/>
      <c r="H126" s="65"/>
      <c r="I126" s="65"/>
      <c r="J126" s="111"/>
      <c r="K126" s="69"/>
      <c r="L126" s="65"/>
      <c r="M126" s="65"/>
      <c r="N126" s="65"/>
      <c r="O126" s="65"/>
      <c r="P126" s="65"/>
      <c r="Q126" s="65"/>
      <c r="R126" s="72"/>
      <c r="S126" s="93">
        <f t="shared" ref="S126:X126" si="306">S125/$A$2</f>
        <v>0.04545454545</v>
      </c>
      <c r="T126" s="93">
        <f t="shared" si="306"/>
        <v>0.1363636364</v>
      </c>
      <c r="U126" s="93">
        <f t="shared" si="306"/>
        <v>0.9545454545</v>
      </c>
      <c r="V126" s="93">
        <f t="shared" si="306"/>
        <v>0.1363636364</v>
      </c>
      <c r="W126" s="93">
        <f t="shared" si="306"/>
        <v>0</v>
      </c>
      <c r="X126" s="93">
        <f t="shared" si="306"/>
        <v>0</v>
      </c>
      <c r="Y126" s="117"/>
      <c r="Z126" s="95">
        <f t="shared" ref="Z126:AE126" si="307">SUM(Z68:Z123)/($J$54*$A$2)</f>
        <v>0.002591706539</v>
      </c>
      <c r="AA126" s="95">
        <f t="shared" si="307"/>
        <v>0.0005980861244</v>
      </c>
      <c r="AB126" s="95">
        <f t="shared" si="307"/>
        <v>0.05173444976</v>
      </c>
      <c r="AC126" s="95">
        <f t="shared" si="307"/>
        <v>0.0005980861244</v>
      </c>
      <c r="AD126" s="95">
        <f t="shared" si="307"/>
        <v>0</v>
      </c>
      <c r="AE126" s="95">
        <f t="shared" si="307"/>
        <v>0</v>
      </c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</row>
    <row r="127">
      <c r="A127" s="65"/>
      <c r="B127" s="65"/>
      <c r="C127" s="65"/>
      <c r="D127" s="65"/>
      <c r="E127" s="65"/>
      <c r="F127" s="65"/>
      <c r="G127" s="65"/>
      <c r="H127" s="65"/>
      <c r="I127" s="65"/>
      <c r="J127" s="111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147"/>
      <c r="AG127" s="147"/>
      <c r="AH127" s="147"/>
      <c r="AI127" s="147"/>
      <c r="AJ127" s="147"/>
      <c r="AK127" s="147"/>
      <c r="AL127" s="147"/>
      <c r="AM127" s="147"/>
      <c r="AN127" s="147"/>
      <c r="AO127" s="147"/>
      <c r="AP127" s="147"/>
      <c r="AQ127" s="147"/>
      <c r="AR127" s="147"/>
      <c r="AS127" s="147"/>
      <c r="AT127" s="147"/>
      <c r="AU127" s="147"/>
    </row>
    <row r="128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7"/>
      <c r="M128" s="67"/>
      <c r="N128" s="67"/>
      <c r="O128" s="67"/>
      <c r="P128" s="67"/>
      <c r="Q128" s="65"/>
      <c r="R128" s="65"/>
      <c r="S128" s="65"/>
      <c r="T128" s="84"/>
      <c r="U128" s="65"/>
      <c r="V128" s="65"/>
      <c r="W128" s="65"/>
      <c r="X128" s="65"/>
      <c r="Y128" s="148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  <c r="AO128" s="147"/>
      <c r="AP128" s="147"/>
      <c r="AQ128" s="147"/>
      <c r="AR128" s="147"/>
      <c r="AS128" s="147"/>
      <c r="AT128" s="147"/>
      <c r="AU128" s="147"/>
    </row>
    <row r="129">
      <c r="A129" s="65"/>
      <c r="B129" s="65"/>
      <c r="C129" s="65"/>
      <c r="D129" s="65"/>
      <c r="E129" s="65"/>
      <c r="F129" s="65"/>
      <c r="G129" s="65"/>
      <c r="H129" s="149" t="s">
        <v>99</v>
      </c>
      <c r="I129" s="149" t="s">
        <v>100</v>
      </c>
      <c r="J129" s="149" t="s">
        <v>101</v>
      </c>
      <c r="K129" s="90"/>
      <c r="L129" s="150" t="str">
        <f t="shared" ref="L129:Q129" si="308">C67</f>
        <v>RAFAEL GUZMAN VALVERDE</v>
      </c>
      <c r="M129" s="90" t="str">
        <f t="shared" si="308"/>
        <v>DANIEL CALDERON GONZALEZ</v>
      </c>
      <c r="N129" s="90" t="str">
        <f t="shared" si="308"/>
        <v>MARIA AGUADO MARTINEZ</v>
      </c>
      <c r="O129" s="90" t="str">
        <f t="shared" si="308"/>
        <v>CARLOS GARCIA SEGURA</v>
      </c>
      <c r="P129" s="90" t="str">
        <f t="shared" si="308"/>
        <v/>
      </c>
      <c r="Q129" s="65" t="str">
        <f t="shared" si="308"/>
        <v/>
      </c>
      <c r="R129" s="65"/>
      <c r="S129" s="65"/>
      <c r="T129" s="65"/>
      <c r="U129" s="65"/>
      <c r="V129" s="65"/>
      <c r="W129" s="65"/>
      <c r="X129" s="65"/>
      <c r="Y129" s="148"/>
      <c r="Z129" s="148"/>
      <c r="AA129" s="147"/>
      <c r="AB129" s="148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8"/>
      <c r="AP129" s="148"/>
      <c r="AQ129" s="148"/>
      <c r="AR129" s="148"/>
      <c r="AS129" s="148"/>
      <c r="AT129" s="148"/>
      <c r="AU129" s="148"/>
    </row>
    <row r="130">
      <c r="A130" s="65"/>
      <c r="B130" s="65"/>
      <c r="C130" s="65"/>
      <c r="D130" s="65"/>
      <c r="E130" s="65"/>
      <c r="F130" s="65"/>
      <c r="G130" s="65"/>
      <c r="H130" s="108">
        <f t="shared" ref="H130:H134" si="310">_xlfn.STDEV.S(L130:P130)</f>
        <v>0.3957417974</v>
      </c>
      <c r="I130" s="95">
        <f t="shared" ref="I130:I134" si="311">MEDIAN(L130:P130)</f>
        <v>0.1363636364</v>
      </c>
      <c r="J130" s="151">
        <f t="shared" ref="J130:J134" si="312">max(L130:P130)</f>
        <v>0.9545454545</v>
      </c>
      <c r="K130" s="103" t="str">
        <f>R125</f>
        <v>A(p)</v>
      </c>
      <c r="L130" s="93">
        <f t="shared" ref="L130:P130" si="309">S126</f>
        <v>0.04545454545</v>
      </c>
      <c r="M130" s="93">
        <f t="shared" si="309"/>
        <v>0.1363636364</v>
      </c>
      <c r="N130" s="93">
        <f t="shared" si="309"/>
        <v>0.9545454545</v>
      </c>
      <c r="O130" s="93">
        <f t="shared" si="309"/>
        <v>0.1363636364</v>
      </c>
      <c r="P130" s="93">
        <f t="shared" si="309"/>
        <v>0</v>
      </c>
      <c r="Q130" s="65"/>
      <c r="R130" s="65"/>
      <c r="S130" s="65"/>
      <c r="T130" s="65"/>
      <c r="U130" s="65"/>
      <c r="V130" s="65"/>
      <c r="W130" s="65"/>
      <c r="X130" s="65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  <c r="AQ130" s="148"/>
      <c r="AR130" s="148"/>
      <c r="AS130" s="148"/>
      <c r="AT130" s="148"/>
      <c r="AU130" s="148"/>
    </row>
    <row r="131">
      <c r="A131" s="65"/>
      <c r="B131" s="65"/>
      <c r="C131" s="65"/>
      <c r="D131" s="65"/>
      <c r="E131" s="65"/>
      <c r="F131" s="65"/>
      <c r="G131" s="65"/>
      <c r="H131" s="108">
        <f t="shared" si="310"/>
        <v>0.02273400457</v>
      </c>
      <c r="I131" s="95">
        <f t="shared" si="311"/>
        <v>0.0005980861244</v>
      </c>
      <c r="J131" s="151">
        <f t="shared" si="312"/>
        <v>0.05173444976</v>
      </c>
      <c r="K131" s="103" t="str">
        <f>Y125</f>
        <v>S(p)</v>
      </c>
      <c r="L131" s="93">
        <f t="shared" ref="L131:P131" si="313">Z126</f>
        <v>0.002591706539</v>
      </c>
      <c r="M131" s="93">
        <f t="shared" si="313"/>
        <v>0.0005980861244</v>
      </c>
      <c r="N131" s="93">
        <f t="shared" si="313"/>
        <v>0.05173444976</v>
      </c>
      <c r="O131" s="93">
        <f t="shared" si="313"/>
        <v>0.0005980861244</v>
      </c>
      <c r="P131" s="93">
        <f t="shared" si="313"/>
        <v>0</v>
      </c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</row>
    <row r="132">
      <c r="A132" s="65"/>
      <c r="B132" s="65"/>
      <c r="C132" s="65"/>
      <c r="D132" s="65"/>
      <c r="E132" s="65"/>
      <c r="F132" s="65"/>
      <c r="G132" s="65"/>
      <c r="H132" s="108">
        <f t="shared" si="310"/>
        <v>0.2093493742</v>
      </c>
      <c r="I132" s="95">
        <f t="shared" si="311"/>
        <v>0.3888888889</v>
      </c>
      <c r="J132" s="151">
        <f t="shared" si="312"/>
        <v>0.5555555556</v>
      </c>
      <c r="K132" s="90" t="str">
        <f>R13</f>
        <v>P(p)</v>
      </c>
      <c r="L132" s="93">
        <f t="shared" ref="L132:P132" si="314">COUNTIF(R15:R53,"&gt;0")/$G$54</f>
        <v>0.3333333333</v>
      </c>
      <c r="M132" s="93">
        <f t="shared" si="314"/>
        <v>0.4444444444</v>
      </c>
      <c r="N132" s="93">
        <f t="shared" si="314"/>
        <v>0.5555555556</v>
      </c>
      <c r="O132" s="93">
        <f t="shared" si="314"/>
        <v>0.3888888889</v>
      </c>
      <c r="P132" s="93">
        <f t="shared" si="314"/>
        <v>0</v>
      </c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</row>
    <row r="133">
      <c r="A133" s="65"/>
      <c r="B133" s="65"/>
      <c r="C133" s="65"/>
      <c r="D133" s="65"/>
      <c r="E133" s="65"/>
      <c r="F133" s="65"/>
      <c r="G133" s="65"/>
      <c r="H133" s="108">
        <f t="shared" si="310"/>
        <v>0.1360827635</v>
      </c>
      <c r="I133" s="95">
        <f t="shared" si="311"/>
        <v>0.1111111111</v>
      </c>
      <c r="J133" s="151">
        <f t="shared" si="312"/>
        <v>0.3333333333</v>
      </c>
      <c r="K133" s="90" t="str">
        <f>X55</f>
        <v>D(p)</v>
      </c>
      <c r="L133" s="93">
        <f t="shared" ref="L133:P133" si="315">X56</f>
        <v>0.2777777778</v>
      </c>
      <c r="M133" s="93">
        <f t="shared" si="315"/>
        <v>0.1111111111</v>
      </c>
      <c r="N133" s="93">
        <f t="shared" si="315"/>
        <v>0.3333333333</v>
      </c>
      <c r="O133" s="93">
        <f t="shared" si="315"/>
        <v>0.1111111111</v>
      </c>
      <c r="P133" s="93">
        <f t="shared" si="315"/>
        <v>0</v>
      </c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</row>
    <row r="134">
      <c r="A134" s="65"/>
      <c r="B134" s="65"/>
      <c r="C134" s="65"/>
      <c r="D134" s="65"/>
      <c r="E134" s="65"/>
      <c r="F134" s="65"/>
      <c r="G134" s="65"/>
      <c r="H134" s="108">
        <f t="shared" si="310"/>
        <v>0.1111111111</v>
      </c>
      <c r="I134" s="95">
        <f t="shared" si="311"/>
        <v>0.1111111111</v>
      </c>
      <c r="J134" s="151">
        <f t="shared" si="312"/>
        <v>0.2222222222</v>
      </c>
      <c r="K134" s="100" t="str">
        <f>AD55</f>
        <v>I(p)</v>
      </c>
      <c r="L134" s="93">
        <f t="shared" ref="L134:P134" si="316">AD56</f>
        <v>0.2222222222</v>
      </c>
      <c r="M134" s="93">
        <f t="shared" si="316"/>
        <v>0</v>
      </c>
      <c r="N134" s="93">
        <f t="shared" si="316"/>
        <v>0.2222222222</v>
      </c>
      <c r="O134" s="93">
        <f t="shared" si="316"/>
        <v>0.1111111111</v>
      </c>
      <c r="P134" s="93">
        <f t="shared" si="316"/>
        <v>0</v>
      </c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</row>
    <row r="135">
      <c r="A135" s="65"/>
      <c r="B135" s="65"/>
      <c r="C135" s="65"/>
      <c r="D135" s="65"/>
      <c r="E135" s="65"/>
      <c r="F135" s="65"/>
      <c r="G135" s="65"/>
      <c r="H135" s="83"/>
      <c r="I135" s="83"/>
      <c r="J135" s="96" t="str">
        <f>SUM(AO15:AO53)</f>
        <v>#NUM!</v>
      </c>
      <c r="K135" s="90" t="s">
        <v>81</v>
      </c>
      <c r="L135" s="83"/>
      <c r="M135" s="83"/>
      <c r="N135" s="83"/>
      <c r="O135" s="83"/>
      <c r="P135" s="83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</row>
    <row r="136">
      <c r="A136" s="65"/>
      <c r="B136" s="116"/>
      <c r="C136" s="116"/>
      <c r="D136" s="65"/>
      <c r="E136" s="65"/>
      <c r="F136" s="65"/>
      <c r="G136" s="65"/>
      <c r="H136" s="83"/>
      <c r="I136" s="83"/>
      <c r="J136" s="96" t="str">
        <f>SUM(AO15:AO53)/G54</f>
        <v>#NUM!</v>
      </c>
      <c r="K136" s="90" t="s">
        <v>102</v>
      </c>
      <c r="L136" s="83"/>
      <c r="M136" s="83"/>
      <c r="N136" s="83"/>
      <c r="O136" s="83"/>
      <c r="P136" s="83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</row>
    <row r="137">
      <c r="A137" s="65"/>
      <c r="B137" s="69"/>
      <c r="C137" s="65"/>
      <c r="D137" s="65"/>
      <c r="E137" s="65"/>
      <c r="F137" s="65"/>
      <c r="G137" s="65"/>
      <c r="H137" s="83"/>
      <c r="I137" s="83"/>
      <c r="J137" s="96">
        <f>P61</f>
        <v>1.722222222</v>
      </c>
      <c r="K137" s="100" t="str">
        <f>O61</f>
        <v>C</v>
      </c>
      <c r="L137" s="83"/>
      <c r="M137" s="83"/>
      <c r="N137" s="83"/>
      <c r="O137" s="83"/>
      <c r="P137" s="83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</row>
    <row r="138">
      <c r="A138" s="65"/>
      <c r="B138" s="152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</row>
    <row r="139">
      <c r="A139" s="65"/>
      <c r="B139" s="152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</row>
    <row r="140">
      <c r="A140" s="65"/>
      <c r="B140" s="152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</row>
    <row r="141">
      <c r="A141" s="65"/>
      <c r="B141" s="152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</row>
    <row r="142">
      <c r="A142" s="65"/>
      <c r="B142" s="152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</row>
    <row r="143">
      <c r="A143" s="65"/>
      <c r="B143" s="152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</row>
    <row r="144">
      <c r="A144" s="65"/>
      <c r="B144" s="152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</row>
    <row r="145">
      <c r="A145" s="65"/>
      <c r="B145" s="152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</row>
    <row r="146">
      <c r="A146" s="65"/>
      <c r="B146" s="153">
        <f>C97</f>
        <v>0</v>
      </c>
      <c r="C146" s="9"/>
      <c r="D146" s="67"/>
      <c r="E146" s="67"/>
      <c r="F146" s="67"/>
      <c r="G146" s="67"/>
      <c r="H146" s="67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</row>
    <row r="147">
      <c r="A147" s="72"/>
      <c r="B147" s="154" t="s">
        <v>5</v>
      </c>
      <c r="C147" s="155" t="str">
        <f t="shared" ref="C147:G147" si="317">C67</f>
        <v>RAFAEL GUZMAN VALVERDE</v>
      </c>
      <c r="D147" s="155" t="str">
        <f t="shared" si="317"/>
        <v>DANIEL CALDERON GONZALEZ</v>
      </c>
      <c r="E147" s="155" t="str">
        <f t="shared" si="317"/>
        <v>MARIA AGUADO MARTINEZ</v>
      </c>
      <c r="F147" s="155" t="str">
        <f t="shared" si="317"/>
        <v>CARLOS GARCIA SEGURA</v>
      </c>
      <c r="G147" s="155" t="str">
        <f t="shared" si="317"/>
        <v/>
      </c>
      <c r="H147" s="15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</row>
    <row r="148">
      <c r="A148" s="72"/>
      <c r="B148" s="156" t="str">
        <f t="shared" ref="B148:B186" si="318">G15</f>
        <v>Diagrama de clases</v>
      </c>
      <c r="C148" s="157">
        <f>IF($G15 &lt;&gt; "", IF(SUMIFS(Historias!$H$6:$H$190,Historias!$B$6:$B$190,$G15,Historias!$A$6:$A$190,C$147)&gt;0,1,0),"")</f>
        <v>1</v>
      </c>
      <c r="D148" s="157">
        <f>IF($G15 &lt;&gt; "", IF(SUMIFS(Historias!$H$6:$H$190,Historias!$B$6:$B$190,$G15,Historias!$A$6:$A$190,D$147)&gt;0,1,0),"")</f>
        <v>0</v>
      </c>
      <c r="E148" s="157">
        <f>IF($G15 &lt;&gt; "", IF(SUMIFS(Historias!$H$6:$H$190,Historias!$B$6:$B$190,$G15,Historias!$A$6:$A$190,E$147)&gt;0,1,0),"")</f>
        <v>0</v>
      </c>
      <c r="F148" s="157">
        <f>IF($G15 &lt;&gt; "", IF(SUMIFS(Historias!$H$6:$H$190,Historias!$B$6:$B$190,$G15,Historias!$A$6:$A$190,F$147)&gt;0,1,0),"")</f>
        <v>0</v>
      </c>
      <c r="G148" s="157">
        <f>IF($G15 &lt;&gt; "", IF(SUMIFS(Historias!$H$6:$H$190,Historias!$B$6:$B$190,$G15,Historias!$A$6:$A$190,G$147)&gt;0,1,0),"")</f>
        <v>0</v>
      </c>
      <c r="H148" s="15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</row>
    <row r="149">
      <c r="A149" s="72"/>
      <c r="B149" s="156" t="str">
        <f t="shared" si="318"/>
        <v>Diagrama de actividad/estados</v>
      </c>
      <c r="C149" s="157">
        <f>IF($G16 &lt;&gt; "", IF(SUMIFS(Historias!$H$6:$H$190,Historias!$B$6:$B$190,$G16,Historias!$A$6:$A$190,C$147)&gt;0,1,0),"")</f>
        <v>0</v>
      </c>
      <c r="D149" s="157">
        <f>IF($G16 &lt;&gt; "", IF(SUMIFS(Historias!$H$6:$H$190,Historias!$B$6:$B$190,$G16,Historias!$A$6:$A$190,D$147)&gt;0,1,0),"")</f>
        <v>0</v>
      </c>
      <c r="E149" s="157">
        <f>IF($G16 &lt;&gt; "", IF(SUMIFS(Historias!$H$6:$H$190,Historias!$B$6:$B$190,$G16,Historias!$A$6:$A$190,E$147)&gt;0,1,0),"")</f>
        <v>1</v>
      </c>
      <c r="F149" s="157">
        <f>IF($G16 &lt;&gt; "", IF(SUMIFS(Historias!$H$6:$H$190,Historias!$B$6:$B$190,$G16,Historias!$A$6:$A$190,F$147)&gt;0,1,0),"")</f>
        <v>0</v>
      </c>
      <c r="G149" s="157">
        <f>IF($G16 &lt;&gt; "", IF(SUMIFS(Historias!$H$6:$H$190,Historias!$B$6:$B$190,$G16,Historias!$A$6:$A$190,G$147)&gt;0,1,0),"")</f>
        <v>0</v>
      </c>
      <c r="H149" s="15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</row>
    <row r="150">
      <c r="A150" s="72"/>
      <c r="B150" s="156" t="str">
        <f t="shared" si="318"/>
        <v>Diagrama de secuencia</v>
      </c>
      <c r="C150" s="157">
        <f>IF($G17 &lt;&gt; "", IF(SUMIFS(Historias!$H$6:$H$190,Historias!$B$6:$B$190,$G17,Historias!$A$6:$A$190,C$147)&gt;0,1,0),"")</f>
        <v>0</v>
      </c>
      <c r="D150" s="157">
        <f>IF($G17 &lt;&gt; "", IF(SUMIFS(Historias!$H$6:$H$190,Historias!$B$6:$B$190,$G17,Historias!$A$6:$A$190,D$147)&gt;0,1,0),"")</f>
        <v>0</v>
      </c>
      <c r="E150" s="157">
        <f>IF($G17 &lt;&gt; "", IF(SUMIFS(Historias!$H$6:$H$190,Historias!$B$6:$B$190,$G17,Historias!$A$6:$A$190,E$147)&gt;0,1,0),"")</f>
        <v>1</v>
      </c>
      <c r="F150" s="157">
        <f>IF($G17 &lt;&gt; "", IF(SUMIFS(Historias!$H$6:$H$190,Historias!$B$6:$B$190,$G17,Historias!$A$6:$A$190,F$147)&gt;0,1,0),"")</f>
        <v>0</v>
      </c>
      <c r="G150" s="157">
        <f>IF($G17 &lt;&gt; "", IF(SUMIFS(Historias!$H$6:$H$190,Historias!$B$6:$B$190,$G17,Historias!$A$6:$A$190,G$147)&gt;0,1,0),"")</f>
        <v>0</v>
      </c>
      <c r="H150" s="15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</row>
    <row r="151">
      <c r="A151" s="72"/>
      <c r="B151" s="156" t="str">
        <f t="shared" si="318"/>
        <v>Adaptar código casos prácticos</v>
      </c>
      <c r="C151" s="157">
        <f>IF($G18 &lt;&gt; "", IF(SUMIFS(Historias!$H$6:$H$190,Historias!$B$6:$B$190,$G18,Historias!$A$6:$A$190,C$147)&gt;0,1,0),"")</f>
        <v>0</v>
      </c>
      <c r="D151" s="157">
        <f>IF($G18 &lt;&gt; "", IF(SUMIFS(Historias!$H$6:$H$190,Historias!$B$6:$B$190,$G18,Historias!$A$6:$A$190,D$147)&gt;0,1,0),"")</f>
        <v>1</v>
      </c>
      <c r="E151" s="157">
        <f>IF($G18 &lt;&gt; "", IF(SUMIFS(Historias!$H$6:$H$190,Historias!$B$6:$B$190,$G18,Historias!$A$6:$A$190,E$147)&gt;0,1,0),"")</f>
        <v>1</v>
      </c>
      <c r="F151" s="157">
        <f>IF($G18 &lt;&gt; "", IF(SUMIFS(Historias!$H$6:$H$190,Historias!$B$6:$B$190,$G18,Historias!$A$6:$A$190,F$147)&gt;0,1,0),"")</f>
        <v>0</v>
      </c>
      <c r="G151" s="157">
        <f>IF($G18 &lt;&gt; "", IF(SUMIFS(Historias!$H$6:$H$190,Historias!$B$6:$B$190,$G18,Historias!$A$6:$A$190,G$147)&gt;0,1,0),"")</f>
        <v>0</v>
      </c>
      <c r="H151" s="15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</row>
    <row r="152">
      <c r="A152" s="72"/>
      <c r="B152" s="156" t="str">
        <f t="shared" si="318"/>
        <v>Preparar código JoinSession</v>
      </c>
      <c r="C152" s="157">
        <f>IF($G19 &lt;&gt; "", IF(SUMIFS(Historias!$H$6:$H$190,Historias!$B$6:$B$190,$G19,Historias!$A$6:$A$190,C$147)&gt;0,1,0),"")</f>
        <v>1</v>
      </c>
      <c r="D152" s="157">
        <f>IF($G19 &lt;&gt; "", IF(SUMIFS(Historias!$H$6:$H$190,Historias!$B$6:$B$190,$G19,Historias!$A$6:$A$190,D$147)&gt;0,1,0),"")</f>
        <v>0</v>
      </c>
      <c r="E152" s="157">
        <f>IF($G19 &lt;&gt; "", IF(SUMIFS(Historias!$H$6:$H$190,Historias!$B$6:$B$190,$G19,Historias!$A$6:$A$190,E$147)&gt;0,1,0),"")</f>
        <v>0</v>
      </c>
      <c r="F152" s="157">
        <f>IF($G19 &lt;&gt; "", IF(SUMIFS(Historias!$H$6:$H$190,Historias!$B$6:$B$190,$G19,Historias!$A$6:$A$190,F$147)&gt;0,1,0),"")</f>
        <v>0</v>
      </c>
      <c r="G152" s="157">
        <f>IF($G19 &lt;&gt; "", IF(SUMIFS(Historias!$H$6:$H$190,Historias!$B$6:$B$190,$G19,Historias!$A$6:$A$190,G$147)&gt;0,1,0),"")</f>
        <v>0</v>
      </c>
      <c r="H152" s="15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</row>
    <row r="153">
      <c r="A153" s="72"/>
      <c r="B153" s="156" t="str">
        <f t="shared" si="318"/>
        <v>Impementar REPORT</v>
      </c>
      <c r="C153" s="157">
        <f>IF($G20 &lt;&gt; "", IF(SUMIFS(Historias!$H$6:$H$190,Historias!$B$6:$B$190,$G20,Historias!$A$6:$A$190,C$147)&gt;0,1,0),"")</f>
        <v>0</v>
      </c>
      <c r="D153" s="157">
        <f>IF($G20 &lt;&gt; "", IF(SUMIFS(Historias!$H$6:$H$190,Historias!$B$6:$B$190,$G20,Historias!$A$6:$A$190,D$147)&gt;0,1,0),"")</f>
        <v>0</v>
      </c>
      <c r="E153" s="157">
        <f>IF($G20 &lt;&gt; "", IF(SUMIFS(Historias!$H$6:$H$190,Historias!$B$6:$B$190,$G20,Historias!$A$6:$A$190,E$147)&gt;0,1,0),"")</f>
        <v>1</v>
      </c>
      <c r="F153" s="157">
        <f>IF($G20 &lt;&gt; "", IF(SUMIFS(Historias!$H$6:$H$190,Historias!$B$6:$B$190,$G20,Historias!$A$6:$A$190,F$147)&gt;0,1,0),"")</f>
        <v>0</v>
      </c>
      <c r="G153" s="157">
        <f>IF($G20 &lt;&gt; "", IF(SUMIFS(Historias!$H$6:$H$190,Historias!$B$6:$B$190,$G20,Historias!$A$6:$A$190,G$147)&gt;0,1,0),"")</f>
        <v>0</v>
      </c>
      <c r="H153" s="15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</row>
    <row r="154">
      <c r="A154" s="72"/>
      <c r="B154" s="156" t="str">
        <f t="shared" si="318"/>
        <v>Hacer código SolveGoal</v>
      </c>
      <c r="C154" s="157">
        <f>IF($G21 &lt;&gt; "", IF(SUMIFS(Historias!$H$6:$H$190,Historias!$B$6:$B$190,$G21,Historias!$A$6:$A$190,C$147)&gt;0,1,0),"")</f>
        <v>1</v>
      </c>
      <c r="D154" s="157">
        <f>IF($G21 &lt;&gt; "", IF(SUMIFS(Historias!$H$6:$H$190,Historias!$B$6:$B$190,$G21,Historias!$A$6:$A$190,D$147)&gt;0,1,0),"")</f>
        <v>0</v>
      </c>
      <c r="E154" s="157">
        <f>IF($G21 &lt;&gt; "", IF(SUMIFS(Historias!$H$6:$H$190,Historias!$B$6:$B$190,$G21,Historias!$A$6:$A$190,E$147)&gt;0,1,0),"")</f>
        <v>0</v>
      </c>
      <c r="F154" s="157">
        <f>IF($G21 &lt;&gt; "", IF(SUMIFS(Historias!$H$6:$H$190,Historias!$B$6:$B$190,$G21,Historias!$A$6:$A$190,F$147)&gt;0,1,0),"")</f>
        <v>0</v>
      </c>
      <c r="G154" s="157">
        <f>IF($G21 &lt;&gt; "", IF(SUMIFS(Historias!$H$6:$H$190,Historias!$B$6:$B$190,$G21,Historias!$A$6:$A$190,G$147)&gt;0,1,0),"")</f>
        <v>0</v>
      </c>
      <c r="H154" s="15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</row>
    <row r="155">
      <c r="A155" s="72"/>
      <c r="B155" s="156" t="str">
        <f t="shared" si="318"/>
        <v>Completar código SolveProblem</v>
      </c>
      <c r="C155" s="157">
        <f>IF($G22 &lt;&gt; "", IF(SUMIFS(Historias!$H$6:$H$190,Historias!$B$6:$B$190,$G22,Historias!$A$6:$A$190,C$147)&gt;0,1,0),"")</f>
        <v>1</v>
      </c>
      <c r="D155" s="157">
        <f>IF($G22 &lt;&gt; "", IF(SUMIFS(Historias!$H$6:$H$190,Historias!$B$6:$B$190,$G22,Historias!$A$6:$A$190,D$147)&gt;0,1,0),"")</f>
        <v>1</v>
      </c>
      <c r="E155" s="157">
        <f>IF($G22 &lt;&gt; "", IF(SUMIFS(Historias!$H$6:$H$190,Historias!$B$6:$B$190,$G22,Historias!$A$6:$A$190,E$147)&gt;0,1,0),"")</f>
        <v>0</v>
      </c>
      <c r="F155" s="157">
        <f>IF($G22 &lt;&gt; "", IF(SUMIFS(Historias!$H$6:$H$190,Historias!$B$6:$B$190,$G22,Historias!$A$6:$A$190,F$147)&gt;0,1,0),"")</f>
        <v>0</v>
      </c>
      <c r="G155" s="157">
        <f>IF($G22 &lt;&gt; "", IF(SUMIFS(Historias!$H$6:$H$190,Historias!$B$6:$B$190,$G22,Historias!$A$6:$A$190,G$147)&gt;0,1,0),"")</f>
        <v>0</v>
      </c>
      <c r="H155" s="15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</row>
    <row r="156">
      <c r="A156" s="72"/>
      <c r="B156" s="156" t="str">
        <f t="shared" si="318"/>
        <v>Añadir NPC</v>
      </c>
      <c r="C156" s="157">
        <f>IF($G23 &lt;&gt; "", IF(SUMIFS(Historias!$H$6:$H$190,Historias!$B$6:$B$190,$G23,Historias!$A$6:$A$190,C$147)&gt;0,1,0),"")</f>
        <v>1</v>
      </c>
      <c r="D156" s="157">
        <f>IF($G23 &lt;&gt; "", IF(SUMIFS(Historias!$H$6:$H$190,Historias!$B$6:$B$190,$G23,Historias!$A$6:$A$190,D$147)&gt;0,1,0),"")</f>
        <v>0</v>
      </c>
      <c r="E156" s="157">
        <f>IF($G23 &lt;&gt; "", IF(SUMIFS(Historias!$H$6:$H$190,Historias!$B$6:$B$190,$G23,Historias!$A$6:$A$190,E$147)&gt;0,1,0),"")</f>
        <v>0</v>
      </c>
      <c r="F156" s="157">
        <f>IF($G23 &lt;&gt; "", IF(SUMIFS(Historias!$H$6:$H$190,Historias!$B$6:$B$190,$G23,Historias!$A$6:$A$190,F$147)&gt;0,1,0),"")</f>
        <v>0</v>
      </c>
      <c r="G156" s="157">
        <f>IF($G23 &lt;&gt; "", IF(SUMIFS(Historias!$H$6:$H$190,Historias!$B$6:$B$190,$G23,Historias!$A$6:$A$190,G$147)&gt;0,1,0),"")</f>
        <v>0</v>
      </c>
      <c r="H156" s="15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</row>
    <row r="157">
      <c r="A157" s="72"/>
      <c r="B157" s="156" t="str">
        <f t="shared" si="318"/>
        <v>Comprobar funcionamiento</v>
      </c>
      <c r="C157" s="157">
        <f>IF($G24 &lt;&gt; "", IF(SUMIFS(Historias!$H$6:$H$190,Historias!$B$6:$B$190,$G24,Historias!$A$6:$A$190,C$147)&gt;0,1,0),"")</f>
        <v>1</v>
      </c>
      <c r="D157" s="157">
        <f>IF($G24 &lt;&gt; "", IF(SUMIFS(Historias!$H$6:$H$190,Historias!$B$6:$B$190,$G24,Historias!$A$6:$A$190,D$147)&gt;0,1,0),"")</f>
        <v>1</v>
      </c>
      <c r="E157" s="157">
        <f>IF($G24 &lt;&gt; "", IF(SUMIFS(Historias!$H$6:$H$190,Historias!$B$6:$B$190,$G24,Historias!$A$6:$A$190,E$147)&gt;0,1,0),"")</f>
        <v>1</v>
      </c>
      <c r="F157" s="157">
        <f>IF($G24 &lt;&gt; "", IF(SUMIFS(Historias!$H$6:$H$190,Historias!$B$6:$B$190,$G24,Historias!$A$6:$A$190,F$147)&gt;0,1,0),"")</f>
        <v>1</v>
      </c>
      <c r="G157" s="157">
        <f>IF($G24 &lt;&gt; "", IF(SUMIFS(Historias!$H$6:$H$190,Historias!$B$6:$B$190,$G24,Historias!$A$6:$A$190,G$147)&gt;0,1,0),"")</f>
        <v>0</v>
      </c>
      <c r="H157" s="15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</row>
    <row r="158">
      <c r="A158" s="72"/>
      <c r="B158" s="156" t="str">
        <f t="shared" si="318"/>
        <v>Memoria</v>
      </c>
      <c r="C158" s="157">
        <f>IF($G25 &lt;&gt; "", IF(SUMIFS(Historias!$H$6:$H$190,Historias!$B$6:$B$190,$G25,Historias!$A$6:$A$190,C$147)&gt;0,1,0),"")</f>
        <v>0</v>
      </c>
      <c r="D158" s="157">
        <f>IF($G25 &lt;&gt; "", IF(SUMIFS(Historias!$H$6:$H$190,Historias!$B$6:$B$190,$G25,Historias!$A$6:$A$190,D$147)&gt;0,1,0),"")</f>
        <v>0</v>
      </c>
      <c r="E158" s="157">
        <f>IF($G25 &lt;&gt; "", IF(SUMIFS(Historias!$H$6:$H$190,Historias!$B$6:$B$190,$G25,Historias!$A$6:$A$190,E$147)&gt;0,1,0),"")</f>
        <v>1</v>
      </c>
      <c r="F158" s="157">
        <f>IF($G25 &lt;&gt; "", IF(SUMIFS(Historias!$H$6:$H$190,Historias!$B$6:$B$190,$G25,Historias!$A$6:$A$190,F$147)&gt;0,1,0),"")</f>
        <v>0</v>
      </c>
      <c r="G158" s="157">
        <f>IF($G25 &lt;&gt; "", IF(SUMIFS(Historias!$H$6:$H$190,Historias!$B$6:$B$190,$G25,Historias!$A$6:$A$190,G$147)&gt;0,1,0),"")</f>
        <v>0</v>
      </c>
      <c r="H158" s="15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</row>
    <row r="159">
      <c r="A159" s="72"/>
      <c r="B159" s="156" t="str">
        <f t="shared" si="318"/>
        <v>Crear vídeo y presentacion</v>
      </c>
      <c r="C159" s="157">
        <f>IF($G26 &lt;&gt; "", IF(SUMIFS(Historias!$H$6:$H$190,Historias!$B$6:$B$190,$G26,Historias!$A$6:$A$190,C$147)&gt;0,1,0),"")</f>
        <v>0</v>
      </c>
      <c r="D159" s="157">
        <f>IF($G26 &lt;&gt; "", IF(SUMIFS(Historias!$H$6:$H$190,Historias!$B$6:$B$190,$G26,Historias!$A$6:$A$190,D$147)&gt;0,1,0),"")</f>
        <v>1</v>
      </c>
      <c r="E159" s="157">
        <f>IF($G26 &lt;&gt; "", IF(SUMIFS(Historias!$H$6:$H$190,Historias!$B$6:$B$190,$G26,Historias!$A$6:$A$190,E$147)&gt;0,1,0),"")</f>
        <v>1</v>
      </c>
      <c r="F159" s="157">
        <f>IF($G26 &lt;&gt; "", IF(SUMIFS(Historias!$H$6:$H$190,Historias!$B$6:$B$190,$G26,Historias!$A$6:$A$190,F$147)&gt;0,1,0),"")</f>
        <v>1</v>
      </c>
      <c r="G159" s="157">
        <f>IF($G26 &lt;&gt; "", IF(SUMIFS(Historias!$H$6:$H$190,Historias!$B$6:$B$190,$G26,Historias!$A$6:$A$190,G$147)&gt;0,1,0),"")</f>
        <v>0</v>
      </c>
      <c r="H159" s="15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</row>
    <row r="160">
      <c r="A160" s="72"/>
      <c r="B160" s="156" t="str">
        <f t="shared" si="318"/>
        <v>Mejorar tiempo de ejecucion</v>
      </c>
      <c r="C160" s="157">
        <f>IF($G27 &lt;&gt; "", IF(SUMIFS(Historias!$H$6:$H$190,Historias!$B$6:$B$190,$G27,Historias!$A$6:$A$190,C$147)&gt;0,1,0),"")</f>
        <v>0</v>
      </c>
      <c r="D160" s="157">
        <f>IF($G27 &lt;&gt; "", IF(SUMIFS(Historias!$H$6:$H$190,Historias!$B$6:$B$190,$G27,Historias!$A$6:$A$190,D$147)&gt;0,1,0),"")</f>
        <v>0</v>
      </c>
      <c r="E160" s="157">
        <f>IF($G27 &lt;&gt; "", IF(SUMIFS(Historias!$H$6:$H$190,Historias!$B$6:$B$190,$G27,Historias!$A$6:$A$190,E$147)&gt;0,1,0),"")</f>
        <v>0</v>
      </c>
      <c r="F160" s="157">
        <f>IF($G27 &lt;&gt; "", IF(SUMIFS(Historias!$H$6:$H$190,Historias!$B$6:$B$190,$G27,Historias!$A$6:$A$190,F$147)&gt;0,1,0),"")</f>
        <v>1</v>
      </c>
      <c r="G160" s="157">
        <f>IF($G27 &lt;&gt; "", IF(SUMIFS(Historias!$H$6:$H$190,Historias!$B$6:$B$190,$G27,Historias!$A$6:$A$190,G$147)&gt;0,1,0),"")</f>
        <v>0</v>
      </c>
      <c r="H160" s="15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</row>
    <row r="161">
      <c r="A161" s="72"/>
      <c r="B161" s="156" t="str">
        <f t="shared" si="318"/>
        <v>Arreglar funcionamiento SOB2</v>
      </c>
      <c r="C161" s="155">
        <f>IF($G28 &lt;&gt; "", IF(SUMIFS(Historias!$H$6:$H$190,Historias!$B$6:$B$190,$G28,Historias!$A$6:$A$190,C$147)&gt;0,1,0),"")</f>
        <v>0</v>
      </c>
      <c r="D161" s="155">
        <f>IF($G28 &lt;&gt; "", IF(SUMIFS(Historias!$H$6:$H$190,Historias!$B$6:$B$190,$G28,Historias!$A$6:$A$190,D$147)&gt;0,1,0),"")</f>
        <v>0</v>
      </c>
      <c r="E161" s="155">
        <f>IF($G28 &lt;&gt; "", IF(SUMIFS(Historias!$H$6:$H$190,Historias!$B$6:$B$190,$G28,Historias!$A$6:$A$190,E$147)&gt;0,1,0),"")</f>
        <v>0</v>
      </c>
      <c r="F161" s="155">
        <f>IF($G28 &lt;&gt; "", IF(SUMIFS(Historias!$H$6:$H$190,Historias!$B$6:$B$190,$G28,Historias!$A$6:$A$190,F$147)&gt;0,1,0),"")</f>
        <v>1</v>
      </c>
      <c r="G161" s="155">
        <f>IF($G28 &lt;&gt; "", IF(SUMIFS(Historias!$H$6:$H$190,Historias!$B$6:$B$190,$G28,Historias!$A$6:$A$190,G$147)&gt;0,1,0),"")</f>
        <v>0</v>
      </c>
      <c r="H161" s="15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</row>
    <row r="162">
      <c r="A162" s="72"/>
      <c r="B162" s="156" t="str">
        <f t="shared" si="318"/>
        <v>Planificación final de prácticas </v>
      </c>
      <c r="C162" s="155">
        <f>IF($G29 &lt;&gt; "", IF(SUMIFS(Historias!$H$6:$H$190,Historias!$B$6:$B$190,$G29,Historias!$A$6:$A$190,C$147)&gt;0,1,0),"")</f>
        <v>0</v>
      </c>
      <c r="D162" s="155">
        <f>IF($G29 &lt;&gt; "", IF(SUMIFS(Historias!$H$6:$H$190,Historias!$B$6:$B$190,$G29,Historias!$A$6:$A$190,D$147)&gt;0,1,0),"")</f>
        <v>1</v>
      </c>
      <c r="E162" s="155">
        <f>IF($G29 &lt;&gt; "", IF(SUMIFS(Historias!$H$6:$H$190,Historias!$B$6:$B$190,$G29,Historias!$A$6:$A$190,E$147)&gt;0,1,0),"")</f>
        <v>1</v>
      </c>
      <c r="F162" s="155">
        <f>IF($G29 &lt;&gt; "", IF(SUMIFS(Historias!$H$6:$H$190,Historias!$B$6:$B$190,$G29,Historias!$A$6:$A$190,F$147)&gt;0,1,0),"")</f>
        <v>1</v>
      </c>
      <c r="G162" s="155">
        <f>IF($G29 &lt;&gt; "", IF(SUMIFS(Historias!$H$6:$H$190,Historias!$B$6:$B$190,$G29,Historias!$A$6:$A$190,G$147)&gt;0,1,0),"")</f>
        <v>0</v>
      </c>
      <c r="H162" s="15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</row>
    <row r="163">
      <c r="A163" s="72"/>
      <c r="B163" s="156" t="str">
        <f t="shared" si="318"/>
        <v>Revisión+mejora de código</v>
      </c>
      <c r="C163" s="155">
        <f>IF($G30 &lt;&gt; "", IF(SUMIFS(Historias!$H$6:$H$190,Historias!$B$6:$B$190,$G30,Historias!$A$6:$A$190,C$147)&gt;0,1,0),"")</f>
        <v>0</v>
      </c>
      <c r="D163" s="155">
        <f>IF($G30 &lt;&gt; "", IF(SUMIFS(Historias!$H$6:$H$190,Historias!$B$6:$B$190,$G30,Historias!$A$6:$A$190,D$147)&gt;0,1,0),"")</f>
        <v>1</v>
      </c>
      <c r="E163" s="155">
        <f>IF($G30 &lt;&gt; "", IF(SUMIFS(Historias!$H$6:$H$190,Historias!$B$6:$B$190,$G30,Historias!$A$6:$A$190,E$147)&gt;0,1,0),"")</f>
        <v>1</v>
      </c>
      <c r="F163" s="155">
        <f>IF($G30 &lt;&gt; "", IF(SUMIFS(Historias!$H$6:$H$190,Historias!$B$6:$B$190,$G30,Historias!$A$6:$A$190,F$147)&gt;0,1,0),"")</f>
        <v>0</v>
      </c>
      <c r="G163" s="155">
        <f>IF($G30 &lt;&gt; "", IF(SUMIFS(Historias!$H$6:$H$190,Historias!$B$6:$B$190,$G30,Historias!$A$6:$A$190,G$147)&gt;0,1,0),"")</f>
        <v>0</v>
      </c>
      <c r="H163" s="15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</row>
    <row r="164">
      <c r="A164" s="72"/>
      <c r="B164" s="156" t="str">
        <f t="shared" si="318"/>
        <v>Solucionar Problema Sorpresa</v>
      </c>
      <c r="C164" s="155">
        <f>IF($G31 &lt;&gt; "", IF(SUMIFS(Historias!$H$6:$H$190,Historias!$B$6:$B$190,$G31,Historias!$A$6:$A$190,C$147)&gt;0,1,0),"")</f>
        <v>0</v>
      </c>
      <c r="D164" s="155">
        <f>IF($G31 &lt;&gt; "", IF(SUMIFS(Historias!$H$6:$H$190,Historias!$B$6:$B$190,$G31,Historias!$A$6:$A$190,D$147)&gt;0,1,0),"")</f>
        <v>1</v>
      </c>
      <c r="E164" s="155">
        <f>IF($G31 &lt;&gt; "", IF(SUMIFS(Historias!$H$6:$H$190,Historias!$B$6:$B$190,$G31,Historias!$A$6:$A$190,E$147)&gt;0,1,0),"")</f>
        <v>0</v>
      </c>
      <c r="F164" s="155">
        <f>IF($G31 &lt;&gt; "", IF(SUMIFS(Historias!$H$6:$H$190,Historias!$B$6:$B$190,$G31,Historias!$A$6:$A$190,F$147)&gt;0,1,0),"")</f>
        <v>1</v>
      </c>
      <c r="G164" s="155">
        <f>IF($G31 &lt;&gt; "", IF(SUMIFS(Historias!$H$6:$H$190,Historias!$B$6:$B$190,$G31,Historias!$A$6:$A$190,G$147)&gt;0,1,0),"")</f>
        <v>0</v>
      </c>
      <c r="H164" s="15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</row>
    <row r="165">
      <c r="A165" s="72"/>
      <c r="B165" s="156" t="str">
        <f t="shared" si="318"/>
        <v>Intento de mejora goAvoid</v>
      </c>
      <c r="C165" s="155">
        <f>IF($G32 &lt;&gt; "", IF(SUMIFS(Historias!$H$6:$H$190,Historias!$B$6:$B$190,$G32,Historias!$A$6:$A$190,C$147)&gt;0,1,0),"")</f>
        <v>0</v>
      </c>
      <c r="D165" s="155">
        <f>IF($G32 &lt;&gt; "", IF(SUMIFS(Historias!$H$6:$H$190,Historias!$B$6:$B$190,$G32,Historias!$A$6:$A$190,D$147)&gt;0,1,0),"")</f>
        <v>1</v>
      </c>
      <c r="E165" s="155">
        <f>IF($G32 &lt;&gt; "", IF(SUMIFS(Historias!$H$6:$H$190,Historias!$B$6:$B$190,$G32,Historias!$A$6:$A$190,E$147)&gt;0,1,0),"")</f>
        <v>1</v>
      </c>
      <c r="F165" s="155">
        <f>IF($G32 &lt;&gt; "", IF(SUMIFS(Historias!$H$6:$H$190,Historias!$B$6:$B$190,$G32,Historias!$A$6:$A$190,F$147)&gt;0,1,0),"")</f>
        <v>1</v>
      </c>
      <c r="G165" s="155">
        <f>IF($G32 &lt;&gt; "", IF(SUMIFS(Historias!$H$6:$H$190,Historias!$B$6:$B$190,$G32,Historias!$A$6:$A$190,G$147)&gt;0,1,0),"")</f>
        <v>0</v>
      </c>
      <c r="H165" s="15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</row>
    <row r="166">
      <c r="A166" s="72"/>
      <c r="B166" s="156" t="str">
        <f t="shared" si="318"/>
        <v/>
      </c>
      <c r="C166" s="155" t="str">
        <f>IF($G33 &lt;&gt; "", IF(SUMIFS(Historias!$H$6:$H$190,Historias!$B$6:$B$190,$G33,Historias!$A$6:$A$190,C$147)&gt;0,1,0),"")</f>
        <v/>
      </c>
      <c r="D166" s="155" t="str">
        <f>IF($G33 &lt;&gt; "", IF(SUMIFS(Historias!$H$6:$H$190,Historias!$B$6:$B$190,$G33,Historias!$A$6:$A$190,D$147)&gt;0,1,0),"")</f>
        <v/>
      </c>
      <c r="E166" s="155" t="str">
        <f>IF($G33 &lt;&gt; "", IF(SUMIFS(Historias!$H$6:$H$190,Historias!$B$6:$B$190,$G33,Historias!$A$6:$A$190,E$147)&gt;0,1,0),"")</f>
        <v/>
      </c>
      <c r="F166" s="155" t="str">
        <f>IF($G33 &lt;&gt; "", IF(SUMIFS(Historias!$H$6:$H$190,Historias!$B$6:$B$190,$G33,Historias!$A$6:$A$190,F$147)&gt;0,1,0),"")</f>
        <v/>
      </c>
      <c r="G166" s="155" t="str">
        <f>IF($G33 &lt;&gt; "", IF(SUMIFS(Historias!$H$6:$H$190,Historias!$B$6:$B$190,$G33,Historias!$A$6:$A$190,G$147)&gt;0,1,0),"")</f>
        <v/>
      </c>
      <c r="H166" s="15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</row>
    <row r="167">
      <c r="A167" s="72"/>
      <c r="B167" s="156" t="str">
        <f t="shared" si="318"/>
        <v/>
      </c>
      <c r="C167" s="155" t="str">
        <f>IF($G34 &lt;&gt; "", IF(SUMIFS(Historias!$H$6:$H$190,Historias!$B$6:$B$190,$G34,Historias!$A$6:$A$190,C$147)&gt;0,1,0),"")</f>
        <v/>
      </c>
      <c r="D167" s="155" t="str">
        <f>IF($G34 &lt;&gt; "", IF(SUMIFS(Historias!$H$6:$H$190,Historias!$B$6:$B$190,$G34,Historias!$A$6:$A$190,D$147)&gt;0,1,0),"")</f>
        <v/>
      </c>
      <c r="E167" s="155" t="str">
        <f>IF($G34 &lt;&gt; "", IF(SUMIFS(Historias!$H$6:$H$190,Historias!$B$6:$B$190,$G34,Historias!$A$6:$A$190,E$147)&gt;0,1,0),"")</f>
        <v/>
      </c>
      <c r="F167" s="155" t="str">
        <f>IF($G34 &lt;&gt; "", IF(SUMIFS(Historias!$H$6:$H$190,Historias!$B$6:$B$190,$G34,Historias!$A$6:$A$190,F$147)&gt;0,1,0),"")</f>
        <v/>
      </c>
      <c r="G167" s="155" t="str">
        <f>IF($G34 &lt;&gt; "", IF(SUMIFS(Historias!$H$6:$H$190,Historias!$B$6:$B$190,$G34,Historias!$A$6:$A$190,G$147)&gt;0,1,0),"")</f>
        <v/>
      </c>
      <c r="H167" s="15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</row>
    <row r="168">
      <c r="A168" s="72"/>
      <c r="B168" s="156" t="str">
        <f t="shared" si="318"/>
        <v/>
      </c>
      <c r="C168" s="155" t="str">
        <f>IF($G35 &lt;&gt; "", IF(SUMIFS(Historias!$H$6:$H$190,Historias!$B$6:$B$190,$G35,Historias!$A$6:$A$190,C$147)&gt;0,1,0),"")</f>
        <v/>
      </c>
      <c r="D168" s="155" t="str">
        <f>IF($G35 &lt;&gt; "", IF(SUMIFS(Historias!$H$6:$H$190,Historias!$B$6:$B$190,$G35,Historias!$A$6:$A$190,D$147)&gt;0,1,0),"")</f>
        <v/>
      </c>
      <c r="E168" s="155" t="str">
        <f>IF($G35 &lt;&gt; "", IF(SUMIFS(Historias!$H$6:$H$190,Historias!$B$6:$B$190,$G35,Historias!$A$6:$A$190,E$147)&gt;0,1,0),"")</f>
        <v/>
      </c>
      <c r="F168" s="155" t="str">
        <f>IF($G35 &lt;&gt; "", IF(SUMIFS(Historias!$H$6:$H$190,Historias!$B$6:$B$190,$G35,Historias!$A$6:$A$190,F$147)&gt;0,1,0),"")</f>
        <v/>
      </c>
      <c r="G168" s="155" t="str">
        <f>IF($G35 &lt;&gt; "", IF(SUMIFS(Historias!$H$6:$H$190,Historias!$B$6:$B$190,$G35,Historias!$A$6:$A$190,G$147)&gt;0,1,0),"")</f>
        <v/>
      </c>
      <c r="H168" s="15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</row>
    <row r="169">
      <c r="A169" s="72"/>
      <c r="B169" s="156" t="str">
        <f t="shared" si="318"/>
        <v/>
      </c>
      <c r="C169" s="155" t="str">
        <f>IF($G36 &lt;&gt; "", IF(SUMIFS(Historias!$H$6:$H$190,Historias!$B$6:$B$190,$G36,Historias!$A$6:$A$190,C$147)&gt;0,1,0),"")</f>
        <v/>
      </c>
      <c r="D169" s="155" t="str">
        <f>IF($G36 &lt;&gt; "", IF(SUMIFS(Historias!$H$6:$H$190,Historias!$B$6:$B$190,$G36,Historias!$A$6:$A$190,D$147)&gt;0,1,0),"")</f>
        <v/>
      </c>
      <c r="E169" s="155" t="str">
        <f>IF($G36 &lt;&gt; "", IF(SUMIFS(Historias!$H$6:$H$190,Historias!$B$6:$B$190,$G36,Historias!$A$6:$A$190,E$147)&gt;0,1,0),"")</f>
        <v/>
      </c>
      <c r="F169" s="155" t="str">
        <f>IF($G36 &lt;&gt; "", IF(SUMIFS(Historias!$H$6:$H$190,Historias!$B$6:$B$190,$G36,Historias!$A$6:$A$190,F$147)&gt;0,1,0),"")</f>
        <v/>
      </c>
      <c r="G169" s="155" t="str">
        <f>IF($G36 &lt;&gt; "", IF(SUMIFS(Historias!$H$6:$H$190,Historias!$B$6:$B$190,$G36,Historias!$A$6:$A$190,G$147)&gt;0,1,0),"")</f>
        <v/>
      </c>
      <c r="H169" s="15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</row>
    <row r="170">
      <c r="A170" s="72"/>
      <c r="B170" s="156" t="str">
        <f t="shared" si="318"/>
        <v/>
      </c>
      <c r="C170" s="155" t="str">
        <f>IF($G37 &lt;&gt; "", IF(SUMIFS(Historias!$H$6:$H$190,Historias!$B$6:$B$190,$G37,Historias!$A$6:$A$190,C$147)&gt;0,1,0),"")</f>
        <v/>
      </c>
      <c r="D170" s="155" t="str">
        <f>IF($G37 &lt;&gt; "", IF(SUMIFS(Historias!$H$6:$H$190,Historias!$B$6:$B$190,$G37,Historias!$A$6:$A$190,D$147)&gt;0,1,0),"")</f>
        <v/>
      </c>
      <c r="E170" s="155" t="str">
        <f>IF($G37 &lt;&gt; "", IF(SUMIFS(Historias!$H$6:$H$190,Historias!$B$6:$B$190,$G37,Historias!$A$6:$A$190,E$147)&gt;0,1,0),"")</f>
        <v/>
      </c>
      <c r="F170" s="155" t="str">
        <f>IF($G37 &lt;&gt; "", IF(SUMIFS(Historias!$H$6:$H$190,Historias!$B$6:$B$190,$G37,Historias!$A$6:$A$190,F$147)&gt;0,1,0),"")</f>
        <v/>
      </c>
      <c r="G170" s="155" t="str">
        <f>IF($G37 &lt;&gt; "", IF(SUMIFS(Historias!$H$6:$H$190,Historias!$B$6:$B$190,$G37,Historias!$A$6:$A$190,G$147)&gt;0,1,0),"")</f>
        <v/>
      </c>
      <c r="H170" s="15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</row>
    <row r="171">
      <c r="A171" s="72"/>
      <c r="B171" s="156" t="str">
        <f t="shared" si="318"/>
        <v/>
      </c>
      <c r="C171" s="155" t="str">
        <f>IF($G38 &lt;&gt; "", IF(SUMIFS(Historias!$H$6:$H$190,Historias!$B$6:$B$190,$G38,Historias!$A$6:$A$190,C$147)&gt;0,1,0),"")</f>
        <v/>
      </c>
      <c r="D171" s="155" t="str">
        <f>IF($G38 &lt;&gt; "", IF(SUMIFS(Historias!$H$6:$H$190,Historias!$B$6:$B$190,$G38,Historias!$A$6:$A$190,D$147)&gt;0,1,0),"")</f>
        <v/>
      </c>
      <c r="E171" s="155" t="str">
        <f>IF($G38 &lt;&gt; "", IF(SUMIFS(Historias!$H$6:$H$190,Historias!$B$6:$B$190,$G38,Historias!$A$6:$A$190,E$147)&gt;0,1,0),"")</f>
        <v/>
      </c>
      <c r="F171" s="155" t="str">
        <f>IF($G38 &lt;&gt; "", IF(SUMIFS(Historias!$H$6:$H$190,Historias!$B$6:$B$190,$G38,Historias!$A$6:$A$190,F$147)&gt;0,1,0),"")</f>
        <v/>
      </c>
      <c r="G171" s="155" t="str">
        <f>IF($G38 &lt;&gt; "", IF(SUMIFS(Historias!$H$6:$H$190,Historias!$B$6:$B$190,$G38,Historias!$A$6:$A$190,G$147)&gt;0,1,0),"")</f>
        <v/>
      </c>
      <c r="H171" s="15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</row>
    <row r="172">
      <c r="A172" s="72"/>
      <c r="B172" s="156" t="str">
        <f t="shared" si="318"/>
        <v/>
      </c>
      <c r="C172" s="155" t="str">
        <f>IF($G39 &lt;&gt; "", IF(SUMIFS(Historias!$H$6:$H$190,Historias!$B$6:$B$190,$G39,Historias!$A$6:$A$190,C$147)&gt;0,1,0),"")</f>
        <v/>
      </c>
      <c r="D172" s="155" t="str">
        <f>IF($G39 &lt;&gt; "", IF(SUMIFS(Historias!$H$6:$H$190,Historias!$B$6:$B$190,$G39,Historias!$A$6:$A$190,D$147)&gt;0,1,0),"")</f>
        <v/>
      </c>
      <c r="E172" s="155" t="str">
        <f>IF($G39 &lt;&gt; "", IF(SUMIFS(Historias!$H$6:$H$190,Historias!$B$6:$B$190,$G39,Historias!$A$6:$A$190,E$147)&gt;0,1,0),"")</f>
        <v/>
      </c>
      <c r="F172" s="155" t="str">
        <f>IF($G39 &lt;&gt; "", IF(SUMIFS(Historias!$H$6:$H$190,Historias!$B$6:$B$190,$G39,Historias!$A$6:$A$190,F$147)&gt;0,1,0),"")</f>
        <v/>
      </c>
      <c r="G172" s="155" t="str">
        <f>IF($G39 &lt;&gt; "", IF(SUMIFS(Historias!$H$6:$H$190,Historias!$B$6:$B$190,$G39,Historias!$A$6:$A$190,G$147)&gt;0,1,0),"")</f>
        <v/>
      </c>
      <c r="H172" s="15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</row>
    <row r="173">
      <c r="A173" s="72"/>
      <c r="B173" s="156" t="str">
        <f t="shared" si="318"/>
        <v/>
      </c>
      <c r="C173" s="155" t="str">
        <f>IF($G40 &lt;&gt; "", IF(SUMIFS(Historias!$H$6:$H$190,Historias!$B$6:$B$190,$G40,Historias!$A$6:$A$190,C$147)&gt;0,1,0),"")</f>
        <v/>
      </c>
      <c r="D173" s="155" t="str">
        <f>IF($G40 &lt;&gt; "", IF(SUMIFS(Historias!$H$6:$H$190,Historias!$B$6:$B$190,$G40,Historias!$A$6:$A$190,D$147)&gt;0,1,0),"")</f>
        <v/>
      </c>
      <c r="E173" s="155" t="str">
        <f>IF($G40 &lt;&gt; "", IF(SUMIFS(Historias!$H$6:$H$190,Historias!$B$6:$B$190,$G40,Historias!$A$6:$A$190,E$147)&gt;0,1,0),"")</f>
        <v/>
      </c>
      <c r="F173" s="155" t="str">
        <f>IF($G40 &lt;&gt; "", IF(SUMIFS(Historias!$H$6:$H$190,Historias!$B$6:$B$190,$G40,Historias!$A$6:$A$190,F$147)&gt;0,1,0),"")</f>
        <v/>
      </c>
      <c r="G173" s="155" t="str">
        <f>IF($G40 &lt;&gt; "", IF(SUMIFS(Historias!$H$6:$H$190,Historias!$B$6:$B$190,$G40,Historias!$A$6:$A$190,G$147)&gt;0,1,0),"")</f>
        <v/>
      </c>
      <c r="H173" s="15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</row>
    <row r="174">
      <c r="A174" s="72"/>
      <c r="B174" s="156" t="str">
        <f t="shared" si="318"/>
        <v/>
      </c>
      <c r="C174" s="155" t="str">
        <f>IF($G41 &lt;&gt; "", IF(SUMIFS(Historias!$H$6:$H$190,Historias!$B$6:$B$190,$G41,Historias!$A$6:$A$190,C$147)&gt;0,1,0),"")</f>
        <v/>
      </c>
      <c r="D174" s="155" t="str">
        <f>IF($G41 &lt;&gt; "", IF(SUMIFS(Historias!$H$6:$H$190,Historias!$B$6:$B$190,$G41,Historias!$A$6:$A$190,D$147)&gt;0,1,0),"")</f>
        <v/>
      </c>
      <c r="E174" s="155" t="str">
        <f>IF($G41 &lt;&gt; "", IF(SUMIFS(Historias!$H$6:$H$190,Historias!$B$6:$B$190,$G41,Historias!$A$6:$A$190,E$147)&gt;0,1,0),"")</f>
        <v/>
      </c>
      <c r="F174" s="155" t="str">
        <f>IF($G41 &lt;&gt; "", IF(SUMIFS(Historias!$H$6:$H$190,Historias!$B$6:$B$190,$G41,Historias!$A$6:$A$190,F$147)&gt;0,1,0),"")</f>
        <v/>
      </c>
      <c r="G174" s="155" t="str">
        <f>IF($G41 &lt;&gt; "", IF(SUMIFS(Historias!$H$6:$H$190,Historias!$B$6:$B$190,$G41,Historias!$A$6:$A$190,G$147)&gt;0,1,0),"")</f>
        <v/>
      </c>
      <c r="H174" s="15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</row>
    <row r="175">
      <c r="A175" s="72"/>
      <c r="B175" s="156" t="str">
        <f t="shared" si="318"/>
        <v/>
      </c>
      <c r="C175" s="155" t="str">
        <f>IF($G42 &lt;&gt; "", IF(SUMIFS(Historias!$H$6:$H$190,Historias!$B$6:$B$190,$G42,Historias!$A$6:$A$190,C$147)&gt;0,1,0),"")</f>
        <v/>
      </c>
      <c r="D175" s="155" t="str">
        <f>IF($G42 &lt;&gt; "", IF(SUMIFS(Historias!$H$6:$H$190,Historias!$B$6:$B$190,$G42,Historias!$A$6:$A$190,D$147)&gt;0,1,0),"")</f>
        <v/>
      </c>
      <c r="E175" s="155" t="str">
        <f>IF($G42 &lt;&gt; "", IF(SUMIFS(Historias!$H$6:$H$190,Historias!$B$6:$B$190,$G42,Historias!$A$6:$A$190,E$147)&gt;0,1,0),"")</f>
        <v/>
      </c>
      <c r="F175" s="155" t="str">
        <f>IF($G42 &lt;&gt; "", IF(SUMIFS(Historias!$H$6:$H$190,Historias!$B$6:$B$190,$G42,Historias!$A$6:$A$190,F$147)&gt;0,1,0),"")</f>
        <v/>
      </c>
      <c r="G175" s="155" t="str">
        <f>IF($G42 &lt;&gt; "", IF(SUMIFS(Historias!$H$6:$H$190,Historias!$B$6:$B$190,$G42,Historias!$A$6:$A$190,G$147)&gt;0,1,0),"")</f>
        <v/>
      </c>
      <c r="H175" s="15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</row>
    <row r="176">
      <c r="A176" s="72"/>
      <c r="B176" s="156" t="str">
        <f t="shared" si="318"/>
        <v/>
      </c>
      <c r="C176" s="155" t="str">
        <f>IF($G43 &lt;&gt; "", IF(SUMIFS(Historias!$H$6:$H$190,Historias!$B$6:$B$190,$G43,Historias!$A$6:$A$190,C$147)&gt;0,1,0),"")</f>
        <v/>
      </c>
      <c r="D176" s="155" t="str">
        <f>IF($G43 &lt;&gt; "", IF(SUMIFS(Historias!$H$6:$H$190,Historias!$B$6:$B$190,$G43,Historias!$A$6:$A$190,D$147)&gt;0,1,0),"")</f>
        <v/>
      </c>
      <c r="E176" s="155" t="str">
        <f>IF($G43 &lt;&gt; "", IF(SUMIFS(Historias!$H$6:$H$190,Historias!$B$6:$B$190,$G43,Historias!$A$6:$A$190,E$147)&gt;0,1,0),"")</f>
        <v/>
      </c>
      <c r="F176" s="155" t="str">
        <f>IF($G43 &lt;&gt; "", IF(SUMIFS(Historias!$H$6:$H$190,Historias!$B$6:$B$190,$G43,Historias!$A$6:$A$190,F$147)&gt;0,1,0),"")</f>
        <v/>
      </c>
      <c r="G176" s="155" t="str">
        <f>IF($G43 &lt;&gt; "", IF(SUMIFS(Historias!$H$6:$H$190,Historias!$B$6:$B$190,$G43,Historias!$A$6:$A$190,G$147)&gt;0,1,0),"")</f>
        <v/>
      </c>
      <c r="H176" s="15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</row>
    <row r="177">
      <c r="A177" s="72"/>
      <c r="B177" s="156" t="str">
        <f t="shared" si="318"/>
        <v/>
      </c>
      <c r="C177" s="155" t="str">
        <f>IF($G44 &lt;&gt; "", IF(SUMIFS(Historias!$H$6:$H$190,Historias!$B$6:$B$190,$G44,Historias!$A$6:$A$190,C$147)&gt;0,1,0),"")</f>
        <v/>
      </c>
      <c r="D177" s="155" t="str">
        <f>IF($G44 &lt;&gt; "", IF(SUMIFS(Historias!$H$6:$H$190,Historias!$B$6:$B$190,$G44,Historias!$A$6:$A$190,D$147)&gt;0,1,0),"")</f>
        <v/>
      </c>
      <c r="E177" s="155" t="str">
        <f>IF($G44 &lt;&gt; "", IF(SUMIFS(Historias!$H$6:$H$190,Historias!$B$6:$B$190,$G44,Historias!$A$6:$A$190,E$147)&gt;0,1,0),"")</f>
        <v/>
      </c>
      <c r="F177" s="155" t="str">
        <f>IF($G44 &lt;&gt; "", IF(SUMIFS(Historias!$H$6:$H$190,Historias!$B$6:$B$190,$G44,Historias!$A$6:$A$190,F$147)&gt;0,1,0),"")</f>
        <v/>
      </c>
      <c r="G177" s="155" t="str">
        <f>IF($G44 &lt;&gt; "", IF(SUMIFS(Historias!$H$6:$H$190,Historias!$B$6:$B$190,$G44,Historias!$A$6:$A$190,G$147)&gt;0,1,0),"")</f>
        <v/>
      </c>
      <c r="H177" s="15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</row>
    <row r="178">
      <c r="A178" s="72"/>
      <c r="B178" s="156" t="str">
        <f t="shared" si="318"/>
        <v/>
      </c>
      <c r="C178" s="155" t="str">
        <f>IF($G45 &lt;&gt; "", IF(SUMIFS(Historias!$H$6:$H$190,Historias!$B$6:$B$190,$G45,Historias!$A$6:$A$190,C$147)&gt;0,1,0),"")</f>
        <v/>
      </c>
      <c r="D178" s="155" t="str">
        <f>IF($G45 &lt;&gt; "", IF(SUMIFS(Historias!$H$6:$H$190,Historias!$B$6:$B$190,$G45,Historias!$A$6:$A$190,D$147)&gt;0,1,0),"")</f>
        <v/>
      </c>
      <c r="E178" s="155" t="str">
        <f>IF($G45 &lt;&gt; "", IF(SUMIFS(Historias!$H$6:$H$190,Historias!$B$6:$B$190,$G45,Historias!$A$6:$A$190,E$147)&gt;0,1,0),"")</f>
        <v/>
      </c>
      <c r="F178" s="155" t="str">
        <f>IF($G45 &lt;&gt; "", IF(SUMIFS(Historias!$H$6:$H$190,Historias!$B$6:$B$190,$G45,Historias!$A$6:$A$190,F$147)&gt;0,1,0),"")</f>
        <v/>
      </c>
      <c r="G178" s="155" t="str">
        <f>IF($G45 &lt;&gt; "", IF(SUMIFS(Historias!$H$6:$H$190,Historias!$B$6:$B$190,$G45,Historias!$A$6:$A$190,G$147)&gt;0,1,0),"")</f>
        <v/>
      </c>
      <c r="H178" s="15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</row>
    <row r="179">
      <c r="A179" s="72"/>
      <c r="B179" s="156" t="str">
        <f t="shared" si="318"/>
        <v/>
      </c>
      <c r="C179" s="155" t="str">
        <f>IF($G46 &lt;&gt; "", IF(SUMIFS(Historias!$H$6:$H$190,Historias!$B$6:$B$190,$G46,Historias!$A$6:$A$190,C$147)&gt;0,1,0),"")</f>
        <v/>
      </c>
      <c r="D179" s="155" t="str">
        <f>IF($G46 &lt;&gt; "", IF(SUMIFS(Historias!$H$6:$H$190,Historias!$B$6:$B$190,$G46,Historias!$A$6:$A$190,D$147)&gt;0,1,0),"")</f>
        <v/>
      </c>
      <c r="E179" s="155" t="str">
        <f>IF($G46 &lt;&gt; "", IF(SUMIFS(Historias!$H$6:$H$190,Historias!$B$6:$B$190,$G46,Historias!$A$6:$A$190,E$147)&gt;0,1,0),"")</f>
        <v/>
      </c>
      <c r="F179" s="155" t="str">
        <f>IF($G46 &lt;&gt; "", IF(SUMIFS(Historias!$H$6:$H$190,Historias!$B$6:$B$190,$G46,Historias!$A$6:$A$190,F$147)&gt;0,1,0),"")</f>
        <v/>
      </c>
      <c r="G179" s="155" t="str">
        <f>IF($G46 &lt;&gt; "", IF(SUMIFS(Historias!$H$6:$H$190,Historias!$B$6:$B$190,$G46,Historias!$A$6:$A$190,G$147)&gt;0,1,0),"")</f>
        <v/>
      </c>
      <c r="H179" s="15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</row>
    <row r="180">
      <c r="A180" s="72"/>
      <c r="B180" s="156" t="str">
        <f t="shared" si="318"/>
        <v/>
      </c>
      <c r="C180" s="155" t="str">
        <f>IF($G47 &lt;&gt; "", IF(SUMIFS(Historias!$H$6:$H$190,Historias!$B$6:$B$190,$G47,Historias!$A$6:$A$190,C$147)&gt;0,1,0),"")</f>
        <v/>
      </c>
      <c r="D180" s="155" t="str">
        <f>IF($G47 &lt;&gt; "", IF(SUMIFS(Historias!$H$6:$H$190,Historias!$B$6:$B$190,$G47,Historias!$A$6:$A$190,D$147)&gt;0,1,0),"")</f>
        <v/>
      </c>
      <c r="E180" s="155" t="str">
        <f>IF($G47 &lt;&gt; "", IF(SUMIFS(Historias!$H$6:$H$190,Historias!$B$6:$B$190,$G47,Historias!$A$6:$A$190,E$147)&gt;0,1,0),"")</f>
        <v/>
      </c>
      <c r="F180" s="155" t="str">
        <f>IF($G47 &lt;&gt; "", IF(SUMIFS(Historias!$H$6:$H$190,Historias!$B$6:$B$190,$G47,Historias!$A$6:$A$190,F$147)&gt;0,1,0),"")</f>
        <v/>
      </c>
      <c r="G180" s="155" t="str">
        <f>IF($G47 &lt;&gt; "", IF(SUMIFS(Historias!$H$6:$H$190,Historias!$B$6:$B$190,$G47,Historias!$A$6:$A$190,G$147)&gt;0,1,0),"")</f>
        <v/>
      </c>
      <c r="H180" s="15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</row>
    <row r="181">
      <c r="A181" s="72"/>
      <c r="B181" s="156" t="str">
        <f t="shared" si="318"/>
        <v/>
      </c>
      <c r="C181" s="155" t="str">
        <f>IF($G48 &lt;&gt; "", IF(SUMIFS(Historias!$H$6:$H$190,Historias!$B$6:$B$190,$G48,Historias!$A$6:$A$190,C$147)&gt;0,1,0),"")</f>
        <v/>
      </c>
      <c r="D181" s="155" t="str">
        <f>IF($G48 &lt;&gt; "", IF(SUMIFS(Historias!$H$6:$H$190,Historias!$B$6:$B$190,$G48,Historias!$A$6:$A$190,D$147)&gt;0,1,0),"")</f>
        <v/>
      </c>
      <c r="E181" s="155" t="str">
        <f>IF($G48 &lt;&gt; "", IF(SUMIFS(Historias!$H$6:$H$190,Historias!$B$6:$B$190,$G48,Historias!$A$6:$A$190,E$147)&gt;0,1,0),"")</f>
        <v/>
      </c>
      <c r="F181" s="155" t="str">
        <f>IF($G48 &lt;&gt; "", IF(SUMIFS(Historias!$H$6:$H$190,Historias!$B$6:$B$190,$G48,Historias!$A$6:$A$190,F$147)&gt;0,1,0),"")</f>
        <v/>
      </c>
      <c r="G181" s="155" t="str">
        <f>IF($G48 &lt;&gt; "", IF(SUMIFS(Historias!$H$6:$H$190,Historias!$B$6:$B$190,$G48,Historias!$A$6:$A$190,G$147)&gt;0,1,0),"")</f>
        <v/>
      </c>
      <c r="H181" s="15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</row>
    <row r="182">
      <c r="A182" s="72"/>
      <c r="B182" s="156" t="str">
        <f t="shared" si="318"/>
        <v/>
      </c>
      <c r="C182" s="155" t="str">
        <f>IF($G49 &lt;&gt; "", IF(SUMIFS(Historias!$H$6:$H$190,Historias!$B$6:$B$190,$G49,Historias!$A$6:$A$190,C$147)&gt;0,1,0),"")</f>
        <v/>
      </c>
      <c r="D182" s="155" t="str">
        <f>IF($G49 &lt;&gt; "", IF(SUMIFS(Historias!$H$6:$H$190,Historias!$B$6:$B$190,$G49,Historias!$A$6:$A$190,D$147)&gt;0,1,0),"")</f>
        <v/>
      </c>
      <c r="E182" s="155" t="str">
        <f>IF($G49 &lt;&gt; "", IF(SUMIFS(Historias!$H$6:$H$190,Historias!$B$6:$B$190,$G49,Historias!$A$6:$A$190,E$147)&gt;0,1,0),"")</f>
        <v/>
      </c>
      <c r="F182" s="155" t="str">
        <f>IF($G49 &lt;&gt; "", IF(SUMIFS(Historias!$H$6:$H$190,Historias!$B$6:$B$190,$G49,Historias!$A$6:$A$190,F$147)&gt;0,1,0),"")</f>
        <v/>
      </c>
      <c r="G182" s="155" t="str">
        <f>IF($G49 &lt;&gt; "", IF(SUMIFS(Historias!$H$6:$H$190,Historias!$B$6:$B$190,$G49,Historias!$A$6:$A$190,G$147)&gt;0,1,0),"")</f>
        <v/>
      </c>
      <c r="H182" s="15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</row>
    <row r="183">
      <c r="A183" s="72"/>
      <c r="B183" s="156" t="str">
        <f t="shared" si="318"/>
        <v/>
      </c>
      <c r="C183" s="155" t="str">
        <f>IF($G50 &lt;&gt; "", IF(SUMIFS(Historias!$H$6:$H$190,Historias!$B$6:$B$190,$G50,Historias!$A$6:$A$190,C$147)&gt;0,1,0),"")</f>
        <v/>
      </c>
      <c r="D183" s="155" t="str">
        <f>IF($G50 &lt;&gt; "", IF(SUMIFS(Historias!$H$6:$H$190,Historias!$B$6:$B$190,$G50,Historias!$A$6:$A$190,D$147)&gt;0,1,0),"")</f>
        <v/>
      </c>
      <c r="E183" s="155" t="str">
        <f>IF($G50 &lt;&gt; "", IF(SUMIFS(Historias!$H$6:$H$190,Historias!$B$6:$B$190,$G50,Historias!$A$6:$A$190,E$147)&gt;0,1,0),"")</f>
        <v/>
      </c>
      <c r="F183" s="155" t="str">
        <f>IF($G50 &lt;&gt; "", IF(SUMIFS(Historias!$H$6:$H$190,Historias!$B$6:$B$190,$G50,Historias!$A$6:$A$190,F$147)&gt;0,1,0),"")</f>
        <v/>
      </c>
      <c r="G183" s="155" t="str">
        <f>IF($G50 &lt;&gt; "", IF(SUMIFS(Historias!$H$6:$H$190,Historias!$B$6:$B$190,$G50,Historias!$A$6:$A$190,G$147)&gt;0,1,0),"")</f>
        <v/>
      </c>
      <c r="H183" s="15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</row>
    <row r="184">
      <c r="A184" s="72"/>
      <c r="B184" s="156" t="str">
        <f t="shared" si="318"/>
        <v/>
      </c>
      <c r="C184" s="155" t="str">
        <f>IF($G51 &lt;&gt; "", IF(SUMIFS(Historias!$H$6:$H$190,Historias!$B$6:$B$190,$G51,Historias!$A$6:$A$190,C$147)&gt;0,1,0),"")</f>
        <v/>
      </c>
      <c r="D184" s="155" t="str">
        <f>IF($G51 &lt;&gt; "", IF(SUMIFS(Historias!$H$6:$H$190,Historias!$B$6:$B$190,$G51,Historias!$A$6:$A$190,D$147)&gt;0,1,0),"")</f>
        <v/>
      </c>
      <c r="E184" s="155" t="str">
        <f>IF($G51 &lt;&gt; "", IF(SUMIFS(Historias!$H$6:$H$190,Historias!$B$6:$B$190,$G51,Historias!$A$6:$A$190,E$147)&gt;0,1,0),"")</f>
        <v/>
      </c>
      <c r="F184" s="155" t="str">
        <f>IF($G51 &lt;&gt; "", IF(SUMIFS(Historias!$H$6:$H$190,Historias!$B$6:$B$190,$G51,Historias!$A$6:$A$190,F$147)&gt;0,1,0),"")</f>
        <v/>
      </c>
      <c r="G184" s="155" t="str">
        <f>IF($G51 &lt;&gt; "", IF(SUMIFS(Historias!$H$6:$H$190,Historias!$B$6:$B$190,$G51,Historias!$A$6:$A$190,G$147)&gt;0,1,0),"")</f>
        <v/>
      </c>
      <c r="H184" s="15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</row>
    <row r="185">
      <c r="A185" s="72"/>
      <c r="B185" s="156" t="str">
        <f t="shared" si="318"/>
        <v/>
      </c>
      <c r="C185" s="155" t="str">
        <f>IF($G52 &lt;&gt; "", IF(SUMIFS(Historias!$H$6:$H$190,Historias!$B$6:$B$190,$G52,Historias!$A$6:$A$190,C$147)&gt;0,1,0),"")</f>
        <v/>
      </c>
      <c r="D185" s="155" t="str">
        <f>IF($G52 &lt;&gt; "", IF(SUMIFS(Historias!$H$6:$H$190,Historias!$B$6:$B$190,$G52,Historias!$A$6:$A$190,D$147)&gt;0,1,0),"")</f>
        <v/>
      </c>
      <c r="E185" s="155" t="str">
        <f>IF($G52 &lt;&gt; "", IF(SUMIFS(Historias!$H$6:$H$190,Historias!$B$6:$B$190,$G52,Historias!$A$6:$A$190,E$147)&gt;0,1,0),"")</f>
        <v/>
      </c>
      <c r="F185" s="155" t="str">
        <f>IF($G52 &lt;&gt; "", IF(SUMIFS(Historias!$H$6:$H$190,Historias!$B$6:$B$190,$G52,Historias!$A$6:$A$190,F$147)&gt;0,1,0),"")</f>
        <v/>
      </c>
      <c r="G185" s="155" t="str">
        <f>IF($G52 &lt;&gt; "", IF(SUMIFS(Historias!$H$6:$H$190,Historias!$B$6:$B$190,$G52,Historias!$A$6:$A$190,G$147)&gt;0,1,0),"")</f>
        <v/>
      </c>
      <c r="H185" s="15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</row>
    <row r="186">
      <c r="A186" s="72"/>
      <c r="B186" s="156" t="str">
        <f t="shared" si="318"/>
        <v/>
      </c>
      <c r="C186" s="155" t="str">
        <f>IF($G53 &lt;&gt; "", IF(SUMIFS(Historias!$H$6:$H$190,Historias!$B$6:$B$190,$G53,Historias!$A$6:$A$190,C$147)&gt;0,1,0),"")</f>
        <v/>
      </c>
      <c r="D186" s="155" t="str">
        <f>IF($G53 &lt;&gt; "", IF(SUMIFS(Historias!$H$6:$H$190,Historias!$B$6:$B$190,$G53,Historias!$A$6:$A$190,D$147)&gt;0,1,0),"")</f>
        <v/>
      </c>
      <c r="E186" s="155" t="str">
        <f>IF($G53 &lt;&gt; "", IF(SUMIFS(Historias!$H$6:$H$190,Historias!$B$6:$B$190,$G53,Historias!$A$6:$A$190,E$147)&gt;0,1,0),"")</f>
        <v/>
      </c>
      <c r="F186" s="155" t="str">
        <f>IF($G53 &lt;&gt; "", IF(SUMIFS(Historias!$H$6:$H$190,Historias!$B$6:$B$190,$G53,Historias!$A$6:$A$190,F$147)&gt;0,1,0),"")</f>
        <v/>
      </c>
      <c r="G186" s="155" t="str">
        <f>IF($G53 &lt;&gt; "", IF(SUMIFS(Historias!$H$6:$H$190,Historias!$B$6:$B$190,$G53,Historias!$A$6:$A$190,G$147)&gt;0,1,0),"")</f>
        <v/>
      </c>
      <c r="H186" s="15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</row>
    <row r="187">
      <c r="A187" s="65"/>
      <c r="B187" s="158"/>
      <c r="C187" s="159">
        <f t="shared" ref="C187:G187" si="319">SUM(C148:C186)</f>
        <v>6</v>
      </c>
      <c r="D187" s="159">
        <f t="shared" si="319"/>
        <v>8</v>
      </c>
      <c r="E187" s="159">
        <f t="shared" si="319"/>
        <v>10</v>
      </c>
      <c r="F187" s="159">
        <f t="shared" si="319"/>
        <v>7</v>
      </c>
      <c r="G187" s="159">
        <f t="shared" si="319"/>
        <v>0</v>
      </c>
      <c r="H187" s="158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</row>
    <row r="18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</row>
    <row r="189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</row>
    <row r="190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</row>
    <row r="19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</row>
    <row r="19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</row>
    <row r="193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</row>
    <row r="194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</row>
    <row r="19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</row>
    <row r="196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</row>
    <row r="197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</row>
    <row r="19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</row>
    <row r="199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</row>
    <row r="200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</row>
    <row r="20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</row>
    <row r="20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</row>
    <row r="203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</row>
    <row r="204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</row>
    <row r="20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</row>
    <row r="206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</row>
    <row r="207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</row>
    <row r="20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</row>
    <row r="209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</row>
    <row r="210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</row>
    <row r="21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</row>
    <row r="21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</row>
    <row r="213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</row>
    <row r="214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</row>
    <row r="21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</row>
    <row r="216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</row>
    <row r="217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</row>
    <row r="2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</row>
    <row r="219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</row>
    <row r="220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</row>
    <row r="22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</row>
    <row r="22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</row>
    <row r="223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</row>
    <row r="224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</row>
    <row r="22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</row>
    <row r="226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</row>
    <row r="227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</row>
    <row r="22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</row>
    <row r="229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</row>
    <row r="230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</row>
    <row r="23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</row>
    <row r="23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</row>
    <row r="233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</row>
    <row r="234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</row>
    <row r="23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</row>
    <row r="236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</row>
    <row r="237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</row>
    <row r="23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</row>
    <row r="239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</row>
    <row r="240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</row>
    <row r="24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</row>
    <row r="24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</row>
    <row r="243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</row>
    <row r="244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</row>
    <row r="24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</row>
    <row r="246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</row>
    <row r="247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</row>
    <row r="24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</row>
    <row r="249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</row>
    <row r="250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</row>
    <row r="25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</row>
    <row r="25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</row>
    <row r="253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</row>
    <row r="254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</row>
    <row r="25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</row>
    <row r="256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</row>
    <row r="257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</row>
    <row r="25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</row>
    <row r="259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</row>
    <row r="260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</row>
    <row r="26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</row>
    <row r="26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</row>
    <row r="263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</row>
    <row r="264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</row>
    <row r="26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</row>
    <row r="266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</row>
    <row r="267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</row>
    <row r="26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</row>
    <row r="269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</row>
    <row r="270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</row>
    <row r="27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</row>
    <row r="27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</row>
    <row r="273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</row>
    <row r="274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</row>
    <row r="2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</row>
    <row r="276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</row>
    <row r="277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</row>
    <row r="27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</row>
    <row r="279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</row>
    <row r="280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</row>
    <row r="28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</row>
    <row r="28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</row>
    <row r="283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</row>
    <row r="284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</row>
    <row r="28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</row>
    <row r="286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</row>
    <row r="287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</row>
    <row r="28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</row>
    <row r="289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</row>
    <row r="290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</row>
    <row r="29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</row>
    <row r="29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</row>
  </sheetData>
  <mergeCells count="8">
    <mergeCell ref="B1:E1"/>
    <mergeCell ref="L1:O1"/>
    <mergeCell ref="B65:C65"/>
    <mergeCell ref="K65:L65"/>
    <mergeCell ref="B66:C66"/>
    <mergeCell ref="S66:T66"/>
    <mergeCell ref="Z66:AA66"/>
    <mergeCell ref="B146:C146"/>
  </mergeCells>
  <conditionalFormatting sqref="K15:K43">
    <cfRule type="containsText" dxfId="1" priority="1" operator="containsText" text="TO DO">
      <formula>NOT(ISERROR(SEARCH(("TO DO"),(K15))))</formula>
    </cfRule>
  </conditionalFormatting>
  <conditionalFormatting sqref="K15:K43">
    <cfRule type="containsText" dxfId="2" priority="2" operator="containsText" text="PROGRESS">
      <formula>NOT(ISERROR(SEARCH(("PROGRESS"),(K15))))</formula>
    </cfRule>
  </conditionalFormatting>
  <conditionalFormatting sqref="K15:K43">
    <cfRule type="containsText" dxfId="3" priority="3" operator="containsText" text="DONE">
      <formula>NOT(ISERROR(SEARCH(("DONE"),(K15))))</formula>
    </cfRule>
  </conditionalFormatting>
  <drawing r:id="rId1"/>
</worksheet>
</file>