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ón" sheetId="1" r:id="rId4"/>
    <sheet state="visible" name="Plan_Financiero" sheetId="2" r:id="rId5"/>
    <sheet state="visible" name="Indicadores" sheetId="3" r:id="rId6"/>
    <sheet state="visible" name="Situación" sheetId="4" r:id="rId7"/>
    <sheet state="visible" name="Evolución" sheetId="5" r:id="rId8"/>
    <sheet state="visible" name="Cierre" sheetId="6" r:id="rId9"/>
  </sheets>
  <definedNames/>
  <calcPr/>
  <extLst>
    <ext uri="GoogleSheetsCustomDataVersion1">
      <go:sheetsCustomData xmlns:go="http://customooxmlschemas.google.com/" r:id="rId10" roundtripDataSignature="AMtx7mi95ZzFam469ZF3X78ewgmSCvJaNQ=="/>
    </ext>
  </extLst>
</workbook>
</file>

<file path=xl/sharedStrings.xml><?xml version="1.0" encoding="utf-8"?>
<sst xmlns="http://schemas.openxmlformats.org/spreadsheetml/2006/main" count="344" uniqueCount="161">
  <si>
    <t>HOJA DE ESTIMACION ECONOMICA DE PROYECTO</t>
  </si>
  <si>
    <t>TITULO :</t>
  </si>
  <si>
    <t>MEJORA DE LA PÁGINA WEB</t>
  </si>
  <si>
    <t>REFERENCIA :</t>
  </si>
  <si>
    <t>CLIENTE :</t>
  </si>
  <si>
    <t>MULTICINES SA</t>
  </si>
  <si>
    <t>DIRECTOR :</t>
  </si>
  <si>
    <t>FECHA INICIO :</t>
  </si>
  <si>
    <t>FECHA FIN :</t>
  </si>
  <si>
    <t>PRECIO VENTA (SIN IVA):</t>
  </si>
  <si>
    <t>Euros</t>
  </si>
  <si>
    <t>ESFUERZO :</t>
  </si>
  <si>
    <t>Horas</t>
  </si>
  <si>
    <t>MARGEN :</t>
  </si>
  <si>
    <t>%</t>
  </si>
  <si>
    <t>1. ESTIMACION DE COSTES Y GASTOS :</t>
  </si>
  <si>
    <t>1.A  COSTES DE PERSONAL</t>
  </si>
  <si>
    <t>CATEG.</t>
  </si>
  <si>
    <t>HORAS</t>
  </si>
  <si>
    <t>COSTE/HR</t>
  </si>
  <si>
    <t>COEFIC.</t>
  </si>
  <si>
    <t>CONTING.</t>
  </si>
  <si>
    <t>COSTE</t>
  </si>
  <si>
    <t>CAT_1 (DI)</t>
  </si>
  <si>
    <t>CAT_2 (CO)</t>
  </si>
  <si>
    <t>CAT_3 (IS)</t>
  </si>
  <si>
    <t>CAT_4 (IJ)</t>
  </si>
  <si>
    <t>CAT_5 (TE)</t>
  </si>
  <si>
    <t>CAT_6 (PA)</t>
  </si>
  <si>
    <t>SUBTOTAL</t>
  </si>
  <si>
    <t>1.B  SUBCONTRATACIONES</t>
  </si>
  <si>
    <t>SUBC_1</t>
  </si>
  <si>
    <t>SUBC_2</t>
  </si>
  <si>
    <t>1.C  COSTES VARIOS</t>
  </si>
  <si>
    <t>ORDENADOR :</t>
  </si>
  <si>
    <t>CONSUMIBLES :</t>
  </si>
  <si>
    <t>OTROS :</t>
  </si>
  <si>
    <t>1.D  OTROS GASTOS</t>
  </si>
  <si>
    <t>MATERIAL / EQUIPO :</t>
  </si>
  <si>
    <t>VIAJES / ESTANCIAS :</t>
  </si>
  <si>
    <t>VARIOS :</t>
  </si>
  <si>
    <t>TOTAL COSTES Y GASTOS</t>
  </si>
  <si>
    <t>2. PRECIO DE VENTA :</t>
  </si>
  <si>
    <t>2.A  MARGEN</t>
  </si>
  <si>
    <t>PORCENTAJE SOBRE</t>
  </si>
  <si>
    <t>MARGEN</t>
  </si>
  <si>
    <t>SOBRE</t>
  </si>
  <si>
    <t>VALOR</t>
  </si>
  <si>
    <t>PERSONAL</t>
  </si>
  <si>
    <t>SUBCONTRATACIONES</t>
  </si>
  <si>
    <t>COSTES VARIOS</t>
  </si>
  <si>
    <t>OTROS GASTOS</t>
  </si>
  <si>
    <t>TOTAL</t>
  </si>
  <si>
    <t>PORCENTAJE FIJO</t>
  </si>
  <si>
    <t>2.B  PRECIO DE VENTA</t>
  </si>
  <si>
    <t>PRECIO DE VENTA, Euros, SIN ESCALACION INTERANUAL</t>
  </si>
  <si>
    <t>PRECIO DE VENTA, Euros, CON IVA al ...</t>
  </si>
  <si>
    <t>PLAN FINANCIERO DEL PROYECTO</t>
  </si>
  <si>
    <t>FECHA INFORME :</t>
  </si>
  <si>
    <t>PRECIO VENTA :</t>
  </si>
  <si>
    <t>TIPO INTERES ANUAL :</t>
  </si>
  <si>
    <t>COSTE DE OPORTUNIDAD ANUAL :</t>
  </si>
  <si>
    <t>1. PROYECCION TEMPORAL DE COSTES Y GASTOS :</t>
  </si>
  <si>
    <t>CONCEPTO</t>
  </si>
  <si>
    <t>PREVISION DE GASTOS, COSTES E INGRESOS</t>
  </si>
  <si>
    <t>TOTAL PREVISTO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</si>
  <si>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</si>
  <si>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</si>
  <si>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</si>
  <si>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</si>
  <si>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</si>
  <si>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</si>
  <si>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</si>
  <si>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</si>
  <si>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</si>
  <si>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</si>
  <si>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</si>
  <si>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</si>
  <si>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PLAN_F</t>
  </si>
  <si>
    <t>APERT.</t>
  </si>
  <si>
    <t>HORAS_DI</t>
  </si>
  <si>
    <t>HORAS_CO</t>
  </si>
  <si>
    <t>HORAS_IS</t>
  </si>
  <si>
    <t>HORAS_IJ</t>
  </si>
  <si>
    <t>HORAS_TE</t>
  </si>
  <si>
    <t>HORAS_PA</t>
  </si>
  <si>
    <t>TOTAL_HORAS</t>
  </si>
  <si>
    <t>COSTE HORAS</t>
  </si>
  <si>
    <t>SUBCONTRATOS</t>
  </si>
  <si>
    <t>SUMINISTROS</t>
  </si>
  <si>
    <t>ORDENADOR</t>
  </si>
  <si>
    <t>CONSUMIBLES</t>
  </si>
  <si>
    <t>OTROS</t>
  </si>
  <si>
    <t xml:space="preserve">VIAJES </t>
  </si>
  <si>
    <t>VARIOS</t>
  </si>
  <si>
    <t>CONTINGENCIAS</t>
  </si>
  <si>
    <t>TOTAL COSTES</t>
  </si>
  <si>
    <t>TOTAL ACUM.</t>
  </si>
  <si>
    <t>INGRESOS</t>
  </si>
  <si>
    <t>ACUMULADO</t>
  </si>
  <si>
    <t>2. RESULTADOS</t>
  </si>
  <si>
    <t>MARGEN BRUTO</t>
  </si>
  <si>
    <t>M. ACUMULADO</t>
  </si>
  <si>
    <t>VAN</t>
  </si>
  <si>
    <t>VAN ACUMULADO</t>
  </si>
  <si>
    <t>TIR</t>
  </si>
  <si>
    <t>BENEFICIO</t>
  </si>
  <si>
    <t>INDICADORES ECONOMICOS Y FINANCIEROS DEL PROYECTO</t>
  </si>
  <si>
    <t>DURACION (MESES) :</t>
  </si>
  <si>
    <t>1. PREVISION DE CARGA DE TRABAJO</t>
  </si>
  <si>
    <t>2. PREVISION DE LA EVOLUCION DE DATOS ECONOMICO-FINACIEROS</t>
  </si>
  <si>
    <t>CAT_DI</t>
  </si>
  <si>
    <t>1 persona al</t>
  </si>
  <si>
    <t>Máximo endeudamiento (Euros) :</t>
  </si>
  <si>
    <t>CAT_CO</t>
  </si>
  <si>
    <t>CAT_IS</t>
  </si>
  <si>
    <t>CAT_IJ</t>
  </si>
  <si>
    <t>CAT_TE</t>
  </si>
  <si>
    <t>CAT_PA</t>
  </si>
  <si>
    <t>HOJA DE SITUACION ECONOMICA DE PROYECTO</t>
  </si>
  <si>
    <t>CONSUMIDO</t>
  </si>
  <si>
    <t>REMANENTE</t>
  </si>
  <si>
    <t>1.C  COSTES Y GASTOS VARIOS</t>
  </si>
  <si>
    <t>COSTES INFORMATICOS :</t>
  </si>
  <si>
    <t xml:space="preserve">CONSUMIBLES: </t>
  </si>
  <si>
    <t>CONTINGENCIAS:</t>
  </si>
  <si>
    <t>2. PRECIO DE VENTA Y MARGEN :</t>
  </si>
  <si>
    <t>FACTURACION TOTAL</t>
  </si>
  <si>
    <t>3. RESUMEN</t>
  </si>
  <si>
    <t>3.1 HORAS CONSUMIDAS Y REMANENTES</t>
  </si>
  <si>
    <t>SEGÚN CATEGORIA</t>
  </si>
  <si>
    <t>3.2 CONSUMO Y REMANENTE DE RECURSOS</t>
  </si>
  <si>
    <t>SEGÚN TIPO</t>
  </si>
  <si>
    <t>HOJA DE EVOLUCION ECONOMICA DE PROYECTO</t>
  </si>
  <si>
    <t>04/00</t>
  </si>
  <si>
    <t>CONSUMIDO (Kpts)</t>
  </si>
  <si>
    <t>Kpts</t>
  </si>
  <si>
    <t>MES 0</t>
  </si>
  <si>
    <t>MARGEN PROVISIONAL</t>
  </si>
  <si>
    <t>HOJA DE CIERRE ECONOMICO DEL PROYECTO</t>
  </si>
  <si>
    <t>PREVISTO</t>
  </si>
  <si>
    <t>REAL</t>
  </si>
  <si>
    <t>02/00</t>
  </si>
  <si>
    <t>mes/año</t>
  </si>
  <si>
    <t>02/01</t>
  </si>
  <si>
    <t>TOTAL FINAL</t>
  </si>
  <si>
    <t>DESVIACION</t>
  </si>
  <si>
    <t>CANT.</t>
  </si>
  <si>
    <t>3. INDICADORES ECONOMICOS, FINANCIEROS Y DE OCUPACION</t>
  </si>
  <si>
    <t>DURACION DEL PROYECTO</t>
  </si>
  <si>
    <t>Meses</t>
  </si>
  <si>
    <t>COSTE POR HORA</t>
  </si>
  <si>
    <t>PRECIO DE VENTA POR HORA</t>
  </si>
  <si>
    <t>MARGEN POR HORA TRABAJADA</t>
  </si>
  <si>
    <t>PORCENTAJE DE</t>
  </si>
  <si>
    <t>HORAS PROPIAS</t>
  </si>
  <si>
    <t>SUBCONTRATAS</t>
  </si>
  <si>
    <t>CARGA DE TRABAJO (Hombres durante el proyecto)</t>
  </si>
  <si>
    <t>GLOBAL</t>
  </si>
  <si>
    <t>ENDEUDAMIENTO INTERNO</t>
  </si>
  <si>
    <t>ENDEUDAMIENTO EXTERNO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</si>
</sst>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/mm/yyyy"/>
    <numFmt numFmtId="165" formatCode="d/m/yyyy"/>
    <numFmt numFmtId="166" formatCode="0.0%"/>
    <numFmt numFmtId="167" formatCode="#,##0.0"/>
    <numFmt numFmtId="168" formatCode="#,##0.000"/>
    <numFmt numFmtId="169" formatCode="0.000"/>
    <numFmt numFmtId="170" formatCode="0.0"/>
    <numFmt numFmtId="171" formatCode="#,##0_ ;\-#,##0\ "/>
  </numFmts>
  <fonts count="9">
    <font>
      <sz val="10.0"/>
      <color rgb="FF000000"/>
      <name val="Arial"/>
    </font>
    <font>
      <b/>
      <sz val="16.0"/>
      <color rgb="FFFFFFFF"/>
      <name val="Arial"/>
    </font>
    <font/>
    <font>
      <sz val="10.0"/>
      <color theme="1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color theme="1"/>
      <name val="Calibri"/>
    </font>
    <font>
      <b/>
      <sz val="14.0"/>
      <color rgb="FFFFFFFF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16">
    <border/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1" fillId="3" fontId="3" numFmtId="0" xfId="0" applyAlignment="1" applyBorder="1" applyFill="1" applyFont="1">
      <alignment horizontal="center" shrinkToFit="0" vertical="bottom" wrapText="0"/>
    </xf>
    <xf borderId="0" fillId="0" fontId="4" numFmtId="0" xfId="0" applyAlignment="1" applyFont="1">
      <alignment horizontal="left" shrinkToFit="0" vertical="bottom" wrapText="0"/>
    </xf>
    <xf borderId="7" fillId="4" fontId="3" numFmtId="0" xfId="0" applyAlignment="1" applyBorder="1" applyFill="1" applyFont="1">
      <alignment horizontal="center" readingOrder="0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7" fillId="4" fontId="3" numFmtId="0" xfId="0" applyAlignment="1" applyBorder="1" applyFont="1">
      <alignment horizontal="center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7" fillId="4" fontId="3" numFmtId="164" xfId="0" applyAlignment="1" applyBorder="1" applyFont="1" applyNumberFormat="1">
      <alignment horizontal="center" readingOrder="0" shrinkToFit="0" vertical="bottom" wrapText="0"/>
    </xf>
    <xf borderId="7" fillId="4" fontId="3" numFmtId="165" xfId="0" applyAlignment="1" applyBorder="1" applyFont="1" applyNumberFormat="1">
      <alignment horizontal="center" readingOrder="0" shrinkToFit="0" vertical="bottom" wrapText="0"/>
    </xf>
    <xf borderId="11" fillId="3" fontId="3" numFmtId="3" xfId="0" applyAlignment="1" applyBorder="1" applyFont="1" applyNumberFormat="1">
      <alignment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4" numFmtId="0" xfId="0" applyAlignment="1" applyBorder="1" applyFont="1">
      <alignment horizontal="left" shrinkToFit="0" vertical="bottom" wrapText="0"/>
    </xf>
    <xf borderId="13" fillId="0" fontId="2" numFmtId="0" xfId="0" applyBorder="1" applyFont="1"/>
    <xf borderId="14" fillId="0" fontId="2" numFmtId="0" xfId="0" applyBorder="1" applyFont="1"/>
    <xf borderId="0" fillId="0" fontId="4" numFmtId="0" xfId="0" applyAlignment="1" applyFont="1">
      <alignment shrinkToFit="0" vertical="bottom" wrapText="0"/>
    </xf>
    <xf borderId="11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6" numFmtId="0" xfId="0" applyFont="1"/>
    <xf borderId="15" fillId="4" fontId="3" numFmtId="0" xfId="0" applyAlignment="1" applyBorder="1" applyFont="1">
      <alignment readingOrder="0"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0" xfId="0" applyAlignment="1" applyFont="1" applyNumberFormat="1">
      <alignment shrinkToFit="0" vertical="bottom" wrapText="0"/>
    </xf>
    <xf borderId="0" fillId="0" fontId="3" numFmtId="3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horizontal="right" shrinkToFit="0" vertical="bottom" wrapText="0"/>
    </xf>
    <xf borderId="0" fillId="0" fontId="3" numFmtId="10" xfId="0" applyAlignment="1" applyFont="1" applyNumberFormat="1">
      <alignment horizontal="right" shrinkToFit="0" vertical="bottom" wrapText="0"/>
    </xf>
    <xf borderId="11" fillId="3" fontId="4" numFmtId="3" xfId="0" applyAlignment="1" applyBorder="1" applyFont="1" applyNumberFormat="1">
      <alignment shrinkToFit="0" vertical="bottom" wrapText="0"/>
    </xf>
    <xf borderId="15" fillId="4" fontId="3" numFmtId="3" xfId="0" applyAlignment="1" applyBorder="1" applyFont="1" applyNumberFormat="1">
      <alignment readingOrder="0" shrinkToFit="0" vertical="bottom" wrapText="0"/>
    </xf>
    <xf borderId="0" fillId="0" fontId="3" numFmtId="4" xfId="0" applyAlignment="1" applyFont="1" applyNumberFormat="1">
      <alignment shrinkToFit="0" vertical="bottom" wrapText="0"/>
    </xf>
    <xf borderId="15" fillId="4" fontId="3" numFmtId="4" xfId="0" applyAlignment="1" applyBorder="1" applyFont="1" applyNumberFormat="1">
      <alignment readingOrder="0" shrinkToFit="0" vertical="bottom" wrapText="0"/>
    </xf>
    <xf borderId="15" fillId="4" fontId="3" numFmtId="3" xfId="0" applyAlignment="1" applyBorder="1" applyFont="1" applyNumberFormat="1">
      <alignment shrinkToFit="0" vertical="bottom" wrapText="0"/>
    </xf>
    <xf borderId="11" fillId="2" fontId="5" numFmtId="3" xfId="0" applyAlignment="1" applyBorder="1" applyFont="1" applyNumberFormat="1">
      <alignment shrinkToFit="0" vertical="bottom" wrapText="0"/>
    </xf>
    <xf borderId="12" fillId="2" fontId="5" numFmtId="0" xfId="0" applyAlignment="1" applyBorder="1" applyFont="1">
      <alignment horizontal="left" shrinkToFit="0" vertical="bottom" wrapText="0"/>
    </xf>
    <xf borderId="12" fillId="2" fontId="5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horizontal="left" shrinkToFit="0" vertical="bottom" wrapText="0"/>
    </xf>
    <xf borderId="15" fillId="4" fontId="3" numFmtId="10" xfId="0" applyAlignment="1" applyBorder="1" applyFont="1" applyNumberFormat="1">
      <alignment shrinkToFit="0" vertical="bottom" wrapText="0"/>
    </xf>
    <xf borderId="11" fillId="3" fontId="4" numFmtId="10" xfId="0" applyAlignment="1" applyBorder="1" applyFont="1" applyNumberFormat="1">
      <alignment horizontal="right" shrinkToFit="0" vertical="bottom" wrapText="0"/>
    </xf>
    <xf borderId="11" fillId="2" fontId="3" numFmtId="0" xfId="0" applyAlignment="1" applyBorder="1" applyFont="1">
      <alignment shrinkToFit="0" vertical="bottom" wrapText="0"/>
    </xf>
    <xf borderId="11" fillId="2" fontId="7" numFmtId="0" xfId="0" applyAlignment="1" applyBorder="1" applyFont="1">
      <alignment horizontal="center" shrinkToFit="0" vertical="center" wrapText="0"/>
    </xf>
    <xf borderId="11" fillId="2" fontId="1" numFmtId="0" xfId="0" applyAlignment="1" applyBorder="1" applyFont="1">
      <alignment horizontal="left" shrinkToFit="0" vertical="center" wrapText="0"/>
    </xf>
    <xf borderId="0" fillId="0" fontId="3" numFmtId="164" xfId="0" applyAlignment="1" applyFont="1" applyNumberFormat="1">
      <alignment horizontal="center" shrinkToFit="0" vertical="bottom" wrapText="0"/>
    </xf>
    <xf borderId="0" fillId="0" fontId="3" numFmtId="165" xfId="0" applyAlignment="1" applyFont="1" applyNumberFormat="1">
      <alignment horizontal="center" shrinkToFit="0" vertical="bottom" wrapText="0"/>
    </xf>
    <xf borderId="15" fillId="4" fontId="4" numFmtId="166" xfId="0" applyAlignment="1" applyBorder="1" applyFont="1" applyNumberFormat="1">
      <alignment shrinkToFit="0" vertical="bottom" wrapText="0"/>
    </xf>
    <xf borderId="11" fillId="3" fontId="4" numFmtId="0" xfId="0" applyAlignment="1" applyBorder="1" applyFont="1">
      <alignment horizontal="left" shrinkToFit="0" vertical="bottom" wrapText="0"/>
    </xf>
    <xf borderId="12" fillId="2" fontId="5" numFmtId="0" xfId="0" applyAlignment="1" applyBorder="1" applyFont="1">
      <alignment horizontal="center" shrinkToFit="0" vertical="bottom" wrapText="0"/>
    </xf>
    <xf borderId="11" fillId="3" fontId="4" numFmtId="0" xfId="0" applyAlignment="1" applyBorder="1" applyFont="1">
      <alignment horizontal="center" shrinkToFit="0" vertical="bottom" wrapText="0"/>
    </xf>
    <xf borderId="11" fillId="3" fontId="4" numFmtId="0" xfId="0" applyAlignment="1" applyBorder="1" applyFont="1">
      <alignment horizontal="right" shrinkToFit="0" vertical="bottom" wrapText="0"/>
    </xf>
    <xf borderId="15" fillId="4" fontId="8" numFmtId="3" xfId="0" applyAlignment="1" applyBorder="1" applyFont="1" applyNumberFormat="1">
      <alignment readingOrder="0" shrinkToFit="0" vertical="bottom" wrapText="0"/>
    </xf>
    <xf borderId="11" fillId="5" fontId="3" numFmtId="3" xfId="0" applyAlignment="1" applyBorder="1" applyFill="1" applyFont="1" applyNumberFormat="1">
      <alignment shrinkToFit="0" vertical="bottom" wrapText="0"/>
    </xf>
    <xf borderId="0" fillId="0" fontId="3" numFmtId="3" xfId="0" applyAlignment="1" applyFont="1" applyNumberFormat="1">
      <alignment readingOrder="0" shrinkToFit="0" vertical="bottom" wrapText="0"/>
    </xf>
    <xf borderId="11" fillId="3" fontId="3" numFmtId="0" xfId="0" applyAlignment="1" applyBorder="1" applyFont="1">
      <alignment horizontal="left" shrinkToFit="0" vertical="bottom" wrapText="0"/>
    </xf>
    <xf borderId="0" fillId="0" fontId="3" numFmtId="166" xfId="0" applyAlignment="1" applyFont="1" applyNumberFormat="1">
      <alignment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0" fillId="0" fontId="3" numFmtId="167" xfId="0" applyAlignment="1" applyFont="1" applyNumberFormat="1">
      <alignment shrinkToFit="0" vertical="bottom" wrapText="0"/>
    </xf>
    <xf borderId="0" fillId="0" fontId="3" numFmtId="9" xfId="0" applyAlignment="1" applyFont="1" applyNumberFormat="1">
      <alignment shrinkToFit="0" vertical="bottom" wrapText="0"/>
    </xf>
    <xf borderId="0" fillId="0" fontId="3" numFmtId="168" xfId="0" applyAlignment="1" applyFont="1" applyNumberFormat="1">
      <alignment shrinkToFit="0" vertical="bottom" wrapText="0"/>
    </xf>
    <xf borderId="11" fillId="5" fontId="5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3" numFmtId="169" xfId="0" applyAlignment="1" applyFont="1" applyNumberFormat="1">
      <alignment shrinkToFit="0" vertical="bottom" wrapText="0"/>
    </xf>
    <xf borderId="0" fillId="0" fontId="3" numFmtId="170" xfId="0" applyAlignment="1" applyFont="1" applyNumberFormat="1">
      <alignment horizontal="right" shrinkToFit="0" vertical="bottom" wrapText="0"/>
    </xf>
    <xf borderId="0" fillId="0" fontId="3" numFmtId="167" xfId="0" applyAlignment="1" applyFont="1" applyNumberFormat="1">
      <alignment horizontal="right" shrinkToFit="0" vertical="bottom" wrapText="0"/>
    </xf>
    <xf borderId="15" fillId="4" fontId="3" numFmtId="0" xfId="0" applyAlignment="1" applyBorder="1" applyFont="1">
      <alignment shrinkToFit="0" vertical="bottom" wrapText="0"/>
    </xf>
    <xf borderId="11" fillId="5" fontId="5" numFmtId="3" xfId="0" applyAlignment="1" applyBorder="1" applyFont="1" applyNumberFormat="1">
      <alignment shrinkToFit="0" vertical="bottom" wrapText="0"/>
    </xf>
    <xf borderId="15" fillId="4" fontId="3" numFmtId="171" xfId="0" applyAlignment="1" applyBorder="1" applyFont="1" applyNumberFormat="1">
      <alignment shrinkToFit="0" vertical="bottom" wrapText="0"/>
    </xf>
    <xf borderId="11" fillId="5" fontId="4" numFmtId="0" xfId="0" applyAlignment="1" applyBorder="1" applyFont="1">
      <alignment horizontal="left" shrinkToFit="0" vertical="bottom" wrapText="0"/>
    </xf>
    <xf borderId="0" fillId="0" fontId="3" numFmtId="166" xfId="0" applyAlignment="1" applyFont="1" applyNumberFormat="1">
      <alignment horizontal="right" shrinkToFit="0" vertical="bottom" wrapText="0"/>
    </xf>
    <xf borderId="11" fillId="5" fontId="4" numFmtId="2" xfId="0" applyAlignment="1" applyBorder="1" applyFont="1" applyNumberFormat="1">
      <alignment shrinkToFit="0" vertical="bottom" wrapText="0"/>
    </xf>
    <xf borderId="11" fillId="5" fontId="4" numFmtId="3" xfId="0" applyAlignment="1" applyBorder="1" applyFont="1" applyNumberFormat="1">
      <alignment shrinkToFit="0" vertical="bottom" wrapText="0"/>
    </xf>
    <xf borderId="12" fillId="5" fontId="5" numFmtId="0" xfId="0" applyAlignment="1" applyBorder="1" applyFont="1">
      <alignment horizontal="left" shrinkToFit="0" vertical="bottom" wrapText="0"/>
    </xf>
    <xf borderId="1" fillId="2" fontId="1" numFmtId="0" xfId="0" applyAlignment="1" applyBorder="1" applyFont="1">
      <alignment horizontal="right" shrinkToFit="0" vertical="center" wrapText="0"/>
    </xf>
    <xf borderId="11" fillId="2" fontId="1" numFmtId="0" xfId="0" applyAlignment="1" applyBorder="1" applyFont="1">
      <alignment horizontal="center" shrinkToFit="0" vertical="center" wrapText="0"/>
    </xf>
    <xf borderId="11" fillId="3" fontId="3" numFmtId="0" xfId="0" applyAlignment="1" applyBorder="1" applyFont="1">
      <alignment shrinkToFit="0" vertical="bottom" wrapText="0"/>
    </xf>
    <xf borderId="7" fillId="4" fontId="3" numFmtId="17" xfId="0" applyAlignment="1" applyBorder="1" applyFont="1" applyNumberFormat="1">
      <alignment horizontal="center" shrinkToFit="0" vertical="bottom" wrapText="0"/>
    </xf>
    <xf borderId="11" fillId="2" fontId="5" numFmtId="0" xfId="0" applyAlignment="1" applyBorder="1" applyFont="1">
      <alignment horizontal="center" shrinkToFit="0" vertical="bottom" wrapText="0"/>
    </xf>
    <xf borderId="15" fillId="4" fontId="3" numFmtId="167" xfId="0" applyAlignment="1" applyBorder="1" applyFont="1" applyNumberFormat="1">
      <alignment shrinkToFit="0" vertical="bottom" wrapText="0"/>
    </xf>
    <xf borderId="0" fillId="0" fontId="4" numFmtId="3" xfId="0" applyAlignment="1" applyFont="1" applyNumberFormat="1">
      <alignment shrinkToFit="0" vertical="bottom" wrapText="0"/>
    </xf>
    <xf borderId="0" fillId="0" fontId="4" numFmtId="167" xfId="0" applyAlignment="1" applyFont="1" applyNumberFormat="1">
      <alignment shrinkToFit="0" vertical="bottom" wrapText="0"/>
    </xf>
    <xf borderId="0" fillId="0" fontId="4" numFmtId="166" xfId="0" applyAlignment="1" applyFont="1" applyNumberFormat="1">
      <alignment horizontal="right" shrinkToFit="0" vertical="bottom" wrapText="0"/>
    </xf>
    <xf borderId="0" fillId="0" fontId="5" numFmtId="3" xfId="0" applyAlignment="1" applyFont="1" applyNumberFormat="1">
      <alignment shrinkToFit="0" vertical="bottom" wrapText="0"/>
    </xf>
    <xf borderId="0" fillId="0" fontId="4" numFmtId="2" xfId="0" applyAlignment="1" applyFont="1" applyNumberForma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11" fillId="3" fontId="3" numFmtId="166" xfId="0" applyAlignment="1" applyBorder="1" applyFont="1" applyNumberFormat="1">
      <alignment shrinkToFit="0" vertical="bottom" wrapText="0"/>
    </xf>
    <xf borderId="11" fillId="3" fontId="3" numFmtId="3" xfId="0" applyAlignment="1" applyBorder="1" applyFont="1" applyNumberFormat="1">
      <alignment horizontal="right" shrinkToFit="0" vertical="bottom" wrapText="0"/>
    </xf>
    <xf borderId="0" fillId="0" fontId="4" numFmtId="166" xfId="0" applyAlignment="1" applyFont="1" applyNumberFormat="1">
      <alignment horizontal="left" shrinkToFit="0" vertical="bottom" wrapText="0"/>
    </xf>
    <xf borderId="0" fillId="0" fontId="3" numFmtId="171" xfId="0" applyAlignment="1" applyFont="1" applyNumberFormat="1">
      <alignment shrinkToFit="0" vertical="bottom" wrapText="0"/>
    </xf>
    <xf borderId="0" fillId="0" fontId="3" numFmtId="9" xfId="0" applyAlignment="1" applyFont="1" applyNumberFormat="1">
      <alignment horizontal="right" shrinkToFit="0" vertical="bottom" wrapText="0"/>
    </xf>
    <xf borderId="0" fillId="0" fontId="3" numFmtId="168" xfId="0" applyAlignment="1" applyFont="1" applyNumberForma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Plan_Financiero!$D$30:$O$30</c:f>
              <c:numCache/>
            </c:numRef>
          </c:val>
        </c:ser>
        <c:ser>
          <c:idx val="1"/>
          <c:order val="1"/>
          <c:spPr>
            <a:solidFill>
              <a:srgbClr val="993366"/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Plan_Financiero!$D$29:$O$29</c:f>
              <c:numCache/>
            </c:numRef>
          </c:val>
        </c:ser>
        <c:ser>
          <c:idx val="2"/>
          <c:order val="2"/>
          <c:spPr>
            <a:solidFill>
              <a:srgbClr val="FFFFCC"/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Plan_Financiero!$D$28:$O$28</c:f>
              <c:numCache/>
            </c:numRef>
          </c:val>
        </c:ser>
        <c:ser>
          <c:idx val="3"/>
          <c:order val="3"/>
          <c:spPr>
            <a:solidFill>
              <a:srgbClr val="CCFFFF"/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Plan_Financiero!$D$27:$O$27</c:f>
              <c:numCache/>
            </c:numRef>
          </c:val>
        </c:ser>
        <c:ser>
          <c:idx val="4"/>
          <c:order val="4"/>
          <c:spPr>
            <a:solidFill>
              <a:srgbClr val="FF8080"/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Plan_Financiero!$D$26:$O$26</c:f>
              <c:numCache/>
            </c:numRef>
          </c:val>
        </c:ser>
        <c:ser>
          <c:idx val="5"/>
          <c:order val="5"/>
          <c:spPr>
            <a:solidFill>
              <a:srgbClr val="660066"/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Plan_Financiero!$D$25:$O$25</c:f>
              <c:numCache/>
            </c:numRef>
          </c:val>
        </c:ser>
        <c:ser>
          <c:idx val="6"/>
          <c:order val="6"/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Plan_Financiero!$D$26:$O$26</c:f>
              <c:numCache/>
            </c:numRef>
          </c:val>
        </c:ser>
        <c:ser>
          <c:idx val="7"/>
          <c:order val="7"/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Plan_Financiero!$D$27:$O$27</c:f>
              <c:numCache/>
            </c:numRef>
          </c:val>
        </c:ser>
        <c:ser>
          <c:idx val="8"/>
          <c:order val="8"/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Plan_Financiero!$D$28:$O$28</c:f>
              <c:numCache/>
            </c:numRef>
          </c:val>
        </c:ser>
        <c:ser>
          <c:idx val="9"/>
          <c:order val="9"/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Plan_Financiero!$D$29:$O$29</c:f>
              <c:numCache/>
            </c:numRef>
          </c:val>
        </c:ser>
        <c:ser>
          <c:idx val="10"/>
          <c:order val="10"/>
          <c:spPr>
            <a:solidFill>
              <a:schemeClr val="accent5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Plan_Financiero!$D$23:$O$23</c:f>
            </c:strRef>
          </c:cat>
          <c:val>
            <c:numRef>
              <c:f>Plan_Financiero!$D$30:$O$30</c:f>
              <c:numCache/>
            </c:numRef>
          </c:val>
        </c:ser>
        <c:axId val="420415936"/>
        <c:axId val="508878346"/>
      </c:barChart>
      <c:catAx>
        <c:axId val="42041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878346"/>
      </c:catAx>
      <c:valAx>
        <c:axId val="508878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41593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57150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Plan_Financiero!$D$23:$O$23</c:f>
            </c:strRef>
          </c:cat>
          <c:val>
            <c:numRef>
              <c:f>Plan_Financiero!$D$46:$O$46</c:f>
              <c:numCache/>
            </c:numRef>
          </c:val>
          <c:smooth val="0"/>
        </c:ser>
        <c:ser>
          <c:idx val="1"/>
          <c:order val="1"/>
          <c:spPr>
            <a:ln cmpd="sng" w="57150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Plan_Financiero!$D$23:$O$23</c:f>
            </c:strRef>
          </c:cat>
          <c:val>
            <c:numRef>
              <c:f>Plan_Financiero!$D$50:$O$50</c:f>
              <c:numCache/>
            </c:numRef>
          </c:val>
          <c:smooth val="0"/>
        </c:ser>
        <c:ser>
          <c:idx val="2"/>
          <c:order val="2"/>
          <c:spPr>
            <a:ln cmpd="sng" w="571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Plan_Financiero!$D$23:$O$23</c:f>
            </c:strRef>
          </c:cat>
          <c:val>
            <c:numRef>
              <c:f>Plan_Financiero!$D$57:$O$57</c:f>
              <c:numCache/>
            </c:numRef>
          </c:val>
          <c:smooth val="0"/>
        </c:ser>
        <c:axId val="546774409"/>
        <c:axId val="1741132340"/>
      </c:lineChart>
      <c:catAx>
        <c:axId val="546774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132340"/>
      </c:catAx>
      <c:valAx>
        <c:axId val="1741132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77440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9999FF"/>
            </a:solidFill>
            <a:ln cmpd="sng">
              <a:solidFill>
                <a:srgbClr val="000000"/>
              </a:solidFill>
            </a:ln>
          </c:spPr>
          <c:cat>
            <c:strRef>
              <c:f>'Situación'!$C$23:$C$28</c:f>
            </c:strRef>
          </c:cat>
          <c:val>
            <c:numRef>
              <c:f>'Situación'!$H$23:$H$28</c:f>
              <c:numCache/>
            </c:numRef>
          </c:val>
        </c:ser>
        <c:ser>
          <c:idx val="1"/>
          <c:order val="1"/>
          <c:cat>
            <c:strRef>
              <c:f>'Situación'!$C$23:$C$28</c:f>
            </c:strRef>
          </c:cat>
          <c:val>
            <c:numRef>
              <c:f>'Situación'!$L$23:$L$28</c:f>
              <c:numCache/>
            </c:numRef>
          </c:val>
        </c:ser>
        <c:overlap val="100"/>
        <c:axId val="1608393963"/>
        <c:axId val="409675763"/>
      </c:barChart>
      <c:catAx>
        <c:axId val="16083939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675763"/>
      </c:catAx>
      <c:valAx>
        <c:axId val="4096757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8393963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9999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'Evolución'!$H$23:$J$23</c:f>
            </c:strRef>
          </c:cat>
          <c:val>
            <c:numRef>
              <c:f>'Evolución'!$H$24:$J$24</c:f>
              <c:numCache/>
            </c:numRef>
          </c:val>
        </c:ser>
        <c:ser>
          <c:idx val="1"/>
          <c:order val="1"/>
          <c:cat>
            <c:strRef>
              <c:f>'Evolución'!$H$23:$J$23</c:f>
            </c:strRef>
          </c:cat>
          <c:val>
            <c:numRef>
              <c:f>'Evolución'!$H$25:$J$25</c:f>
              <c:numCache/>
            </c:numRef>
          </c:val>
        </c:ser>
        <c:ser>
          <c:idx val="2"/>
          <c:order val="2"/>
          <c:cat>
            <c:strRef>
              <c:f>'Evolución'!$H$23:$J$23</c:f>
            </c:strRef>
          </c:cat>
          <c:val>
            <c:numRef>
              <c:f>'Evolución'!$H$26:$J$26</c:f>
              <c:numCache/>
            </c:numRef>
          </c:val>
        </c:ser>
        <c:ser>
          <c:idx val="3"/>
          <c:order val="3"/>
          <c:cat>
            <c:strRef>
              <c:f>'Evolución'!$H$23:$J$23</c:f>
            </c:strRef>
          </c:cat>
          <c:val>
            <c:numRef>
              <c:f>'Evolución'!$H$27:$J$27</c:f>
              <c:numCache/>
            </c:numRef>
          </c:val>
        </c:ser>
        <c:ser>
          <c:idx val="4"/>
          <c:order val="4"/>
          <c:cat>
            <c:strRef>
              <c:f>'Evolución'!$H$23:$J$23</c:f>
            </c:strRef>
          </c:cat>
          <c:val>
            <c:numRef>
              <c:f>'Evolución'!$H$28:$J$28</c:f>
              <c:numCache/>
            </c:numRef>
          </c:val>
        </c:ser>
        <c:axId val="635244224"/>
        <c:axId val="562772504"/>
      </c:barChart>
      <c:catAx>
        <c:axId val="63524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772504"/>
      </c:catAx>
      <c:valAx>
        <c:axId val="5627725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3524422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grouping val="stacked"/>
        <c:ser>
          <c:idx val="0"/>
          <c:order val="0"/>
          <c:spPr>
            <a:solidFill>
              <a:srgbClr val="9999FF">
                <a:alpha val="30000"/>
              </a:srgbClr>
            </a:solidFill>
            <a:ln cmpd="sng">
              <a:solidFill>
                <a:srgbClr val="9999FF"/>
              </a:solidFill>
            </a:ln>
          </c:spPr>
          <c:val>
            <c:numRef>
              <c:f>'Evolución'!$G$30:$J$30</c:f>
              <c:numCache/>
            </c:numRef>
          </c:val>
        </c:ser>
        <c:ser>
          <c:idx val="1"/>
          <c:order val="1"/>
          <c:spPr>
            <a:solidFill>
              <a:srgbClr val="993366">
                <a:alpha val="30000"/>
              </a:srgbClr>
            </a:solidFill>
            <a:ln cmpd="sng">
              <a:solidFill>
                <a:srgbClr val="993366"/>
              </a:solidFill>
            </a:ln>
          </c:spPr>
          <c:val>
            <c:numRef>
              <c:f>'Evolución'!$G$37:$J$37</c:f>
              <c:numCache/>
            </c:numRef>
          </c:val>
        </c:ser>
        <c:ser>
          <c:idx val="2"/>
          <c:order val="2"/>
          <c:spPr>
            <a:solidFill>
              <a:srgbClr val="FFFFCC">
                <a:alpha val="30000"/>
              </a:srgbClr>
            </a:solidFill>
            <a:ln cmpd="sng">
              <a:solidFill>
                <a:srgbClr val="FFFFCC"/>
              </a:solidFill>
            </a:ln>
          </c:spPr>
          <c:val>
            <c:numRef>
              <c:f>'Evolución'!$G$50:$J$50</c:f>
              <c:numCache/>
            </c:numRef>
          </c:val>
        </c:ser>
        <c:axId val="1998394676"/>
        <c:axId val="452407512"/>
      </c:areaChart>
      <c:catAx>
        <c:axId val="1998394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2407512"/>
      </c:catAx>
      <c:valAx>
        <c:axId val="452407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39467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image" Target="../media/image1.jp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19050</xdr:rowOff>
    </xdr:from>
    <xdr:ext cx="942975" cy="342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1104900" cy="5048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24</xdr:row>
      <xdr:rowOff>0</xdr:rowOff>
    </xdr:from>
    <xdr:ext cx="5476875" cy="3209925"/>
    <xdr:graphicFrame>
      <xdr:nvGraphicFramePr>
        <xdr:cNvPr descr="Chart 0" id="18466266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</xdr:colOff>
      <xdr:row>24</xdr:row>
      <xdr:rowOff>0</xdr:rowOff>
    </xdr:from>
    <xdr:ext cx="5295900" cy="3190875"/>
    <xdr:graphicFrame>
      <xdr:nvGraphicFramePr>
        <xdr:cNvPr descr="Chart 1" id="11518412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19050</xdr:rowOff>
    </xdr:from>
    <xdr:ext cx="1009650" cy="4667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304800</xdr:colOff>
      <xdr:row>64</xdr:row>
      <xdr:rowOff>142875</xdr:rowOff>
    </xdr:from>
    <xdr:ext cx="5457825" cy="3438525"/>
    <xdr:graphicFrame>
      <xdr:nvGraphicFramePr>
        <xdr:cNvPr descr="Chart 0" id="116111814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57150</xdr:rowOff>
    </xdr:from>
    <xdr:ext cx="1028700" cy="40957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495300</xdr:colOff>
      <xdr:row>3</xdr:row>
      <xdr:rowOff>28575</xdr:rowOff>
    </xdr:from>
    <xdr:ext cx="7591425" cy="5124450"/>
    <xdr:graphicFrame>
      <xdr:nvGraphicFramePr>
        <xdr:cNvPr descr="Chart 0" id="12553183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22</xdr:col>
      <xdr:colOff>457200</xdr:colOff>
      <xdr:row>38</xdr:row>
      <xdr:rowOff>28575</xdr:rowOff>
    </xdr:from>
    <xdr:ext cx="7524750" cy="5153025"/>
    <xdr:graphicFrame>
      <xdr:nvGraphicFramePr>
        <xdr:cNvPr descr="Chart 1" id="1501065021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0</xdr:row>
      <xdr:rowOff>28575</xdr:rowOff>
    </xdr:from>
    <xdr:ext cx="904875" cy="4286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895350" cy="3524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8.29"/>
    <col customWidth="1" min="3" max="4" width="11.43"/>
    <col customWidth="1" min="5" max="5" width="9.57"/>
    <col customWidth="1" min="6" max="6" width="5.0"/>
    <col customWidth="1" min="7" max="7" width="10.71"/>
    <col customWidth="1" min="8" max="8" width="5.0"/>
    <col customWidth="1" min="9" max="9" width="10.43"/>
    <col customWidth="1" min="10" max="10" width="5.0"/>
    <col customWidth="1" min="11" max="11" width="10.71"/>
    <col customWidth="1" min="12" max="12" width="7.71"/>
    <col customWidth="1" min="13" max="13" width="10.43"/>
    <col customWidth="1" min="14" max="26" width="10.0"/>
  </cols>
  <sheetData>
    <row r="1" ht="12.75" customHeight="1">
      <c r="C1" s="1" t="s">
        <v>0</v>
      </c>
      <c r="D1" s="2"/>
      <c r="E1" s="2"/>
      <c r="F1" s="2"/>
      <c r="G1" s="2"/>
      <c r="H1" s="2"/>
      <c r="I1" s="2"/>
      <c r="J1" s="2"/>
      <c r="K1" s="2"/>
      <c r="L1" s="2"/>
      <c r="M1" s="3"/>
    </row>
    <row r="2" ht="12.75" customHeight="1">
      <c r="C2" s="4"/>
      <c r="D2" s="5"/>
      <c r="E2" s="5"/>
      <c r="F2" s="5"/>
      <c r="G2" s="5"/>
      <c r="H2" s="5"/>
      <c r="I2" s="5"/>
      <c r="J2" s="5"/>
      <c r="K2" s="5"/>
      <c r="L2" s="5"/>
      <c r="M2" s="6"/>
    </row>
    <row r="3" ht="12.75" customHeight="1"/>
    <row r="4" ht="12.75" customHeight="1">
      <c r="C4" s="7"/>
      <c r="D4" s="2"/>
      <c r="E4" s="2"/>
      <c r="F4" s="2"/>
      <c r="G4" s="2"/>
      <c r="H4" s="2"/>
      <c r="I4" s="2"/>
      <c r="J4" s="2"/>
      <c r="K4" s="2"/>
      <c r="L4" s="2"/>
      <c r="M4" s="3"/>
    </row>
    <row r="5" ht="12.7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6"/>
    </row>
    <row r="6" ht="12.75" customHeight="1"/>
    <row r="7" ht="12.75" customHeight="1">
      <c r="A7" s="8" t="s">
        <v>1</v>
      </c>
      <c r="C7" s="9" t="s">
        <v>2</v>
      </c>
      <c r="D7" s="10"/>
      <c r="E7" s="10"/>
      <c r="F7" s="11"/>
      <c r="H7" s="8" t="s">
        <v>3</v>
      </c>
      <c r="J7" s="12"/>
      <c r="K7" s="13"/>
      <c r="L7" s="10"/>
      <c r="M7" s="11"/>
    </row>
    <row r="8" ht="12.75" customHeight="1">
      <c r="A8" s="8" t="s">
        <v>4</v>
      </c>
      <c r="C8" s="9" t="s">
        <v>5</v>
      </c>
      <c r="D8" s="10"/>
      <c r="E8" s="10"/>
      <c r="F8" s="11"/>
      <c r="H8" s="8" t="s">
        <v>6</v>
      </c>
      <c r="J8" s="14"/>
      <c r="K8" s="13"/>
      <c r="L8" s="10"/>
      <c r="M8" s="11"/>
    </row>
    <row r="9" ht="12.75" customHeight="1">
      <c r="H9" s="15"/>
      <c r="I9" s="15"/>
      <c r="J9" s="15"/>
    </row>
    <row r="10" ht="12.75" customHeight="1">
      <c r="A10" s="8" t="s">
        <v>7</v>
      </c>
      <c r="C10" s="16">
        <v>44249.0</v>
      </c>
      <c r="D10" s="10"/>
      <c r="E10" s="10"/>
      <c r="F10" s="11"/>
      <c r="H10" s="8" t="s">
        <v>8</v>
      </c>
      <c r="J10" s="14"/>
      <c r="K10" s="17">
        <v>40845.0</v>
      </c>
      <c r="L10" s="10"/>
      <c r="M10" s="11"/>
    </row>
    <row r="11" ht="12.75" customHeight="1">
      <c r="H11" s="15"/>
      <c r="I11" s="15"/>
      <c r="J11" s="15"/>
    </row>
    <row r="12" ht="12.75" customHeight="1">
      <c r="H12" s="8" t="s">
        <v>9</v>
      </c>
      <c r="L12" s="18">
        <f>M77</f>
        <v>127366.5131</v>
      </c>
      <c r="M12" s="19" t="s">
        <v>10</v>
      </c>
    </row>
    <row r="13" ht="12.75" customHeight="1">
      <c r="H13" s="8" t="s">
        <v>11</v>
      </c>
      <c r="L13" s="18">
        <f>E29</f>
        <v>1561</v>
      </c>
      <c r="M13" s="19" t="s">
        <v>12</v>
      </c>
    </row>
    <row r="14" ht="12.75" customHeight="1">
      <c r="H14" s="8" t="s">
        <v>13</v>
      </c>
      <c r="L14" s="18">
        <f>G72*100</f>
        <v>20</v>
      </c>
      <c r="M14" s="19" t="s">
        <v>14</v>
      </c>
    </row>
    <row r="15" ht="12.75" customHeight="1"/>
    <row r="16" ht="12.75" customHeight="1">
      <c r="A16" s="20" t="s">
        <v>15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</row>
    <row r="17" ht="12.75" customHeight="1"/>
    <row r="18" ht="12.75" customHeight="1">
      <c r="B18" s="23" t="s">
        <v>16</v>
      </c>
    </row>
    <row r="19" ht="12.75" customHeight="1"/>
    <row r="20" ht="12.75" customHeight="1">
      <c r="C20" s="24" t="s">
        <v>17</v>
      </c>
      <c r="E20" s="25" t="s">
        <v>18</v>
      </c>
      <c r="F20" s="26"/>
      <c r="G20" s="25" t="s">
        <v>19</v>
      </c>
      <c r="H20" s="26"/>
      <c r="I20" s="25" t="s">
        <v>20</v>
      </c>
      <c r="J20" s="26"/>
      <c r="K20" s="25" t="s">
        <v>21</v>
      </c>
      <c r="M20" s="25" t="s">
        <v>22</v>
      </c>
    </row>
    <row r="21" ht="12.75" customHeight="1"/>
    <row r="22" ht="12.75" customHeight="1">
      <c r="C22" s="27" t="s">
        <v>23</v>
      </c>
      <c r="E22" s="28">
        <v>278.0</v>
      </c>
      <c r="G22" s="29">
        <v>79.98</v>
      </c>
      <c r="I22" s="29">
        <v>1.69</v>
      </c>
      <c r="K22" s="30">
        <v>0.02</v>
      </c>
      <c r="M22" s="31">
        <f t="shared" ref="M22:M27" si="1">E22*G22*I22*(1+K22)</f>
        <v>38327.72767</v>
      </c>
    </row>
    <row r="23" ht="12.75" customHeight="1">
      <c r="C23" s="27" t="s">
        <v>24</v>
      </c>
      <c r="E23" s="28">
        <v>270.0</v>
      </c>
      <c r="G23" s="29">
        <v>49.51</v>
      </c>
      <c r="I23" s="29">
        <v>1.69</v>
      </c>
      <c r="K23" s="30">
        <v>0.03</v>
      </c>
      <c r="M23" s="31">
        <f t="shared" si="1"/>
        <v>23269.15539</v>
      </c>
    </row>
    <row r="24" ht="12.75" customHeight="1">
      <c r="C24" s="27" t="s">
        <v>25</v>
      </c>
      <c r="E24" s="28">
        <v>278.0</v>
      </c>
      <c r="G24" s="29">
        <v>35.04</v>
      </c>
      <c r="I24" s="29">
        <v>1.69</v>
      </c>
      <c r="K24" s="30">
        <v>0.04</v>
      </c>
      <c r="M24" s="31">
        <f t="shared" si="1"/>
        <v>17120.99251</v>
      </c>
    </row>
    <row r="25" ht="12.75" customHeight="1">
      <c r="C25" s="27" t="s">
        <v>26</v>
      </c>
      <c r="E25" s="28">
        <v>258.0</v>
      </c>
      <c r="G25" s="29">
        <v>21.33</v>
      </c>
      <c r="I25" s="29">
        <v>1.69</v>
      </c>
      <c r="K25" s="30">
        <v>0.05</v>
      </c>
      <c r="M25" s="31">
        <f t="shared" si="1"/>
        <v>9765.32193</v>
      </c>
    </row>
    <row r="26" ht="12.75" customHeight="1">
      <c r="C26" s="27" t="s">
        <v>27</v>
      </c>
      <c r="E26" s="28">
        <v>222.0</v>
      </c>
      <c r="G26" s="29">
        <v>17.52</v>
      </c>
      <c r="I26" s="29">
        <v>1.69</v>
      </c>
      <c r="K26" s="30">
        <v>0.05</v>
      </c>
      <c r="M26" s="31">
        <f t="shared" si="1"/>
        <v>6901.81128</v>
      </c>
    </row>
    <row r="27" ht="12.75" customHeight="1">
      <c r="C27" s="27" t="s">
        <v>28</v>
      </c>
      <c r="E27" s="28">
        <v>255.0</v>
      </c>
      <c r="G27" s="29">
        <v>10.66</v>
      </c>
      <c r="I27" s="29">
        <v>1.69</v>
      </c>
      <c r="K27" s="30">
        <v>0.06</v>
      </c>
      <c r="M27" s="31">
        <f t="shared" si="1"/>
        <v>4869.56262</v>
      </c>
    </row>
    <row r="28" ht="12.75" customHeight="1">
      <c r="G28" s="29"/>
      <c r="I28" s="29"/>
      <c r="K28" s="30"/>
      <c r="M28" s="31"/>
    </row>
    <row r="29" ht="12.75" customHeight="1">
      <c r="C29" s="23" t="s">
        <v>29</v>
      </c>
      <c r="E29" s="27">
        <f>SUM(E22:E27)</f>
        <v>1561</v>
      </c>
      <c r="G29" s="32">
        <f>IF(E29=0,"N/A",(G22*E22+G23*E23+G24*E24+G25*E25+G26*E26+G27*E27)/E29)</f>
        <v>36.80598334</v>
      </c>
      <c r="I29" s="32">
        <f>IF(E29=0,"N/A",(I22*E22+I23*E23+I24*E24+I25*E25+I26*E26+I27*E27)/E29)</f>
        <v>1.69</v>
      </c>
      <c r="J29" s="26"/>
      <c r="K29" s="33">
        <f>IF(E29=0,"N/A",(K22*E22+K23*E23+K24*E24+K25*E25+K26*E26+K27*E27)/E29)</f>
        <v>0.04105060858</v>
      </c>
      <c r="M29" s="34">
        <f>SUM(M22:M27)</f>
        <v>100254.5714</v>
      </c>
    </row>
    <row r="30" ht="12.75" customHeight="1"/>
    <row r="31" ht="12.75" customHeight="1">
      <c r="B31" s="23" t="s">
        <v>30</v>
      </c>
    </row>
    <row r="32" ht="12.75" customHeight="1"/>
    <row r="33" ht="12.75" customHeight="1">
      <c r="C33" s="27" t="s">
        <v>31</v>
      </c>
      <c r="M33" s="28">
        <v>0.0</v>
      </c>
    </row>
    <row r="34" ht="12.75" customHeight="1">
      <c r="C34" s="27" t="s">
        <v>32</v>
      </c>
      <c r="M34" s="35">
        <v>0.0</v>
      </c>
    </row>
    <row r="35" ht="12.75" customHeight="1">
      <c r="M35" s="31"/>
    </row>
    <row r="36" ht="12.75" customHeight="1">
      <c r="C36" s="23" t="s">
        <v>29</v>
      </c>
      <c r="K36" s="30">
        <v>0.08</v>
      </c>
      <c r="M36" s="34">
        <f>SUM(M33:M34)*(1+K36)</f>
        <v>0</v>
      </c>
    </row>
    <row r="37" ht="12.75" customHeight="1"/>
    <row r="38" ht="12.75" customHeight="1">
      <c r="B38" s="23" t="s">
        <v>33</v>
      </c>
    </row>
    <row r="39" ht="12.75" customHeight="1"/>
    <row r="40" ht="12.75" customHeight="1">
      <c r="C40" s="27" t="s">
        <v>34</v>
      </c>
      <c r="E40" s="27">
        <f>E29</f>
        <v>1561</v>
      </c>
      <c r="G40" s="36">
        <v>2.34</v>
      </c>
      <c r="I40" s="29">
        <v>1.0</v>
      </c>
      <c r="J40" s="29"/>
      <c r="K40" s="30">
        <v>0.05</v>
      </c>
      <c r="M40" s="31">
        <f t="shared" ref="M40:M42" si="2">E40*G40*I40*(1+K40)</f>
        <v>3835.377</v>
      </c>
    </row>
    <row r="41" ht="12.75" customHeight="1">
      <c r="C41" s="27" t="s">
        <v>35</v>
      </c>
      <c r="E41" s="27">
        <f>E29</f>
        <v>1561</v>
      </c>
      <c r="G41" s="36">
        <v>0.75</v>
      </c>
      <c r="I41" s="29">
        <v>1.0</v>
      </c>
      <c r="J41" s="29"/>
      <c r="K41" s="30">
        <v>0.05</v>
      </c>
      <c r="M41" s="31">
        <f t="shared" si="2"/>
        <v>1229.2875</v>
      </c>
    </row>
    <row r="42" ht="12.75" customHeight="1">
      <c r="C42" s="27" t="s">
        <v>36</v>
      </c>
      <c r="E42" s="27">
        <f>E29</f>
        <v>1561</v>
      </c>
      <c r="G42" s="37">
        <v>0.5</v>
      </c>
      <c r="I42" s="29">
        <v>1.0</v>
      </c>
      <c r="J42" s="29"/>
      <c r="K42" s="30">
        <v>0.05</v>
      </c>
      <c r="M42" s="31">
        <f t="shared" si="2"/>
        <v>819.525</v>
      </c>
    </row>
    <row r="43" ht="12.75" customHeight="1">
      <c r="G43" s="36"/>
      <c r="I43" s="29"/>
      <c r="J43" s="29"/>
      <c r="K43" s="29"/>
      <c r="M43" s="31"/>
    </row>
    <row r="44" ht="12.75" customHeight="1">
      <c r="C44" s="23" t="s">
        <v>29</v>
      </c>
      <c r="G44" s="36">
        <f>SUM(G40:G42)</f>
        <v>3.59</v>
      </c>
      <c r="I44" s="29"/>
      <c r="J44" s="29"/>
      <c r="K44" s="29"/>
      <c r="M44" s="34">
        <f>SUM(M40:M42)</f>
        <v>5884.1895</v>
      </c>
    </row>
    <row r="45" ht="12.75" customHeight="1"/>
    <row r="46" ht="12.75" customHeight="1">
      <c r="B46" s="23" t="s">
        <v>37</v>
      </c>
    </row>
    <row r="47" ht="12.75" customHeight="1"/>
    <row r="48" ht="12.75" customHeight="1">
      <c r="C48" s="27" t="s">
        <v>38</v>
      </c>
      <c r="M48" s="38"/>
    </row>
    <row r="49" ht="12.75" customHeight="1">
      <c r="C49" s="27" t="s">
        <v>39</v>
      </c>
      <c r="M49" s="35">
        <v>0.0</v>
      </c>
    </row>
    <row r="50" ht="12.75" customHeight="1">
      <c r="C50" s="27" t="s">
        <v>40</v>
      </c>
      <c r="M50" s="38"/>
    </row>
    <row r="51" ht="12.75" customHeight="1">
      <c r="M51" s="31"/>
    </row>
    <row r="52" ht="12.75" customHeight="1">
      <c r="C52" s="23" t="s">
        <v>29</v>
      </c>
      <c r="K52" s="30">
        <v>0.03</v>
      </c>
      <c r="M52" s="34">
        <f>SUM(M48:M50)*(1+K52)</f>
        <v>0</v>
      </c>
    </row>
    <row r="53" ht="12.75" customHeight="1"/>
    <row r="54" ht="12.75" customHeight="1"/>
    <row r="55" ht="12.75" customHeight="1">
      <c r="B55" s="23" t="s">
        <v>41</v>
      </c>
      <c r="C55" s="23"/>
      <c r="D55" s="23"/>
      <c r="E55" s="23"/>
      <c r="F55" s="23"/>
      <c r="G55" s="23"/>
      <c r="H55" s="23"/>
      <c r="I55" s="23"/>
      <c r="J55" s="23"/>
      <c r="K55" s="23"/>
      <c r="M55" s="39">
        <f>M29+M36+M44+M52</f>
        <v>106138.7609</v>
      </c>
    </row>
    <row r="56" ht="12.75" customHeight="1"/>
    <row r="57" ht="12.75" customHeight="1"/>
    <row r="58" ht="12.75" customHeight="1">
      <c r="A58" s="20" t="s">
        <v>42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2"/>
    </row>
    <row r="59" ht="12.75" customHeight="1"/>
    <row r="60" ht="12.75" customHeight="1">
      <c r="B60" s="23" t="s">
        <v>43</v>
      </c>
    </row>
    <row r="61" ht="12.75" customHeight="1"/>
    <row r="62" ht="12.75" customHeight="1">
      <c r="C62" s="40" t="s">
        <v>44</v>
      </c>
      <c r="D62" s="22"/>
      <c r="G62" s="25" t="s">
        <v>45</v>
      </c>
      <c r="I62" s="25" t="s">
        <v>46</v>
      </c>
      <c r="L62" s="41" t="s">
        <v>47</v>
      </c>
      <c r="M62" s="22"/>
    </row>
    <row r="63" ht="12.75" customHeight="1">
      <c r="C63" s="42"/>
      <c r="D63" s="42"/>
    </row>
    <row r="64" ht="12.75" customHeight="1">
      <c r="C64" s="42" t="s">
        <v>48</v>
      </c>
      <c r="G64" s="43">
        <v>0.3</v>
      </c>
      <c r="I64" s="31">
        <f>M29</f>
        <v>100254.5714</v>
      </c>
      <c r="M64" s="31">
        <f t="shared" ref="M64:M67" si="3">I64*G64</f>
        <v>30076.37142</v>
      </c>
    </row>
    <row r="65" ht="12.75" customHeight="1">
      <c r="C65" s="42" t="s">
        <v>49</v>
      </c>
      <c r="G65" s="43">
        <v>0.15</v>
      </c>
      <c r="I65" s="31">
        <f>M36</f>
        <v>0</v>
      </c>
      <c r="M65" s="31">
        <f t="shared" si="3"/>
        <v>0</v>
      </c>
    </row>
    <row r="66" ht="12.75" customHeight="1">
      <c r="C66" s="42" t="s">
        <v>50</v>
      </c>
      <c r="G66" s="43">
        <v>0.1</v>
      </c>
      <c r="I66" s="31">
        <f>M44</f>
        <v>5884.1895</v>
      </c>
      <c r="M66" s="31">
        <f t="shared" si="3"/>
        <v>588.41895</v>
      </c>
    </row>
    <row r="67" ht="12.75" customHeight="1">
      <c r="C67" s="42" t="s">
        <v>51</v>
      </c>
      <c r="G67" s="43">
        <v>0.1</v>
      </c>
      <c r="I67" s="31">
        <f>M52</f>
        <v>0</v>
      </c>
      <c r="M67" s="31">
        <f t="shared" si="3"/>
        <v>0</v>
      </c>
    </row>
    <row r="68" ht="12.75" customHeight="1">
      <c r="C68" s="42"/>
      <c r="D68" s="42"/>
      <c r="G68" s="30"/>
    </row>
    <row r="69" ht="12.75" customHeight="1">
      <c r="C69" s="42" t="s">
        <v>52</v>
      </c>
      <c r="G69" s="44">
        <f>IF(I69=0,"N/A",M69/I69)</f>
        <v>0.2889122702</v>
      </c>
      <c r="I69" s="31">
        <f>M55</f>
        <v>106138.7609</v>
      </c>
      <c r="M69" s="34">
        <f>SUM(M64:M67)</f>
        <v>30664.79037</v>
      </c>
    </row>
    <row r="70" ht="12.75" customHeight="1">
      <c r="G70" s="30"/>
    </row>
    <row r="71" ht="12.75" customHeight="1">
      <c r="G71" s="30"/>
    </row>
    <row r="72" ht="12.75" customHeight="1">
      <c r="C72" s="40" t="s">
        <v>53</v>
      </c>
      <c r="D72" s="22"/>
      <c r="G72" s="43">
        <v>0.2</v>
      </c>
      <c r="I72" s="31">
        <f>I69</f>
        <v>106138.7609</v>
      </c>
      <c r="M72" s="34">
        <f>G72*I72</f>
        <v>21227.75218</v>
      </c>
    </row>
    <row r="73" ht="12.75" customHeight="1"/>
    <row r="74" ht="12.75" customHeight="1"/>
    <row r="75" ht="12.75" customHeight="1">
      <c r="B75" s="23" t="s">
        <v>54</v>
      </c>
    </row>
    <row r="76" ht="12.75" customHeight="1"/>
    <row r="77" ht="12.75" customHeight="1">
      <c r="C77" s="23" t="s">
        <v>55</v>
      </c>
      <c r="M77" s="39">
        <f>M55+M72</f>
        <v>127366.5131</v>
      </c>
    </row>
    <row r="78" ht="12.75" customHeight="1"/>
    <row r="79" ht="12.75" customHeight="1">
      <c r="C79" s="23" t="s">
        <v>56</v>
      </c>
      <c r="G79" s="43">
        <v>0.16</v>
      </c>
      <c r="M79" s="39">
        <f>M77*(1+G79)</f>
        <v>147745.1552</v>
      </c>
    </row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7">
    <mergeCell ref="C1:M2"/>
    <mergeCell ref="C4:M5"/>
    <mergeCell ref="A7:B7"/>
    <mergeCell ref="C7:F7"/>
    <mergeCell ref="H7:J7"/>
    <mergeCell ref="K7:M7"/>
    <mergeCell ref="A8:B8"/>
    <mergeCell ref="K8:M8"/>
    <mergeCell ref="C8:F8"/>
    <mergeCell ref="H8:I8"/>
    <mergeCell ref="A10:B10"/>
    <mergeCell ref="C10:F10"/>
    <mergeCell ref="H10:I10"/>
    <mergeCell ref="K10:M10"/>
    <mergeCell ref="H12:K12"/>
    <mergeCell ref="C65:D65"/>
    <mergeCell ref="C66:D66"/>
    <mergeCell ref="C67:D67"/>
    <mergeCell ref="C69:D69"/>
    <mergeCell ref="C72:D72"/>
    <mergeCell ref="H13:I13"/>
    <mergeCell ref="H14:I14"/>
    <mergeCell ref="A16:M16"/>
    <mergeCell ref="A58:M58"/>
    <mergeCell ref="C62:D62"/>
    <mergeCell ref="L62:M62"/>
    <mergeCell ref="C64:D6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29"/>
    <col customWidth="1" min="3" max="3" width="3.57"/>
    <col customWidth="1" min="4" max="15" width="9.86"/>
    <col customWidth="1" min="16" max="16" width="2.0"/>
    <col customWidth="1" min="17" max="18" width="10.71"/>
    <col customWidth="1" min="19" max="26" width="10.0"/>
  </cols>
  <sheetData>
    <row r="1" ht="20.25" customHeight="1">
      <c r="C1" s="45"/>
      <c r="D1" s="46"/>
      <c r="E1" s="46"/>
      <c r="F1" s="45"/>
      <c r="G1" s="46"/>
      <c r="H1" s="47" t="s">
        <v>57</v>
      </c>
      <c r="I1" s="46"/>
      <c r="J1" s="46"/>
      <c r="K1" s="46"/>
      <c r="L1" s="46"/>
      <c r="M1" s="46"/>
      <c r="N1" s="46"/>
      <c r="O1" s="46"/>
      <c r="P1" s="46"/>
      <c r="Q1" s="46"/>
      <c r="R1" s="46"/>
    </row>
    <row r="2" ht="18.0" customHeight="1"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ht="12.75" customHeight="1"/>
    <row r="4" ht="12.75" customHeight="1"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ht="12.75" customHeight="1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ht="12.75" customHeight="1">
      <c r="J6" s="15"/>
      <c r="K6" s="15"/>
      <c r="L6" s="15"/>
      <c r="M6" s="15"/>
    </row>
    <row r="7" ht="12.75" customHeight="1">
      <c r="A7" s="8" t="s">
        <v>1</v>
      </c>
      <c r="C7" s="14" t="str">
        <f>'Estimación'!C7</f>
        <v>MEJORA DE LA PÁGINA WEB</v>
      </c>
      <c r="H7" s="8" t="s">
        <v>3</v>
      </c>
      <c r="J7" s="14" t="str">
        <f>'Estimación'!K7</f>
        <v/>
      </c>
    </row>
    <row r="8" ht="12.75" customHeight="1">
      <c r="A8" s="8" t="s">
        <v>4</v>
      </c>
      <c r="C8" s="14" t="str">
        <f>'Estimación'!C8</f>
        <v>MULTICINES SA</v>
      </c>
      <c r="H8" s="8" t="s">
        <v>6</v>
      </c>
      <c r="J8" s="14" t="str">
        <f>'Estimación'!K8</f>
        <v/>
      </c>
    </row>
    <row r="9" ht="12.75" customHeight="1">
      <c r="J9" s="15"/>
      <c r="K9" s="15"/>
      <c r="L9" s="15"/>
      <c r="M9" s="15"/>
    </row>
    <row r="10" ht="12.75" customHeight="1">
      <c r="A10" s="8" t="s">
        <v>7</v>
      </c>
      <c r="C10" s="48">
        <f>'Estimación'!C10</f>
        <v>44249</v>
      </c>
      <c r="H10" s="8" t="s">
        <v>8</v>
      </c>
      <c r="J10" s="49">
        <f>'Estimación'!K10</f>
        <v>40845</v>
      </c>
    </row>
    <row r="11" ht="12.75" customHeight="1">
      <c r="J11" s="15"/>
      <c r="K11" s="15"/>
      <c r="L11" s="15"/>
      <c r="M11" s="15"/>
    </row>
    <row r="12" ht="12.75" customHeight="1">
      <c r="A12" s="8" t="s">
        <v>58</v>
      </c>
      <c r="C12" s="14"/>
      <c r="D12" s="16">
        <v>44295.0</v>
      </c>
      <c r="E12" s="10"/>
      <c r="F12" s="11"/>
      <c r="M12" s="8" t="s">
        <v>59</v>
      </c>
      <c r="Q12" s="18">
        <f>'Estimación'!L12</f>
        <v>127366.5131</v>
      </c>
      <c r="R12" s="19" t="s">
        <v>10</v>
      </c>
    </row>
    <row r="13" ht="12.75" customHeight="1">
      <c r="M13" s="8" t="s">
        <v>11</v>
      </c>
      <c r="Q13" s="18">
        <f>'Estimación'!L13</f>
        <v>1561</v>
      </c>
      <c r="R13" s="19" t="s">
        <v>12</v>
      </c>
    </row>
    <row r="14" ht="12.75" customHeight="1">
      <c r="M14" s="8" t="s">
        <v>13</v>
      </c>
      <c r="Q14" s="18">
        <f>'Estimación'!L14</f>
        <v>20</v>
      </c>
      <c r="R14" s="19" t="s">
        <v>14</v>
      </c>
    </row>
    <row r="15" ht="12.75" customHeight="1"/>
    <row r="16" ht="12.75" customHeight="1">
      <c r="M16" s="23" t="s">
        <v>60</v>
      </c>
      <c r="R16" s="50">
        <v>0.03</v>
      </c>
    </row>
    <row r="17" ht="12.75" customHeight="1">
      <c r="M17" s="23" t="s">
        <v>61</v>
      </c>
      <c r="R17" s="50">
        <v>0.085</v>
      </c>
    </row>
    <row r="18" ht="12.75" customHeight="1"/>
    <row r="19" ht="12.75" customHeight="1">
      <c r="A19" s="51" t="s">
        <v>62</v>
      </c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</row>
    <row r="20" ht="12.75" customHeight="1"/>
    <row r="21" ht="12.75" customHeight="1"/>
    <row r="22" ht="12.75" customHeight="1">
      <c r="B22" s="24" t="s">
        <v>63</v>
      </c>
      <c r="D22" s="52" t="s">
        <v>64</v>
      </c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2"/>
      <c r="Q22" s="52" t="s">
        <v>65</v>
      </c>
      <c r="R22" s="22"/>
    </row>
    <row r="23" ht="12.75" customHeight="1">
      <c r="D23" s="53" t="s">
        <v>66</v>
      </c>
      <c r="E23" s="53" t="s">
        <v>67</v>
      </c>
      <c r="F23" s="53" t="s">
        <v>68</v>
      </c>
      <c r="G23" s="53" t="s">
        <v>69</v>
      </c>
      <c r="H23" s="53" t="s">
        <v>70</v>
      </c>
      <c r="I23" s="53" t="s">
        <v>71</v>
      </c>
      <c r="J23" s="53" t="s">
        <v>72</v>
      </c>
      <c r="K23" s="53" t="s">
        <v>73</v>
      </c>
      <c r="L23" s="53" t="s">
        <v>74</v>
      </c>
      <c r="M23" s="53" t="s">
        <v>75</v>
      </c>
      <c r="N23" s="53" t="s">
        <v>76</v>
      </c>
      <c r="O23" s="53" t="s">
        <v>77</v>
      </c>
      <c r="Q23" s="54" t="s">
        <v>78</v>
      </c>
      <c r="R23" s="54" t="s">
        <v>79</v>
      </c>
    </row>
    <row r="24" ht="12.75" customHeight="1"/>
    <row r="25" ht="12.75" customHeight="1">
      <c r="B25" s="27" t="s">
        <v>80</v>
      </c>
      <c r="D25" s="55">
        <v>12.0</v>
      </c>
      <c r="E25" s="55">
        <v>80.0</v>
      </c>
      <c r="F25" s="55">
        <v>80.0</v>
      </c>
      <c r="G25" s="55">
        <v>60.0</v>
      </c>
      <c r="H25" s="55">
        <v>60.0</v>
      </c>
      <c r="I25" s="55">
        <v>60.0</v>
      </c>
      <c r="J25" s="55">
        <v>200.0</v>
      </c>
      <c r="K25" s="55">
        <v>200.0</v>
      </c>
      <c r="L25" s="55">
        <v>300.0</v>
      </c>
      <c r="M25" s="55">
        <v>100.0</v>
      </c>
      <c r="N25" s="35">
        <v>0.0</v>
      </c>
      <c r="O25" s="35">
        <v>0.0</v>
      </c>
      <c r="P25" s="31"/>
      <c r="Q25" s="31">
        <f t="shared" ref="Q25:Q30" si="1">SUM(D25:O25)</f>
        <v>1152</v>
      </c>
      <c r="R25" s="31">
        <f>'Estimación'!E22</f>
        <v>278</v>
      </c>
    </row>
    <row r="26" ht="12.75" customHeight="1">
      <c r="B26" s="27" t="s">
        <v>81</v>
      </c>
      <c r="D26" s="55">
        <v>13.0</v>
      </c>
      <c r="E26" s="55">
        <v>80.0</v>
      </c>
      <c r="F26" s="55">
        <v>70.0</v>
      </c>
      <c r="G26" s="55">
        <v>60.0</v>
      </c>
      <c r="H26" s="55">
        <v>60.0</v>
      </c>
      <c r="I26" s="55">
        <v>60.0</v>
      </c>
      <c r="J26" s="55">
        <v>300.0</v>
      </c>
      <c r="K26" s="55">
        <v>300.0</v>
      </c>
      <c r="L26" s="55">
        <v>200.0</v>
      </c>
      <c r="M26" s="55">
        <v>80.0</v>
      </c>
      <c r="N26" s="35">
        <v>0.0</v>
      </c>
      <c r="O26" s="35">
        <v>0.0</v>
      </c>
      <c r="P26" s="31"/>
      <c r="Q26" s="31">
        <f t="shared" si="1"/>
        <v>1223</v>
      </c>
      <c r="R26" s="31">
        <f>'Estimación'!E23</f>
        <v>270</v>
      </c>
    </row>
    <row r="27" ht="12.75" customHeight="1">
      <c r="B27" s="27" t="s">
        <v>82</v>
      </c>
      <c r="D27" s="55">
        <v>20.0</v>
      </c>
      <c r="E27" s="55">
        <v>90.0</v>
      </c>
      <c r="F27" s="55">
        <v>80.0</v>
      </c>
      <c r="G27" s="55">
        <v>60.0</v>
      </c>
      <c r="H27" s="55">
        <v>60.0</v>
      </c>
      <c r="I27" s="55">
        <v>60.0</v>
      </c>
      <c r="J27" s="55">
        <v>200.0</v>
      </c>
      <c r="K27" s="55">
        <v>200.0</v>
      </c>
      <c r="L27" s="55">
        <v>300.0</v>
      </c>
      <c r="M27" s="55">
        <v>80.0</v>
      </c>
      <c r="N27" s="35">
        <v>0.0</v>
      </c>
      <c r="O27" s="35">
        <v>0.0</v>
      </c>
      <c r="P27" s="31"/>
      <c r="Q27" s="31">
        <f t="shared" si="1"/>
        <v>1150</v>
      </c>
      <c r="R27" s="31">
        <f>'Estimación'!E24</f>
        <v>278</v>
      </c>
    </row>
    <row r="28" ht="12.75" customHeight="1">
      <c r="B28" s="27" t="s">
        <v>83</v>
      </c>
      <c r="D28" s="55">
        <v>22.0</v>
      </c>
      <c r="E28" s="55">
        <v>80.0</v>
      </c>
      <c r="F28" s="55">
        <v>80.0</v>
      </c>
      <c r="G28" s="55">
        <v>44.0</v>
      </c>
      <c r="H28" s="55">
        <v>44.0</v>
      </c>
      <c r="I28" s="55">
        <v>44.0</v>
      </c>
      <c r="J28" s="55">
        <v>300.0</v>
      </c>
      <c r="K28" s="55">
        <v>300.0</v>
      </c>
      <c r="L28" s="55">
        <v>300.0</v>
      </c>
      <c r="M28" s="55">
        <v>100.0</v>
      </c>
      <c r="N28" s="35">
        <v>0.0</v>
      </c>
      <c r="O28" s="35">
        <v>0.0</v>
      </c>
      <c r="P28" s="31"/>
      <c r="Q28" s="31">
        <f t="shared" si="1"/>
        <v>1314</v>
      </c>
      <c r="R28" s="31">
        <f>'Estimación'!E25</f>
        <v>258</v>
      </c>
    </row>
    <row r="29" ht="12.75" customHeight="1">
      <c r="B29" s="27" t="s">
        <v>84</v>
      </c>
      <c r="D29" s="35">
        <v>37.0</v>
      </c>
      <c r="E29" s="55">
        <v>64.0</v>
      </c>
      <c r="F29" s="55">
        <v>40.0</v>
      </c>
      <c r="G29" s="55">
        <v>40.0</v>
      </c>
      <c r="H29" s="55">
        <v>40.0</v>
      </c>
      <c r="I29" s="55">
        <v>40.0</v>
      </c>
      <c r="J29" s="55">
        <v>200.0</v>
      </c>
      <c r="K29" s="55">
        <v>200.0</v>
      </c>
      <c r="L29" s="55">
        <v>200.0</v>
      </c>
      <c r="M29" s="55">
        <v>100.0</v>
      </c>
      <c r="N29" s="35">
        <v>0.0</v>
      </c>
      <c r="O29" s="35">
        <v>0.0</v>
      </c>
      <c r="P29" s="31"/>
      <c r="Q29" s="31">
        <f t="shared" si="1"/>
        <v>961</v>
      </c>
      <c r="R29" s="31">
        <f>'Estimación'!E26</f>
        <v>222</v>
      </c>
    </row>
    <row r="30" ht="12.75" customHeight="1">
      <c r="B30" s="27" t="s">
        <v>85</v>
      </c>
      <c r="D30" s="55">
        <v>24.0</v>
      </c>
      <c r="E30" s="55">
        <v>80.0</v>
      </c>
      <c r="F30" s="55">
        <v>82.0</v>
      </c>
      <c r="G30" s="55">
        <v>56.0</v>
      </c>
      <c r="H30" s="55">
        <v>56.0</v>
      </c>
      <c r="I30" s="55">
        <v>56.0</v>
      </c>
      <c r="J30" s="55">
        <v>300.0</v>
      </c>
      <c r="K30" s="55">
        <v>300.0</v>
      </c>
      <c r="L30" s="55">
        <v>200.0</v>
      </c>
      <c r="M30" s="55">
        <v>52.0</v>
      </c>
      <c r="N30" s="35">
        <v>0.0</v>
      </c>
      <c r="O30" s="35">
        <v>0.0</v>
      </c>
      <c r="P30" s="31"/>
      <c r="Q30" s="31">
        <f t="shared" si="1"/>
        <v>1206</v>
      </c>
      <c r="R30" s="31">
        <f>'Estimación'!E27</f>
        <v>255</v>
      </c>
    </row>
    <row r="31" ht="12.75" customHeight="1"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</row>
    <row r="32" ht="12.75" customHeight="1">
      <c r="B32" s="23" t="s">
        <v>86</v>
      </c>
      <c r="D32" s="31">
        <f t="shared" ref="D32:O32" si="2">SUM(D25:D30)</f>
        <v>128</v>
      </c>
      <c r="E32" s="31">
        <f t="shared" si="2"/>
        <v>474</v>
      </c>
      <c r="F32" s="31">
        <f t="shared" si="2"/>
        <v>432</v>
      </c>
      <c r="G32" s="31">
        <f t="shared" si="2"/>
        <v>320</v>
      </c>
      <c r="H32" s="31">
        <f t="shared" si="2"/>
        <v>320</v>
      </c>
      <c r="I32" s="31">
        <f t="shared" si="2"/>
        <v>320</v>
      </c>
      <c r="J32" s="31">
        <f t="shared" si="2"/>
        <v>1500</v>
      </c>
      <c r="K32" s="31">
        <f t="shared" si="2"/>
        <v>1500</v>
      </c>
      <c r="L32" s="31">
        <f t="shared" si="2"/>
        <v>1500</v>
      </c>
      <c r="M32" s="31">
        <f t="shared" si="2"/>
        <v>512</v>
      </c>
      <c r="N32" s="31">
        <f t="shared" si="2"/>
        <v>0</v>
      </c>
      <c r="O32" s="31">
        <f t="shared" si="2"/>
        <v>0</v>
      </c>
      <c r="P32" s="31"/>
      <c r="Q32" s="31">
        <f t="shared" ref="Q32:R32" si="3">SUM(Q25:Q30)</f>
        <v>7006</v>
      </c>
      <c r="R32" s="31">
        <f t="shared" si="3"/>
        <v>1561</v>
      </c>
    </row>
    <row r="33" ht="12.75" customHeight="1"/>
    <row r="34" ht="12.75" customHeight="1"/>
    <row r="35" ht="12.75" customHeight="1">
      <c r="B35" s="27" t="s">
        <v>87</v>
      </c>
      <c r="D35" s="31">
        <f>D25*'Estimación'!$G$22*'Estimación'!$I$22+D26*'Estimación'!$G$23*'Estimación'!$I$23+D27*'Estimación'!$G$24*'Estimación'!$I$24+Plan_Financiero!D28*'Estimación'!$G$25*'Estimación'!$I$25+Plan_Financiero!D29*'Estimación'!$G$26*'Estimación'!$I$26+Plan_Financiero!D30*'Estimación'!$G$27*'Estimación'!$I$27</f>
        <v>6215.0257</v>
      </c>
      <c r="E35" s="31">
        <f>E25*'Estimación'!$G$22*'Estimación'!$I$22+E26*'Estimación'!$G$23*'Estimación'!$I$23+E27*'Estimación'!$G$24*'Estimación'!$I$24+Plan_Financiero!E28*'Estimación'!$G$25*'Estimación'!$I$25+Plan_Financiero!E29*'Estimación'!$G$26*'Estimación'!$I$26+Plan_Financiero!E30*'Estimación'!$G$27*'Estimación'!$I$27</f>
        <v>29056.6432</v>
      </c>
      <c r="F35" s="31">
        <f>F25*'Estimación'!$G$22*'Estimación'!$I$22+F26*'Estimación'!$G$23*'Estimación'!$I$23+F27*'Estimación'!$G$24*'Estimación'!$I$24+Plan_Financiero!F28*'Estimación'!$G$25*'Estimación'!$I$25+Plan_Financiero!F29*'Estimación'!$G$26*'Estimación'!$I$26+Plan_Financiero!F30*'Estimación'!$G$27*'Estimación'!$I$27</f>
        <v>26953.1678</v>
      </c>
      <c r="G35" s="31">
        <f>G25*'Estimación'!$G$22*'Estimación'!$I$22+G26*'Estimación'!$G$23*'Estimación'!$I$23+G27*'Estimación'!$G$24*'Estimación'!$I$24+Plan_Financiero!G28*'Estimación'!$G$25*'Estimación'!$I$25+Plan_Financiero!G29*'Estimación'!$G$26*'Estimación'!$I$26+Plan_Financiero!G30*'Estimación'!$G$27*'Estimación'!$I$27</f>
        <v>20462.6552</v>
      </c>
      <c r="H35" s="31">
        <f>H25*'Estimación'!$G$22*'Estimación'!$I$22+H26*'Estimación'!$G$23*'Estimación'!$I$23+H27*'Estimación'!$G$24*'Estimación'!$I$24+Plan_Financiero!H28*'Estimación'!$G$25*'Estimación'!$I$25+Plan_Financiero!H29*'Estimación'!$G$26*'Estimación'!$I$26+Plan_Financiero!H30*'Estimación'!$G$27*'Estimación'!$I$27</f>
        <v>20462.6552</v>
      </c>
      <c r="I35" s="31">
        <f>I25*'Estimación'!$G$22*'Estimación'!$I$22+I26*'Estimación'!$G$23*'Estimación'!$I$23+I27*'Estimación'!$G$24*'Estimación'!$I$24+Plan_Financiero!I28*'Estimación'!$G$25*'Estimación'!$I$25+Plan_Financiero!I29*'Estimación'!$G$26*'Estimación'!$I$26+Plan_Financiero!I30*'Estimación'!$G$27*'Estimación'!$I$27</f>
        <v>20462.6552</v>
      </c>
      <c r="J35" s="31">
        <f>J25*'Estimación'!$G$22*'Estimación'!$I$22+J26*'Estimación'!$G$23*'Estimación'!$I$23+J27*'Estimación'!$G$24*'Estimación'!$I$24+Plan_Financiero!J28*'Estimación'!$G$25*'Estimación'!$I$25+Plan_Financiero!J29*'Estimación'!$G$26*'Estimación'!$I$26+Plan_Financiero!J30*'Estimación'!$G$27*'Estimación'!$I$27</f>
        <v>86119.02</v>
      </c>
      <c r="K35" s="31">
        <f>K25*'Estimación'!$G$22*'Estimación'!$I$22+K26*'Estimación'!$G$23*'Estimación'!$I$23+K27*'Estimación'!$G$24*'Estimación'!$I$24+Plan_Financiero!K28*'Estimación'!$G$25*'Estimación'!$I$25+Plan_Financiero!K29*'Estimación'!$G$26*'Estimación'!$I$26+Plan_Financiero!K30*'Estimación'!$G$27*'Estimación'!$I$27</f>
        <v>86119.02</v>
      </c>
      <c r="L35" s="31">
        <f>L25*'Estimación'!$G$22*'Estimación'!$I$22+L26*'Estimación'!$G$23*'Estimación'!$I$23+L27*'Estimación'!$G$24*'Estimación'!$I$24+Plan_Financiero!L28*'Estimación'!$G$25*'Estimación'!$I$25+Plan_Financiero!L29*'Estimación'!$G$26*'Estimación'!$I$26+Plan_Financiero!L30*'Estimación'!$G$27*'Estimación'!$I$27</f>
        <v>95388.67</v>
      </c>
      <c r="M35" s="31">
        <f>M25*'Estimación'!$G$22*'Estimación'!$I$22+M26*'Estimación'!$G$23*'Estimación'!$I$23+M27*'Estimación'!$G$24*'Estimación'!$I$24+Plan_Financiero!M28*'Estimación'!$G$25*'Estimación'!$I$25+Plan_Financiero!M29*'Estimación'!$G$26*'Estimación'!$I$26+Plan_Financiero!M30*'Estimación'!$G$27*'Estimación'!$I$27</f>
        <v>32450.2308</v>
      </c>
      <c r="N35" s="31">
        <f>N25*'Estimación'!$G$22*'Estimación'!$I$22+N26*'Estimación'!$G$23*'Estimación'!$I$23+N27*'Estimación'!$G$24*'Estimación'!$I$24+Plan_Financiero!N28*'Estimación'!$G$25*'Estimación'!$I$25+Plan_Financiero!N29*'Estimación'!$G$26*'Estimación'!$I$26+Plan_Financiero!N30*'Estimación'!$G$27*'Estimación'!$I$27</f>
        <v>0</v>
      </c>
      <c r="O35" s="31">
        <f>O25*'Estimación'!$G$22*'Estimación'!$I$22+O26*'Estimación'!$G$23*'Estimación'!$I$23+O27*'Estimación'!$G$24*'Estimación'!$I$24+Plan_Financiero!O28*'Estimación'!$G$25*'Estimación'!$I$25+Plan_Financiero!O29*'Estimación'!$G$26*'Estimación'!$I$26+Plan_Financiero!O30*'Estimación'!$G$27*'Estimación'!$I$27</f>
        <v>0</v>
      </c>
      <c r="P35" s="31"/>
      <c r="Q35" s="31">
        <f t="shared" ref="Q35:Q43" si="4">SUM(D35:O35)</f>
        <v>423689.7431</v>
      </c>
      <c r="R35" s="31">
        <f>'Estimación'!M22/(1+'Estimación'!K22)+'Estimación'!M23/(1+'Estimación'!K23)+'Estimación'!M24/(1+'Estimación'!K24)+'Estimación'!M25/(1+'Estimación'!K25)+'Estimación'!M26/(1+'Estimación'!K26)+'Estimación'!M27/(1+'Estimación'!K27)</f>
        <v>97097.4966</v>
      </c>
    </row>
    <row r="36" ht="12.75" customHeight="1">
      <c r="B36" s="27" t="s">
        <v>88</v>
      </c>
      <c r="D36" s="35">
        <v>0.0</v>
      </c>
      <c r="E36" s="35">
        <v>0.0</v>
      </c>
      <c r="F36" s="35">
        <v>0.0</v>
      </c>
      <c r="G36" s="35">
        <v>0.0</v>
      </c>
      <c r="H36" s="35">
        <v>0.0</v>
      </c>
      <c r="I36" s="35">
        <v>0.0</v>
      </c>
      <c r="J36" s="35">
        <v>0.0</v>
      </c>
      <c r="K36" s="35">
        <v>0.0</v>
      </c>
      <c r="L36" s="35">
        <v>0.0</v>
      </c>
      <c r="M36" s="35">
        <v>0.0</v>
      </c>
      <c r="N36" s="35">
        <v>0.0</v>
      </c>
      <c r="O36" s="35">
        <v>0.0</v>
      </c>
      <c r="P36" s="31"/>
      <c r="Q36" s="31">
        <f t="shared" si="4"/>
        <v>0</v>
      </c>
      <c r="R36" s="31">
        <f>'Estimación'!M36/(1+'Estimación'!K36)</f>
        <v>0</v>
      </c>
    </row>
    <row r="37" ht="12.75" customHeight="1">
      <c r="B37" s="27" t="s">
        <v>89</v>
      </c>
      <c r="D37" s="35">
        <v>600.0</v>
      </c>
      <c r="E37" s="35">
        <v>100.0</v>
      </c>
      <c r="F37" s="35">
        <v>100.0</v>
      </c>
      <c r="G37" s="35">
        <v>500.0</v>
      </c>
      <c r="H37" s="55">
        <v>300.0</v>
      </c>
      <c r="I37" s="55">
        <v>400.0</v>
      </c>
      <c r="J37" s="55">
        <v>100.0</v>
      </c>
      <c r="K37" s="55">
        <v>200.0</v>
      </c>
      <c r="L37" s="55">
        <v>400.0</v>
      </c>
      <c r="M37" s="55">
        <v>500.0</v>
      </c>
      <c r="N37" s="35">
        <v>0.0</v>
      </c>
      <c r="O37" s="35">
        <v>0.0</v>
      </c>
      <c r="P37" s="31"/>
      <c r="Q37" s="31">
        <f t="shared" si="4"/>
        <v>3200</v>
      </c>
      <c r="R37" s="31" t="str">
        <f>'Estimación'!M48</f>
        <v/>
      </c>
    </row>
    <row r="38" ht="12.75" customHeight="1">
      <c r="B38" s="27" t="s">
        <v>90</v>
      </c>
      <c r="D38" s="56">
        <f>IF(Plan_Financiero!$Q$32=0,"",'Estimación'!$M$40/(1+'Estimación'!$K$40)*(Plan_Financiero!D32/Plan_Financiero!$Q$32))</f>
        <v>66.73575792</v>
      </c>
      <c r="E38" s="56">
        <f>IF(Plan_Financiero!$Q$32=0,"",'Estimación'!$M$40/(1+'Estimación'!$K$40)*(Plan_Financiero!E32/Plan_Financiero!$Q$32))</f>
        <v>247.1308536</v>
      </c>
      <c r="F38" s="56">
        <f>IF(Plan_Financiero!$Q$32=0,"",'Estimación'!$M$40/(1+'Estimación'!$K$40)*(Plan_Financiero!F32/Plan_Financiero!$Q$32))</f>
        <v>225.233183</v>
      </c>
      <c r="G38" s="56">
        <f>IF(Plan_Financiero!$Q$32=0,"",'Estimación'!$M$40/(1+'Estimación'!$K$40)*(Plan_Financiero!G32/Plan_Financiero!$Q$32))</f>
        <v>166.8393948</v>
      </c>
      <c r="H38" s="56">
        <f>IF(Plan_Financiero!$Q$32=0,"",'Estimación'!$M$40/(1+'Estimación'!$K$40)*(Plan_Financiero!H32/Plan_Financiero!$Q$32))</f>
        <v>166.8393948</v>
      </c>
      <c r="I38" s="56">
        <f>IF(Plan_Financiero!$Q$32=0,"",'Estimación'!$M$40/(1+'Estimación'!$K$40)*(Plan_Financiero!I32/Plan_Financiero!$Q$32))</f>
        <v>166.8393948</v>
      </c>
      <c r="J38" s="56">
        <f>IF(Plan_Financiero!$Q$32=0,"",'Estimación'!$M$40/(1+'Estimación'!$K$40)*(Plan_Financiero!J32/Plan_Financiero!$Q$32))</f>
        <v>782.0596631</v>
      </c>
      <c r="K38" s="56">
        <f>IF(Plan_Financiero!$Q$32=0,"",'Estimación'!$M$40/(1+'Estimación'!$K$40)*(Plan_Financiero!K32/Plan_Financiero!$Q$32))</f>
        <v>782.0596631</v>
      </c>
      <c r="L38" s="56">
        <f>IF(Plan_Financiero!$Q$32=0,"",'Estimación'!$M$40/(1+'Estimación'!$K$40)*(Plan_Financiero!L32/Plan_Financiero!$Q$32))</f>
        <v>782.0596631</v>
      </c>
      <c r="M38" s="56">
        <f>IF(Plan_Financiero!$Q$32=0,"",'Estimación'!$M$40/(1+'Estimación'!$K$40)*(Plan_Financiero!M32/Plan_Financiero!$Q$32))</f>
        <v>266.9430317</v>
      </c>
      <c r="N38" s="56">
        <f>IF(Plan_Financiero!$Q$32=0,"",'Estimación'!$M$40/(1+'Estimación'!$K$40)*(Plan_Financiero!N32/Plan_Financiero!$Q$32))</f>
        <v>0</v>
      </c>
      <c r="O38" s="56">
        <f>IF(Plan_Financiero!$Q$32=0,"",'Estimación'!$M$40/(1+'Estimación'!$K$40)*(Plan_Financiero!O32/Plan_Financiero!$Q$32))</f>
        <v>0</v>
      </c>
      <c r="P38" s="31"/>
      <c r="Q38" s="31">
        <f t="shared" si="4"/>
        <v>3652.74</v>
      </c>
      <c r="R38" s="31">
        <f>'Estimación'!M40/(1+'Estimación'!K40)</f>
        <v>3652.74</v>
      </c>
    </row>
    <row r="39" ht="12.75" customHeight="1">
      <c r="B39" s="27" t="s">
        <v>91</v>
      </c>
      <c r="D39" s="35">
        <v>500.0</v>
      </c>
      <c r="E39" s="35">
        <v>500.0</v>
      </c>
      <c r="F39" s="35">
        <v>1000.0</v>
      </c>
      <c r="G39" s="35">
        <v>800.0</v>
      </c>
      <c r="H39" s="55">
        <v>400.0</v>
      </c>
      <c r="I39" s="55">
        <v>500.0</v>
      </c>
      <c r="J39" s="55">
        <v>800.0</v>
      </c>
      <c r="K39" s="55">
        <v>1000.0</v>
      </c>
      <c r="L39" s="55">
        <v>400.0</v>
      </c>
      <c r="M39" s="55">
        <v>500.0</v>
      </c>
      <c r="N39" s="35">
        <v>0.0</v>
      </c>
      <c r="O39" s="55">
        <v>214.0</v>
      </c>
      <c r="P39" s="31"/>
      <c r="Q39" s="31">
        <f t="shared" si="4"/>
        <v>6614</v>
      </c>
      <c r="R39" s="31">
        <f>'Estimación'!M41/(1+'Estimación'!K41)</f>
        <v>1170.75</v>
      </c>
    </row>
    <row r="40" ht="12.75" customHeight="1">
      <c r="B40" s="27" t="s">
        <v>92</v>
      </c>
      <c r="D40" s="35">
        <v>500.0</v>
      </c>
      <c r="E40" s="35">
        <v>500.0</v>
      </c>
      <c r="F40" s="35">
        <v>500.0</v>
      </c>
      <c r="G40" s="35">
        <v>500.0</v>
      </c>
      <c r="H40" s="55">
        <v>500.0</v>
      </c>
      <c r="I40" s="55">
        <v>500.0</v>
      </c>
      <c r="J40" s="55">
        <v>500.0</v>
      </c>
      <c r="K40" s="55">
        <v>500.0</v>
      </c>
      <c r="L40" s="55">
        <v>500.0</v>
      </c>
      <c r="M40" s="55">
        <v>500.0</v>
      </c>
      <c r="N40" s="55">
        <v>420.0</v>
      </c>
      <c r="O40" s="55">
        <v>241.0</v>
      </c>
      <c r="P40" s="31"/>
      <c r="Q40" s="31">
        <f t="shared" si="4"/>
        <v>5661</v>
      </c>
      <c r="R40" s="31">
        <f>'Estimación'!M42/(1+'Estimación'!K42)</f>
        <v>780.5</v>
      </c>
    </row>
    <row r="41" ht="12.75" customHeight="1">
      <c r="B41" s="27" t="s">
        <v>93</v>
      </c>
      <c r="D41" s="55">
        <v>600.0</v>
      </c>
      <c r="E41" s="55">
        <v>600.0</v>
      </c>
      <c r="F41" s="55">
        <v>500.0</v>
      </c>
      <c r="G41" s="55">
        <v>500.0</v>
      </c>
      <c r="H41" s="55">
        <v>300.0</v>
      </c>
      <c r="I41" s="55">
        <v>300.0</v>
      </c>
      <c r="J41" s="55">
        <v>300.0</v>
      </c>
      <c r="K41" s="35">
        <v>0.0</v>
      </c>
      <c r="L41" s="35">
        <v>0.0</v>
      </c>
      <c r="M41" s="55">
        <v>500.0</v>
      </c>
      <c r="N41" s="35">
        <v>0.0</v>
      </c>
      <c r="O41" s="55">
        <v>754.0</v>
      </c>
      <c r="P41" s="31"/>
      <c r="Q41" s="31">
        <f t="shared" si="4"/>
        <v>4354</v>
      </c>
      <c r="R41" s="31">
        <f>'Estimación'!M49</f>
        <v>0</v>
      </c>
    </row>
    <row r="42" ht="12.75" customHeight="1">
      <c r="B42" s="27" t="s">
        <v>94</v>
      </c>
      <c r="D42" s="35">
        <v>0.0</v>
      </c>
      <c r="E42" s="55">
        <v>51.0</v>
      </c>
      <c r="F42" s="35">
        <v>0.0</v>
      </c>
      <c r="G42" s="55">
        <v>95.0</v>
      </c>
      <c r="H42" s="55">
        <v>0.0</v>
      </c>
      <c r="I42" s="55">
        <v>87.0</v>
      </c>
      <c r="J42" s="35">
        <v>0.0</v>
      </c>
      <c r="K42" s="55">
        <v>65.0</v>
      </c>
      <c r="L42" s="35">
        <v>0.0</v>
      </c>
      <c r="M42" s="35">
        <v>0.0</v>
      </c>
      <c r="N42" s="55">
        <v>64.0</v>
      </c>
      <c r="O42" s="55">
        <v>65.0</v>
      </c>
      <c r="P42" s="31"/>
      <c r="Q42" s="31">
        <f t="shared" si="4"/>
        <v>427</v>
      </c>
      <c r="R42" s="31" t="str">
        <f>'Estimación'!M50</f>
        <v/>
      </c>
    </row>
    <row r="43" ht="12.75" customHeight="1">
      <c r="B43" s="27" t="s">
        <v>95</v>
      </c>
      <c r="D43" s="35">
        <v>0.0</v>
      </c>
      <c r="E43" s="35">
        <v>0.0</v>
      </c>
      <c r="F43" s="35">
        <v>0.0</v>
      </c>
      <c r="G43" s="35">
        <v>0.0</v>
      </c>
      <c r="H43" s="55">
        <v>0.0</v>
      </c>
      <c r="I43" s="55">
        <v>0.0</v>
      </c>
      <c r="J43" s="35">
        <v>0.0</v>
      </c>
      <c r="K43" s="35">
        <v>0.0</v>
      </c>
      <c r="L43" s="35">
        <v>0.0</v>
      </c>
      <c r="M43" s="35">
        <v>0.0</v>
      </c>
      <c r="N43" s="35">
        <v>0.0</v>
      </c>
      <c r="O43" s="35">
        <v>0.0</v>
      </c>
      <c r="P43" s="31"/>
      <c r="Q43" s="31">
        <f t="shared" si="4"/>
        <v>0</v>
      </c>
      <c r="R43" s="31">
        <f>Cierre!F49</f>
        <v>2759.531914</v>
      </c>
    </row>
    <row r="44" ht="12.75" customHeight="1"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</row>
    <row r="45" ht="12.75" customHeight="1">
      <c r="B45" s="23" t="s">
        <v>96</v>
      </c>
      <c r="D45" s="31">
        <f t="shared" ref="D45:O45" si="5">SUM(D35:D43)</f>
        <v>8481.761458</v>
      </c>
      <c r="E45" s="31">
        <f t="shared" si="5"/>
        <v>31054.77405</v>
      </c>
      <c r="F45" s="31">
        <f t="shared" si="5"/>
        <v>29278.40098</v>
      </c>
      <c r="G45" s="31">
        <f t="shared" si="5"/>
        <v>23024.49459</v>
      </c>
      <c r="H45" s="31">
        <f t="shared" si="5"/>
        <v>22129.49459</v>
      </c>
      <c r="I45" s="31">
        <f t="shared" si="5"/>
        <v>22416.49459</v>
      </c>
      <c r="J45" s="31">
        <f t="shared" si="5"/>
        <v>88601.07966</v>
      </c>
      <c r="K45" s="31">
        <f t="shared" si="5"/>
        <v>88666.07966</v>
      </c>
      <c r="L45" s="31">
        <f t="shared" si="5"/>
        <v>97470.72966</v>
      </c>
      <c r="M45" s="31">
        <f t="shared" si="5"/>
        <v>34717.17383</v>
      </c>
      <c r="N45" s="31">
        <f t="shared" si="5"/>
        <v>484</v>
      </c>
      <c r="O45" s="31">
        <f t="shared" si="5"/>
        <v>1274</v>
      </c>
      <c r="P45" s="31"/>
      <c r="Q45" s="31">
        <f>SUM(D45:O45)</f>
        <v>447598.4831</v>
      </c>
      <c r="R45" s="31">
        <f>SUM(R35:R43)</f>
        <v>105461.0185</v>
      </c>
    </row>
    <row r="46" ht="12.75" customHeight="1">
      <c r="B46" s="23" t="s">
        <v>97</v>
      </c>
      <c r="D46" s="31">
        <f>D45</f>
        <v>8481.761458</v>
      </c>
      <c r="E46" s="31">
        <f t="shared" ref="E46:O46" si="6">E45+D46</f>
        <v>39536.53551</v>
      </c>
      <c r="F46" s="31">
        <f t="shared" si="6"/>
        <v>68814.93649</v>
      </c>
      <c r="G46" s="31">
        <f t="shared" si="6"/>
        <v>91839.43109</v>
      </c>
      <c r="H46" s="31">
        <f t="shared" si="6"/>
        <v>113968.9257</v>
      </c>
      <c r="I46" s="31">
        <f t="shared" si="6"/>
        <v>136385.4203</v>
      </c>
      <c r="J46" s="31">
        <f t="shared" si="6"/>
        <v>224986.4999</v>
      </c>
      <c r="K46" s="31">
        <f t="shared" si="6"/>
        <v>313652.5796</v>
      </c>
      <c r="L46" s="31">
        <f t="shared" si="6"/>
        <v>411123.3093</v>
      </c>
      <c r="M46" s="31">
        <f t="shared" si="6"/>
        <v>445840.4831</v>
      </c>
      <c r="N46" s="31">
        <f t="shared" si="6"/>
        <v>446324.4831</v>
      </c>
      <c r="O46" s="31">
        <f t="shared" si="6"/>
        <v>447598.4831</v>
      </c>
      <c r="P46" s="31"/>
      <c r="Q46" s="31"/>
      <c r="R46" s="31"/>
    </row>
    <row r="47" ht="12.75" customHeight="1"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</row>
    <row r="48" ht="12.75" customHeight="1"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</row>
    <row r="49" ht="12.75" customHeight="1">
      <c r="B49" s="23" t="s">
        <v>98</v>
      </c>
      <c r="D49" s="55">
        <v>0.0</v>
      </c>
      <c r="E49" s="55">
        <v>19610.0</v>
      </c>
      <c r="F49" s="55">
        <v>50000.0</v>
      </c>
      <c r="G49" s="55">
        <v>10000.0</v>
      </c>
      <c r="H49" s="55">
        <v>20000.0</v>
      </c>
      <c r="I49" s="55">
        <v>25000.0</v>
      </c>
      <c r="J49" s="55">
        <v>30000.0</v>
      </c>
      <c r="K49" s="55">
        <v>25000.0</v>
      </c>
      <c r="L49" s="55">
        <v>70000.0</v>
      </c>
      <c r="M49" s="55">
        <v>40000.0</v>
      </c>
      <c r="N49" s="55">
        <v>99990.0</v>
      </c>
      <c r="O49" s="55">
        <v>58020.0</v>
      </c>
      <c r="P49" s="57">
        <v>0.0</v>
      </c>
      <c r="Q49" s="31">
        <f>SUM(D49:P49)</f>
        <v>447620</v>
      </c>
      <c r="R49" s="31">
        <f>'Estimación'!M77</f>
        <v>127366.5131</v>
      </c>
    </row>
    <row r="50" ht="12.75" customHeight="1">
      <c r="B50" s="23" t="s">
        <v>99</v>
      </c>
      <c r="D50" s="31">
        <f>D49</f>
        <v>0</v>
      </c>
      <c r="E50" s="31">
        <f t="shared" ref="E50:I50" si="7">D50+E49</f>
        <v>19610</v>
      </c>
      <c r="F50" s="31">
        <f t="shared" si="7"/>
        <v>69610</v>
      </c>
      <c r="G50" s="31">
        <f t="shared" si="7"/>
        <v>79610</v>
      </c>
      <c r="H50" s="31">
        <f t="shared" si="7"/>
        <v>99610</v>
      </c>
      <c r="I50" s="31">
        <f t="shared" si="7"/>
        <v>124610</v>
      </c>
      <c r="J50" s="57">
        <v>0.0</v>
      </c>
      <c r="K50" s="31">
        <f t="shared" ref="K50:O50" si="8">J50+K49</f>
        <v>25000</v>
      </c>
      <c r="L50" s="31">
        <f t="shared" si="8"/>
        <v>95000</v>
      </c>
      <c r="M50" s="31">
        <f t="shared" si="8"/>
        <v>135000</v>
      </c>
      <c r="N50" s="31">
        <f t="shared" si="8"/>
        <v>234990</v>
      </c>
      <c r="O50" s="31">
        <f t="shared" si="8"/>
        <v>293010</v>
      </c>
      <c r="P50" s="31"/>
      <c r="Q50" s="31"/>
      <c r="R50" s="31"/>
    </row>
    <row r="51" ht="12.75" customHeight="1"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</row>
    <row r="52" ht="12.75" customHeight="1"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</row>
    <row r="53" ht="12.75" customHeight="1">
      <c r="A53" s="51" t="s">
        <v>100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</row>
    <row r="54" ht="12.75" customHeight="1"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ht="12.75" customHeight="1">
      <c r="B55" s="23" t="s">
        <v>101</v>
      </c>
      <c r="D55" s="31">
        <f t="shared" ref="D55:O55" si="9">D49-D45</f>
        <v>-8481.761458</v>
      </c>
      <c r="E55" s="31">
        <f t="shared" si="9"/>
        <v>-11444.77405</v>
      </c>
      <c r="F55" s="31">
        <f t="shared" si="9"/>
        <v>20721.59902</v>
      </c>
      <c r="G55" s="31">
        <f t="shared" si="9"/>
        <v>-13024.49459</v>
      </c>
      <c r="H55" s="31">
        <f t="shared" si="9"/>
        <v>-2129.494595</v>
      </c>
      <c r="I55" s="31">
        <f t="shared" si="9"/>
        <v>2583.505405</v>
      </c>
      <c r="J55" s="31">
        <f t="shared" si="9"/>
        <v>-58601.07966</v>
      </c>
      <c r="K55" s="31">
        <f t="shared" si="9"/>
        <v>-63666.07966</v>
      </c>
      <c r="L55" s="31">
        <f t="shared" si="9"/>
        <v>-27470.72966</v>
      </c>
      <c r="M55" s="31">
        <f t="shared" si="9"/>
        <v>5282.826168</v>
      </c>
      <c r="N55" s="31">
        <f t="shared" si="9"/>
        <v>99506</v>
      </c>
      <c r="O55" s="31">
        <f t="shared" si="9"/>
        <v>56746</v>
      </c>
      <c r="P55" s="31"/>
      <c r="Q55" s="31">
        <f>SUM(D55:O55)</f>
        <v>21.5169</v>
      </c>
      <c r="R55" s="31">
        <f>'Estimación'!M77-'Estimación'!M55</f>
        <v>21227.75218</v>
      </c>
    </row>
    <row r="56" ht="12.75" customHeight="1"/>
    <row r="57" ht="12.75" customHeight="1">
      <c r="B57" s="23" t="s">
        <v>102</v>
      </c>
      <c r="D57" s="31">
        <f>D55</f>
        <v>-8481.761458</v>
      </c>
      <c r="E57" s="31">
        <f t="shared" ref="E57:O57" si="10">E55+D57</f>
        <v>-19926.53551</v>
      </c>
      <c r="F57" s="31">
        <f t="shared" si="10"/>
        <v>795.0635055</v>
      </c>
      <c r="G57" s="31">
        <f t="shared" si="10"/>
        <v>-12229.43109</v>
      </c>
      <c r="H57" s="31">
        <f t="shared" si="10"/>
        <v>-14358.92568</v>
      </c>
      <c r="I57" s="31">
        <f t="shared" si="10"/>
        <v>-11775.42028</v>
      </c>
      <c r="J57" s="31">
        <f t="shared" si="10"/>
        <v>-70376.49994</v>
      </c>
      <c r="K57" s="31">
        <f t="shared" si="10"/>
        <v>-134042.5796</v>
      </c>
      <c r="L57" s="31">
        <f t="shared" si="10"/>
        <v>-161513.3093</v>
      </c>
      <c r="M57" s="31">
        <f t="shared" si="10"/>
        <v>-156230.4831</v>
      </c>
      <c r="N57" s="31">
        <f t="shared" si="10"/>
        <v>-56724.4831</v>
      </c>
      <c r="O57" s="31">
        <f t="shared" si="10"/>
        <v>21.5169</v>
      </c>
      <c r="Q57" s="31">
        <f>O57</f>
        <v>21.5169</v>
      </c>
      <c r="R57" s="31">
        <f>R55</f>
        <v>21227.75218</v>
      </c>
    </row>
    <row r="58" ht="12.75" customHeight="1"/>
    <row r="59" ht="12.75" customHeight="1">
      <c r="B59" s="23" t="s">
        <v>103</v>
      </c>
      <c r="D59" s="31">
        <f>D55/(1+$R$16/12)^1</f>
        <v>-8460.609933</v>
      </c>
      <c r="E59" s="31">
        <f>E55/(1+$R$16/12)^2</f>
        <v>-11387.76406</v>
      </c>
      <c r="F59" s="31">
        <f>F55/(1+$R$16/12)^3</f>
        <v>20566.96086</v>
      </c>
      <c r="G59" s="31">
        <f>G55/(1+$R$16/12)^4</f>
        <v>-12895.05963</v>
      </c>
      <c r="H59" s="31">
        <f>H55/(1+$R$16/12)^5</f>
        <v>-2103.074394</v>
      </c>
      <c r="I59" s="31">
        <f>I55/(1+$R$16/12)^6</f>
        <v>2545.089661</v>
      </c>
      <c r="J59" s="31">
        <f>J55/(1+$R$16/12)^7</f>
        <v>-57585.73952</v>
      </c>
      <c r="K59" s="31">
        <f>K55/(1+$R$16/12)^8</f>
        <v>-62406.96438</v>
      </c>
      <c r="L59" s="31">
        <f>L55/(1+$R$16/12)^9</f>
        <v>-26860.29409</v>
      </c>
      <c r="M59" s="31">
        <f>M55/(1+$R$16/12)^10</f>
        <v>5152.553472</v>
      </c>
      <c r="N59" s="31">
        <f>N55/(1+$R$16/12)^11</f>
        <v>96810.19042</v>
      </c>
      <c r="O59" s="31">
        <f>O55/(1+$R$16/12)^12</f>
        <v>55070.96393</v>
      </c>
      <c r="P59" s="31"/>
      <c r="Q59" s="31"/>
      <c r="R59" s="31"/>
    </row>
    <row r="60" ht="12.75" customHeight="1">
      <c r="B60" s="23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</row>
    <row r="61" ht="12.75" customHeight="1">
      <c r="B61" s="23" t="s">
        <v>104</v>
      </c>
      <c r="D61" s="31">
        <f>D59</f>
        <v>-8460.609933</v>
      </c>
      <c r="E61" s="31">
        <f t="shared" ref="E61:O61" si="11">E59+D61</f>
        <v>-19848.37399</v>
      </c>
      <c r="F61" s="31">
        <f t="shared" si="11"/>
        <v>718.5868659</v>
      </c>
      <c r="G61" s="31">
        <f t="shared" si="11"/>
        <v>-12176.47276</v>
      </c>
      <c r="H61" s="31">
        <f t="shared" si="11"/>
        <v>-14279.54716</v>
      </c>
      <c r="I61" s="31">
        <f t="shared" si="11"/>
        <v>-11734.45749</v>
      </c>
      <c r="J61" s="31">
        <f t="shared" si="11"/>
        <v>-69320.19702</v>
      </c>
      <c r="K61" s="31">
        <f t="shared" si="11"/>
        <v>-131727.1614</v>
      </c>
      <c r="L61" s="31">
        <f t="shared" si="11"/>
        <v>-158587.4555</v>
      </c>
      <c r="M61" s="31">
        <f t="shared" si="11"/>
        <v>-153434.902</v>
      </c>
      <c r="N61" s="31">
        <f t="shared" si="11"/>
        <v>-56624.7116</v>
      </c>
      <c r="O61" s="31">
        <f t="shared" si="11"/>
        <v>-1553.747663</v>
      </c>
      <c r="P61" s="31"/>
      <c r="Q61" s="31"/>
      <c r="R61" s="31"/>
    </row>
    <row r="62" ht="12.75" customHeight="1">
      <c r="B62" s="23"/>
    </row>
    <row r="63" ht="12.75" customHeight="1">
      <c r="B63" s="23" t="s">
        <v>105</v>
      </c>
      <c r="D63" s="59">
        <f t="shared" ref="D63:O63" si="12">IF(D45=0,0,(D57/D45)*(12/1))</f>
        <v>-12</v>
      </c>
      <c r="E63" s="59">
        <f t="shared" si="12"/>
        <v>-7.699892639</v>
      </c>
      <c r="F63" s="59">
        <f t="shared" si="12"/>
        <v>0.3258634948</v>
      </c>
      <c r="G63" s="59">
        <f t="shared" si="12"/>
        <v>-6.373784774</v>
      </c>
      <c r="H63" s="59">
        <f t="shared" si="12"/>
        <v>-7.786310142</v>
      </c>
      <c r="I63" s="59">
        <f t="shared" si="12"/>
        <v>-6.303619094</v>
      </c>
      <c r="J63" s="59">
        <f t="shared" si="12"/>
        <v>-9.53168971</v>
      </c>
      <c r="K63" s="59">
        <f t="shared" si="12"/>
        <v>-18.1412211</v>
      </c>
      <c r="L63" s="59">
        <f t="shared" si="12"/>
        <v>-19.88453065</v>
      </c>
      <c r="M63" s="59">
        <f t="shared" si="12"/>
        <v>-54.00110638</v>
      </c>
      <c r="N63" s="59">
        <f t="shared" si="12"/>
        <v>-1406.392143</v>
      </c>
      <c r="O63" s="59">
        <f t="shared" si="12"/>
        <v>0.2026709576</v>
      </c>
      <c r="Q63" s="59"/>
    </row>
    <row r="64" ht="12.75" customHeight="1"/>
    <row r="65" ht="12.75" customHeight="1">
      <c r="B65" s="23" t="s">
        <v>106</v>
      </c>
      <c r="D65" s="59">
        <f>D63-$R$17*(1/12)</f>
        <v>-12.00708333</v>
      </c>
      <c r="E65" s="59">
        <f>E63-$R$17*(2/12)</f>
        <v>-7.714059306</v>
      </c>
      <c r="F65" s="59">
        <f>F63-$R$17*(3/12)</f>
        <v>0.3046134948</v>
      </c>
      <c r="G65" s="59">
        <f>G63-$R$17*(4/12)</f>
        <v>-6.402118107</v>
      </c>
      <c r="H65" s="59">
        <f>H63-$R$17*(5/12)</f>
        <v>-7.821726809</v>
      </c>
      <c r="I65" s="59">
        <f>I63-$R$17*(6/12)</f>
        <v>-6.346119094</v>
      </c>
      <c r="J65" s="59">
        <f>J63-$R$17*(7/12)</f>
        <v>-9.581273043</v>
      </c>
      <c r="K65" s="59">
        <f>K63-$R$17*(8/12)</f>
        <v>-18.19788777</v>
      </c>
      <c r="L65" s="59">
        <f>L63-$R$17*(9/12)</f>
        <v>-19.94828065</v>
      </c>
      <c r="M65" s="59">
        <f>M63-$R$17*(10/12)</f>
        <v>-54.07193971</v>
      </c>
      <c r="N65" s="59">
        <f>N63-$R$17*(11/12)</f>
        <v>-1406.47006</v>
      </c>
      <c r="O65" s="59">
        <f>O63-$R$17*(12/12)</f>
        <v>0.1176709576</v>
      </c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9">
    <mergeCell ref="A7:B7"/>
    <mergeCell ref="C7:F7"/>
    <mergeCell ref="H7:I7"/>
    <mergeCell ref="J7:M7"/>
    <mergeCell ref="C8:F8"/>
    <mergeCell ref="H8:I8"/>
    <mergeCell ref="J8:M8"/>
    <mergeCell ref="M12:N12"/>
    <mergeCell ref="M13:N13"/>
    <mergeCell ref="M14:N14"/>
    <mergeCell ref="D22:O22"/>
    <mergeCell ref="Q22:R22"/>
    <mergeCell ref="A8:B8"/>
    <mergeCell ref="A10:B10"/>
    <mergeCell ref="C10:F10"/>
    <mergeCell ref="H10:I10"/>
    <mergeCell ref="J10:M10"/>
    <mergeCell ref="A12:B12"/>
    <mergeCell ref="D12:F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>
      <c r="C1" s="1" t="s">
        <v>107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ht="12.75" customHeight="1"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ht="12.75" customHeight="1"/>
    <row r="4" ht="12.75" customHeight="1"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</row>
    <row r="5" ht="12.7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6"/>
    </row>
    <row r="6" ht="12.75" customHeight="1"/>
    <row r="7" ht="12.75" customHeight="1">
      <c r="A7" s="8" t="s">
        <v>1</v>
      </c>
      <c r="C7" s="14" t="str">
        <f>'Estimación'!C7</f>
        <v>MEJORA DE LA PÁGINA WEB</v>
      </c>
      <c r="H7" s="8" t="s">
        <v>3</v>
      </c>
      <c r="J7" s="14" t="str">
        <f>'Estimación'!K7</f>
        <v/>
      </c>
    </row>
    <row r="8" ht="12.75" customHeight="1">
      <c r="A8" s="8" t="s">
        <v>4</v>
      </c>
      <c r="C8" s="14" t="str">
        <f>'Estimación'!C8</f>
        <v>MULTICINES SA</v>
      </c>
      <c r="H8" s="8" t="s">
        <v>6</v>
      </c>
      <c r="J8" s="14" t="str">
        <f>'Estimación'!K8</f>
        <v/>
      </c>
    </row>
    <row r="9" ht="12.75" customHeight="1"/>
    <row r="10" ht="12.75" customHeight="1">
      <c r="A10" s="8" t="s">
        <v>7</v>
      </c>
      <c r="C10" s="48">
        <f>'Estimación'!C10</f>
        <v>44249</v>
      </c>
      <c r="H10" s="8" t="s">
        <v>8</v>
      </c>
      <c r="J10" s="49">
        <f>'Estimación'!K10</f>
        <v>40845</v>
      </c>
    </row>
    <row r="11" ht="12.75" customHeight="1"/>
    <row r="12" ht="12.75" customHeight="1">
      <c r="A12" s="8" t="s">
        <v>58</v>
      </c>
      <c r="C12" s="14"/>
      <c r="M12" s="8" t="s">
        <v>59</v>
      </c>
      <c r="Q12" s="18">
        <f>'Estimación'!L12</f>
        <v>127366.5131</v>
      </c>
      <c r="R12" s="19" t="s">
        <v>10</v>
      </c>
    </row>
    <row r="13" ht="12.75" customHeight="1">
      <c r="M13" s="8" t="s">
        <v>11</v>
      </c>
      <c r="Q13" s="18">
        <f>'Estimación'!L13</f>
        <v>1561</v>
      </c>
      <c r="R13" s="19" t="s">
        <v>12</v>
      </c>
    </row>
    <row r="14" ht="12.75" customHeight="1">
      <c r="M14" s="8" t="s">
        <v>13</v>
      </c>
      <c r="Q14" s="18">
        <f>'Estimación'!L14</f>
        <v>20</v>
      </c>
      <c r="R14" s="19" t="s">
        <v>14</v>
      </c>
    </row>
    <row r="15" ht="12.75" customHeight="1"/>
    <row r="16" ht="12.75" customHeight="1">
      <c r="M16" s="23" t="s">
        <v>60</v>
      </c>
      <c r="R16" s="50">
        <v>0.03</v>
      </c>
    </row>
    <row r="17" ht="12.75" customHeight="1">
      <c r="M17" s="23" t="s">
        <v>61</v>
      </c>
      <c r="R17" s="50">
        <v>0.085</v>
      </c>
    </row>
    <row r="18" ht="12.75" customHeight="1"/>
    <row r="19" ht="12.75" customHeight="1">
      <c r="M19" s="23" t="s">
        <v>108</v>
      </c>
      <c r="R19" s="23" t="str">
        <f>Cierre!F68</f>
        <v/>
      </c>
    </row>
    <row r="20" ht="12.75" customHeight="1"/>
    <row r="21" ht="12.75" customHeight="1">
      <c r="A21" s="6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2"/>
    </row>
    <row r="22" ht="12.75" customHeight="1"/>
    <row r="23" ht="12.75" customHeight="1">
      <c r="B23" s="23" t="s">
        <v>109</v>
      </c>
      <c r="J23" s="23" t="s">
        <v>110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>
      <c r="C46" s="23" t="s">
        <v>111</v>
      </c>
      <c r="D46" s="27" t="s">
        <v>112</v>
      </c>
      <c r="E46" s="33" t="str">
        <f>IF(R19=0,"N/A",'Estimación'!E22/(Indicadores!$R$19*160))</f>
        <v>N/A</v>
      </c>
      <c r="K46" s="23" t="s">
        <v>113</v>
      </c>
      <c r="N46" s="31">
        <f>-1*MIN(Plan_Financiero!D57:O57)</f>
        <v>161513.3093</v>
      </c>
    </row>
    <row r="47" ht="12.75" customHeight="1">
      <c r="C47" s="23" t="s">
        <v>114</v>
      </c>
      <c r="E47" s="33" t="str">
        <f>IF(R20=0,"N/A",'Estimación'!E23/(Indicadores!$R$19*160))</f>
        <v>N/A</v>
      </c>
      <c r="K47" s="23"/>
      <c r="N47" s="31"/>
    </row>
    <row r="48" ht="12.75" customHeight="1">
      <c r="C48" s="23" t="s">
        <v>115</v>
      </c>
      <c r="E48" s="33" t="str">
        <f>IF(R21=0,"N/A",'Estimación'!E24/(Indicadores!$R$19*160))</f>
        <v>N/A</v>
      </c>
    </row>
    <row r="49" ht="12.75" customHeight="1">
      <c r="C49" s="23" t="s">
        <v>116</v>
      </c>
      <c r="E49" s="33" t="str">
        <f>IF(R22=0,"N/A",'Estimación'!E25/(Indicadores!$R$19*160))</f>
        <v>N/A</v>
      </c>
    </row>
    <row r="50" ht="12.75" customHeight="1">
      <c r="B50" s="23"/>
      <c r="C50" s="23" t="s">
        <v>117</v>
      </c>
      <c r="E50" s="33" t="str">
        <f>IF(R23=0,"N/A",'Estimación'!E26/(Indicadores!$R$19*160))</f>
        <v>N/A</v>
      </c>
      <c r="F50" s="61"/>
      <c r="I50" s="61"/>
      <c r="M50" s="61"/>
    </row>
    <row r="51" ht="12.75" customHeight="1">
      <c r="C51" s="23" t="s">
        <v>118</v>
      </c>
      <c r="E51" s="33" t="str">
        <f>IF(R24=0,"N/A",'Estimación'!E27/(Indicadores!$R$19*160))</f>
        <v>N/A</v>
      </c>
    </row>
    <row r="52" ht="12.75" customHeight="1">
      <c r="B52" s="23"/>
      <c r="F52" s="61"/>
      <c r="I52" s="61"/>
      <c r="M52" s="61"/>
    </row>
    <row r="53" ht="12.75" customHeight="1">
      <c r="B53" s="23"/>
    </row>
    <row r="54" ht="12.75" customHeight="1">
      <c r="B54" s="23"/>
      <c r="F54" s="61"/>
      <c r="G54" s="59"/>
      <c r="I54" s="61"/>
    </row>
    <row r="55" ht="12.75" customHeight="1"/>
    <row r="56" ht="12.75" customHeight="1">
      <c r="B56" s="23"/>
      <c r="C56" s="23"/>
      <c r="D56" s="23"/>
      <c r="F56" s="31"/>
      <c r="G56" s="62"/>
      <c r="I56" s="31"/>
      <c r="J56" s="62"/>
    </row>
    <row r="57" ht="12.75" customHeight="1">
      <c r="B57" s="23"/>
      <c r="C57" s="23"/>
      <c r="D57" s="23"/>
      <c r="F57" s="31"/>
      <c r="G57" s="62"/>
      <c r="I57" s="31"/>
      <c r="J57" s="62"/>
    </row>
    <row r="58" ht="12.75" customHeight="1">
      <c r="B58" s="23"/>
      <c r="C58" s="23"/>
      <c r="D58" s="23"/>
      <c r="F58" s="31"/>
      <c r="G58" s="62"/>
      <c r="I58" s="31"/>
      <c r="J58" s="62"/>
    </row>
    <row r="59" ht="12.75" customHeight="1"/>
    <row r="60" ht="12.75" customHeight="1">
      <c r="B60" s="23"/>
    </row>
    <row r="61" ht="12.75" customHeight="1"/>
    <row r="62" ht="12.75" customHeight="1">
      <c r="F62" s="63"/>
      <c r="G62" s="63"/>
      <c r="H62" s="63"/>
      <c r="I62" s="63"/>
      <c r="J62" s="63"/>
      <c r="K62" s="63"/>
      <c r="L62" s="63"/>
      <c r="M62" s="63"/>
    </row>
    <row r="63" ht="12.75" customHeight="1">
      <c r="F63" s="63"/>
      <c r="G63" s="63"/>
      <c r="H63" s="63"/>
      <c r="I63" s="63"/>
      <c r="J63" s="63"/>
      <c r="K63" s="63"/>
      <c r="L63" s="63"/>
      <c r="M63" s="63"/>
    </row>
    <row r="64" ht="12.75" customHeight="1">
      <c r="F64" s="63"/>
      <c r="G64" s="63"/>
      <c r="H64" s="63"/>
      <c r="I64" s="63"/>
      <c r="J64" s="63"/>
      <c r="K64" s="63"/>
      <c r="L64" s="63"/>
      <c r="M64" s="63"/>
    </row>
    <row r="65" ht="12.75" customHeight="1">
      <c r="F65" s="63"/>
      <c r="G65" s="63"/>
      <c r="H65" s="63"/>
      <c r="I65" s="63"/>
      <c r="J65" s="63"/>
      <c r="K65" s="63"/>
      <c r="L65" s="63"/>
      <c r="M65" s="63"/>
    </row>
    <row r="66" ht="12.75" customHeight="1">
      <c r="F66" s="63"/>
      <c r="G66" s="63"/>
      <c r="H66" s="63"/>
      <c r="I66" s="63"/>
      <c r="J66" s="63"/>
      <c r="K66" s="63"/>
      <c r="L66" s="63"/>
      <c r="M66" s="63"/>
    </row>
    <row r="67" ht="12.75" customHeight="1">
      <c r="F67" s="63"/>
      <c r="G67" s="63"/>
      <c r="H67" s="63"/>
      <c r="I67" s="63"/>
      <c r="J67" s="63"/>
      <c r="K67" s="63"/>
      <c r="L67" s="63"/>
      <c r="M67" s="63"/>
    </row>
    <row r="68" ht="12.75" customHeight="1">
      <c r="C68" s="23"/>
      <c r="F68" s="63"/>
      <c r="G68" s="63"/>
      <c r="H68" s="63"/>
      <c r="I68" s="63"/>
      <c r="J68" s="63"/>
      <c r="K68" s="63"/>
      <c r="L68" s="63"/>
      <c r="M68" s="63"/>
    </row>
    <row r="69" ht="12.75" customHeight="1"/>
    <row r="70" ht="12.75" customHeight="1">
      <c r="B70" s="23"/>
      <c r="F70" s="31"/>
      <c r="G70" s="59"/>
      <c r="I70" s="31"/>
      <c r="J70" s="59"/>
      <c r="M70" s="31"/>
    </row>
    <row r="71" ht="12.75" customHeight="1"/>
    <row r="72" ht="12.75" customHeight="1">
      <c r="B72" s="23"/>
      <c r="F72" s="31"/>
      <c r="G72" s="59"/>
      <c r="I72" s="31"/>
      <c r="J72" s="59"/>
      <c r="M72" s="31"/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0">
    <mergeCell ref="C1:R2"/>
    <mergeCell ref="C4:R5"/>
    <mergeCell ref="A7:B7"/>
    <mergeCell ref="C7:F7"/>
    <mergeCell ref="J7:M7"/>
    <mergeCell ref="A8:B8"/>
    <mergeCell ref="C8:F8"/>
    <mergeCell ref="J8:M8"/>
    <mergeCell ref="C12:F12"/>
    <mergeCell ref="M12:N12"/>
    <mergeCell ref="M13:N13"/>
    <mergeCell ref="M14:N14"/>
    <mergeCell ref="A21:R21"/>
    <mergeCell ref="H7:I7"/>
    <mergeCell ref="H8:I8"/>
    <mergeCell ref="A10:B10"/>
    <mergeCell ref="C10:F10"/>
    <mergeCell ref="H10:I10"/>
    <mergeCell ref="J10:M10"/>
    <mergeCell ref="A12:B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8.43"/>
    <col customWidth="1" min="3" max="6" width="11.43"/>
    <col customWidth="1" min="7" max="7" width="8.86"/>
    <col customWidth="1" min="8" max="10" width="11.43"/>
    <col customWidth="1" min="11" max="11" width="9.14"/>
    <col customWidth="1" min="12" max="26" width="10.0"/>
  </cols>
  <sheetData>
    <row r="1" ht="12.75" customHeight="1">
      <c r="C1" s="1" t="s">
        <v>119</v>
      </c>
      <c r="D1" s="2"/>
      <c r="E1" s="2"/>
      <c r="F1" s="2"/>
      <c r="G1" s="2"/>
      <c r="H1" s="2"/>
      <c r="I1" s="2"/>
      <c r="J1" s="2"/>
      <c r="K1" s="2"/>
      <c r="L1" s="2"/>
      <c r="M1" s="3"/>
    </row>
    <row r="2" ht="12.75" customHeight="1">
      <c r="C2" s="4"/>
      <c r="D2" s="5"/>
      <c r="E2" s="5"/>
      <c r="F2" s="5"/>
      <c r="G2" s="5"/>
      <c r="H2" s="5"/>
      <c r="I2" s="5"/>
      <c r="J2" s="5"/>
      <c r="K2" s="5"/>
      <c r="L2" s="5"/>
      <c r="M2" s="6"/>
    </row>
    <row r="3" ht="12.75" customHeight="1"/>
    <row r="4" ht="12.75" customHeight="1">
      <c r="C4" s="7"/>
      <c r="D4" s="2"/>
      <c r="E4" s="2"/>
      <c r="F4" s="2"/>
      <c r="G4" s="2"/>
      <c r="H4" s="2"/>
      <c r="I4" s="2"/>
      <c r="J4" s="2"/>
      <c r="K4" s="2"/>
      <c r="L4" s="2"/>
      <c r="M4" s="3"/>
    </row>
    <row r="5" ht="12.7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6"/>
    </row>
    <row r="6" ht="12.75" customHeight="1"/>
    <row r="7" ht="12.75" customHeight="1">
      <c r="A7" s="8" t="s">
        <v>1</v>
      </c>
      <c r="C7" s="14" t="str">
        <f>'Estimación'!C7</f>
        <v>MEJORA DE LA PÁGINA WEB</v>
      </c>
      <c r="H7" s="8" t="s">
        <v>3</v>
      </c>
      <c r="J7" s="14" t="str">
        <f>'Estimación'!K7</f>
        <v/>
      </c>
    </row>
    <row r="8" ht="12.75" customHeight="1">
      <c r="A8" s="8" t="s">
        <v>4</v>
      </c>
      <c r="C8" s="14" t="str">
        <f>'Estimación'!C8</f>
        <v>MULTICINES SA</v>
      </c>
      <c r="H8" s="8" t="s">
        <v>6</v>
      </c>
      <c r="J8" s="14" t="str">
        <f>'Estimación'!K8</f>
        <v/>
      </c>
    </row>
    <row r="9" ht="12.75" customHeight="1"/>
    <row r="10" ht="12.75" customHeight="1">
      <c r="A10" s="8" t="s">
        <v>7</v>
      </c>
      <c r="C10" s="48">
        <f>'Estimación'!C10</f>
        <v>44249</v>
      </c>
      <c r="H10" s="8" t="s">
        <v>8</v>
      </c>
      <c r="J10" s="49">
        <f>'Estimación'!K10</f>
        <v>40845</v>
      </c>
    </row>
    <row r="11" ht="12.75" customHeight="1"/>
    <row r="12" ht="12.75" customHeight="1">
      <c r="A12" s="8" t="s">
        <v>58</v>
      </c>
      <c r="C12" s="14"/>
      <c r="D12" s="13"/>
      <c r="E12" s="11"/>
      <c r="F12" s="14"/>
      <c r="H12" s="8" t="s">
        <v>59</v>
      </c>
      <c r="L12" s="18">
        <f>'Estimación'!L12</f>
        <v>127366.5131</v>
      </c>
      <c r="M12" s="19" t="s">
        <v>10</v>
      </c>
    </row>
    <row r="13" ht="12.75" customHeight="1">
      <c r="H13" s="8" t="s">
        <v>11</v>
      </c>
      <c r="L13" s="18">
        <f>'Estimación'!L13</f>
        <v>1561</v>
      </c>
      <c r="M13" s="19" t="s">
        <v>12</v>
      </c>
    </row>
    <row r="14" ht="12.75" customHeight="1">
      <c r="H14" s="8" t="s">
        <v>13</v>
      </c>
      <c r="L14" s="18">
        <f>'Estimación'!L14</f>
        <v>20</v>
      </c>
      <c r="M14" s="19" t="s">
        <v>14</v>
      </c>
    </row>
    <row r="15" ht="12.75" customHeight="1"/>
    <row r="16" ht="12.75" customHeight="1">
      <c r="A16" s="20" t="s">
        <v>15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</row>
    <row r="17" ht="12.75" customHeight="1"/>
    <row r="18" ht="12.75" customHeight="1">
      <c r="B18" s="23" t="s">
        <v>16</v>
      </c>
    </row>
    <row r="19" ht="12.75" customHeight="1"/>
    <row r="20" ht="12.75" customHeight="1">
      <c r="C20" s="24" t="s">
        <v>17</v>
      </c>
      <c r="E20" s="52" t="s">
        <v>65</v>
      </c>
      <c r="F20" s="22"/>
      <c r="G20" s="64"/>
      <c r="H20" s="52" t="s">
        <v>120</v>
      </c>
      <c r="I20" s="21"/>
      <c r="J20" s="22"/>
      <c r="K20" s="64"/>
      <c r="L20" s="52" t="s">
        <v>121</v>
      </c>
      <c r="M20" s="22"/>
    </row>
    <row r="21" ht="12.75" customHeight="1">
      <c r="E21" s="54" t="s">
        <v>18</v>
      </c>
      <c r="F21" s="54" t="s">
        <v>22</v>
      </c>
      <c r="G21" s="65"/>
      <c r="H21" s="54" t="s">
        <v>18</v>
      </c>
      <c r="I21" s="54" t="s">
        <v>22</v>
      </c>
      <c r="J21" s="54" t="s">
        <v>14</v>
      </c>
      <c r="K21" s="65"/>
      <c r="L21" s="54"/>
      <c r="M21" s="54" t="s">
        <v>14</v>
      </c>
    </row>
    <row r="22" ht="12.75" customHeight="1"/>
    <row r="23" ht="12.75" customHeight="1">
      <c r="C23" s="27" t="s">
        <v>23</v>
      </c>
      <c r="E23" s="27">
        <f>'Estimación'!E22</f>
        <v>278</v>
      </c>
      <c r="F23" s="31">
        <f>'Estimación'!E22*'Estimación'!G22*'Estimación'!I22</f>
        <v>37576.2036</v>
      </c>
      <c r="G23" s="66"/>
      <c r="H23" s="38"/>
      <c r="I23" s="31">
        <f>H23*'Estimación'!G22*'Estimación'!I22</f>
        <v>0</v>
      </c>
      <c r="J23" s="67">
        <f t="shared" ref="J23:J28" si="1">IF(E23=0,"N/A",100*H23/E23)</f>
        <v>0</v>
      </c>
      <c r="K23" s="29"/>
      <c r="L23" s="31">
        <f t="shared" ref="L23:L28" si="2">E23-H23</f>
        <v>278</v>
      </c>
      <c r="M23" s="68">
        <f t="shared" ref="M23:M28" si="3">IF(E23=0,"N/A",100*L23/E23)</f>
        <v>100</v>
      </c>
    </row>
    <row r="24" ht="12.75" customHeight="1">
      <c r="C24" s="27" t="s">
        <v>24</v>
      </c>
      <c r="E24" s="27">
        <f>'Estimación'!E23</f>
        <v>270</v>
      </c>
      <c r="F24" s="31">
        <f>'Estimación'!E23*'Estimación'!G23*'Estimación'!I23</f>
        <v>22591.413</v>
      </c>
      <c r="G24" s="66"/>
      <c r="H24" s="38"/>
      <c r="I24" s="31">
        <f>H24*'Estimación'!G23*'Estimación'!I23</f>
        <v>0</v>
      </c>
      <c r="J24" s="67">
        <f t="shared" si="1"/>
        <v>0</v>
      </c>
      <c r="K24" s="29"/>
      <c r="L24" s="31">
        <f t="shared" si="2"/>
        <v>270</v>
      </c>
      <c r="M24" s="68">
        <f t="shared" si="3"/>
        <v>100</v>
      </c>
    </row>
    <row r="25" ht="12.75" customHeight="1">
      <c r="C25" s="27" t="s">
        <v>25</v>
      </c>
      <c r="E25" s="27">
        <f>'Estimación'!E24</f>
        <v>278</v>
      </c>
      <c r="F25" s="31">
        <f>'Estimación'!E24*'Estimación'!G24*'Estimación'!I24</f>
        <v>16462.4928</v>
      </c>
      <c r="G25" s="66"/>
      <c r="H25" s="38"/>
      <c r="I25" s="31">
        <f>H25*'Estimación'!G24*'Estimación'!I24</f>
        <v>0</v>
      </c>
      <c r="J25" s="67">
        <f t="shared" si="1"/>
        <v>0</v>
      </c>
      <c r="K25" s="29"/>
      <c r="L25" s="31">
        <f t="shared" si="2"/>
        <v>278</v>
      </c>
      <c r="M25" s="68">
        <f t="shared" si="3"/>
        <v>100</v>
      </c>
    </row>
    <row r="26" ht="12.75" customHeight="1">
      <c r="C26" s="27" t="s">
        <v>26</v>
      </c>
      <c r="E26" s="27">
        <f>'Estimación'!E25</f>
        <v>258</v>
      </c>
      <c r="F26" s="31">
        <f>'Estimación'!E25*'Estimación'!G25*'Estimación'!I25</f>
        <v>9300.3066</v>
      </c>
      <c r="G26" s="66"/>
      <c r="H26" s="38"/>
      <c r="I26" s="31">
        <f>H26*'Estimación'!G25*'Estimación'!I25</f>
        <v>0</v>
      </c>
      <c r="J26" s="67">
        <f t="shared" si="1"/>
        <v>0</v>
      </c>
      <c r="K26" s="29"/>
      <c r="L26" s="31">
        <f t="shared" si="2"/>
        <v>258</v>
      </c>
      <c r="M26" s="68">
        <f t="shared" si="3"/>
        <v>100</v>
      </c>
    </row>
    <row r="27" ht="12.75" customHeight="1">
      <c r="C27" s="27" t="s">
        <v>27</v>
      </c>
      <c r="E27" s="27">
        <f>'Estimación'!E26</f>
        <v>222</v>
      </c>
      <c r="F27" s="31">
        <f>'Estimación'!E26*'Estimación'!G26*'Estimación'!I26</f>
        <v>6573.1536</v>
      </c>
      <c r="G27" s="66"/>
      <c r="H27" s="38"/>
      <c r="I27" s="31">
        <f>H27*'Estimación'!G26*'Estimación'!I26</f>
        <v>0</v>
      </c>
      <c r="J27" s="67">
        <f t="shared" si="1"/>
        <v>0</v>
      </c>
      <c r="K27" s="29"/>
      <c r="L27" s="31">
        <f t="shared" si="2"/>
        <v>222</v>
      </c>
      <c r="M27" s="68">
        <f t="shared" si="3"/>
        <v>100</v>
      </c>
    </row>
    <row r="28" ht="12.75" customHeight="1">
      <c r="C28" s="27" t="s">
        <v>28</v>
      </c>
      <c r="E28" s="27">
        <f>'Estimación'!E27</f>
        <v>255</v>
      </c>
      <c r="F28" s="31">
        <f>'Estimación'!E27*'Estimación'!G27*'Estimación'!I27</f>
        <v>4593.927</v>
      </c>
      <c r="G28" s="66"/>
      <c r="H28" s="38"/>
      <c r="I28" s="31">
        <f>H28*'Estimación'!G27*'Estimación'!I27</f>
        <v>0</v>
      </c>
      <c r="J28" s="67">
        <f t="shared" si="1"/>
        <v>0</v>
      </c>
      <c r="K28" s="29"/>
      <c r="L28" s="31">
        <f t="shared" si="2"/>
        <v>255</v>
      </c>
      <c r="M28" s="68">
        <f t="shared" si="3"/>
        <v>100</v>
      </c>
    </row>
    <row r="29" ht="12.75" customHeight="1">
      <c r="F29" s="31"/>
      <c r="G29" s="66"/>
      <c r="H29" s="31"/>
      <c r="I29" s="31"/>
      <c r="J29" s="67"/>
      <c r="K29" s="29"/>
      <c r="L29" s="31"/>
      <c r="M29" s="68"/>
    </row>
    <row r="30" ht="12.75" customHeight="1">
      <c r="C30" s="23" t="s">
        <v>29</v>
      </c>
      <c r="E30" s="27">
        <f>'Estimación'!E29</f>
        <v>1561</v>
      </c>
      <c r="F30" s="31">
        <f>SUM(F23:F28)</f>
        <v>97097.4966</v>
      </c>
      <c r="G30" s="66"/>
      <c r="H30" s="31">
        <f t="shared" ref="H30:I30" si="4">SUM(H23:H28)</f>
        <v>0</v>
      </c>
      <c r="I30" s="31">
        <f t="shared" si="4"/>
        <v>0</v>
      </c>
      <c r="J30" s="67">
        <f>IF(E30=0,"N/A",100*H30/E30)</f>
        <v>0</v>
      </c>
      <c r="K30" s="29"/>
      <c r="L30" s="31">
        <f>E30-H30</f>
        <v>1561</v>
      </c>
      <c r="M30" s="68">
        <f>IF(E30=0,"N/A",100*L30/E30)</f>
        <v>100</v>
      </c>
    </row>
    <row r="31" ht="12.75" customHeight="1"/>
    <row r="32" ht="12.75" customHeight="1">
      <c r="B32" s="23" t="s">
        <v>30</v>
      </c>
    </row>
    <row r="33" ht="12.75" customHeight="1"/>
    <row r="34" ht="12.75" customHeight="1">
      <c r="C34" s="27" t="s">
        <v>31</v>
      </c>
      <c r="F34" s="31">
        <f>'Estimación'!M33</f>
        <v>0</v>
      </c>
      <c r="I34" s="69"/>
      <c r="J34" s="67" t="str">
        <f t="shared" ref="J34:J35" si="5">IF(F34=0,"N/A",100*I34/F34)</f>
        <v>N/A</v>
      </c>
      <c r="L34" s="31">
        <f t="shared" ref="L34:L35" si="6">F34-I34</f>
        <v>0</v>
      </c>
      <c r="M34" s="67" t="str">
        <f t="shared" ref="M34:M35" si="7">IF(J34="N/A","N/A",100-J34)</f>
        <v>N/A</v>
      </c>
    </row>
    <row r="35" ht="12.75" customHeight="1">
      <c r="C35" s="27" t="s">
        <v>32</v>
      </c>
      <c r="F35" s="31">
        <f>'Estimación'!M34</f>
        <v>0</v>
      </c>
      <c r="I35" s="69"/>
      <c r="J35" s="67" t="str">
        <f t="shared" si="5"/>
        <v>N/A</v>
      </c>
      <c r="L35" s="31">
        <f t="shared" si="6"/>
        <v>0</v>
      </c>
      <c r="M35" s="67" t="str">
        <f t="shared" si="7"/>
        <v>N/A</v>
      </c>
    </row>
    <row r="36" ht="12.75" customHeight="1">
      <c r="F36" s="31"/>
      <c r="J36" s="67"/>
      <c r="L36" s="31"/>
      <c r="M36" s="67"/>
    </row>
    <row r="37" ht="12.75" customHeight="1">
      <c r="C37" s="23" t="s">
        <v>29</v>
      </c>
      <c r="F37" s="31">
        <f>SUM(F34:F35)</f>
        <v>0</v>
      </c>
      <c r="I37" s="27">
        <f>SUM(I34:I35)</f>
        <v>0</v>
      </c>
      <c r="J37" s="67" t="str">
        <f>IF(F37=0,"N/A",100*I37/F37)</f>
        <v>N/A</v>
      </c>
      <c r="K37" s="29"/>
      <c r="L37" s="31">
        <f>F37-I37</f>
        <v>0</v>
      </c>
      <c r="M37" s="67" t="str">
        <f>IF(J37="N/A","N/A",100-J37)</f>
        <v>N/A</v>
      </c>
    </row>
    <row r="38" ht="12.75" customHeight="1"/>
    <row r="39" ht="12.75" customHeight="1">
      <c r="B39" s="23" t="s">
        <v>122</v>
      </c>
    </row>
    <row r="40" ht="12.75" customHeight="1"/>
    <row r="41" ht="12.75" customHeight="1">
      <c r="C41" s="27" t="s">
        <v>123</v>
      </c>
      <c r="F41" s="31">
        <f>'Estimación'!E40*'Estimación'!G40*'Estimación'!I40</f>
        <v>3652.74</v>
      </c>
      <c r="G41" s="63"/>
      <c r="I41" s="38">
        <f>IF(J30="N/A",0,F41*J30/100)</f>
        <v>0</v>
      </c>
      <c r="J41" s="67">
        <f t="shared" ref="J41:J46" si="8">IF(F41=0,"N/A",100*I41/F41)</f>
        <v>0</v>
      </c>
      <c r="K41" s="29"/>
      <c r="L41" s="31">
        <f t="shared" ref="L41:L46" si="9">F41-I41</f>
        <v>3652.74</v>
      </c>
      <c r="M41" s="68">
        <f t="shared" ref="M41:M46" si="10">IF(F41=0,"N/A",100*L41/F41)</f>
        <v>100</v>
      </c>
    </row>
    <row r="42" ht="12.75" customHeight="1">
      <c r="C42" s="27" t="s">
        <v>124</v>
      </c>
      <c r="F42" s="31">
        <f>'Estimación'!E41*'Estimación'!G41*'Estimación'!I41</f>
        <v>1170.75</v>
      </c>
      <c r="G42" s="63"/>
      <c r="I42" s="38"/>
      <c r="J42" s="67">
        <f t="shared" si="8"/>
        <v>0</v>
      </c>
      <c r="K42" s="29"/>
      <c r="L42" s="31">
        <f t="shared" si="9"/>
        <v>1170.75</v>
      </c>
      <c r="M42" s="68">
        <f t="shared" si="10"/>
        <v>100</v>
      </c>
    </row>
    <row r="43" ht="12.75" customHeight="1">
      <c r="C43" s="27" t="s">
        <v>36</v>
      </c>
      <c r="F43" s="31">
        <f>'Estimación'!E42*'Estimación'!G42*'Estimación'!I42</f>
        <v>780.5</v>
      </c>
      <c r="G43" s="63"/>
      <c r="I43" s="38"/>
      <c r="J43" s="67">
        <f t="shared" si="8"/>
        <v>0</v>
      </c>
      <c r="K43" s="29"/>
      <c r="L43" s="31">
        <f t="shared" si="9"/>
        <v>780.5</v>
      </c>
      <c r="M43" s="68">
        <f t="shared" si="10"/>
        <v>100</v>
      </c>
    </row>
    <row r="44" ht="12.75" customHeight="1">
      <c r="C44" s="27" t="s">
        <v>38</v>
      </c>
      <c r="F44" s="31" t="str">
        <f>'Estimación'!M48</f>
        <v/>
      </c>
      <c r="G44" s="63"/>
      <c r="I44" s="38"/>
      <c r="J44" s="67" t="str">
        <f t="shared" si="8"/>
        <v>N/A</v>
      </c>
      <c r="K44" s="29"/>
      <c r="L44" s="31">
        <f t="shared" si="9"/>
        <v>0</v>
      </c>
      <c r="M44" s="68" t="str">
        <f t="shared" si="10"/>
        <v>N/A</v>
      </c>
    </row>
    <row r="45" ht="12.75" customHeight="1">
      <c r="C45" s="27" t="s">
        <v>39</v>
      </c>
      <c r="F45" s="31">
        <f>'Estimación'!M49</f>
        <v>0</v>
      </c>
      <c r="G45" s="63"/>
      <c r="I45" s="38"/>
      <c r="J45" s="67" t="str">
        <f t="shared" si="8"/>
        <v>N/A</v>
      </c>
      <c r="K45" s="29"/>
      <c r="L45" s="31">
        <f t="shared" si="9"/>
        <v>0</v>
      </c>
      <c r="M45" s="68" t="str">
        <f t="shared" si="10"/>
        <v>N/A</v>
      </c>
    </row>
    <row r="46" ht="12.75" customHeight="1">
      <c r="C46" s="27" t="s">
        <v>40</v>
      </c>
      <c r="F46" s="31" t="str">
        <f>'Estimación'!M50</f>
        <v/>
      </c>
      <c r="I46" s="38"/>
      <c r="J46" s="67" t="str">
        <f t="shared" si="8"/>
        <v>N/A</v>
      </c>
      <c r="L46" s="31">
        <f t="shared" si="9"/>
        <v>0</v>
      </c>
      <c r="M46" s="68" t="str">
        <f t="shared" si="10"/>
        <v>N/A</v>
      </c>
    </row>
    <row r="47" ht="12.75" customHeight="1">
      <c r="B47" s="23"/>
      <c r="F47" s="31"/>
      <c r="J47" s="67"/>
      <c r="L47" s="31"/>
      <c r="M47" s="68"/>
    </row>
    <row r="48" ht="12.75" customHeight="1">
      <c r="C48" s="27" t="s">
        <v>125</v>
      </c>
      <c r="F48" s="31">
        <f>F23*'Estimación'!K22+F24*'Estimación'!K23+'Situación'!F25*'Estimación'!K24+'Situación'!F26*'Estimación'!K25+'Situación'!F27*'Estimación'!K26+'Situación'!F28*'Estimación'!K27+F37*'Estimación'!K36+F41*'Estimación'!K40+'Situación'!F42*'Estimación'!K41+'Situación'!F43*'Estimación'!K42+SUM(F44:F46)*'Estimación'!K52</f>
        <v>3437.274304</v>
      </c>
      <c r="I48" s="69">
        <v>0.0</v>
      </c>
      <c r="J48" s="67">
        <f>IF(F48=0,"N/A",100*I48/F48)</f>
        <v>0</v>
      </c>
      <c r="L48" s="31">
        <f>F48-I48</f>
        <v>3437.274304</v>
      </c>
      <c r="M48" s="68">
        <f>IF(F48=0,"N/A",100*L48/F48)</f>
        <v>100</v>
      </c>
    </row>
    <row r="49" ht="12.75" customHeight="1">
      <c r="L49" s="31"/>
      <c r="M49" s="68"/>
    </row>
    <row r="50" ht="12.75" customHeight="1">
      <c r="C50" s="23" t="s">
        <v>29</v>
      </c>
      <c r="F50" s="31">
        <f>SUM(F41:F48)</f>
        <v>9041.264304</v>
      </c>
      <c r="I50" s="31">
        <f>SUM(I41:I48)</f>
        <v>0</v>
      </c>
      <c r="J50" s="67">
        <f>IF(F50=0,"N/A",100*I50/F50)</f>
        <v>0</v>
      </c>
      <c r="L50" s="31">
        <f>F50-I50</f>
        <v>9041.264304</v>
      </c>
      <c r="M50" s="68">
        <f>IF(F50=0,"N/A",100*L50/F50)</f>
        <v>100</v>
      </c>
    </row>
    <row r="51" ht="12.75" customHeight="1">
      <c r="L51" s="31"/>
      <c r="M51" s="61"/>
    </row>
    <row r="52" ht="12.75" customHeight="1">
      <c r="L52" s="31"/>
      <c r="M52" s="61"/>
    </row>
    <row r="53" ht="12.75" customHeight="1">
      <c r="B53" s="23" t="s">
        <v>41</v>
      </c>
      <c r="C53" s="23"/>
      <c r="F53" s="31">
        <f>F30+F37+F50</f>
        <v>106138.7609</v>
      </c>
      <c r="I53" s="31">
        <f>I30+I37+I50</f>
        <v>0</v>
      </c>
      <c r="J53" s="67">
        <f>IF(F53=0,"N/A",100*I53/F53)</f>
        <v>0</v>
      </c>
      <c r="K53" s="29"/>
      <c r="L53" s="31">
        <f>F53-I53</f>
        <v>106138.7609</v>
      </c>
      <c r="M53" s="68">
        <f>IF(F53=0,"N/A",100*L53/F53)</f>
        <v>100</v>
      </c>
    </row>
    <row r="54" ht="12.75" customHeight="1"/>
    <row r="55" ht="12.75" customHeight="1"/>
    <row r="56" ht="12.75" customHeight="1">
      <c r="A56" s="20" t="s">
        <v>126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2"/>
    </row>
    <row r="57" ht="12.75" customHeight="1">
      <c r="B57" s="23"/>
      <c r="C57" s="23"/>
      <c r="D57" s="23"/>
      <c r="E57" s="23"/>
      <c r="F57" s="23"/>
      <c r="G57" s="23"/>
      <c r="H57" s="23"/>
      <c r="I57" s="23"/>
      <c r="J57" s="23"/>
      <c r="K57" s="23"/>
      <c r="M57" s="70"/>
    </row>
    <row r="58" ht="12.75" customHeight="1"/>
    <row r="59" ht="12.75" customHeight="1">
      <c r="B59" s="27" t="s">
        <v>127</v>
      </c>
      <c r="F59" s="31">
        <f>'Estimación'!M77</f>
        <v>127366.5131</v>
      </c>
      <c r="I59" s="71"/>
      <c r="J59" s="67">
        <f>IF(F59=0,"N/A",100*I59/F59)</f>
        <v>0</v>
      </c>
      <c r="K59" s="15"/>
      <c r="L59" s="31">
        <f>F59-I59</f>
        <v>127366.5131</v>
      </c>
      <c r="M59" s="67">
        <f>IF(J59="N/A","N/A",100-J59)</f>
        <v>100</v>
      </c>
    </row>
    <row r="60" ht="12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</row>
    <row r="61" ht="12.75" customHeight="1">
      <c r="B61" s="27" t="s">
        <v>45</v>
      </c>
      <c r="F61" s="31">
        <f>F59-F53</f>
        <v>21227.75218</v>
      </c>
      <c r="G61" s="73">
        <f>IF(F53=0,"N/A",(F59/F53)-1)</f>
        <v>0.2</v>
      </c>
    </row>
    <row r="62" ht="12.75" customHeight="1">
      <c r="B62" s="23"/>
    </row>
    <row r="63" ht="12.75" customHeight="1"/>
    <row r="64" ht="12.75" customHeight="1">
      <c r="A64" s="20" t="s">
        <v>128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2"/>
    </row>
    <row r="65" ht="12.75" customHeight="1">
      <c r="C65" s="42"/>
      <c r="D65" s="42"/>
    </row>
    <row r="66" ht="12.75" customHeight="1">
      <c r="B66" s="8" t="s">
        <v>129</v>
      </c>
      <c r="C66" s="8"/>
      <c r="D66" s="8"/>
      <c r="E66" s="8"/>
      <c r="F66" s="29"/>
      <c r="H66" s="31"/>
      <c r="M66" s="31"/>
    </row>
    <row r="67" ht="12.75" customHeight="1">
      <c r="B67" s="23"/>
      <c r="C67" s="8" t="s">
        <v>130</v>
      </c>
      <c r="E67" s="23"/>
      <c r="F67" s="29"/>
      <c r="H67" s="31"/>
      <c r="M67" s="31"/>
    </row>
    <row r="68" ht="12.75" customHeight="1">
      <c r="C68" s="42"/>
      <c r="F68" s="29"/>
      <c r="H68" s="31"/>
      <c r="M68" s="31"/>
    </row>
    <row r="69" ht="12.75" customHeight="1">
      <c r="C69" s="42"/>
      <c r="F69" s="29"/>
      <c r="H69" s="31"/>
      <c r="M69" s="31"/>
    </row>
    <row r="70" ht="12.75" customHeight="1">
      <c r="C70" s="42"/>
      <c r="D70" s="42"/>
      <c r="F70" s="29"/>
    </row>
    <row r="71" ht="12.75" customHeight="1">
      <c r="C71" s="42"/>
      <c r="F71" s="74"/>
      <c r="H71" s="31"/>
      <c r="M71" s="75"/>
    </row>
    <row r="72" ht="12.75" customHeight="1"/>
    <row r="73" ht="12.75" customHeight="1"/>
    <row r="74" ht="12.75" customHeight="1">
      <c r="C74" s="76"/>
      <c r="D74" s="22"/>
      <c r="F74" s="29"/>
      <c r="H74" s="31"/>
      <c r="M74" s="75"/>
    </row>
    <row r="75" ht="12.75" customHeight="1"/>
    <row r="76" ht="12.75" customHeight="1"/>
    <row r="77" ht="12.75" customHeight="1">
      <c r="B77" s="23"/>
    </row>
    <row r="78" ht="12.75" customHeight="1"/>
    <row r="79" ht="12.75" customHeight="1">
      <c r="C79" s="23"/>
      <c r="M79" s="70"/>
    </row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>
      <c r="B88" s="8" t="s">
        <v>131</v>
      </c>
      <c r="C88" s="8"/>
      <c r="D88" s="8"/>
      <c r="E88" s="8"/>
    </row>
    <row r="89" ht="12.75" customHeight="1">
      <c r="B89" s="23"/>
      <c r="C89" s="8" t="s">
        <v>132</v>
      </c>
      <c r="E89" s="23"/>
    </row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H7:I7"/>
    <mergeCell ref="H8:I8"/>
    <mergeCell ref="H10:I10"/>
    <mergeCell ref="J10:M10"/>
    <mergeCell ref="H12:I12"/>
    <mergeCell ref="H13:I13"/>
    <mergeCell ref="H14:I14"/>
    <mergeCell ref="A16:M16"/>
    <mergeCell ref="C1:M2"/>
    <mergeCell ref="C4:M5"/>
    <mergeCell ref="A7:B7"/>
    <mergeCell ref="C7:F7"/>
    <mergeCell ref="J7:M7"/>
    <mergeCell ref="C8:F8"/>
    <mergeCell ref="J8:M8"/>
    <mergeCell ref="A8:B8"/>
    <mergeCell ref="A10:B10"/>
    <mergeCell ref="C10:F10"/>
    <mergeCell ref="A12:B12"/>
    <mergeCell ref="D12:E12"/>
    <mergeCell ref="E20:F20"/>
    <mergeCell ref="L20:M20"/>
    <mergeCell ref="C74:D74"/>
    <mergeCell ref="C89:D89"/>
    <mergeCell ref="H20:J20"/>
    <mergeCell ref="A56:M56"/>
    <mergeCell ref="A64:M64"/>
    <mergeCell ref="C67:D67"/>
    <mergeCell ref="C68:D68"/>
    <mergeCell ref="C69:D69"/>
    <mergeCell ref="C71:D7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5.71"/>
    <col customWidth="1" min="3" max="4" width="11.43"/>
    <col customWidth="1" min="5" max="5" width="9.29"/>
    <col customWidth="1" min="6" max="6" width="11.14"/>
    <col customWidth="1" min="7" max="7" width="2.14"/>
    <col customWidth="1" min="8" max="19" width="9.71"/>
    <col customWidth="1" min="20" max="20" width="2.29"/>
    <col customWidth="1" min="21" max="21" width="10.14"/>
    <col customWidth="1" min="22" max="22" width="9.57"/>
    <col customWidth="1" min="23" max="35" width="10.0"/>
  </cols>
  <sheetData>
    <row r="1" ht="17.25" customHeight="1">
      <c r="C1" s="77" t="s">
        <v>133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78"/>
      <c r="P1" s="78"/>
      <c r="Q1" s="78"/>
      <c r="R1" s="78"/>
      <c r="S1" s="78"/>
      <c r="T1" s="46"/>
      <c r="U1" s="46"/>
      <c r="V1" s="46"/>
    </row>
    <row r="2" ht="17.25" customHeight="1"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78"/>
      <c r="P2" s="78"/>
      <c r="Q2" s="78"/>
      <c r="R2" s="78"/>
      <c r="S2" s="78"/>
      <c r="T2" s="46"/>
      <c r="U2" s="46"/>
      <c r="V2" s="46"/>
    </row>
    <row r="3" ht="12.75" customHeight="1"/>
    <row r="4" ht="12.75" customHeight="1">
      <c r="C4" s="7"/>
      <c r="D4" s="2"/>
      <c r="E4" s="2"/>
      <c r="F4" s="2"/>
      <c r="G4" s="2"/>
      <c r="H4" s="2"/>
      <c r="I4" s="2"/>
      <c r="J4" s="2"/>
      <c r="K4" s="2"/>
      <c r="L4" s="2"/>
      <c r="M4" s="3"/>
      <c r="N4" s="19"/>
      <c r="O4" s="19"/>
      <c r="P4" s="19"/>
      <c r="Q4" s="19"/>
      <c r="R4" s="19"/>
      <c r="S4" s="19"/>
      <c r="T4" s="79"/>
      <c r="U4" s="79"/>
      <c r="V4" s="79"/>
    </row>
    <row r="5" ht="12.7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6"/>
      <c r="N5" s="19"/>
      <c r="O5" s="19"/>
      <c r="P5" s="19"/>
      <c r="Q5" s="19"/>
      <c r="R5" s="19"/>
      <c r="S5" s="19"/>
      <c r="T5" s="79"/>
      <c r="U5" s="79"/>
      <c r="V5" s="79"/>
    </row>
    <row r="6" ht="12.75" customHeight="1"/>
    <row r="7" ht="12.75" customHeight="1">
      <c r="A7" s="8" t="s">
        <v>1</v>
      </c>
      <c r="C7" s="14" t="str">
        <f>'Estimación'!C7</f>
        <v>MEJORA DE LA PÁGINA WEB</v>
      </c>
      <c r="H7" s="8" t="s">
        <v>3</v>
      </c>
      <c r="J7" s="14" t="str">
        <f>'Estimación'!K7</f>
        <v/>
      </c>
      <c r="N7" s="14"/>
      <c r="O7" s="14"/>
      <c r="P7" s="14"/>
      <c r="Q7" s="14"/>
      <c r="R7" s="14"/>
      <c r="S7" s="14"/>
    </row>
    <row r="8" ht="12.75" customHeight="1">
      <c r="A8" s="8" t="s">
        <v>4</v>
      </c>
      <c r="C8" s="14" t="str">
        <f>'Estimación'!C8</f>
        <v>MULTICINES SA</v>
      </c>
      <c r="H8" s="8" t="s">
        <v>6</v>
      </c>
      <c r="J8" s="14" t="str">
        <f>'Estimación'!K8</f>
        <v/>
      </c>
      <c r="N8" s="14"/>
      <c r="O8" s="14"/>
      <c r="P8" s="14"/>
      <c r="Q8" s="14"/>
      <c r="R8" s="14"/>
      <c r="S8" s="14"/>
    </row>
    <row r="9" ht="12.75" customHeight="1"/>
    <row r="10" ht="12.75" customHeight="1">
      <c r="A10" s="8" t="s">
        <v>7</v>
      </c>
      <c r="C10" s="14"/>
      <c r="D10" s="48">
        <f>'Estimación'!C10</f>
        <v>44249</v>
      </c>
      <c r="F10" s="14"/>
      <c r="H10" s="8" t="s">
        <v>8</v>
      </c>
      <c r="J10" s="49">
        <f>'Estimación'!K10</f>
        <v>40845</v>
      </c>
      <c r="N10" s="14"/>
      <c r="O10" s="14"/>
      <c r="P10" s="14"/>
      <c r="Q10" s="14"/>
      <c r="R10" s="14"/>
      <c r="S10" s="14"/>
    </row>
    <row r="11" ht="12.75" customHeight="1">
      <c r="M11" s="15"/>
      <c r="N11" s="15"/>
      <c r="O11" s="15"/>
      <c r="P11" s="15"/>
    </row>
    <row r="12" ht="12.75" customHeight="1">
      <c r="A12" s="8" t="s">
        <v>58</v>
      </c>
      <c r="D12" s="80" t="s">
        <v>134</v>
      </c>
      <c r="E12" s="11"/>
      <c r="F12" s="14"/>
      <c r="M12" s="15"/>
      <c r="N12" s="14"/>
      <c r="O12" s="14"/>
      <c r="P12" s="14"/>
      <c r="Q12" s="8" t="s">
        <v>59</v>
      </c>
      <c r="U12" s="18">
        <f>'Estimación'!L12</f>
        <v>127366.5131</v>
      </c>
      <c r="V12" s="19" t="s">
        <v>10</v>
      </c>
    </row>
    <row r="13" ht="12.75" customHeight="1">
      <c r="M13" s="15"/>
      <c r="N13" s="14"/>
      <c r="O13" s="14"/>
      <c r="P13" s="14"/>
      <c r="Q13" s="8" t="s">
        <v>11</v>
      </c>
      <c r="U13" s="18">
        <f>'Estimación'!L13</f>
        <v>1561</v>
      </c>
      <c r="V13" s="19" t="s">
        <v>12</v>
      </c>
    </row>
    <row r="14" ht="12.75" customHeight="1">
      <c r="M14" s="15"/>
      <c r="N14" s="14"/>
      <c r="O14" s="14"/>
      <c r="P14" s="14"/>
      <c r="Q14" s="8" t="s">
        <v>13</v>
      </c>
      <c r="U14" s="18">
        <f>'Estimación'!L14</f>
        <v>20</v>
      </c>
      <c r="V14" s="19" t="s">
        <v>14</v>
      </c>
    </row>
    <row r="15" ht="12.75" customHeight="1">
      <c r="M15" s="15"/>
      <c r="N15" s="15"/>
      <c r="O15" s="15"/>
      <c r="P15" s="15"/>
    </row>
    <row r="16" ht="12.75" customHeight="1">
      <c r="A16" s="51" t="s">
        <v>15</v>
      </c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ht="12.75" customHeight="1"/>
    <row r="18" ht="12.75" customHeight="1">
      <c r="B18" s="23" t="s">
        <v>16</v>
      </c>
    </row>
    <row r="19" ht="12.75" customHeight="1"/>
    <row r="20" ht="12.75" customHeight="1">
      <c r="C20" s="24" t="s">
        <v>17</v>
      </c>
      <c r="E20" s="52" t="s">
        <v>65</v>
      </c>
      <c r="F20" s="22"/>
      <c r="G20" s="64"/>
      <c r="H20" s="41" t="s">
        <v>135</v>
      </c>
      <c r="I20" s="21"/>
      <c r="J20" s="21"/>
      <c r="K20" s="21"/>
      <c r="L20" s="21"/>
      <c r="M20" s="21"/>
      <c r="N20" s="22"/>
      <c r="O20" s="81"/>
      <c r="P20" s="81"/>
      <c r="Q20" s="81"/>
      <c r="R20" s="81"/>
      <c r="S20" s="81"/>
      <c r="U20" s="52" t="s">
        <v>121</v>
      </c>
      <c r="V20" s="22"/>
    </row>
    <row r="21" ht="12.75" customHeight="1">
      <c r="E21" s="54" t="s">
        <v>18</v>
      </c>
      <c r="F21" s="54" t="s">
        <v>22</v>
      </c>
      <c r="G21" s="65"/>
      <c r="H21" s="54" t="s">
        <v>66</v>
      </c>
      <c r="I21" s="54" t="s">
        <v>67</v>
      </c>
      <c r="J21" s="54" t="s">
        <v>68</v>
      </c>
      <c r="K21" s="54" t="s">
        <v>69</v>
      </c>
      <c r="L21" s="54" t="s">
        <v>70</v>
      </c>
      <c r="M21" s="54" t="s">
        <v>71</v>
      </c>
      <c r="N21" s="54" t="s">
        <v>72</v>
      </c>
      <c r="O21" s="54" t="s">
        <v>73</v>
      </c>
      <c r="P21" s="54" t="s">
        <v>74</v>
      </c>
      <c r="Q21" s="54" t="s">
        <v>75</v>
      </c>
      <c r="R21" s="54" t="s">
        <v>76</v>
      </c>
      <c r="S21" s="54" t="s">
        <v>77</v>
      </c>
      <c r="U21" s="54" t="s">
        <v>136</v>
      </c>
      <c r="V21" s="54" t="s">
        <v>14</v>
      </c>
    </row>
    <row r="22" ht="12.75" customHeight="1"/>
    <row r="23" ht="12.75" customHeight="1">
      <c r="C23" s="27" t="s">
        <v>23</v>
      </c>
      <c r="E23" s="27">
        <f>'Estimación'!E22</f>
        <v>278</v>
      </c>
      <c r="F23" s="31">
        <f>'Estimación'!E22*'Estimación'!G22*'Estimación'!I22</f>
        <v>37576.2036</v>
      </c>
      <c r="G23" s="66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U23" s="61">
        <f t="shared" ref="U23:U28" si="1">F23-MAX(H23:S23)</f>
        <v>37576.2036</v>
      </c>
      <c r="V23" s="73">
        <f t="shared" ref="V23:V28" si="2">IF(F23=0,"N/A",U23/F23)</f>
        <v>1</v>
      </c>
    </row>
    <row r="24" ht="12.75" customHeight="1">
      <c r="C24" s="27" t="s">
        <v>24</v>
      </c>
      <c r="E24" s="27">
        <f>'Estimación'!E23</f>
        <v>270</v>
      </c>
      <c r="F24" s="31">
        <f>'Estimación'!E23*'Estimación'!G23*'Estimación'!I23</f>
        <v>22591.413</v>
      </c>
      <c r="G24" s="66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U24" s="61">
        <f t="shared" si="1"/>
        <v>22591.413</v>
      </c>
      <c r="V24" s="73">
        <f t="shared" si="2"/>
        <v>1</v>
      </c>
    </row>
    <row r="25" ht="12.75" customHeight="1">
      <c r="C25" s="27" t="s">
        <v>25</v>
      </c>
      <c r="E25" s="27">
        <f>'Estimación'!E24</f>
        <v>278</v>
      </c>
      <c r="F25" s="31">
        <f>'Estimación'!E24*'Estimación'!G24*'Estimación'!I24</f>
        <v>16462.4928</v>
      </c>
      <c r="G25" s="66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U25" s="61">
        <f t="shared" si="1"/>
        <v>16462.4928</v>
      </c>
      <c r="V25" s="73">
        <f t="shared" si="2"/>
        <v>1</v>
      </c>
    </row>
    <row r="26" ht="12.75" customHeight="1">
      <c r="C26" s="27" t="s">
        <v>26</v>
      </c>
      <c r="E26" s="27">
        <f>'Estimación'!E25</f>
        <v>258</v>
      </c>
      <c r="F26" s="31">
        <f>'Estimación'!E25*'Estimación'!G25*'Estimación'!I25</f>
        <v>9300.3066</v>
      </c>
      <c r="G26" s="66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U26" s="61">
        <f t="shared" si="1"/>
        <v>9300.3066</v>
      </c>
      <c r="V26" s="73">
        <f t="shared" si="2"/>
        <v>1</v>
      </c>
    </row>
    <row r="27" ht="12.75" customHeight="1">
      <c r="C27" s="27" t="s">
        <v>27</v>
      </c>
      <c r="E27" s="27">
        <f>'Estimación'!E26</f>
        <v>222</v>
      </c>
      <c r="F27" s="31">
        <f>'Estimación'!E26*'Estimación'!G26*'Estimación'!I26</f>
        <v>6573.1536</v>
      </c>
      <c r="G27" s="66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U27" s="61">
        <f t="shared" si="1"/>
        <v>6573.1536</v>
      </c>
      <c r="V27" s="73">
        <f t="shared" si="2"/>
        <v>1</v>
      </c>
    </row>
    <row r="28" ht="12.75" customHeight="1">
      <c r="C28" s="27" t="s">
        <v>28</v>
      </c>
      <c r="E28" s="27">
        <f>'Estimación'!E27</f>
        <v>255</v>
      </c>
      <c r="F28" s="31">
        <f>'Estimación'!E27*'Estimación'!G27*'Estimación'!I27</f>
        <v>4593.927</v>
      </c>
      <c r="G28" s="66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U28" s="61">
        <f t="shared" si="1"/>
        <v>4593.927</v>
      </c>
      <c r="V28" s="73">
        <f t="shared" si="2"/>
        <v>1</v>
      </c>
    </row>
    <row r="29" ht="12.75" customHeight="1">
      <c r="F29" s="31"/>
      <c r="G29" s="66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U29" s="61"/>
      <c r="V29" s="73"/>
    </row>
    <row r="30" ht="12.75" customHeight="1">
      <c r="C30" s="23" t="s">
        <v>29</v>
      </c>
      <c r="E30" s="27">
        <f>'Estimación'!E29</f>
        <v>1561</v>
      </c>
      <c r="F30" s="31">
        <f>SUM(F23:F28)</f>
        <v>97097.4966</v>
      </c>
      <c r="G30" s="66"/>
      <c r="H30" s="61">
        <f>SUM(H23:H28)</f>
        <v>0</v>
      </c>
      <c r="I30" s="61">
        <f t="shared" ref="I30:S30" si="3">MAX(SUM(I23:I28),H30)</f>
        <v>0</v>
      </c>
      <c r="J30" s="61">
        <f t="shared" si="3"/>
        <v>0</v>
      </c>
      <c r="K30" s="61">
        <f t="shared" si="3"/>
        <v>0</v>
      </c>
      <c r="L30" s="61">
        <f t="shared" si="3"/>
        <v>0</v>
      </c>
      <c r="M30" s="61">
        <f t="shared" si="3"/>
        <v>0</v>
      </c>
      <c r="N30" s="61">
        <f t="shared" si="3"/>
        <v>0</v>
      </c>
      <c r="O30" s="61">
        <f t="shared" si="3"/>
        <v>0</v>
      </c>
      <c r="P30" s="61">
        <f t="shared" si="3"/>
        <v>0</v>
      </c>
      <c r="Q30" s="61">
        <f t="shared" si="3"/>
        <v>0</v>
      </c>
      <c r="R30" s="61">
        <f t="shared" si="3"/>
        <v>0</v>
      </c>
      <c r="S30" s="61">
        <f t="shared" si="3"/>
        <v>0</v>
      </c>
      <c r="U30" s="61">
        <f>F30-MAX(H30:S30)</f>
        <v>97097.4966</v>
      </c>
      <c r="V30" s="73">
        <f>IF(F30=0,"N/A",U30/F30)</f>
        <v>1</v>
      </c>
    </row>
    <row r="31" ht="12.75" customHeight="1"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U31" s="61"/>
      <c r="V31" s="73"/>
    </row>
    <row r="32" ht="12.75" customHeight="1">
      <c r="B32" s="23" t="s">
        <v>30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U32" s="61"/>
      <c r="V32" s="73"/>
    </row>
    <row r="33" ht="12.75" customHeight="1"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U33" s="61"/>
      <c r="V33" s="73"/>
    </row>
    <row r="34" ht="12.75" customHeight="1">
      <c r="C34" s="27" t="s">
        <v>31</v>
      </c>
      <c r="F34" s="31">
        <f>'Estimación'!M33</f>
        <v>0</v>
      </c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U34" s="61">
        <f t="shared" ref="U34:U35" si="4">F34-MAX(H34:S34)</f>
        <v>0</v>
      </c>
      <c r="V34" s="73" t="str">
        <f t="shared" ref="V34:V35" si="5">IF(F34=0,"N/A",U34/F34)</f>
        <v>N/A</v>
      </c>
    </row>
    <row r="35" ht="12.75" customHeight="1">
      <c r="C35" s="27" t="s">
        <v>32</v>
      </c>
      <c r="F35" s="31">
        <f>'Estimación'!M34</f>
        <v>0</v>
      </c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U35" s="61">
        <f t="shared" si="4"/>
        <v>0</v>
      </c>
      <c r="V35" s="73" t="str">
        <f t="shared" si="5"/>
        <v>N/A</v>
      </c>
    </row>
    <row r="36" ht="12.75" customHeight="1">
      <c r="F36" s="3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U36" s="61"/>
      <c r="V36" s="73"/>
    </row>
    <row r="37" ht="12.75" customHeight="1">
      <c r="C37" s="23" t="s">
        <v>29</v>
      </c>
      <c r="F37" s="31">
        <f>SUM(F34:F35)</f>
        <v>0</v>
      </c>
      <c r="H37" s="61">
        <f>SUM(H34:H35)</f>
        <v>0</v>
      </c>
      <c r="I37" s="61">
        <f t="shared" ref="I37:S37" si="6">MAX(SUM(I34:I35),H37)</f>
        <v>0</v>
      </c>
      <c r="J37" s="61">
        <f t="shared" si="6"/>
        <v>0</v>
      </c>
      <c r="K37" s="61">
        <f t="shared" si="6"/>
        <v>0</v>
      </c>
      <c r="L37" s="61">
        <f t="shared" si="6"/>
        <v>0</v>
      </c>
      <c r="M37" s="61">
        <f t="shared" si="6"/>
        <v>0</v>
      </c>
      <c r="N37" s="61">
        <f t="shared" si="6"/>
        <v>0</v>
      </c>
      <c r="O37" s="61">
        <f t="shared" si="6"/>
        <v>0</v>
      </c>
      <c r="P37" s="61">
        <f t="shared" si="6"/>
        <v>0</v>
      </c>
      <c r="Q37" s="61">
        <f t="shared" si="6"/>
        <v>0</v>
      </c>
      <c r="R37" s="61">
        <f t="shared" si="6"/>
        <v>0</v>
      </c>
      <c r="S37" s="61">
        <f t="shared" si="6"/>
        <v>0</v>
      </c>
      <c r="U37" s="61">
        <f>F37-MAX(H37:S37)</f>
        <v>0</v>
      </c>
      <c r="V37" s="73" t="str">
        <f>IF(F37=0,"N/A",U37/F37)</f>
        <v>N/A</v>
      </c>
    </row>
    <row r="38" ht="12.75" customHeight="1"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U38" s="61"/>
      <c r="V38" s="73"/>
    </row>
    <row r="39" ht="12.75" customHeight="1">
      <c r="B39" s="23" t="s">
        <v>122</v>
      </c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U39" s="61"/>
      <c r="V39" s="73"/>
    </row>
    <row r="40" ht="12.75" customHeight="1"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U40" s="61"/>
      <c r="V40" s="73"/>
    </row>
    <row r="41" ht="12.75" customHeight="1">
      <c r="C41" s="27" t="s">
        <v>123</v>
      </c>
      <c r="F41" s="31">
        <f>'Estimación'!E40*'Estimación'!G40*'Estimación'!I40</f>
        <v>3652.74</v>
      </c>
      <c r="G41" s="63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U41" s="61">
        <f t="shared" ref="U41:U46" si="7">F41-MAX(H41:S41)</f>
        <v>3652.74</v>
      </c>
      <c r="V41" s="73">
        <f t="shared" ref="V41:V46" si="8">IF(F41=0,"N/A",U41/F41)</f>
        <v>1</v>
      </c>
    </row>
    <row r="42" ht="12.75" customHeight="1">
      <c r="C42" s="27" t="s">
        <v>35</v>
      </c>
      <c r="F42" s="31">
        <f>'Estimación'!E41*'Estimación'!G41*'Estimación'!I41</f>
        <v>1170.75</v>
      </c>
      <c r="G42" s="63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U42" s="61">
        <f t="shared" si="7"/>
        <v>1170.75</v>
      </c>
      <c r="V42" s="73">
        <f t="shared" si="8"/>
        <v>1</v>
      </c>
    </row>
    <row r="43" ht="12.75" customHeight="1">
      <c r="C43" s="27" t="s">
        <v>36</v>
      </c>
      <c r="F43" s="31">
        <f>'Estimación'!E42*'Estimación'!G42*'Estimación'!I42</f>
        <v>780.5</v>
      </c>
      <c r="G43" s="63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U43" s="61">
        <f t="shared" si="7"/>
        <v>780.5</v>
      </c>
      <c r="V43" s="73">
        <f t="shared" si="8"/>
        <v>1</v>
      </c>
      <c r="X43" s="27" t="s">
        <v>137</v>
      </c>
    </row>
    <row r="44" ht="12.75" customHeight="1">
      <c r="C44" s="27" t="s">
        <v>38</v>
      </c>
      <c r="F44" s="31" t="str">
        <f>'Estimación'!M48</f>
        <v/>
      </c>
      <c r="G44" s="63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U44" s="61">
        <f t="shared" si="7"/>
        <v>0</v>
      </c>
      <c r="V44" s="73" t="str">
        <f t="shared" si="8"/>
        <v>N/A</v>
      </c>
    </row>
    <row r="45" ht="12.75" customHeight="1">
      <c r="C45" s="27" t="s">
        <v>39</v>
      </c>
      <c r="F45" s="31">
        <f>'Estimación'!M49</f>
        <v>0</v>
      </c>
      <c r="G45" s="63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U45" s="61">
        <f t="shared" si="7"/>
        <v>0</v>
      </c>
      <c r="V45" s="73" t="str">
        <f t="shared" si="8"/>
        <v>N/A</v>
      </c>
    </row>
    <row r="46" ht="12.75" customHeight="1">
      <c r="C46" s="27" t="s">
        <v>40</v>
      </c>
      <c r="F46" s="31" t="str">
        <f>'Estimación'!M50</f>
        <v/>
      </c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U46" s="61">
        <f t="shared" si="7"/>
        <v>0</v>
      </c>
      <c r="V46" s="73" t="str">
        <f t="shared" si="8"/>
        <v>N/A</v>
      </c>
    </row>
    <row r="47" ht="12.75" customHeight="1">
      <c r="B47" s="23"/>
      <c r="F47" s="3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U47" s="61"/>
      <c r="V47" s="73"/>
    </row>
    <row r="48" ht="12.75" customHeight="1">
      <c r="C48" s="27" t="s">
        <v>125</v>
      </c>
      <c r="F48" s="31">
        <f>F23*'Estimación'!K22+F24*'Estimación'!K23+'Evolución'!F25*'Estimación'!K24+'Evolución'!F26*'Estimación'!K25+'Evolución'!F27*'Estimación'!K26+'Evolución'!F28*'Estimación'!K27+F37*'Estimación'!K36+F41*'Estimación'!K40+'Evolución'!F42*'Estimación'!K41+'Evolución'!F43*'Estimación'!K42+SUM(F44:F46)*'Estimación'!K52</f>
        <v>3437.274304</v>
      </c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U48" s="61">
        <f>F48-MAX(H48:S48)</f>
        <v>3437.274304</v>
      </c>
      <c r="V48" s="73">
        <f>IF(F48=0,"N/A",U48/F48)</f>
        <v>1</v>
      </c>
    </row>
    <row r="49" ht="12.75" customHeight="1"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U49" s="61"/>
      <c r="V49" s="73"/>
    </row>
    <row r="50" ht="12.75" customHeight="1">
      <c r="C50" s="23" t="s">
        <v>29</v>
      </c>
      <c r="F50" s="31">
        <f>SUM(F41:F48)</f>
        <v>9041.264304</v>
      </c>
      <c r="H50" s="61">
        <f>SUM(H41:H48)</f>
        <v>0</v>
      </c>
      <c r="I50" s="61">
        <f t="shared" ref="I50:S50" si="9">MAX(SUM(I41:I48),H50)</f>
        <v>0</v>
      </c>
      <c r="J50" s="61">
        <f t="shared" si="9"/>
        <v>0</v>
      </c>
      <c r="K50" s="61">
        <f t="shared" si="9"/>
        <v>0</v>
      </c>
      <c r="L50" s="61">
        <f t="shared" si="9"/>
        <v>0</v>
      </c>
      <c r="M50" s="61">
        <f t="shared" si="9"/>
        <v>0</v>
      </c>
      <c r="N50" s="61">
        <f t="shared" si="9"/>
        <v>0</v>
      </c>
      <c r="O50" s="61">
        <f t="shared" si="9"/>
        <v>0</v>
      </c>
      <c r="P50" s="61">
        <f t="shared" si="9"/>
        <v>0</v>
      </c>
      <c r="Q50" s="61">
        <f t="shared" si="9"/>
        <v>0</v>
      </c>
      <c r="R50" s="61">
        <f t="shared" si="9"/>
        <v>0</v>
      </c>
      <c r="S50" s="61">
        <f t="shared" si="9"/>
        <v>0</v>
      </c>
      <c r="U50" s="61">
        <f>F50-MAX(H50:S50)</f>
        <v>9041.264304</v>
      </c>
      <c r="V50" s="73">
        <f>IF(F50=0,"N/A",U50/F50)</f>
        <v>1</v>
      </c>
    </row>
    <row r="51" ht="12.75" customHeight="1"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U51" s="61"/>
      <c r="V51" s="73"/>
    </row>
    <row r="52" ht="12.75" customHeight="1"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U52" s="61"/>
      <c r="V52" s="73"/>
    </row>
    <row r="53" ht="12.75" customHeight="1">
      <c r="B53" s="23" t="s">
        <v>41</v>
      </c>
      <c r="C53" s="23"/>
      <c r="F53" s="83">
        <f>F30+F37+F50</f>
        <v>106138.7609</v>
      </c>
      <c r="G53" s="23"/>
      <c r="H53" s="84">
        <f t="shared" ref="H53:S53" si="10">H30+H37+H50</f>
        <v>0</v>
      </c>
      <c r="I53" s="84">
        <f t="shared" si="10"/>
        <v>0</v>
      </c>
      <c r="J53" s="84">
        <f t="shared" si="10"/>
        <v>0</v>
      </c>
      <c r="K53" s="84">
        <f t="shared" si="10"/>
        <v>0</v>
      </c>
      <c r="L53" s="84">
        <f t="shared" si="10"/>
        <v>0</v>
      </c>
      <c r="M53" s="84">
        <f t="shared" si="10"/>
        <v>0</v>
      </c>
      <c r="N53" s="84">
        <f t="shared" si="10"/>
        <v>0</v>
      </c>
      <c r="O53" s="84">
        <f t="shared" si="10"/>
        <v>0</v>
      </c>
      <c r="P53" s="84">
        <f t="shared" si="10"/>
        <v>0</v>
      </c>
      <c r="Q53" s="84">
        <f t="shared" si="10"/>
        <v>0</v>
      </c>
      <c r="R53" s="84">
        <f t="shared" si="10"/>
        <v>0</v>
      </c>
      <c r="S53" s="84">
        <f t="shared" si="10"/>
        <v>0</v>
      </c>
      <c r="U53" s="84">
        <f>F53-MAX(H53:S53)</f>
        <v>106138.7609</v>
      </c>
      <c r="V53" s="85">
        <f>IF(F53=0,"N/A",U53/F53)</f>
        <v>1</v>
      </c>
      <c r="X53" s="27" t="s">
        <v>52</v>
      </c>
    </row>
    <row r="54" ht="12.75" customHeight="1">
      <c r="V54" s="26"/>
    </row>
    <row r="55" ht="12.75" customHeight="1">
      <c r="V55" s="26"/>
    </row>
    <row r="56" ht="12.75" customHeight="1">
      <c r="A56" s="51" t="s">
        <v>126</v>
      </c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4"/>
    </row>
    <row r="57" ht="12.75" customHeight="1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15"/>
      <c r="M57" s="86"/>
      <c r="N57" s="86"/>
      <c r="O57" s="86"/>
      <c r="P57" s="86"/>
      <c r="Q57" s="86"/>
      <c r="R57" s="86"/>
      <c r="S57" s="86"/>
      <c r="T57" s="15"/>
      <c r="V57" s="26"/>
    </row>
    <row r="58" ht="12.75" customHeight="1">
      <c r="A58" s="15"/>
      <c r="B58" s="15"/>
      <c r="C58" s="15"/>
      <c r="D58" s="15"/>
      <c r="E58" s="15"/>
      <c r="F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V58" s="26"/>
    </row>
    <row r="59" ht="12.75" customHeight="1">
      <c r="A59" s="15"/>
      <c r="B59" s="15" t="s">
        <v>127</v>
      </c>
      <c r="C59" s="15"/>
      <c r="D59" s="15"/>
      <c r="E59" s="15"/>
      <c r="F59" s="31">
        <f>'Estimación'!M77</f>
        <v>127366.5131</v>
      </c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U59" s="61">
        <f>F59-MAX(H59:S59)</f>
        <v>127366.5131</v>
      </c>
      <c r="V59" s="73">
        <f>IF(F59=0,"N/A",U59/F59)</f>
        <v>1</v>
      </c>
    </row>
    <row r="60" ht="12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5"/>
      <c r="U60" s="15"/>
      <c r="V60" s="26"/>
    </row>
    <row r="61" ht="12.75" customHeight="1">
      <c r="A61" s="15"/>
      <c r="B61" s="15" t="s">
        <v>138</v>
      </c>
      <c r="C61" s="15"/>
      <c r="D61" s="15"/>
      <c r="E61" s="15"/>
      <c r="F61" s="31">
        <f>F59-F53</f>
        <v>21227.75218</v>
      </c>
      <c r="G61" s="59"/>
      <c r="H61" s="61">
        <f t="shared" ref="H61:S61" si="11">$F$59-H53</f>
        <v>127366.5131</v>
      </c>
      <c r="I61" s="61">
        <f t="shared" si="11"/>
        <v>127366.5131</v>
      </c>
      <c r="J61" s="61">
        <f t="shared" si="11"/>
        <v>127366.5131</v>
      </c>
      <c r="K61" s="61">
        <f t="shared" si="11"/>
        <v>127366.5131</v>
      </c>
      <c r="L61" s="61">
        <f t="shared" si="11"/>
        <v>127366.5131</v>
      </c>
      <c r="M61" s="61">
        <f t="shared" si="11"/>
        <v>127366.5131</v>
      </c>
      <c r="N61" s="61">
        <f t="shared" si="11"/>
        <v>127366.5131</v>
      </c>
      <c r="O61" s="61">
        <f t="shared" si="11"/>
        <v>127366.5131</v>
      </c>
      <c r="P61" s="61">
        <f t="shared" si="11"/>
        <v>127366.5131</v>
      </c>
      <c r="Q61" s="61">
        <f t="shared" si="11"/>
        <v>127366.5131</v>
      </c>
      <c r="R61" s="61">
        <f t="shared" si="11"/>
        <v>127366.5131</v>
      </c>
      <c r="S61" s="61">
        <f t="shared" si="11"/>
        <v>127366.5131</v>
      </c>
      <c r="T61" s="15"/>
      <c r="U61" s="61">
        <f>MIN(H61:S61)</f>
        <v>127366.5131</v>
      </c>
      <c r="V61" s="73"/>
    </row>
    <row r="62" ht="12.75" customHeight="1">
      <c r="A62" s="15"/>
      <c r="B62" s="23"/>
      <c r="C62" s="15"/>
      <c r="D62" s="15"/>
      <c r="E62" s="15"/>
      <c r="F62" s="73">
        <f>IF($F$53=0,"N/A",F61/$F$53)</f>
        <v>0.2</v>
      </c>
      <c r="G62" s="73"/>
      <c r="H62" s="73">
        <f t="shared" ref="H62:S62" si="12">IF($F$53=0,"N/A",H61/$F$53)</f>
        <v>1.2</v>
      </c>
      <c r="I62" s="73">
        <f t="shared" si="12"/>
        <v>1.2</v>
      </c>
      <c r="J62" s="73">
        <f t="shared" si="12"/>
        <v>1.2</v>
      </c>
      <c r="K62" s="73">
        <f t="shared" si="12"/>
        <v>1.2</v>
      </c>
      <c r="L62" s="73">
        <f t="shared" si="12"/>
        <v>1.2</v>
      </c>
      <c r="M62" s="73">
        <f t="shared" si="12"/>
        <v>1.2</v>
      </c>
      <c r="N62" s="73">
        <f t="shared" si="12"/>
        <v>1.2</v>
      </c>
      <c r="O62" s="73">
        <f t="shared" si="12"/>
        <v>1.2</v>
      </c>
      <c r="P62" s="73">
        <f t="shared" si="12"/>
        <v>1.2</v>
      </c>
      <c r="Q62" s="73">
        <f t="shared" si="12"/>
        <v>1.2</v>
      </c>
      <c r="R62" s="73">
        <f t="shared" si="12"/>
        <v>1.2</v>
      </c>
      <c r="S62" s="73">
        <f t="shared" si="12"/>
        <v>1.2</v>
      </c>
      <c r="T62" s="15"/>
      <c r="U62" s="61"/>
      <c r="V62" s="73">
        <f>MIN(H62:M62)</f>
        <v>1.2</v>
      </c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</row>
    <row r="64" ht="12.75" customHeight="1">
      <c r="A64" s="8"/>
      <c r="N64" s="8"/>
      <c r="O64" s="8"/>
      <c r="P64" s="8"/>
      <c r="Q64" s="8"/>
      <c r="R64" s="8"/>
      <c r="S64" s="8"/>
      <c r="T64" s="15"/>
      <c r="U64" s="15"/>
      <c r="V64" s="15"/>
    </row>
    <row r="65" ht="12.75" customHeight="1">
      <c r="A65" s="15"/>
      <c r="B65" s="15"/>
      <c r="C65" s="42"/>
      <c r="D65" s="42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</row>
    <row r="66" ht="12.75" customHeight="1">
      <c r="A66" s="15"/>
      <c r="B66" s="8"/>
      <c r="C66" s="8"/>
      <c r="D66" s="8"/>
      <c r="E66" s="8"/>
      <c r="F66" s="29"/>
      <c r="G66" s="15"/>
      <c r="H66" s="31"/>
      <c r="I66" s="15"/>
      <c r="J66" s="15"/>
      <c r="K66" s="15"/>
      <c r="L66" s="15"/>
      <c r="M66" s="31"/>
      <c r="N66" s="31"/>
      <c r="O66" s="31"/>
      <c r="P66" s="31"/>
      <c r="Q66" s="31"/>
      <c r="R66" s="31"/>
      <c r="S66" s="31"/>
      <c r="T66" s="15"/>
      <c r="U66" s="15"/>
      <c r="V66" s="15"/>
    </row>
    <row r="67" ht="12.75" customHeight="1">
      <c r="A67" s="15"/>
      <c r="B67" s="23"/>
      <c r="C67" s="8"/>
      <c r="E67" s="23"/>
      <c r="F67" s="29"/>
      <c r="G67" s="15"/>
      <c r="H67" s="31"/>
      <c r="I67" s="15"/>
      <c r="J67" s="15"/>
      <c r="K67" s="15"/>
      <c r="L67" s="15"/>
      <c r="M67" s="31"/>
      <c r="N67" s="31"/>
      <c r="O67" s="31"/>
      <c r="P67" s="31"/>
      <c r="Q67" s="31"/>
      <c r="R67" s="31"/>
      <c r="S67" s="31"/>
      <c r="T67" s="15"/>
      <c r="U67" s="15"/>
      <c r="V67" s="15"/>
    </row>
    <row r="68" ht="12.75" customHeight="1">
      <c r="A68" s="15"/>
      <c r="B68" s="15"/>
      <c r="C68" s="42"/>
      <c r="E68" s="15"/>
      <c r="F68" s="29"/>
      <c r="G68" s="15"/>
      <c r="H68" s="31"/>
      <c r="I68" s="15"/>
      <c r="J68" s="15"/>
      <c r="K68" s="15"/>
      <c r="L68" s="15"/>
      <c r="M68" s="31"/>
      <c r="N68" s="31"/>
      <c r="O68" s="31"/>
      <c r="P68" s="31"/>
      <c r="Q68" s="31"/>
      <c r="R68" s="31"/>
      <c r="S68" s="31"/>
      <c r="T68" s="15"/>
      <c r="U68" s="15"/>
      <c r="V68" s="15"/>
    </row>
    <row r="69" ht="12.75" customHeight="1">
      <c r="A69" s="15"/>
      <c r="B69" s="15"/>
      <c r="C69" s="42"/>
      <c r="E69" s="15"/>
      <c r="F69" s="29"/>
      <c r="G69" s="15"/>
      <c r="H69" s="31"/>
      <c r="I69" s="15"/>
      <c r="J69" s="15"/>
      <c r="K69" s="15"/>
      <c r="L69" s="15"/>
      <c r="M69" s="31"/>
      <c r="N69" s="31"/>
      <c r="O69" s="31"/>
      <c r="P69" s="31"/>
      <c r="Q69" s="31"/>
      <c r="R69" s="31"/>
      <c r="S69" s="31"/>
      <c r="T69" s="15"/>
      <c r="U69" s="15"/>
      <c r="V69" s="15"/>
    </row>
    <row r="70" ht="12.75" customHeight="1">
      <c r="A70" s="15"/>
      <c r="B70" s="15"/>
      <c r="C70" s="42"/>
      <c r="D70" s="42"/>
      <c r="E70" s="15"/>
      <c r="F70" s="29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</row>
    <row r="71" ht="12.75" customHeight="1">
      <c r="A71" s="15"/>
      <c r="B71" s="15"/>
      <c r="C71" s="42"/>
      <c r="E71" s="15"/>
      <c r="F71" s="87"/>
      <c r="G71" s="15"/>
      <c r="H71" s="31"/>
      <c r="I71" s="15"/>
      <c r="J71" s="15"/>
      <c r="K71" s="15"/>
      <c r="L71" s="15"/>
      <c r="M71" s="83"/>
      <c r="N71" s="83"/>
      <c r="O71" s="83"/>
      <c r="P71" s="83"/>
      <c r="Q71" s="83"/>
      <c r="R71" s="83"/>
      <c r="S71" s="83"/>
      <c r="T71" s="15"/>
      <c r="U71" s="15"/>
      <c r="V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</row>
    <row r="74" ht="12.75" customHeight="1">
      <c r="A74" s="15"/>
      <c r="B74" s="15"/>
      <c r="C74" s="88"/>
      <c r="E74" s="15"/>
      <c r="F74" s="29"/>
      <c r="G74" s="15"/>
      <c r="H74" s="31"/>
      <c r="I74" s="15"/>
      <c r="J74" s="15"/>
      <c r="K74" s="15"/>
      <c r="L74" s="15"/>
      <c r="M74" s="83"/>
      <c r="N74" s="83"/>
      <c r="O74" s="83"/>
      <c r="P74" s="83"/>
      <c r="Q74" s="83"/>
      <c r="R74" s="83"/>
      <c r="S74" s="83"/>
      <c r="T74" s="15"/>
      <c r="U74" s="15"/>
      <c r="V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</row>
    <row r="77" ht="12.75" customHeight="1">
      <c r="A77" s="15"/>
      <c r="B77" s="23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</row>
    <row r="79" ht="12.75" customHeight="1">
      <c r="A79" s="15"/>
      <c r="B79" s="15"/>
      <c r="C79" s="23"/>
      <c r="D79" s="15"/>
      <c r="E79" s="15"/>
      <c r="F79" s="15"/>
      <c r="G79" s="15"/>
      <c r="H79" s="15"/>
      <c r="I79" s="15"/>
      <c r="J79" s="15"/>
      <c r="K79" s="15"/>
      <c r="L79" s="15"/>
      <c r="M79" s="86"/>
      <c r="N79" s="86"/>
      <c r="O79" s="86"/>
      <c r="P79" s="86"/>
      <c r="Q79" s="86"/>
      <c r="R79" s="86"/>
      <c r="S79" s="86"/>
      <c r="T79" s="15"/>
      <c r="U79" s="15"/>
      <c r="V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</row>
    <row r="81" ht="12.75" customHeight="1">
      <c r="L81" s="15"/>
      <c r="M81" s="15"/>
      <c r="N81" s="15"/>
      <c r="O81" s="15"/>
      <c r="P81" s="15"/>
      <c r="Q81" s="15"/>
      <c r="R81" s="15"/>
      <c r="S81" s="15"/>
      <c r="T81" s="15"/>
    </row>
    <row r="82" ht="12.75" customHeight="1">
      <c r="L82" s="15"/>
      <c r="M82" s="15"/>
      <c r="N82" s="15"/>
      <c r="O82" s="15"/>
      <c r="P82" s="15"/>
      <c r="Q82" s="15"/>
      <c r="R82" s="15"/>
      <c r="S82" s="15"/>
      <c r="T82" s="15"/>
    </row>
    <row r="83" ht="12.75" customHeight="1">
      <c r="L83" s="15"/>
      <c r="M83" s="15"/>
      <c r="N83" s="15"/>
      <c r="O83" s="15"/>
      <c r="P83" s="15"/>
      <c r="Q83" s="15"/>
      <c r="R83" s="15"/>
      <c r="S83" s="15"/>
      <c r="T83" s="15"/>
    </row>
    <row r="84" ht="12.75" customHeight="1">
      <c r="L84" s="15"/>
      <c r="M84" s="15"/>
      <c r="N84" s="15"/>
      <c r="O84" s="15"/>
      <c r="P84" s="15"/>
      <c r="Q84" s="15"/>
      <c r="R84" s="15"/>
      <c r="S84" s="15"/>
      <c r="T84" s="15"/>
    </row>
    <row r="85" ht="12.75" customHeight="1"/>
    <row r="86" ht="12.75" customHeight="1"/>
    <row r="87" ht="12.75" customHeight="1"/>
    <row r="88" ht="12.75" customHeight="1">
      <c r="B88" s="8"/>
      <c r="C88" s="8"/>
      <c r="D88" s="8"/>
      <c r="E88" s="8"/>
    </row>
    <row r="89" ht="12.75" customHeight="1">
      <c r="B89" s="23"/>
      <c r="C89" s="8"/>
      <c r="E89" s="23"/>
    </row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9">
    <mergeCell ref="C1:N2"/>
    <mergeCell ref="C4:M5"/>
    <mergeCell ref="A7:B7"/>
    <mergeCell ref="C7:F7"/>
    <mergeCell ref="J7:M7"/>
    <mergeCell ref="C8:F8"/>
    <mergeCell ref="J8:M8"/>
    <mergeCell ref="H20:N20"/>
    <mergeCell ref="U20:V20"/>
    <mergeCell ref="H7:I7"/>
    <mergeCell ref="H8:I8"/>
    <mergeCell ref="H10:I10"/>
    <mergeCell ref="J10:M10"/>
    <mergeCell ref="Q12:R12"/>
    <mergeCell ref="Q13:R13"/>
    <mergeCell ref="Q14:R14"/>
    <mergeCell ref="C67:D67"/>
    <mergeCell ref="C68:D68"/>
    <mergeCell ref="C69:D69"/>
    <mergeCell ref="C71:D71"/>
    <mergeCell ref="C74:D74"/>
    <mergeCell ref="C89:D89"/>
    <mergeCell ref="A8:B8"/>
    <mergeCell ref="A10:B10"/>
    <mergeCell ref="D10:E10"/>
    <mergeCell ref="A12:C12"/>
    <mergeCell ref="D12:E12"/>
    <mergeCell ref="E20:F20"/>
    <mergeCell ref="A64:M64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57"/>
    <col customWidth="1" min="3" max="4" width="11.43"/>
    <col customWidth="1" min="5" max="5" width="9.86"/>
    <col customWidth="1" min="6" max="6" width="11.43"/>
    <col customWidth="1" min="7" max="7" width="7.29"/>
    <col customWidth="1" min="8" max="8" width="9.86"/>
    <col customWidth="1" min="9" max="10" width="11.43"/>
    <col customWidth="1" min="11" max="11" width="6.71"/>
    <col customWidth="1" min="12" max="12" width="12.71"/>
    <col customWidth="1" min="13" max="13" width="12.86"/>
    <col customWidth="1" min="14" max="26" width="10.0"/>
  </cols>
  <sheetData>
    <row r="1" ht="12.75" customHeight="1">
      <c r="C1" s="1" t="s">
        <v>139</v>
      </c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2.75" customHeight="1"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6"/>
    </row>
    <row r="3" ht="12.75" customHeight="1"/>
    <row r="4" ht="12.75" customHeight="1"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3"/>
    </row>
    <row r="5" ht="12.75" customHeight="1">
      <c r="C5" s="4"/>
      <c r="D5" s="5"/>
      <c r="E5" s="5"/>
      <c r="F5" s="5"/>
      <c r="G5" s="5"/>
      <c r="H5" s="5"/>
      <c r="I5" s="5"/>
      <c r="J5" s="5"/>
      <c r="K5" s="5"/>
      <c r="L5" s="5"/>
      <c r="M5" s="5"/>
      <c r="N5" s="6"/>
    </row>
    <row r="6" ht="12.75" customHeight="1"/>
    <row r="7" ht="12.75" customHeight="1">
      <c r="A7" s="8" t="s">
        <v>1</v>
      </c>
      <c r="C7" s="14" t="str">
        <f>'Estimación'!C7</f>
        <v>MEJORA DE LA PÁGINA WEB</v>
      </c>
      <c r="H7" s="8" t="s">
        <v>3</v>
      </c>
      <c r="J7" s="14" t="str">
        <f>'Estimación'!K7</f>
        <v/>
      </c>
    </row>
    <row r="8" ht="12.75" customHeight="1">
      <c r="A8" s="8" t="s">
        <v>4</v>
      </c>
      <c r="C8" s="14" t="str">
        <f>'Estimación'!C8</f>
        <v>MULTICINES SA</v>
      </c>
      <c r="H8" s="8" t="s">
        <v>6</v>
      </c>
      <c r="J8" s="14" t="str">
        <f>'Estimación'!K8</f>
        <v/>
      </c>
    </row>
    <row r="9" ht="12.75" customHeight="1">
      <c r="F9" s="15"/>
      <c r="G9" s="15"/>
    </row>
    <row r="10" ht="12.75" customHeight="1">
      <c r="F10" s="15"/>
      <c r="G10" s="15"/>
      <c r="L10" s="25" t="s">
        <v>140</v>
      </c>
      <c r="M10" s="25" t="s">
        <v>141</v>
      </c>
      <c r="N10" s="25"/>
    </row>
    <row r="11" ht="12.75" customHeight="1">
      <c r="A11" s="8" t="s">
        <v>58</v>
      </c>
      <c r="C11" s="12"/>
      <c r="D11" s="13"/>
      <c r="E11" s="11"/>
      <c r="F11" s="14"/>
      <c r="G11" s="15"/>
      <c r="H11" s="8" t="s">
        <v>59</v>
      </c>
      <c r="L11" s="18">
        <f>'Estimación'!L12</f>
        <v>127366.5131</v>
      </c>
      <c r="M11" s="18" t="str">
        <f>I60</f>
        <v/>
      </c>
      <c r="N11" s="19" t="s">
        <v>10</v>
      </c>
    </row>
    <row r="12" ht="12.75" customHeight="1">
      <c r="F12" s="15"/>
      <c r="G12" s="15"/>
      <c r="H12" s="8" t="s">
        <v>11</v>
      </c>
      <c r="L12" s="18">
        <f>'Estimación'!L13</f>
        <v>1561</v>
      </c>
      <c r="M12" s="18">
        <f>H31</f>
        <v>0</v>
      </c>
      <c r="N12" s="19" t="s">
        <v>12</v>
      </c>
    </row>
    <row r="13" ht="12.75" customHeight="1">
      <c r="F13" s="15"/>
      <c r="G13" s="15"/>
      <c r="H13" s="8" t="s">
        <v>13</v>
      </c>
      <c r="L13" s="89">
        <f>'Estimación'!L14/100</f>
        <v>0.2</v>
      </c>
      <c r="M13" s="89" t="str">
        <f>J62</f>
        <v>N/A</v>
      </c>
      <c r="N13" s="19" t="s">
        <v>14</v>
      </c>
    </row>
    <row r="14" ht="12.75" customHeight="1">
      <c r="F14" s="15"/>
      <c r="G14" s="15"/>
      <c r="H14" s="8" t="s">
        <v>7</v>
      </c>
      <c r="I14" s="8"/>
      <c r="L14" s="90">
        <f>'Estimación'!C10</f>
        <v>44249</v>
      </c>
      <c r="M14" s="90" t="s">
        <v>142</v>
      </c>
      <c r="N14" s="19" t="s">
        <v>143</v>
      </c>
    </row>
    <row r="15" ht="12.75" customHeight="1">
      <c r="H15" s="8" t="s">
        <v>8</v>
      </c>
      <c r="I15" s="8"/>
      <c r="L15" s="90" t="str">
        <f>'Estimación'!J10</f>
        <v/>
      </c>
      <c r="M15" s="90" t="s">
        <v>144</v>
      </c>
      <c r="N15" s="19" t="s">
        <v>143</v>
      </c>
    </row>
    <row r="16" ht="12.75" customHeight="1"/>
    <row r="17" ht="12.75" customHeight="1">
      <c r="A17" s="20" t="s">
        <v>15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2"/>
    </row>
    <row r="18" ht="12.75" customHeight="1"/>
    <row r="19" ht="12.75" customHeight="1">
      <c r="B19" s="23" t="s">
        <v>16</v>
      </c>
    </row>
    <row r="20" ht="12.75" customHeight="1"/>
    <row r="21" ht="12.75" customHeight="1">
      <c r="C21" s="24" t="s">
        <v>17</v>
      </c>
      <c r="E21" s="52" t="s">
        <v>65</v>
      </c>
      <c r="F21" s="22"/>
      <c r="G21" s="64"/>
      <c r="H21" s="52" t="s">
        <v>145</v>
      </c>
      <c r="I21" s="21"/>
      <c r="J21" s="22"/>
      <c r="K21" s="64"/>
      <c r="L21" s="52" t="s">
        <v>146</v>
      </c>
      <c r="M21" s="21"/>
      <c r="N21" s="22"/>
    </row>
    <row r="22" ht="12.75" customHeight="1">
      <c r="E22" s="54" t="s">
        <v>18</v>
      </c>
      <c r="F22" s="54" t="s">
        <v>22</v>
      </c>
      <c r="G22" s="65"/>
      <c r="H22" s="54" t="s">
        <v>18</v>
      </c>
      <c r="I22" s="54" t="s">
        <v>22</v>
      </c>
      <c r="J22" s="54" t="s">
        <v>14</v>
      </c>
      <c r="K22" s="65"/>
      <c r="L22" s="54" t="s">
        <v>147</v>
      </c>
      <c r="M22" s="54" t="s">
        <v>22</v>
      </c>
      <c r="N22" s="54" t="s">
        <v>14</v>
      </c>
    </row>
    <row r="23" ht="12.75" customHeight="1"/>
    <row r="24" ht="12.75" customHeight="1">
      <c r="C24" s="27" t="s">
        <v>23</v>
      </c>
      <c r="E24" s="27">
        <f>'Estimación'!E22</f>
        <v>278</v>
      </c>
      <c r="F24" s="31">
        <f>'Estimación'!E22*'Estimación'!G22*'Estimación'!I22</f>
        <v>37576.2036</v>
      </c>
      <c r="G24" s="66"/>
      <c r="H24" s="38"/>
      <c r="I24" s="31">
        <f>H24*'Estimación'!G22*'Estimación'!I22</f>
        <v>0</v>
      </c>
      <c r="J24" s="67">
        <f t="shared" ref="J24:J29" si="2">IF(E24=0,"N/A",100*H24/E24)</f>
        <v>0</v>
      </c>
      <c r="K24" s="29"/>
      <c r="L24" s="31">
        <f t="shared" ref="L24:M24" si="1">H24-E24</f>
        <v>-278</v>
      </c>
      <c r="M24" s="31">
        <f t="shared" si="1"/>
        <v>-37576.2036</v>
      </c>
      <c r="N24" s="73">
        <f t="shared" ref="N24:N29" si="4">IF(E24=0,"N/A",L24/E24)</f>
        <v>-1</v>
      </c>
    </row>
    <row r="25" ht="12.75" customHeight="1">
      <c r="C25" s="27" t="s">
        <v>24</v>
      </c>
      <c r="E25" s="27">
        <f>'Estimación'!E23</f>
        <v>270</v>
      </c>
      <c r="F25" s="31">
        <f>'Estimación'!E23*'Estimación'!G23*'Estimación'!I23</f>
        <v>22591.413</v>
      </c>
      <c r="G25" s="66"/>
      <c r="H25" s="38"/>
      <c r="I25" s="31">
        <f>H25*'Estimación'!G23*'Estimación'!I23</f>
        <v>0</v>
      </c>
      <c r="J25" s="67">
        <f t="shared" si="2"/>
        <v>0</v>
      </c>
      <c r="K25" s="29"/>
      <c r="L25" s="31">
        <f t="shared" ref="L25:M25" si="3">H25-E25</f>
        <v>-270</v>
      </c>
      <c r="M25" s="31">
        <f t="shared" si="3"/>
        <v>-22591.413</v>
      </c>
      <c r="N25" s="73">
        <f t="shared" si="4"/>
        <v>-1</v>
      </c>
    </row>
    <row r="26" ht="12.75" customHeight="1">
      <c r="C26" s="27" t="s">
        <v>25</v>
      </c>
      <c r="E26" s="27">
        <f>'Estimación'!E24</f>
        <v>278</v>
      </c>
      <c r="F26" s="31">
        <f>'Estimación'!E24*'Estimación'!G24*'Estimación'!I24</f>
        <v>16462.4928</v>
      </c>
      <c r="G26" s="66"/>
      <c r="H26" s="38"/>
      <c r="I26" s="31">
        <f>H26*'Estimación'!G24*'Estimación'!I24</f>
        <v>0</v>
      </c>
      <c r="J26" s="67">
        <f t="shared" si="2"/>
        <v>0</v>
      </c>
      <c r="K26" s="29"/>
      <c r="L26" s="31">
        <f t="shared" ref="L26:M26" si="5">H26-E26</f>
        <v>-278</v>
      </c>
      <c r="M26" s="31">
        <f t="shared" si="5"/>
        <v>-16462.4928</v>
      </c>
      <c r="N26" s="73">
        <f t="shared" si="4"/>
        <v>-1</v>
      </c>
    </row>
    <row r="27" ht="12.75" customHeight="1">
      <c r="C27" s="27" t="s">
        <v>26</v>
      </c>
      <c r="E27" s="27">
        <f>'Estimación'!E25</f>
        <v>258</v>
      </c>
      <c r="F27" s="31">
        <f>'Estimación'!E25*'Estimación'!G25*'Estimación'!I25</f>
        <v>9300.3066</v>
      </c>
      <c r="G27" s="66"/>
      <c r="H27" s="38"/>
      <c r="I27" s="31">
        <f>H27*'Estimación'!G25*'Estimación'!I25</f>
        <v>0</v>
      </c>
      <c r="J27" s="67">
        <f t="shared" si="2"/>
        <v>0</v>
      </c>
      <c r="K27" s="29"/>
      <c r="L27" s="31">
        <f t="shared" ref="L27:M27" si="6">H27-E27</f>
        <v>-258</v>
      </c>
      <c r="M27" s="31">
        <f t="shared" si="6"/>
        <v>-9300.3066</v>
      </c>
      <c r="N27" s="73">
        <f t="shared" si="4"/>
        <v>-1</v>
      </c>
    </row>
    <row r="28" ht="12.75" customHeight="1">
      <c r="C28" s="27" t="s">
        <v>27</v>
      </c>
      <c r="E28" s="27">
        <f>'Estimación'!E26</f>
        <v>222</v>
      </c>
      <c r="F28" s="31">
        <f>'Estimación'!E26*'Estimación'!G26*'Estimación'!I26</f>
        <v>6573.1536</v>
      </c>
      <c r="G28" s="66"/>
      <c r="H28" s="38"/>
      <c r="I28" s="31">
        <f>H28*'Estimación'!G26*'Estimación'!I26</f>
        <v>0</v>
      </c>
      <c r="J28" s="67">
        <f t="shared" si="2"/>
        <v>0</v>
      </c>
      <c r="K28" s="29"/>
      <c r="L28" s="31">
        <f t="shared" ref="L28:M28" si="7">H28-E28</f>
        <v>-222</v>
      </c>
      <c r="M28" s="31">
        <f t="shared" si="7"/>
        <v>-6573.1536</v>
      </c>
      <c r="N28" s="73">
        <f t="shared" si="4"/>
        <v>-1</v>
      </c>
    </row>
    <row r="29" ht="12.75" customHeight="1">
      <c r="C29" s="27" t="s">
        <v>28</v>
      </c>
      <c r="E29" s="27">
        <f>'Estimación'!E27</f>
        <v>255</v>
      </c>
      <c r="F29" s="31">
        <f>'Estimación'!E27*'Estimación'!G27*'Estimación'!I27</f>
        <v>4593.927</v>
      </c>
      <c r="G29" s="66"/>
      <c r="H29" s="38"/>
      <c r="I29" s="31">
        <f>H29*'Estimación'!G27*'Estimación'!I27</f>
        <v>0</v>
      </c>
      <c r="J29" s="67">
        <f t="shared" si="2"/>
        <v>0</v>
      </c>
      <c r="K29" s="29"/>
      <c r="L29" s="31">
        <f t="shared" ref="L29:M29" si="8">H29-E29</f>
        <v>-255</v>
      </c>
      <c r="M29" s="31">
        <f t="shared" si="8"/>
        <v>-4593.927</v>
      </c>
      <c r="N29" s="73">
        <f t="shared" si="4"/>
        <v>-1</v>
      </c>
    </row>
    <row r="30" ht="12.75" customHeight="1">
      <c r="F30" s="31"/>
      <c r="G30" s="66"/>
      <c r="H30" s="31"/>
      <c r="I30" s="31"/>
      <c r="J30" s="67"/>
      <c r="K30" s="29"/>
      <c r="L30" s="31"/>
      <c r="M30" s="31"/>
      <c r="N30" s="73"/>
    </row>
    <row r="31" ht="12.75" customHeight="1">
      <c r="C31" s="23" t="s">
        <v>29</v>
      </c>
      <c r="E31" s="27">
        <f>'Estimación'!E29</f>
        <v>1561</v>
      </c>
      <c r="F31" s="31">
        <f>SUM(F24:F29)</f>
        <v>97097.4966</v>
      </c>
      <c r="G31" s="66"/>
      <c r="H31" s="31">
        <f t="shared" ref="H31:I31" si="9">SUM(H24:H29)</f>
        <v>0</v>
      </c>
      <c r="I31" s="31">
        <f t="shared" si="9"/>
        <v>0</v>
      </c>
      <c r="J31" s="67">
        <f>IF(E31=0,"N/A",100*H31/E31)</f>
        <v>0</v>
      </c>
      <c r="K31" s="29"/>
      <c r="L31" s="31">
        <f t="shared" ref="L31:M31" si="10">H31-E31</f>
        <v>-1561</v>
      </c>
      <c r="M31" s="31">
        <f t="shared" si="10"/>
        <v>-97097.4966</v>
      </c>
      <c r="N31" s="73">
        <f>IF(E31=0,"N/A",L31/E31)</f>
        <v>-1</v>
      </c>
    </row>
    <row r="32" ht="12.75" customHeight="1"/>
    <row r="33" ht="12.75" customHeight="1">
      <c r="B33" s="23" t="s">
        <v>30</v>
      </c>
    </row>
    <row r="34" ht="12.75" customHeight="1"/>
    <row r="35" ht="12.75" customHeight="1">
      <c r="C35" s="27" t="s">
        <v>31</v>
      </c>
      <c r="F35" s="31">
        <f>'Estimación'!M33</f>
        <v>0</v>
      </c>
      <c r="I35" s="38"/>
      <c r="J35" s="67" t="str">
        <f t="shared" ref="J35:J51" si="11">IF(F35=0,"N/A",100*I35/F35)</f>
        <v>N/A</v>
      </c>
      <c r="L35" s="31"/>
      <c r="M35" s="31">
        <f t="shared" ref="M35:M36" si="12">I35-F35</f>
        <v>0</v>
      </c>
      <c r="N35" s="73" t="str">
        <f t="shared" ref="N35:N36" si="13">IF(F35=0,"N/A",M35/F35)</f>
        <v>N/A</v>
      </c>
    </row>
    <row r="36" ht="12.75" customHeight="1">
      <c r="C36" s="27" t="s">
        <v>32</v>
      </c>
      <c r="F36" s="31">
        <f>'Estimación'!M34</f>
        <v>0</v>
      </c>
      <c r="I36" s="38"/>
      <c r="J36" s="67" t="str">
        <f t="shared" si="11"/>
        <v>N/A</v>
      </c>
      <c r="L36" s="31"/>
      <c r="M36" s="31">
        <f t="shared" si="12"/>
        <v>0</v>
      </c>
      <c r="N36" s="73" t="str">
        <f t="shared" si="13"/>
        <v>N/A</v>
      </c>
    </row>
    <row r="37" ht="12.75" customHeight="1">
      <c r="F37" s="31"/>
      <c r="J37" s="67" t="str">
        <f t="shared" si="11"/>
        <v>N/A</v>
      </c>
      <c r="L37" s="31"/>
      <c r="M37" s="31"/>
      <c r="N37" s="73"/>
    </row>
    <row r="38" ht="12.75" customHeight="1">
      <c r="C38" s="23" t="s">
        <v>29</v>
      </c>
      <c r="F38" s="31">
        <f>SUM(F35:F36)</f>
        <v>0</v>
      </c>
      <c r="I38" s="31">
        <f>SUM(I35:I36)</f>
        <v>0</v>
      </c>
      <c r="J38" s="67" t="str">
        <f t="shared" si="11"/>
        <v>N/A</v>
      </c>
      <c r="K38" s="29"/>
      <c r="L38" s="31"/>
      <c r="M38" s="31">
        <f>I38-F38</f>
        <v>0</v>
      </c>
      <c r="N38" s="73" t="str">
        <f>IF(F38=0,"N/A",M38/F38)</f>
        <v>N/A</v>
      </c>
    </row>
    <row r="39" ht="12.75" customHeight="1">
      <c r="J39" s="67" t="str">
        <f t="shared" si="11"/>
        <v>N/A</v>
      </c>
      <c r="N39" s="73"/>
    </row>
    <row r="40" ht="12.75" customHeight="1">
      <c r="B40" s="23" t="s">
        <v>122</v>
      </c>
      <c r="J40" s="67" t="str">
        <f t="shared" si="11"/>
        <v>N/A</v>
      </c>
      <c r="N40" s="73"/>
    </row>
    <row r="41" ht="12.75" customHeight="1">
      <c r="J41" s="67" t="str">
        <f t="shared" si="11"/>
        <v>N/A</v>
      </c>
      <c r="N41" s="73"/>
    </row>
    <row r="42" ht="12.75" customHeight="1">
      <c r="C42" s="27" t="s">
        <v>123</v>
      </c>
      <c r="F42" s="31">
        <f>'Estimación'!E40*'Estimación'!G40*'Estimación'!I40</f>
        <v>3652.74</v>
      </c>
      <c r="G42" s="63"/>
      <c r="I42" s="38"/>
      <c r="J42" s="67">
        <f t="shared" si="11"/>
        <v>0</v>
      </c>
      <c r="K42" s="29"/>
      <c r="L42" s="31"/>
      <c r="M42" s="31">
        <f t="shared" ref="M42:M47" si="14">I42-F42</f>
        <v>-3652.74</v>
      </c>
      <c r="N42" s="73">
        <f t="shared" ref="N42:N47" si="15">IF(F42=0,"N/A",M42/F42)</f>
        <v>-1</v>
      </c>
    </row>
    <row r="43" ht="12.75" customHeight="1">
      <c r="C43" s="27" t="s">
        <v>35</v>
      </c>
      <c r="F43" s="31">
        <f>'Estimación'!E41*'Estimación'!G41*'Estimación'!I41</f>
        <v>1170.75</v>
      </c>
      <c r="G43" s="63"/>
      <c r="I43" s="38"/>
      <c r="J43" s="67">
        <f t="shared" si="11"/>
        <v>0</v>
      </c>
      <c r="K43" s="29"/>
      <c r="L43" s="31"/>
      <c r="M43" s="31">
        <f t="shared" si="14"/>
        <v>-1170.75</v>
      </c>
      <c r="N43" s="73">
        <f t="shared" si="15"/>
        <v>-1</v>
      </c>
    </row>
    <row r="44" ht="12.75" customHeight="1">
      <c r="C44" s="27" t="s">
        <v>36</v>
      </c>
      <c r="F44" s="31">
        <f>'Estimación'!E42*'Estimación'!G42*'Estimación'!I42</f>
        <v>780.5</v>
      </c>
      <c r="G44" s="63"/>
      <c r="I44" s="38"/>
      <c r="J44" s="67">
        <f t="shared" si="11"/>
        <v>0</v>
      </c>
      <c r="K44" s="29"/>
      <c r="L44" s="31"/>
      <c r="M44" s="31">
        <f t="shared" si="14"/>
        <v>-780.5</v>
      </c>
      <c r="N44" s="73">
        <f t="shared" si="15"/>
        <v>-1</v>
      </c>
    </row>
    <row r="45" ht="12.75" customHeight="1">
      <c r="C45" s="27" t="s">
        <v>38</v>
      </c>
      <c r="F45" s="31" t="str">
        <f>'Estimación'!M48</f>
        <v/>
      </c>
      <c r="G45" s="63"/>
      <c r="I45" s="38"/>
      <c r="J45" s="67" t="str">
        <f t="shared" si="11"/>
        <v>N/A</v>
      </c>
      <c r="K45" s="29"/>
      <c r="L45" s="31"/>
      <c r="M45" s="31">
        <f t="shared" si="14"/>
        <v>0</v>
      </c>
      <c r="N45" s="73" t="str">
        <f t="shared" si="15"/>
        <v>N/A</v>
      </c>
    </row>
    <row r="46" ht="12.75" customHeight="1">
      <c r="C46" s="27" t="s">
        <v>39</v>
      </c>
      <c r="F46" s="31">
        <f>'Estimación'!M49</f>
        <v>0</v>
      </c>
      <c r="G46" s="63"/>
      <c r="I46" s="38"/>
      <c r="J46" s="67" t="str">
        <f t="shared" si="11"/>
        <v>N/A</v>
      </c>
      <c r="K46" s="29"/>
      <c r="L46" s="31"/>
      <c r="M46" s="31">
        <f t="shared" si="14"/>
        <v>0</v>
      </c>
      <c r="N46" s="73" t="str">
        <f t="shared" si="15"/>
        <v>N/A</v>
      </c>
    </row>
    <row r="47" ht="12.75" customHeight="1">
      <c r="C47" s="27" t="s">
        <v>40</v>
      </c>
      <c r="F47" s="31" t="str">
        <f>'Estimación'!M50</f>
        <v/>
      </c>
      <c r="I47" s="38"/>
      <c r="J47" s="67" t="str">
        <f t="shared" si="11"/>
        <v>N/A</v>
      </c>
      <c r="L47" s="31"/>
      <c r="M47" s="31">
        <f t="shared" si="14"/>
        <v>0</v>
      </c>
      <c r="N47" s="73" t="str">
        <f t="shared" si="15"/>
        <v>N/A</v>
      </c>
    </row>
    <row r="48" ht="12.75" customHeight="1">
      <c r="B48" s="23"/>
      <c r="F48" s="31"/>
      <c r="J48" s="67" t="str">
        <f t="shared" si="11"/>
        <v>N/A</v>
      </c>
      <c r="L48" s="31"/>
      <c r="M48" s="31"/>
      <c r="N48" s="73"/>
    </row>
    <row r="49" ht="12.75" customHeight="1">
      <c r="C49" s="27" t="s">
        <v>125</v>
      </c>
      <c r="F49" s="31">
        <f>F24*'Estimación'!K22+'Situación'!F25*'Estimación'!K24+'Situación'!F26*'Estimación'!K25+'Situación'!F27*'Estimación'!K26+'Situación'!F28*'Estimación'!K27+F38*'Estimación'!K36+F42*'Estimación'!K40+'Situación'!F42*'Estimación'!K41+'Situación'!F43*'Estimación'!K42+SUM(F45:F47)*'Estimación'!K52</f>
        <v>2759.531914</v>
      </c>
      <c r="I49" s="69"/>
      <c r="J49" s="67">
        <f t="shared" si="11"/>
        <v>0</v>
      </c>
      <c r="L49" s="31"/>
      <c r="M49" s="31">
        <f>I49-F49</f>
        <v>-2759.531914</v>
      </c>
      <c r="N49" s="73">
        <f>IF(F49=0,"N/A",M49/F49)</f>
        <v>-1</v>
      </c>
    </row>
    <row r="50" ht="12.75" customHeight="1">
      <c r="J50" s="67" t="str">
        <f t="shared" si="11"/>
        <v>N/A</v>
      </c>
      <c r="L50" s="31"/>
      <c r="M50" s="31"/>
      <c r="N50" s="73"/>
    </row>
    <row r="51" ht="12.75" customHeight="1">
      <c r="C51" s="23" t="s">
        <v>29</v>
      </c>
      <c r="F51" s="31">
        <f>SUM(F42:F49)</f>
        <v>8363.521914</v>
      </c>
      <c r="I51" s="31">
        <f>SUM(I42:I49)</f>
        <v>0</v>
      </c>
      <c r="J51" s="67">
        <f t="shared" si="11"/>
        <v>0</v>
      </c>
      <c r="L51" s="31"/>
      <c r="M51" s="31">
        <f>I51-F51</f>
        <v>-8363.521914</v>
      </c>
      <c r="N51" s="73">
        <f>IF(F51=0,"N/A",M51/F51)</f>
        <v>-1</v>
      </c>
    </row>
    <row r="52" ht="12.75" customHeight="1">
      <c r="L52" s="31"/>
      <c r="M52" s="31"/>
      <c r="N52" s="73"/>
    </row>
    <row r="53" ht="12.75" customHeight="1">
      <c r="L53" s="31"/>
      <c r="M53" s="31"/>
      <c r="N53" s="73"/>
    </row>
    <row r="54" ht="12.75" customHeight="1">
      <c r="B54" s="23" t="s">
        <v>41</v>
      </c>
      <c r="C54" s="23"/>
      <c r="F54" s="31">
        <f>F31+F38+F51</f>
        <v>105461.0185</v>
      </c>
      <c r="I54" s="31">
        <f>I31+I38+I51</f>
        <v>0</v>
      </c>
      <c r="J54" s="68">
        <f>IF(F54=0,"N/A",100*I54/F54)</f>
        <v>0</v>
      </c>
      <c r="K54" s="29"/>
      <c r="L54" s="31"/>
      <c r="M54" s="31">
        <f>I54-F54</f>
        <v>-105461.0185</v>
      </c>
      <c r="N54" s="73">
        <f>IF(F54=0,"N/A",M54/F54)</f>
        <v>-1</v>
      </c>
    </row>
    <row r="55" ht="12.75" customHeight="1"/>
    <row r="56" ht="12.75" customHeight="1"/>
    <row r="57" ht="12.75" customHeight="1">
      <c r="A57" s="20" t="s">
        <v>126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2"/>
    </row>
    <row r="58" ht="12.75" customHeight="1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15"/>
      <c r="M58" s="15"/>
      <c r="N58" s="86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J59" s="15"/>
      <c r="K59" s="15"/>
      <c r="L59" s="15"/>
      <c r="M59" s="15"/>
      <c r="N59" s="15"/>
    </row>
    <row r="60" ht="12.75" customHeight="1">
      <c r="A60" s="15"/>
      <c r="B60" s="23" t="s">
        <v>127</v>
      </c>
      <c r="C60" s="15"/>
      <c r="D60" s="15"/>
      <c r="E60" s="15"/>
      <c r="F60" s="31">
        <f>'Estimación'!M77</f>
        <v>127366.5131</v>
      </c>
      <c r="G60" s="15"/>
      <c r="H60" s="15"/>
      <c r="I60" s="71"/>
      <c r="J60" s="67">
        <f>IF(F60=0,"N/A",100*I60/F60)</f>
        <v>0</v>
      </c>
      <c r="K60" s="15"/>
      <c r="L60" s="31"/>
      <c r="M60" s="31">
        <f>I60-F60</f>
        <v>-127366.5131</v>
      </c>
      <c r="N60" s="73">
        <f>IF(F60=0,"N/A",M60/F60)</f>
        <v>-1</v>
      </c>
    </row>
    <row r="61" ht="12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91"/>
      <c r="O61" s="15"/>
    </row>
    <row r="62" ht="12.75" customHeight="1">
      <c r="A62" s="15"/>
      <c r="B62" s="23" t="s">
        <v>45</v>
      </c>
      <c r="C62" s="15"/>
      <c r="D62" s="15"/>
      <c r="E62" s="15"/>
      <c r="F62" s="31">
        <f>F60-F54</f>
        <v>21905.49457</v>
      </c>
      <c r="G62" s="73">
        <f>IF(F54=0,"N/A",F62/F54)</f>
        <v>0.2077117676</v>
      </c>
      <c r="H62" s="15"/>
      <c r="I62" s="92">
        <f>I60-I54</f>
        <v>0</v>
      </c>
      <c r="J62" s="73" t="str">
        <f>IF(I54=0,"N/A",I62/I54)</f>
        <v>N/A</v>
      </c>
      <c r="K62" s="15"/>
      <c r="L62" s="92"/>
      <c r="M62" s="31">
        <f>I62-F62</f>
        <v>-21905.49457</v>
      </c>
      <c r="N62" s="73">
        <f>IF(F62=0,"N/A",M62/F62)</f>
        <v>-1</v>
      </c>
      <c r="O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J63" s="15"/>
      <c r="K63" s="15"/>
      <c r="L63" s="15"/>
      <c r="M63" s="15"/>
      <c r="N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</row>
    <row r="65" ht="12.75" customHeight="1"/>
    <row r="66" ht="12.75" customHeight="1">
      <c r="A66" s="20" t="s">
        <v>148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2"/>
    </row>
    <row r="67" ht="12.75" customHeight="1"/>
    <row r="68" ht="12.75" customHeight="1">
      <c r="B68" s="23" t="s">
        <v>149</v>
      </c>
      <c r="F68" s="69"/>
      <c r="G68" s="26" t="s">
        <v>150</v>
      </c>
    </row>
    <row r="69" ht="12.75" customHeight="1"/>
    <row r="70" ht="12.75" customHeight="1"/>
    <row r="71" ht="12.75" customHeight="1">
      <c r="B71" s="23" t="s">
        <v>151</v>
      </c>
      <c r="C71" s="23"/>
      <c r="F71" s="68">
        <f>IF(Cierre!E31=0,"N/A",(F54-Cierre!F38-Cierre!F45-Cierre!F38*'Estimación'!K36-Cierre!F45*'Estimación'!K52)/Cierre!E31)</f>
        <v>67.55990936</v>
      </c>
      <c r="I71" s="68" t="str">
        <f>IF(Cierre!H31=0,"N/A",(I54-I38-I38*'Estimación'!K36-Cierre!I45-Cierre!I45*'Estimación'!K52)/Cierre!H31)</f>
        <v>N/A</v>
      </c>
      <c r="M71" s="61" t="str">
        <f>I71-F71</f>
        <v>#VALUE!</v>
      </c>
    </row>
    <row r="72" ht="12.75" customHeight="1"/>
    <row r="73" ht="12.75" customHeight="1">
      <c r="B73" s="23" t="s">
        <v>152</v>
      </c>
      <c r="F73" s="61">
        <f>(F60-(F38*(1+'Estimación'!K36)-Cierre!F45*(1+'Estimación'!K52))*(1+Cierre!G62))/Cierre!E31</f>
        <v>81.59289756</v>
      </c>
      <c r="I73" s="61" t="str">
        <f>(I60-(I38*(1+'Estimación'!K36)-Cierre!I45*(1+'Estimación'!K52))*(1+Cierre!J62))/Cierre!H31</f>
        <v>#VALUE!</v>
      </c>
      <c r="M73" s="61" t="str">
        <f>I73-F73</f>
        <v>#VALUE!</v>
      </c>
    </row>
    <row r="74" ht="12.75" customHeight="1">
      <c r="B74" s="23"/>
    </row>
    <row r="75" ht="12.75" customHeight="1">
      <c r="B75" s="23" t="s">
        <v>153</v>
      </c>
      <c r="F75" s="61">
        <f>F73-F71</f>
        <v>14.03298819</v>
      </c>
      <c r="G75" s="59"/>
      <c r="I75" s="61" t="str">
        <f>I73-I71</f>
        <v>#VALUE!</v>
      </c>
    </row>
    <row r="76" ht="12.75" customHeight="1"/>
    <row r="77" ht="12.75" customHeight="1">
      <c r="B77" s="23" t="s">
        <v>154</v>
      </c>
      <c r="C77" s="23"/>
      <c r="D77" s="23" t="s">
        <v>155</v>
      </c>
      <c r="F77" s="31">
        <f>F31*(1+'Estimación'!K29)</f>
        <v>101083.4079</v>
      </c>
      <c r="G77" s="93">
        <f>IF(F54=0,"N/A",F77/F54)</f>
        <v>0.9584907234</v>
      </c>
      <c r="I77" s="31">
        <f>I31*(1+'Estimación'!K29)</f>
        <v>0</v>
      </c>
      <c r="J77" s="62" t="str">
        <f>I77/$I$54</f>
        <v>#DIV/0!</v>
      </c>
    </row>
    <row r="78" ht="12.75" customHeight="1">
      <c r="B78" s="23"/>
      <c r="C78" s="23"/>
      <c r="D78" s="23" t="s">
        <v>156</v>
      </c>
      <c r="F78" s="31">
        <f>F38*(1+'Estimación'!K36)</f>
        <v>0</v>
      </c>
      <c r="G78" s="93">
        <f>IF(F54=0,"N/A",F78/F54)</f>
        <v>0</v>
      </c>
      <c r="I78" s="31">
        <f>I38*(1+'Estimación'!K36)</f>
        <v>0</v>
      </c>
      <c r="J78" s="93" t="str">
        <f t="shared" ref="J78:J79" si="16">IF($I$54=0,"N/A",I78/$I$54)</f>
        <v>N/A</v>
      </c>
    </row>
    <row r="79" ht="12.75" customHeight="1">
      <c r="B79" s="23"/>
      <c r="C79" s="23"/>
      <c r="D79" s="23" t="s">
        <v>89</v>
      </c>
      <c r="F79" s="31">
        <f>F45*(1+'Estimación'!K52)</f>
        <v>0</v>
      </c>
      <c r="G79" s="93">
        <f>IF(F54=0,"N/A",F79/F54)</f>
        <v>0</v>
      </c>
      <c r="I79" s="31">
        <f>I45*(1+'Estimación'!K52)</f>
        <v>0</v>
      </c>
      <c r="J79" s="93" t="str">
        <f t="shared" si="16"/>
        <v>N/A</v>
      </c>
    </row>
    <row r="80" ht="12.75" customHeight="1"/>
    <row r="81" ht="12.75" customHeight="1">
      <c r="B81" s="23" t="s">
        <v>157</v>
      </c>
    </row>
    <row r="82" ht="12.75" customHeight="1"/>
    <row r="83" ht="12.75" customHeight="1">
      <c r="C83" s="27" t="s">
        <v>23</v>
      </c>
      <c r="F83" s="94" t="str">
        <f t="shared" ref="F83:F88" si="17">IF($F$68=0,"N/A",E24/(160*$F$68))</f>
        <v>N/A</v>
      </c>
      <c r="G83" s="63"/>
      <c r="H83" s="63"/>
      <c r="I83" s="94" t="str">
        <f t="shared" ref="I83:I88" si="18">IF($F$68=0,"N/A",H24/(160*$F$68))</f>
        <v>N/A</v>
      </c>
      <c r="J83" s="63"/>
      <c r="K83" s="63"/>
      <c r="L83" s="63"/>
      <c r="M83" s="63" t="str">
        <f t="shared" ref="M83:M88" si="19">I83-F83</f>
        <v>#VALUE!</v>
      </c>
    </row>
    <row r="84" ht="12.75" customHeight="1">
      <c r="C84" s="27" t="s">
        <v>24</v>
      </c>
      <c r="F84" s="94" t="str">
        <f t="shared" si="17"/>
        <v>N/A</v>
      </c>
      <c r="G84" s="63"/>
      <c r="H84" s="63"/>
      <c r="I84" s="94" t="str">
        <f t="shared" si="18"/>
        <v>N/A</v>
      </c>
      <c r="J84" s="63"/>
      <c r="K84" s="63"/>
      <c r="L84" s="63"/>
      <c r="M84" s="63" t="str">
        <f t="shared" si="19"/>
        <v>#VALUE!</v>
      </c>
    </row>
    <row r="85" ht="12.75" customHeight="1">
      <c r="C85" s="27" t="s">
        <v>25</v>
      </c>
      <c r="F85" s="94" t="str">
        <f t="shared" si="17"/>
        <v>N/A</v>
      </c>
      <c r="G85" s="63"/>
      <c r="H85" s="63"/>
      <c r="I85" s="94" t="str">
        <f t="shared" si="18"/>
        <v>N/A</v>
      </c>
      <c r="J85" s="63"/>
      <c r="K85" s="63"/>
      <c r="L85" s="63"/>
      <c r="M85" s="63" t="str">
        <f t="shared" si="19"/>
        <v>#VALUE!</v>
      </c>
    </row>
    <row r="86" ht="12.75" customHeight="1">
      <c r="C86" s="27" t="s">
        <v>26</v>
      </c>
      <c r="F86" s="94" t="str">
        <f t="shared" si="17"/>
        <v>N/A</v>
      </c>
      <c r="G86" s="63"/>
      <c r="H86" s="63"/>
      <c r="I86" s="94" t="str">
        <f t="shared" si="18"/>
        <v>N/A</v>
      </c>
      <c r="J86" s="63"/>
      <c r="K86" s="63"/>
      <c r="L86" s="63"/>
      <c r="M86" s="63" t="str">
        <f t="shared" si="19"/>
        <v>#VALUE!</v>
      </c>
    </row>
    <row r="87" ht="12.75" customHeight="1">
      <c r="C87" s="27" t="s">
        <v>27</v>
      </c>
      <c r="F87" s="94" t="str">
        <f t="shared" si="17"/>
        <v>N/A</v>
      </c>
      <c r="G87" s="63"/>
      <c r="H87" s="63"/>
      <c r="I87" s="94" t="str">
        <f t="shared" si="18"/>
        <v>N/A</v>
      </c>
      <c r="J87" s="63"/>
      <c r="K87" s="63"/>
      <c r="L87" s="63"/>
      <c r="M87" s="63" t="str">
        <f t="shared" si="19"/>
        <v>#VALUE!</v>
      </c>
    </row>
    <row r="88" ht="12.75" customHeight="1">
      <c r="C88" s="27" t="s">
        <v>28</v>
      </c>
      <c r="F88" s="94" t="str">
        <f t="shared" si="17"/>
        <v>N/A</v>
      </c>
      <c r="G88" s="63"/>
      <c r="H88" s="63"/>
      <c r="I88" s="94" t="str">
        <f t="shared" si="18"/>
        <v>N/A</v>
      </c>
      <c r="J88" s="63"/>
      <c r="K88" s="63"/>
      <c r="L88" s="63"/>
      <c r="M88" s="63" t="str">
        <f t="shared" si="19"/>
        <v>#VALUE!</v>
      </c>
    </row>
    <row r="89" ht="12.75" customHeight="1">
      <c r="F89" s="63"/>
      <c r="G89" s="63"/>
      <c r="H89" s="63"/>
      <c r="I89" s="63"/>
      <c r="J89" s="63"/>
      <c r="K89" s="63"/>
      <c r="L89" s="63"/>
      <c r="M89" s="63"/>
    </row>
    <row r="90" ht="12.75" customHeight="1">
      <c r="C90" s="23" t="s">
        <v>158</v>
      </c>
      <c r="F90" s="63">
        <f>SUM(F83:F88)</f>
        <v>0</v>
      </c>
      <c r="G90" s="63"/>
      <c r="H90" s="63"/>
      <c r="I90" s="63">
        <f>SUM(I83:I88)</f>
        <v>0</v>
      </c>
      <c r="J90" s="63"/>
      <c r="K90" s="63"/>
      <c r="L90" s="63"/>
      <c r="M90" s="63">
        <f>I90-F90</f>
        <v>0</v>
      </c>
    </row>
    <row r="91" ht="12.75" customHeight="1"/>
    <row r="92" ht="12.75" customHeight="1">
      <c r="B92" s="23" t="s">
        <v>159</v>
      </c>
      <c r="F92" s="31">
        <f>F54-F94</f>
        <v>105461.0185</v>
      </c>
      <c r="G92" s="73">
        <f>IF(F54=0,"N/A",F92/F54)</f>
        <v>1</v>
      </c>
      <c r="I92" s="31">
        <f>I54-I94</f>
        <v>0</v>
      </c>
      <c r="J92" s="73" t="str">
        <f>IF(I54=0,"N/A",I92/I54)</f>
        <v>N/A</v>
      </c>
      <c r="M92" s="31">
        <f>I92-F92</f>
        <v>-105461.0185</v>
      </c>
    </row>
    <row r="93" ht="12.75" customHeight="1"/>
    <row r="94" ht="12.75" customHeight="1">
      <c r="B94" s="23" t="s">
        <v>160</v>
      </c>
      <c r="F94" s="31">
        <f>F38+F45+F46+F47</f>
        <v>0</v>
      </c>
      <c r="G94" s="73">
        <f>IF(F54=0,"N/A",F94/F54)</f>
        <v>0</v>
      </c>
      <c r="I94" s="31">
        <f>I38+I45+I46+I47</f>
        <v>0</v>
      </c>
      <c r="J94" s="73" t="str">
        <f>IF(I54=0,"N/A",I94/I54)</f>
        <v>N/A</v>
      </c>
      <c r="M94" s="31">
        <f>I94-F94</f>
        <v>0</v>
      </c>
    </row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1">
    <mergeCell ref="C1:N2"/>
    <mergeCell ref="C4:N5"/>
    <mergeCell ref="A7:B7"/>
    <mergeCell ref="C7:F7"/>
    <mergeCell ref="J7:N7"/>
    <mergeCell ref="A8:B8"/>
    <mergeCell ref="C8:F8"/>
    <mergeCell ref="J8:N8"/>
    <mergeCell ref="D11:E11"/>
    <mergeCell ref="E21:F21"/>
    <mergeCell ref="H21:J21"/>
    <mergeCell ref="L21:N21"/>
    <mergeCell ref="A57:N57"/>
    <mergeCell ref="A66:N66"/>
    <mergeCell ref="H7:I7"/>
    <mergeCell ref="H8:I8"/>
    <mergeCell ref="A11:C11"/>
    <mergeCell ref="H11:I11"/>
    <mergeCell ref="H12:I12"/>
    <mergeCell ref="H13:I13"/>
    <mergeCell ref="A17:N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1999-07-18T10:25:34Z</dcterms:created>
  <dc:creator>Alberto Domingo</dc:creator>
</cp:coreProperties>
</file>