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activeTab="1"/>
  </bookViews>
  <sheets>
    <sheet name="Estimativa de consumo" sheetId="2" r:id="rId1"/>
    <sheet name="Estudo de Caso" sheetId="1" r:id="rId2"/>
    <sheet name="Sazonalização" sheetId="3" r:id="rId3"/>
    <sheet name="Planilha2" sheetId="4" r:id="rId4"/>
  </sheets>
  <calcPr calcId="152511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2" i="1" l="1"/>
  <c r="G18" i="3" l="1"/>
  <c r="H18" i="3"/>
  <c r="I18" i="3"/>
  <c r="J18" i="3"/>
  <c r="K18" i="3"/>
  <c r="L18" i="3"/>
  <c r="M18" i="3"/>
  <c r="N18" i="3"/>
  <c r="O18" i="3"/>
  <c r="P18" i="3"/>
  <c r="Q18" i="3"/>
  <c r="F18" i="3"/>
  <c r="G11" i="3"/>
  <c r="H11" i="3"/>
  <c r="I11" i="3"/>
  <c r="J11" i="3"/>
  <c r="K11" i="3"/>
  <c r="L11" i="3"/>
  <c r="M11" i="3"/>
  <c r="N11" i="3"/>
  <c r="O11" i="3"/>
  <c r="P11" i="3"/>
  <c r="Q11" i="3"/>
  <c r="F11" i="3"/>
  <c r="R16" i="3"/>
  <c r="R10" i="3"/>
  <c r="R9" i="3"/>
  <c r="D3" i="4"/>
  <c r="D4" i="4"/>
  <c r="D5" i="4"/>
  <c r="D6" i="4"/>
  <c r="D7" i="4"/>
  <c r="D8" i="4"/>
  <c r="D9" i="4"/>
  <c r="D10" i="4"/>
  <c r="D11" i="4"/>
  <c r="D12" i="4"/>
  <c r="D13" i="4"/>
  <c r="D2" i="4"/>
  <c r="D14" i="4" s="1"/>
  <c r="R2" i="3"/>
  <c r="B7" i="3"/>
  <c r="V23" i="1"/>
  <c r="V22" i="1"/>
  <c r="V24" i="1" s="1"/>
  <c r="P23" i="1"/>
  <c r="P22" i="1"/>
  <c r="P24" i="1" s="1"/>
  <c r="P26" i="1" s="1"/>
  <c r="S35" i="1"/>
  <c r="S36" i="1" s="1"/>
  <c r="S32" i="1"/>
  <c r="S57" i="1"/>
  <c r="S56" i="1"/>
  <c r="M35" i="1"/>
  <c r="M36" i="1" s="1"/>
  <c r="P49" i="1"/>
  <c r="P50" i="1"/>
  <c r="P51" i="1"/>
  <c r="P52" i="1"/>
  <c r="M32" i="1"/>
  <c r="M33" i="1" s="1"/>
  <c r="M34" i="1" s="1"/>
  <c r="V11" i="1"/>
  <c r="V12" i="1"/>
  <c r="V13" i="1"/>
  <c r="P11" i="1"/>
  <c r="P12" i="1"/>
  <c r="P13" i="1"/>
  <c r="AD11" i="1" l="1"/>
  <c r="P15" i="1"/>
  <c r="V15" i="1"/>
  <c r="V18" i="1" s="1"/>
  <c r="V17" i="1"/>
  <c r="P18" i="1"/>
  <c r="P17" i="1"/>
  <c r="M37" i="1"/>
  <c r="P16" i="1" s="1"/>
  <c r="P19" i="1" s="1"/>
  <c r="P54" i="1"/>
  <c r="S33" i="1"/>
  <c r="S34" i="1" s="1"/>
  <c r="S37" i="1" s="1"/>
  <c r="V16" i="1" s="1"/>
  <c r="B2" i="3"/>
  <c r="N3" i="3" s="1"/>
  <c r="R17" i="3"/>
  <c r="R19" i="3" s="1"/>
  <c r="R12" i="3"/>
  <c r="C2" i="3"/>
  <c r="J3" i="3"/>
  <c r="G3" i="3"/>
  <c r="H3" i="3"/>
  <c r="J11" i="1"/>
  <c r="J12" i="1"/>
  <c r="J13" i="1"/>
  <c r="J14" i="1"/>
  <c r="J15" i="1"/>
  <c r="E18" i="2"/>
  <c r="D18" i="2"/>
  <c r="E17" i="2"/>
  <c r="D17" i="2"/>
  <c r="E16" i="2"/>
  <c r="D16" i="2"/>
  <c r="E15" i="2"/>
  <c r="D15" i="2"/>
  <c r="E14" i="2"/>
  <c r="D14" i="2"/>
  <c r="E13" i="2"/>
  <c r="D13" i="2"/>
  <c r="D19" i="2" s="1"/>
  <c r="D6" i="2"/>
  <c r="E5" i="2"/>
  <c r="D5" i="2"/>
  <c r="E6" i="2"/>
  <c r="D7" i="2"/>
  <c r="E7" i="2"/>
  <c r="AD15" i="1" l="1"/>
  <c r="V19" i="1"/>
  <c r="V26" i="1" s="1"/>
  <c r="R50" i="1"/>
  <c r="R57" i="1"/>
  <c r="R56" i="1"/>
  <c r="Q3" i="3"/>
  <c r="Q5" i="3" s="1"/>
  <c r="M3" i="3"/>
  <c r="I3" i="3"/>
  <c r="I5" i="3" s="1"/>
  <c r="E19" i="2"/>
  <c r="P3" i="3"/>
  <c r="P5" i="3" s="1"/>
  <c r="O3" i="3"/>
  <c r="F3" i="3"/>
  <c r="F4" i="3" s="1"/>
  <c r="L3" i="3"/>
  <c r="L4" i="3" s="1"/>
  <c r="K3" i="3"/>
  <c r="K4" i="3" s="1"/>
  <c r="H5" i="3"/>
  <c r="H4" i="3"/>
  <c r="G4" i="3"/>
  <c r="G5" i="3"/>
  <c r="I4" i="3"/>
  <c r="Q4" i="3"/>
  <c r="J5" i="3"/>
  <c r="J4" i="3"/>
  <c r="F5" i="3"/>
  <c r="M5" i="3"/>
  <c r="M4" i="3"/>
  <c r="L5" i="3"/>
  <c r="O4" i="3"/>
  <c r="O5" i="3"/>
  <c r="N4" i="3"/>
  <c r="N5" i="3"/>
  <c r="F5" i="2"/>
  <c r="F6" i="2"/>
  <c r="G5" i="2"/>
  <c r="G6" i="2"/>
  <c r="G7" i="2"/>
  <c r="F7" i="2"/>
  <c r="J18" i="1"/>
  <c r="AD10" i="1" s="1"/>
  <c r="AD12" i="1" l="1"/>
  <c r="AD19" i="1"/>
  <c r="AD23" i="1" s="1"/>
  <c r="AD30" i="1" s="1"/>
  <c r="AD31" i="1" s="1"/>
  <c r="AE10" i="1"/>
  <c r="AE16" i="1" s="1"/>
  <c r="AE20" i="1" s="1"/>
  <c r="R3" i="3"/>
  <c r="P4" i="3"/>
  <c r="K5" i="3"/>
  <c r="R51" i="1"/>
  <c r="R52" i="1"/>
  <c r="AD16" i="1" l="1"/>
  <c r="AD20" i="1" s="1"/>
  <c r="AE15" i="1"/>
  <c r="AE19" i="1" s="1"/>
  <c r="AF10" i="1"/>
  <c r="AG10" i="1" l="1"/>
  <c r="AF16" i="1"/>
  <c r="AF20" i="1" s="1"/>
  <c r="AF15" i="1"/>
  <c r="AF19" i="1" s="1"/>
  <c r="AG15" i="1" l="1"/>
  <c r="AG19" i="1" s="1"/>
  <c r="AH19" i="1" s="1"/>
  <c r="AG16" i="1"/>
  <c r="AG20" i="1" s="1"/>
  <c r="AH20" i="1" s="1"/>
</calcChain>
</file>

<file path=xl/comments1.xml><?xml version="1.0" encoding="utf-8"?>
<comments xmlns="http://schemas.openxmlformats.org/spreadsheetml/2006/main">
  <authors>
    <author>Autor</author>
  </authors>
  <commentList>
    <comment ref="B19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https://pa.equatorialenergia.com.br/informacoes-gerais/cobranca-de-icms/</t>
        </r>
      </text>
    </comment>
  </commentList>
</comments>
</file>

<file path=xl/sharedStrings.xml><?xml version="1.0" encoding="utf-8"?>
<sst xmlns="http://schemas.openxmlformats.org/spreadsheetml/2006/main" count="272" uniqueCount="136">
  <si>
    <t xml:space="preserve">ACL Especial </t>
  </si>
  <si>
    <t>Indicativos de preços</t>
  </si>
  <si>
    <t>[R$/MWh]</t>
  </si>
  <si>
    <t>I5</t>
  </si>
  <si>
    <t>I1</t>
  </si>
  <si>
    <t>Tabela 1 - Indicativos de preços</t>
  </si>
  <si>
    <r>
      <rPr>
        <b/>
        <sz val="11"/>
        <color theme="1"/>
        <rFont val="Calibri"/>
        <family val="2"/>
        <scheme val="minor"/>
      </rPr>
      <t>Estudo de Caso</t>
    </r>
    <r>
      <rPr>
        <sz val="11"/>
        <color theme="1"/>
        <rFont val="Calibri"/>
        <family val="2"/>
        <scheme val="minor"/>
      </rPr>
      <t>: Somatória das Demandas 1,9 MWh</t>
    </r>
  </si>
  <si>
    <r>
      <rPr>
        <b/>
        <sz val="11"/>
        <color theme="1"/>
        <rFont val="Calibri"/>
        <family val="2"/>
        <scheme val="minor"/>
      </rPr>
      <t>Modalidade:</t>
    </r>
    <r>
      <rPr>
        <sz val="11"/>
        <color theme="1"/>
        <rFont val="Calibri"/>
        <family val="2"/>
        <scheme val="minor"/>
      </rPr>
      <t xml:space="preserve"> Verde</t>
    </r>
  </si>
  <si>
    <r>
      <rPr>
        <b/>
        <sz val="11"/>
        <color theme="1"/>
        <rFont val="Calibri"/>
        <family val="2"/>
        <scheme val="minor"/>
      </rPr>
      <t>Conectado:</t>
    </r>
    <r>
      <rPr>
        <sz val="11"/>
        <color theme="1"/>
        <rFont val="Calibri"/>
        <family val="2"/>
        <scheme val="minor"/>
      </rPr>
      <t xml:space="preserve"> Equatorial</t>
    </r>
  </si>
  <si>
    <r>
      <rPr>
        <b/>
        <sz val="11"/>
        <color theme="1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 xml:space="preserve"> A4</t>
    </r>
  </si>
  <si>
    <r>
      <rPr>
        <b/>
        <sz val="11"/>
        <color theme="1"/>
        <rFont val="Calibri"/>
        <family val="2"/>
        <scheme val="minor"/>
      </rPr>
      <t>Perdas + Proinfa</t>
    </r>
    <r>
      <rPr>
        <sz val="11"/>
        <color theme="1"/>
        <rFont val="Calibri"/>
        <family val="2"/>
        <scheme val="minor"/>
      </rPr>
      <t xml:space="preserve"> – 0,5%</t>
    </r>
  </si>
  <si>
    <r>
      <rPr>
        <b/>
        <sz val="11"/>
        <color theme="1"/>
        <rFont val="Calibri"/>
        <family val="2"/>
        <scheme val="minor"/>
      </rPr>
      <t>PIS/COFINS</t>
    </r>
    <r>
      <rPr>
        <sz val="11"/>
        <color theme="1"/>
        <rFont val="Calibri"/>
        <family val="2"/>
        <scheme val="minor"/>
      </rPr>
      <t xml:space="preserve"> – 5%</t>
    </r>
  </si>
  <si>
    <r>
      <rPr>
        <b/>
        <sz val="11"/>
        <color theme="1"/>
        <rFont val="Calibri"/>
        <family val="2"/>
        <scheme val="minor"/>
      </rPr>
      <t>Reajuste ACR</t>
    </r>
    <r>
      <rPr>
        <sz val="11"/>
        <color theme="1"/>
        <rFont val="Calibri"/>
        <family val="2"/>
        <scheme val="minor"/>
      </rPr>
      <t xml:space="preserve"> – 5%/a.a.</t>
    </r>
  </si>
  <si>
    <r>
      <rPr>
        <b/>
        <sz val="11"/>
        <color theme="1"/>
        <rFont val="Calibri"/>
        <family val="2"/>
        <scheme val="minor"/>
      </rPr>
      <t xml:space="preserve">Encargos </t>
    </r>
    <r>
      <rPr>
        <sz val="11"/>
        <color theme="1"/>
        <rFont val="Calibri"/>
        <family val="2"/>
        <scheme val="minor"/>
      </rPr>
      <t>– R$ 10/MWh</t>
    </r>
  </si>
  <si>
    <t>Demanda Ponta</t>
  </si>
  <si>
    <t>Quantidade</t>
  </si>
  <si>
    <t>PIS/COFINS</t>
  </si>
  <si>
    <t>ICMS</t>
  </si>
  <si>
    <t>Demanda Fponta</t>
  </si>
  <si>
    <t>TUSD Ponta</t>
  </si>
  <si>
    <t>TUSD Fponta</t>
  </si>
  <si>
    <t>TE Ponta</t>
  </si>
  <si>
    <t>TE Fponta</t>
  </si>
  <si>
    <t>Total ACR</t>
  </si>
  <si>
    <t>Total</t>
  </si>
  <si>
    <t>Ponta</t>
  </si>
  <si>
    <t>MWh</t>
  </si>
  <si>
    <t>ACR</t>
  </si>
  <si>
    <t>Preço [R$/MWh]</t>
  </si>
  <si>
    <t>Total [R$]</t>
  </si>
  <si>
    <t>Tabela 2: Fatura Distribuidora - ACR</t>
  </si>
  <si>
    <t>Desconto Livre</t>
  </si>
  <si>
    <t>ICMS Dist</t>
  </si>
  <si>
    <t>ICMS Livre</t>
  </si>
  <si>
    <t>Total Dist</t>
  </si>
  <si>
    <t>Fatura Energia ACL</t>
  </si>
  <si>
    <t>Encargos</t>
  </si>
  <si>
    <t>Energia I50%</t>
  </si>
  <si>
    <t>Energia I1%</t>
  </si>
  <si>
    <t>ACL I5</t>
  </si>
  <si>
    <t>ACL I1</t>
  </si>
  <si>
    <t>Despesas [R$/ano]</t>
  </si>
  <si>
    <t>Tabela 5: ACL x ACR – Consolidado Bandeira Verde</t>
  </si>
  <si>
    <t>KW</t>
  </si>
  <si>
    <t>Belem</t>
  </si>
  <si>
    <t>Rótulos de Linha</t>
  </si>
  <si>
    <t>Média de ENERGIA_PONTA</t>
  </si>
  <si>
    <t>Média de ENERGIA_FPONTA</t>
  </si>
  <si>
    <t>Fora Ponta</t>
  </si>
  <si>
    <t>Total Geral</t>
  </si>
  <si>
    <t>Crescimento FP</t>
  </si>
  <si>
    <t>Crescimento em 2021 Ponta</t>
  </si>
  <si>
    <t>Cosumo 2019</t>
  </si>
  <si>
    <t>Corrigido 2021</t>
  </si>
  <si>
    <t>Faculdade</t>
  </si>
  <si>
    <t>Fora ponta</t>
  </si>
  <si>
    <t xml:space="preserve">Belém </t>
  </si>
  <si>
    <t>Capanema</t>
  </si>
  <si>
    <t>Capitão Poço</t>
  </si>
  <si>
    <t>Paragomina</t>
  </si>
  <si>
    <t>Paraupebas</t>
  </si>
  <si>
    <t>Tome Açu</t>
  </si>
  <si>
    <t>Estimativa de consumo de 2021</t>
  </si>
  <si>
    <t>Médio mensal</t>
  </si>
  <si>
    <t>Consumo mensal estimado – 436,095 MWh</t>
  </si>
  <si>
    <t>Comunhão</t>
  </si>
  <si>
    <t>Tabela 3: Fatura Distribuidora - ACL I5</t>
  </si>
  <si>
    <t>Tabela 4: Fatura Distribuidora - ACL I1</t>
  </si>
  <si>
    <t>MODALIDADE VERDE</t>
  </si>
  <si>
    <t>Tarifa TUSD PONTA</t>
  </si>
  <si>
    <t>Tarifa TUSD FP</t>
  </si>
  <si>
    <t>Diferença entre as tarifas</t>
  </si>
  <si>
    <t>Preço</t>
  </si>
  <si>
    <t>Valor da tarifa descontada * Consumo do TUSD Ponta</t>
  </si>
  <si>
    <t>Preço da demanda * desconto de 50%</t>
  </si>
  <si>
    <t>Preço da demanda descontado * demanda contratada</t>
  </si>
  <si>
    <t>-</t>
  </si>
  <si>
    <t>ADOTAMOS SOMENTE DEMANDA CONTRATADA FORA DE PONTA</t>
  </si>
  <si>
    <r>
      <rPr>
        <b/>
        <sz val="11"/>
        <color theme="1"/>
        <rFont val="Calibri"/>
        <family val="2"/>
        <scheme val="minor"/>
      </rPr>
      <t>ICMS PA</t>
    </r>
    <r>
      <rPr>
        <sz val="11"/>
        <color theme="1"/>
        <rFont val="Calibri"/>
        <family val="2"/>
        <scheme val="minor"/>
      </rPr>
      <t xml:space="preserve"> – 25%</t>
    </r>
  </si>
  <si>
    <t>Preço da demanda * desconto de 100%</t>
  </si>
  <si>
    <t>100% desconto na diferença</t>
  </si>
  <si>
    <t>50% desconto na diferença</t>
  </si>
  <si>
    <t>TOTAL GERAL</t>
  </si>
  <si>
    <t>Atribuido revisão tarifária de  5% aa (prof)</t>
  </si>
  <si>
    <t>Considerado o total por ano * Indicativos de preço por ano</t>
  </si>
  <si>
    <t>Economia [R$/ano]</t>
  </si>
  <si>
    <t>ACR subtrai ACL I1</t>
  </si>
  <si>
    <t>ACR Subtrai ACL I5</t>
  </si>
  <si>
    <t>Pesquisa de mercado (prof)</t>
  </si>
  <si>
    <t>Indicativo de preços (prof.)</t>
  </si>
  <si>
    <t>Considerado 22% (?)</t>
  </si>
  <si>
    <t>SUBMERCADO</t>
  </si>
  <si>
    <t>PLD - PREÇO SEMANAL</t>
  </si>
  <si>
    <t>https://www.ccee.org.br/preco_adm/precos/semanal/</t>
  </si>
  <si>
    <t>COMUNHÃO</t>
  </si>
  <si>
    <t>https://www.ccee.org.br/portal/faces/acesso_rapido_header_publico_nao_logado/faq/faq_detalhe?categoriaFaqId=CCEE_383107&amp;contentId=CCEE_386128&amp;assuntoFaqId=CCEE_383105&amp;_adf.ctrl-state=cxbfb77jc_40&amp;_afrLoop=9072869077457#!%40%40%3FcategoriaFaqId%3DCCEE_383107%26_afrLoop%3D9072869077457%26contentId%3DCCEE_386128%26assuntoFaqId%3DCCEE_383105%26_adf.ctrl-state%3Dcxbfb77jc_44</t>
  </si>
  <si>
    <t>http://grugeen.eng.br/wp-content/uploads/2017/06/submercados.jpg</t>
  </si>
  <si>
    <t>Montante de Contrato</t>
  </si>
  <si>
    <t>Sazonalização Minima</t>
  </si>
  <si>
    <t>Sazonalização Maxima</t>
  </si>
  <si>
    <t>Mwmédios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</si>
  <si>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</si>
  <si>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</si>
  <si>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</si>
  <si>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</si>
  <si>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</si>
  <si>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</si>
  <si>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</si>
  <si>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</si>
  <si>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</si>
  <si>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</si>
  <si>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</si>
  <si>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</si>
  <si>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Qtd Horas</t>
  </si>
  <si>
    <t>Sazonalização Flat (MWh)</t>
  </si>
  <si>
    <t>TOTAL</t>
  </si>
  <si>
    <t>Total Contrato</t>
  </si>
  <si>
    <t>Média mensal</t>
  </si>
  <si>
    <t>Sazonalização Definida (MWh)</t>
  </si>
  <si>
    <t>Sazonalização Definida (MWhmédios)</t>
  </si>
  <si>
    <t>Curva de Referencia (MWh)</t>
  </si>
  <si>
    <t>Diferença</t>
  </si>
  <si>
    <t>Soma de ENERGIA_PONTA</t>
  </si>
  <si>
    <t>Soma de ENERGIA_FPONTA</t>
  </si>
  <si>
    <t>CORRIGIDO</t>
  </si>
  <si>
    <t>https://www.bbce.com.br/</t>
  </si>
  <si>
    <t>https://www.dcide.com.br/</t>
  </si>
  <si>
    <t>Pesquisa Indicativo de preços (para I1 adotamos preços de convencional + prêmio de R$ 110.00)</t>
  </si>
  <si>
    <t>Investimento SMF</t>
  </si>
  <si>
    <t>Emolumento de Adesão CCEE</t>
  </si>
  <si>
    <t>Contribuição Associativa Mensal da CCEE</t>
  </si>
  <si>
    <t>Custo de gestão</t>
  </si>
  <si>
    <t>/ MWh</t>
  </si>
  <si>
    <t>Considerando custos</t>
  </si>
  <si>
    <t>Preço Energia</t>
  </si>
  <si>
    <t>Custo 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</si>
</sst>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164" fontId="0" fillId="0" borderId="0" xfId="1" applyFont="1"/>
    <xf numFmtId="164" fontId="2" fillId="4" borderId="1" xfId="1" applyFont="1" applyFill="1" applyBorder="1"/>
    <xf numFmtId="164" fontId="0" fillId="0" borderId="1" xfId="1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0" fontId="3" fillId="5" borderId="1" xfId="0" applyFont="1" applyFill="1" applyBorder="1"/>
    <xf numFmtId="164" fontId="3" fillId="5" borderId="1" xfId="1" applyFont="1" applyFill="1" applyBorder="1"/>
    <xf numFmtId="4" fontId="3" fillId="5" borderId="1" xfId="0" applyNumberFormat="1" applyFont="1" applyFill="1" applyBorder="1"/>
    <xf numFmtId="164" fontId="3" fillId="5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/>
    <xf numFmtId="1" fontId="2" fillId="4" borderId="1" xfId="1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0" xfId="2" applyFont="1" applyAlignment="1"/>
    <xf numFmtId="0" fontId="4" fillId="0" borderId="0" xfId="2" applyFont="1" applyAlignment="1">
      <alignment horizontal="left"/>
    </xf>
    <xf numFmtId="4" fontId="4" fillId="0" borderId="0" xfId="2" applyNumberFormat="1" applyFont="1" applyAlignment="1"/>
    <xf numFmtId="165" fontId="0" fillId="0" borderId="0" xfId="3" applyNumberFormat="1" applyFont="1" applyAlignment="1"/>
    <xf numFmtId="10" fontId="5" fillId="5" borderId="0" xfId="3" applyNumberFormat="1" applyFont="1" applyFill="1" applyAlignment="1"/>
    <xf numFmtId="10" fontId="0" fillId="6" borderId="0" xfId="3" applyNumberFormat="1" applyFont="1" applyFill="1" applyAlignment="1"/>
    <xf numFmtId="0" fontId="4" fillId="6" borderId="0" xfId="2" applyFont="1" applyFill="1" applyAlignment="1"/>
    <xf numFmtId="0" fontId="5" fillId="5" borderId="0" xfId="2" applyFont="1" applyFill="1" applyAlignment="1"/>
    <xf numFmtId="0" fontId="4" fillId="5" borderId="0" xfId="2" applyFont="1" applyFill="1" applyAlignment="1"/>
    <xf numFmtId="0" fontId="5" fillId="7" borderId="1" xfId="2" applyFont="1" applyFill="1" applyBorder="1" applyAlignment="1"/>
    <xf numFmtId="0" fontId="5" fillId="8" borderId="1" xfId="2" applyFont="1" applyFill="1" applyBorder="1" applyAlignment="1"/>
    <xf numFmtId="4" fontId="4" fillId="7" borderId="1" xfId="2" applyNumberFormat="1" applyFont="1" applyFill="1" applyBorder="1" applyAlignment="1"/>
    <xf numFmtId="4" fontId="4" fillId="8" borderId="1" xfId="2" applyNumberFormat="1" applyFont="1" applyFill="1" applyBorder="1" applyAlignment="1"/>
    <xf numFmtId="0" fontId="4" fillId="0" borderId="0" xfId="2" applyFont="1" applyFill="1" applyBorder="1" applyAlignment="1"/>
    <xf numFmtId="164" fontId="0" fillId="3" borderId="1" xfId="1" applyFont="1" applyFill="1" applyBorder="1" applyAlignment="1">
      <alignment horizontal="center"/>
    </xf>
    <xf numFmtId="164" fontId="0" fillId="3" borderId="1" xfId="1" applyFont="1" applyFill="1" applyBorder="1"/>
    <xf numFmtId="164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7" fillId="0" borderId="0" xfId="1" applyFont="1"/>
    <xf numFmtId="164" fontId="0" fillId="0" borderId="0" xfId="0" applyNumberFormat="1"/>
    <xf numFmtId="164" fontId="3" fillId="0" borderId="0" xfId="1" applyFont="1"/>
    <xf numFmtId="2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/>
    <xf numFmtId="164" fontId="2" fillId="4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3" fillId="9" borderId="1" xfId="1" applyFont="1" applyFill="1" applyBorder="1" applyAlignment="1">
      <alignment horizontal="center"/>
    </xf>
    <xf numFmtId="9" fontId="0" fillId="0" borderId="0" xfId="4" applyFont="1"/>
    <xf numFmtId="10" fontId="0" fillId="0" borderId="0" xfId="4" applyNumberFormat="1" applyFont="1"/>
    <xf numFmtId="9" fontId="0" fillId="0" borderId="0" xfId="0" applyNumberFormat="1"/>
    <xf numFmtId="164" fontId="10" fillId="0" borderId="1" xfId="1" applyFont="1" applyBorder="1"/>
    <xf numFmtId="0" fontId="11" fillId="0" borderId="0" xfId="0" applyFont="1"/>
    <xf numFmtId="0" fontId="3" fillId="5" borderId="2" xfId="0" applyFont="1" applyFill="1" applyBorder="1"/>
    <xf numFmtId="164" fontId="3" fillId="5" borderId="3" xfId="1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2" fontId="0" fillId="0" borderId="0" xfId="4" applyNumberFormat="1" applyFont="1"/>
    <xf numFmtId="0" fontId="12" fillId="0" borderId="0" xfId="0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 applyFill="1" applyBorder="1"/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0" fontId="12" fillId="0" borderId="1" xfId="0" applyFont="1" applyBorder="1"/>
    <xf numFmtId="167" fontId="0" fillId="0" borderId="0" xfId="0" applyNumberFormat="1"/>
    <xf numFmtId="0" fontId="3" fillId="0" borderId="1" xfId="0" applyFont="1" applyFill="1" applyBorder="1"/>
    <xf numFmtId="166" fontId="0" fillId="0" borderId="1" xfId="0" applyNumberForma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1" applyFont="1" applyBorder="1"/>
    <xf numFmtId="164" fontId="0" fillId="0" borderId="1" xfId="0" applyNumberFormat="1" applyBorder="1"/>
    <xf numFmtId="164" fontId="0" fillId="10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1" applyFont="1" applyFill="1" applyBorder="1"/>
    <xf numFmtId="0" fontId="0" fillId="0" borderId="1" xfId="0" applyBorder="1" applyAlignment="1">
      <alignment horizontal="center"/>
    </xf>
    <xf numFmtId="44" fontId="0" fillId="0" borderId="0" xfId="0" applyNumberFormat="1"/>
    <xf numFmtId="44" fontId="0" fillId="0" borderId="1" xfId="0" applyNumberFormat="1" applyFont="1" applyBorder="1"/>
    <xf numFmtId="0" fontId="0" fillId="0" borderId="1" xfId="0" applyFont="1" applyBorder="1"/>
    <xf numFmtId="0" fontId="5" fillId="7" borderId="1" xfId="2" applyFont="1" applyFill="1" applyBorder="1" applyAlignment="1">
      <alignment horizontal="center"/>
    </xf>
    <xf numFmtId="0" fontId="5" fillId="8" borderId="1" xfId="2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Moeda" xfId="1" builtinId="4"/>
    <cellStyle name="Normal" xfId="0" builtinId="0"/>
    <cellStyle name="Normal 2" xfId="2"/>
    <cellStyle name="Porcentagem" xfId="4" builtinId="5"/>
    <cellStyle name="Porcentagem 2" xfId="3"/>
  </cellStyles>
  <dxfs count="1"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7</xdr:col>
      <xdr:colOff>438150</xdr:colOff>
      <xdr:row>54</xdr:row>
      <xdr:rowOff>152400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D62A3DB7-B68F-4BB7-8A1A-D0322A43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5048250" cy="510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64</xdr:row>
      <xdr:rowOff>0</xdr:rowOff>
    </xdr:from>
    <xdr:to>
      <xdr:col>12</xdr:col>
      <xdr:colOff>201917</xdr:colOff>
      <xdr:row>90</xdr:row>
      <xdr:rowOff>56029</xdr:rowOff>
    </xdr:to>
    <xdr:pic>
      <xdr:nvPicPr>
        <xdr:cNvPr id="3" name="Imagem 2" descr="Infográfico pré-adesão e tipos de comunhão 1200x684">
          <a:extLst>
            <a:ext uri="{FF2B5EF4-FFF2-40B4-BE49-F238E27FC236}">
              <a16:creationId xmlns="" xmlns:a16="http://schemas.microsoft.com/office/drawing/2014/main" id="{EE60BBC4-C959-488D-96EF-09BD6D8D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9" y="12192000"/>
          <a:ext cx="8774416" cy="5009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480436\Desktop\Pos%20gradua&#231;&#227;o\0.%20Mestrado\IT304S_Aula%20de%20Segunda-Feira\2.%20Trabalho\Preencher_universidade%20-%20UFRA%20-%20Grupo%2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08.862229050923" createdVersion="5" refreshedVersion="5" minRefreshableVersion="3" recordCount="1000">
  <cacheSource type="worksheet">
    <worksheetSource ref="A1:AD1048576" sheet="UC1 - Belém" r:id="rId2"/>
  </cacheSource>
  <cacheFields count="30">
    <cacheField name="DATA" numFmtId="0">
      <sharedItems containsNonDate="0" containsDate="1" containsString="0" containsBlank="1" minDate="2016-04-01T00:00:00" maxDate="2020-07-02T00:00:00"/>
    </cacheField>
    <cacheField name="ANO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MÊS" numFmtId="0">
      <sharedItems containsString="0" containsBlank="1" containsNumber="1" containsInteger="1" minValue="1" maxValue="12"/>
    </cacheField>
    <cacheField name="PERIODO" numFmtId="0">
      <sharedItems containsString="0" containsBlank="1" containsNumber="1" containsInteger="1" minValue="28" maxValue="31"/>
    </cacheField>
    <cacheField name="PIS/PASEP" numFmtId="0">
      <sharedItems containsNonDate="0" containsString="0" containsBlank="1"/>
    </cacheField>
    <cacheField name="COFINS" numFmtId="0">
      <sharedItems containsNonDate="0" containsString="0" containsBlank="1"/>
    </cacheField>
    <cacheField name="ICMS" numFmtId="0">
      <sharedItems containsString="0" containsBlank="1" containsNumber="1" minValue="0.25" maxValue="0.25"/>
    </cacheField>
    <cacheField name="DEMANDA_CONTRATADA_P" numFmtId="0">
      <sharedItems containsString="0" containsBlank="1" containsNumber="1" containsInteger="1" minValue="1000" maxValue="1300"/>
    </cacheField>
    <cacheField name="DEMANDA_CONTRATADA_FP" numFmtId="0">
      <sharedItems containsString="0" containsBlank="1" containsNumber="1" containsInteger="1" minValue="1000" maxValue="1300"/>
    </cacheField>
    <cacheField name="DEMANDA_REGISTRADA_P" numFmtId="0">
      <sharedItems containsString="0" containsBlank="1" containsNumber="1" minValue="183.12" maxValue="1165.92"/>
    </cacheField>
    <cacheField name="DEMANDA_REGISTRADA_FP" numFmtId="0">
      <sharedItems containsString="0" containsBlank="1" containsNumber="1" minValue="268.8" maxValue="2931.6"/>
    </cacheField>
    <cacheField name="DEMANDA_ISENTA_P" numFmtId="0">
      <sharedItems containsNonDate="0" containsString="0" containsBlank="1"/>
    </cacheField>
    <cacheField name="DEMANDA_ISENTA_FP" numFmtId="0">
      <sharedItems containsNonDate="0" containsString="0" containsBlank="1"/>
    </cacheField>
    <cacheField name="TAR_TUSD_KW_P" numFmtId="0">
      <sharedItems containsString="0" containsBlank="1" containsNumber="1" minValue="18.16" maxValue="26.36"/>
    </cacheField>
    <cacheField name="TAR_TUSD_KW_FP" numFmtId="0">
      <sharedItems containsString="0" containsBlank="1" containsNumber="1" minValue="18.16" maxValue="26.36"/>
    </cacheField>
    <cacheField name="ENERGIA_PONTA" numFmtId="4">
      <sharedItems containsString="0" containsBlank="1" containsNumber="1" minValue="10287.06" maxValue="23955.119999999999"/>
    </cacheField>
    <cacheField name="ENERGIA_FPONTA" numFmtId="4">
      <sharedItems containsString="0" containsBlank="1" containsNumber="1" minValue="91571.34" maxValue="333497.64"/>
    </cacheField>
    <cacheField name="TAR_TUSD_KWH_P" numFmtId="0">
      <sharedItems containsString="0" containsBlank="1" containsNumber="1" minValue="1.74346" maxValue="2.2465799999999998"/>
    </cacheField>
    <cacheField name="TAR_TUSD_KWH_FP" numFmtId="0">
      <sharedItems containsString="0" containsBlank="1" containsNumber="1" minValue="6.3009999999999997E-2" maxValue="8.8739999999999999E-2"/>
    </cacheField>
    <cacheField name="TAR_TE_KWH_P" numFmtId="0">
      <sharedItems containsString="0" containsBlank="1" containsNumber="1" minValue="0.32282" maxValue="0.42509000000000002"/>
    </cacheField>
    <cacheField name="TAR_TE_KWH_FP" numFmtId="0">
      <sharedItems containsString="0" containsBlank="1" containsNumber="1" minValue="0.20385" maxValue="0.26374999999999998"/>
    </cacheField>
    <cacheField name="REAT_KVAR_PONTA" numFmtId="0">
      <sharedItems containsString="0" containsBlank="1" containsNumber="1" minValue="1751.04" maxValue="7680.54"/>
    </cacheField>
    <cacheField name="REAT_KVAR_FPONTA" numFmtId="0">
      <sharedItems containsString="0" containsBlank="1" containsNumber="1" minValue="9391.68" maxValue="65942.100000000006"/>
    </cacheField>
    <cacheField name="TAR_REAT_PONTA" numFmtId="0">
      <sharedItems containsString="0" containsBlank="1" containsNumber="1" minValue="0.21376000000000001" maxValue="0.39378999999999997"/>
    </cacheField>
    <cacheField name="TAR_REAT_FPONTA" numFmtId="0">
      <sharedItems containsString="0" containsBlank="1" containsNumber="1" minValue="0.21376000000000001" maxValue="0.39378999999999997"/>
    </cacheField>
    <cacheField name="Valor da Fatura" numFmtId="0">
      <sharedItems containsString="0" containsBlank="1" containsNumber="1" minValue="120652.68171940002" maxValue="235440.02890960002"/>
    </cacheField>
    <cacheField name="Consumo Total" numFmtId="0">
      <sharedItems containsString="0" containsBlank="1" containsNumber="1" minValue="101858.4" maxValue="357452.76"/>
    </cacheField>
    <cacheField name="Acrescimo_Bamar" numFmtId="0">
      <sharedItems containsString="0" containsBlank="1" containsNumber="1" minValue="2618.8092000000001" maxValue="14100.229207679999"/>
    </cacheField>
    <cacheField name="Acrescimo_Bverm1" numFmtId="0">
      <sharedItems containsString="0" containsBlank="1" containsNumber="1" minValue="9243.3474000000006" maxValue="14856.199648920003"/>
    </cacheField>
    <cacheField name="Acrescimo_Bverm2" numFmtId="0">
      <sharedItems containsString="0" containsBlank="1" containsNumber="1" minValue="13646.157000000001" maxValue="24446.58965616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d v="2016-04-01T00:00:00"/>
    <x v="0"/>
    <n v="4"/>
    <n v="30"/>
    <m/>
    <m/>
    <n v="0.25"/>
    <n v="1000"/>
    <n v="1000"/>
    <n v="438.91"/>
    <n v="1232.6400000000001"/>
    <m/>
    <m/>
    <n v="18.16"/>
    <n v="18.16"/>
    <n v="21055.97"/>
    <n v="303153.7"/>
    <n v="1.74346"/>
    <n v="6.404E-2"/>
    <n v="0.32282"/>
    <n v="0.20385"/>
    <n v="7223.33"/>
    <n v="39018.82"/>
    <n v="0.21376000000000001"/>
    <n v="0.21376000000000001"/>
    <n v="183442.46716540001"/>
    <n v="324209.67000000004"/>
    <m/>
    <m/>
    <m/>
  </r>
  <r>
    <d v="2016-05-01T00:00:00"/>
    <x v="0"/>
    <n v="5"/>
    <n v="31"/>
    <m/>
    <m/>
    <n v="0.25"/>
    <n v="1000"/>
    <n v="1000"/>
    <n v="467.71"/>
    <n v="1240.7"/>
    <m/>
    <m/>
    <n v="18.16"/>
    <n v="18.16"/>
    <n v="18744.77"/>
    <n v="291521.09000000003"/>
    <n v="1.74346"/>
    <n v="6.404E-2"/>
    <n v="0.32282"/>
    <n v="0.20385"/>
    <n v="5690.3"/>
    <n v="33255.360000000001"/>
    <n v="0.21376000000000001"/>
    <n v="0.21376000000000001"/>
    <n v="169459.46044370002"/>
    <n v="310265.86000000004"/>
    <m/>
    <m/>
    <m/>
  </r>
  <r>
    <d v="2016-06-01T00:00:00"/>
    <x v="0"/>
    <n v="6"/>
    <n v="30"/>
    <m/>
    <m/>
    <n v="0.25"/>
    <n v="1000"/>
    <n v="1000"/>
    <n v="475.78"/>
    <n v="1263.74"/>
    <m/>
    <m/>
    <n v="18.16"/>
    <n v="18.16"/>
    <n v="20246.400000000001"/>
    <n v="306025.63"/>
    <n v="1.74346"/>
    <n v="6.404E-2"/>
    <n v="0.32282"/>
    <n v="0.20385"/>
    <n v="5707.87"/>
    <n v="27184.61"/>
    <n v="0.21376000000000001"/>
    <n v="0.21376000000000001"/>
    <n v="170380.87546390001"/>
    <n v="326272.03000000003"/>
    <m/>
    <m/>
    <m/>
  </r>
  <r>
    <d v="2016-07-01T00:00:00"/>
    <x v="0"/>
    <n v="7"/>
    <n v="31"/>
    <m/>
    <m/>
    <n v="0.25"/>
    <n v="1000"/>
    <n v="1000"/>
    <n v="760.32"/>
    <n v="2065.54"/>
    <m/>
    <m/>
    <n v="18.16"/>
    <n v="18.16"/>
    <n v="15608.74"/>
    <n v="225743.62"/>
    <n v="1.74346"/>
    <n v="6.404E-2"/>
    <n v="0.32282"/>
    <n v="0.20385"/>
    <n v="1751.04"/>
    <n v="9391.68"/>
    <n v="0.21376000000000001"/>
    <n v="0.21376000000000001"/>
    <n v="120652.68171940002"/>
    <n v="241352.36"/>
    <m/>
    <m/>
    <m/>
  </r>
  <r>
    <d v="2016-08-01T00:00:00"/>
    <x v="0"/>
    <n v="8"/>
    <n v="31"/>
    <m/>
    <m/>
    <n v="0.25"/>
    <n v="1000"/>
    <n v="1000"/>
    <n v="472.08"/>
    <n v="1201.2"/>
    <m/>
    <m/>
    <n v="19.43"/>
    <n v="19.43"/>
    <n v="17787.419999999998"/>
    <n v="233666.58"/>
    <n v="1.9080299999999999"/>
    <n v="6.3009999999999997E-2"/>
    <n v="0.34822999999999998"/>
    <n v="0.22658"/>
    <n v="5841.36"/>
    <n v="28411.32"/>
    <n v="0.23672000000000001"/>
    <n v="0.23672000000000001"/>
    <n v="157024.8726106"/>
    <n v="251454"/>
    <m/>
    <m/>
    <m/>
  </r>
  <r>
    <d v="2016-09-01T00:00:00"/>
    <x v="0"/>
    <n v="9"/>
    <n v="30"/>
    <m/>
    <m/>
    <n v="0.25"/>
    <n v="1000"/>
    <n v="1000"/>
    <n v="557.76"/>
    <n v="1404.48"/>
    <m/>
    <m/>
    <n v="19.43"/>
    <n v="19.43"/>
    <n v="23955.119999999999"/>
    <n v="333497.64"/>
    <n v="1.9080299999999999"/>
    <n v="6.3009999999999997E-2"/>
    <n v="0.34822999999999998"/>
    <n v="0.22658"/>
    <n v="5999.28"/>
    <n v="31000.62"/>
    <n v="0.23672000000000001"/>
    <n v="0.23672000000000001"/>
    <n v="202477.56690040001"/>
    <n v="357452.76"/>
    <m/>
    <m/>
    <m/>
  </r>
  <r>
    <d v="2016-10-01T00:00:00"/>
    <x v="0"/>
    <n v="10"/>
    <n v="31"/>
    <m/>
    <m/>
    <n v="0.25"/>
    <n v="1000"/>
    <n v="1000"/>
    <n v="524.16"/>
    <n v="1349.04"/>
    <m/>
    <m/>
    <n v="19.43"/>
    <n v="19.43"/>
    <n v="19021.38"/>
    <n v="262605"/>
    <n v="1.9080299999999999"/>
    <n v="6.3009999999999997E-2"/>
    <n v="0.34822999999999998"/>
    <n v="0.22658"/>
    <n v="4684.68"/>
    <n v="22819.439999999999"/>
    <n v="0.23672000000000001"/>
    <n v="0.23672000000000001"/>
    <n v="162323.5949584"/>
    <n v="281626.38"/>
    <m/>
    <m/>
    <m/>
  </r>
  <r>
    <d v="2016-11-01T00:00:00"/>
    <x v="0"/>
    <n v="11"/>
    <n v="30"/>
    <m/>
    <m/>
    <n v="0.25"/>
    <n v="1000"/>
    <n v="1000"/>
    <n v="519.12"/>
    <n v="1280.1600000000001"/>
    <m/>
    <m/>
    <n v="19.43"/>
    <n v="19.43"/>
    <n v="18428.759999999998"/>
    <n v="283483.62"/>
    <n v="1.9080299999999999"/>
    <n v="6.3009999999999997E-2"/>
    <n v="0.34822999999999998"/>
    <n v="0.22658"/>
    <n v="5152.1400000000003"/>
    <n v="25704.84"/>
    <n v="0.23672000000000001"/>
    <n v="0.23672000000000001"/>
    <n v="176804.30448615999"/>
    <n v="301912.38"/>
    <n v="6775.5176319600005"/>
    <m/>
    <m/>
  </r>
  <r>
    <d v="2016-12-01T00:00:00"/>
    <x v="0"/>
    <n v="12"/>
    <n v="31"/>
    <m/>
    <m/>
    <n v="0.25"/>
    <n v="1000"/>
    <n v="1000"/>
    <n v="460.32"/>
    <n v="1070.1600000000001"/>
    <m/>
    <m/>
    <n v="19.43"/>
    <n v="19.43"/>
    <n v="16114.56"/>
    <n v="210157.92"/>
    <n v="1.9080299999999999"/>
    <n v="6.3009999999999997E-2"/>
    <n v="0.34822999999999998"/>
    <n v="0.22658"/>
    <n v="5875.8"/>
    <n v="28873.74"/>
    <n v="0.23672000000000001"/>
    <n v="0.23672000000000001"/>
    <n v="146913.16529440001"/>
    <n v="226272.48"/>
    <m/>
    <m/>
    <m/>
  </r>
  <r>
    <d v="2017-01-01T00:00:00"/>
    <x v="1"/>
    <n v="1"/>
    <n v="31"/>
    <m/>
    <m/>
    <n v="0.25"/>
    <n v="1000"/>
    <n v="1000"/>
    <n v="285.60000000000002"/>
    <n v="994.56"/>
    <m/>
    <m/>
    <n v="19.43"/>
    <n v="19.43"/>
    <n v="13269.9"/>
    <n v="186961.32"/>
    <n v="1.9080299999999999"/>
    <n v="6.3009999999999997E-2"/>
    <n v="0.34822999999999998"/>
    <n v="0.22658"/>
    <n v="6055.98"/>
    <n v="33553.800000000003"/>
    <n v="0.23672000000000001"/>
    <n v="0.23672000000000001"/>
    <n v="138500.0815384"/>
    <n v="200231.22"/>
    <m/>
    <m/>
    <m/>
  </r>
  <r>
    <d v="2017-02-01T00:00:00"/>
    <x v="1"/>
    <n v="2"/>
    <n v="28"/>
    <m/>
    <m/>
    <n v="0.25"/>
    <n v="1000"/>
    <n v="1000"/>
    <n v="411.6"/>
    <n v="1142.4000000000001"/>
    <m/>
    <m/>
    <n v="19.43"/>
    <n v="19.43"/>
    <n v="17465.7"/>
    <n v="236887.56"/>
    <n v="1.9080299999999999"/>
    <n v="6.3009999999999997E-2"/>
    <n v="0.34822999999999998"/>
    <n v="0.22658"/>
    <n v="5718.3"/>
    <n v="25968.18"/>
    <n v="0.23672000000000001"/>
    <n v="0.23672000000000001"/>
    <n v="154759.4814784"/>
    <n v="254353.26"/>
    <m/>
    <m/>
    <m/>
  </r>
  <r>
    <d v="2017-03-01T00:00:00"/>
    <x v="1"/>
    <n v="3"/>
    <n v="31"/>
    <m/>
    <m/>
    <n v="0.25"/>
    <n v="1000"/>
    <n v="1000"/>
    <n v="418.32"/>
    <n v="1145.76"/>
    <m/>
    <m/>
    <n v="19.43"/>
    <n v="19.43"/>
    <n v="16954.14"/>
    <n v="227914.26"/>
    <n v="1.9080299999999999"/>
    <n v="6.3009999999999997E-2"/>
    <n v="0.34822999999999998"/>
    <n v="0.22658"/>
    <n v="4760.28"/>
    <n v="25253.759999999998"/>
    <n v="0.23672000000000001"/>
    <n v="0.23672000000000001"/>
    <n v="156898.29650500001"/>
    <n v="244868.40000000002"/>
    <n v="6832.8078336000008"/>
    <m/>
    <m/>
  </r>
  <r>
    <d v="2017-04-01T00:00:00"/>
    <x v="1"/>
    <n v="4"/>
    <n v="30"/>
    <m/>
    <m/>
    <n v="0.25"/>
    <n v="1000"/>
    <n v="1000"/>
    <n v="413.28"/>
    <n v="1139.04"/>
    <m/>
    <m/>
    <n v="19.43"/>
    <n v="19.43"/>
    <n v="18502.259999999998"/>
    <n v="247621.5"/>
    <n v="1.9080299999999999"/>
    <n v="6.3009999999999997E-2"/>
    <n v="0.34320000000000001"/>
    <n v="0.22155"/>
    <n v="5344.92"/>
    <n v="24578.400000000001"/>
    <n v="0.23169000000000001"/>
    <n v="0.23169000000000001"/>
    <n v="168726.23145284"/>
    <n v="266123.76"/>
    <m/>
    <n v="11363.218428240001"/>
    <m/>
  </r>
  <r>
    <d v="2017-05-01T00:00:00"/>
    <x v="1"/>
    <n v="5"/>
    <n v="31"/>
    <m/>
    <m/>
    <n v="0.25"/>
    <n v="1000"/>
    <n v="1000"/>
    <n v="467.04"/>
    <n v="1191.1199999999999"/>
    <m/>
    <m/>
    <n v="19.43"/>
    <n v="19.43"/>
    <n v="17177.580000000002"/>
    <n v="256121.46"/>
    <n v="1.9080299999999999"/>
    <n v="6.3009999999999997E-2"/>
    <n v="0.34320000000000001"/>
    <n v="0.22155"/>
    <n v="4795.1400000000003"/>
    <n v="29802.78"/>
    <n v="0.23169000000000001"/>
    <n v="0.23169000000000001"/>
    <n v="174129.74208704001"/>
    <n v="273299.03999999998"/>
    <m/>
    <n v="12233.13832944"/>
    <m/>
  </r>
  <r>
    <d v="2017-06-01T00:00:00"/>
    <x v="1"/>
    <n v="6"/>
    <n v="30"/>
    <m/>
    <m/>
    <n v="0.25"/>
    <n v="1000"/>
    <n v="1000"/>
    <n v="492.24"/>
    <n v="1234.8"/>
    <m/>
    <m/>
    <n v="19.43"/>
    <n v="19.43"/>
    <n v="21514.5"/>
    <n v="302473.92"/>
    <n v="1.9080299999999999"/>
    <n v="6.3009999999999997E-2"/>
    <n v="0.34320000000000001"/>
    <n v="0.22155"/>
    <n v="5565"/>
    <n v="21855.96"/>
    <n v="0.23169000000000001"/>
    <n v="0.23169000000000001"/>
    <n v="177081.61305019999"/>
    <n v="323988.42"/>
    <m/>
    <m/>
    <m/>
  </r>
  <r>
    <d v="2017-07-01T00:00:00"/>
    <x v="1"/>
    <n v="7"/>
    <n v="31"/>
    <m/>
    <m/>
    <n v="0.25"/>
    <n v="1000"/>
    <n v="1000"/>
    <n v="564.48"/>
    <n v="1454.88"/>
    <m/>
    <m/>
    <n v="19.43"/>
    <n v="19.43"/>
    <n v="21543.06"/>
    <n v="308692.02"/>
    <n v="1.9080299999999999"/>
    <n v="6.3009999999999997E-2"/>
    <n v="0.34320000000000001"/>
    <n v="0.22155"/>
    <n v="4806.8999999999996"/>
    <n v="25441.5"/>
    <n v="0.23169000000000001"/>
    <n v="0.23169000000000001"/>
    <n v="190175.24461267999"/>
    <n v="330235.08"/>
    <n v="7850.0180866800001"/>
    <m/>
    <m/>
  </r>
  <r>
    <d v="2017-08-01T00:00:00"/>
    <x v="1"/>
    <n v="8"/>
    <n v="31"/>
    <m/>
    <m/>
    <n v="0.25"/>
    <n v="1300"/>
    <n v="1300"/>
    <n v="522.48"/>
    <n v="1380.96"/>
    <m/>
    <m/>
    <n v="23.88"/>
    <n v="23.88"/>
    <n v="19373.34"/>
    <n v="269933.58"/>
    <n v="2.0154000000000001"/>
    <n v="7.1010000000000004E-2"/>
    <n v="0.36847000000000002"/>
    <n v="0.23454"/>
    <n v="5845.98"/>
    <n v="25591.02"/>
    <n v="0.2457"/>
    <n v="0.2457"/>
    <n v="201589.55202972001"/>
    <n v="289306.92000000004"/>
    <m/>
    <n v="14856.199648920003"/>
    <m/>
  </r>
  <r>
    <d v="2017-09-01T00:00:00"/>
    <x v="1"/>
    <n v="9"/>
    <n v="30"/>
    <m/>
    <m/>
    <n v="0.25"/>
    <n v="1300"/>
    <n v="1300"/>
    <n v="623.28"/>
    <n v="1397.76"/>
    <m/>
    <m/>
    <n v="23.88"/>
    <n v="23.88"/>
    <n v="22732.92"/>
    <n v="319572.12"/>
    <n v="2.0154000000000001"/>
    <n v="7.1010000000000004E-2"/>
    <n v="0.36847000000000002"/>
    <n v="0.23454"/>
    <n v="4895.9399999999996"/>
    <n v="23308.74"/>
    <n v="0.2457"/>
    <n v="0.2457"/>
    <n v="221493.73463207998"/>
    <n v="342305.04"/>
    <n v="14100.229207679999"/>
    <m/>
    <m/>
  </r>
  <r>
    <d v="2017-10-01T00:00:00"/>
    <x v="1"/>
    <n v="10"/>
    <n v="31"/>
    <m/>
    <m/>
    <n v="0.25"/>
    <n v="1300"/>
    <n v="1300"/>
    <n v="1165.92"/>
    <n v="2931.6"/>
    <m/>
    <m/>
    <n v="23.88"/>
    <n v="23.88"/>
    <n v="22532.58"/>
    <n v="327634.86"/>
    <n v="2.0154000000000001"/>
    <n v="7.1010000000000004E-2"/>
    <n v="0.36847000000000002"/>
    <n v="0.23454"/>
    <n v="5111.3999999999996"/>
    <n v="24270.54"/>
    <n v="0.2457"/>
    <n v="0.2457"/>
    <n v="234840.81929376003"/>
    <n v="350167.44"/>
    <m/>
    <m/>
    <n v="24446.589656160002"/>
  </r>
  <r>
    <d v="2017-11-01T00:00:00"/>
    <x v="1"/>
    <n v="11"/>
    <n v="30"/>
    <m/>
    <m/>
    <n v="0.25"/>
    <n v="1300"/>
    <n v="1300"/>
    <n v="586.32000000000005"/>
    <n v="1246.56"/>
    <m/>
    <m/>
    <n v="23.88"/>
    <n v="23.88"/>
    <n v="18728.64"/>
    <n v="276745.98"/>
    <n v="2.0154000000000001"/>
    <n v="7.1010000000000004E-2"/>
    <n v="0.36847000000000002"/>
    <n v="0.23454"/>
    <n v="5042.9399999999996"/>
    <n v="24760.26"/>
    <n v="0.2457"/>
    <n v="0.2457"/>
    <n v="201023.6642838"/>
    <n v="295474.62"/>
    <m/>
    <m/>
    <n v="14773.731"/>
  </r>
  <r>
    <d v="2017-12-01T00:00:00"/>
    <x v="1"/>
    <n v="12"/>
    <n v="31"/>
    <m/>
    <m/>
    <n v="0.25"/>
    <n v="1300"/>
    <n v="1300"/>
    <n v="482.16"/>
    <n v="1221.3599999999999"/>
    <m/>
    <m/>
    <n v="23.88"/>
    <n v="23.88"/>
    <n v="20320.439999999999"/>
    <n v="287791.14"/>
    <n v="2.0154000000000001"/>
    <n v="7.1010000000000004E-2"/>
    <n v="0.36847000000000002"/>
    <n v="0.23454"/>
    <n v="5467.56"/>
    <n v="26764.92"/>
    <n v="0.2457"/>
    <n v="0.2457"/>
    <n v="204771.76272180001"/>
    <n v="308111.58"/>
    <m/>
    <n v="9243.3474000000006"/>
    <m/>
  </r>
  <r>
    <d v="2018-01-01T00:00:00"/>
    <x v="2"/>
    <n v="1"/>
    <n v="31"/>
    <m/>
    <m/>
    <n v="0.25"/>
    <n v="1300"/>
    <n v="1300"/>
    <n v="435.12"/>
    <n v="1206.24"/>
    <m/>
    <m/>
    <n v="23.88"/>
    <n v="23.88"/>
    <n v="15051.96"/>
    <n v="207545.94"/>
    <n v="2.0154000000000001"/>
    <n v="7.1010000000000004E-2"/>
    <n v="0.36847000000000002"/>
    <n v="0.23454"/>
    <n v="5293.68"/>
    <n v="29788.5"/>
    <n v="0.2457"/>
    <n v="0.2457"/>
    <n v="161430.9807282"/>
    <n v="222597.9"/>
    <m/>
    <m/>
    <m/>
  </r>
  <r>
    <d v="2018-02-01T00:00:00"/>
    <x v="2"/>
    <n v="2"/>
    <n v="28"/>
    <m/>
    <m/>
    <n v="0.25"/>
    <n v="1300"/>
    <n v="1300"/>
    <n v="446.88"/>
    <n v="1207.92"/>
    <m/>
    <m/>
    <n v="23.88"/>
    <n v="23.88"/>
    <n v="18729.900000000001"/>
    <n v="252136.08"/>
    <n v="2.0154000000000001"/>
    <n v="7.1010000000000004E-2"/>
    <n v="0.36847000000000002"/>
    <n v="0.23454"/>
    <n v="4934.16"/>
    <n v="24516.66"/>
    <n v="0.2457"/>
    <n v="0.2457"/>
    <n v="178463.05476899998"/>
    <n v="270865.98"/>
    <m/>
    <m/>
    <m/>
  </r>
  <r>
    <d v="2018-03-01T00:00:00"/>
    <x v="2"/>
    <n v="3"/>
    <n v="31"/>
    <m/>
    <m/>
    <n v="0.25"/>
    <n v="1300"/>
    <n v="1300"/>
    <n v="458.64"/>
    <n v="1164.24"/>
    <m/>
    <m/>
    <n v="23.88"/>
    <n v="23.88"/>
    <n v="17913.419999999998"/>
    <n v="238206.78"/>
    <n v="2.0154000000000001"/>
    <n v="7.1010000000000004E-2"/>
    <n v="0.36847000000000002"/>
    <n v="0.23454"/>
    <n v="4826.22"/>
    <n v="25033.68"/>
    <n v="0.2457"/>
    <n v="0.2457"/>
    <n v="172751.07411839999"/>
    <n v="256120.2"/>
    <m/>
    <m/>
    <m/>
  </r>
  <r>
    <d v="2018-04-01T00:00:00"/>
    <x v="2"/>
    <n v="4"/>
    <n v="30"/>
    <m/>
    <m/>
    <n v="0.25"/>
    <n v="1300"/>
    <n v="1300"/>
    <n v="517.44000000000005"/>
    <n v="1293.5999999999999"/>
    <m/>
    <m/>
    <n v="23.88"/>
    <n v="23.88"/>
    <n v="19602.240000000002"/>
    <n v="273608.15999999997"/>
    <n v="2.0154000000000001"/>
    <n v="7.1010000000000004E-2"/>
    <n v="0.36847000000000002"/>
    <n v="0.23454"/>
    <n v="5092.92"/>
    <n v="24539.34"/>
    <n v="0.2457"/>
    <n v="0.2457"/>
    <n v="187165.0813008"/>
    <n v="293210.39999999997"/>
    <m/>
    <m/>
    <m/>
  </r>
  <r>
    <d v="2018-05-01T00:00:00"/>
    <x v="2"/>
    <n v="5"/>
    <n v="31"/>
    <m/>
    <m/>
    <n v="0.25"/>
    <n v="1300"/>
    <n v="1300"/>
    <n v="411.6"/>
    <n v="1154.1600000000001"/>
    <m/>
    <m/>
    <n v="23.88"/>
    <n v="23.88"/>
    <n v="16513.98"/>
    <n v="245366.94"/>
    <n v="2.0154000000000001"/>
    <n v="7.1010000000000004E-2"/>
    <n v="0.36847000000000002"/>
    <n v="0.23454"/>
    <n v="5312.58"/>
    <n v="27658.26"/>
    <n v="0.2457"/>
    <n v="0.2457"/>
    <n v="176965.66582560001"/>
    <n v="261880.92"/>
    <n v="2618.8092000000001"/>
    <m/>
    <m/>
  </r>
  <r>
    <d v="2018-06-01T00:00:00"/>
    <x v="2"/>
    <n v="6"/>
    <n v="30"/>
    <m/>
    <m/>
    <n v="0.25"/>
    <n v="1300"/>
    <n v="1300"/>
    <n v="604.79999999999995"/>
    <n v="1392.72"/>
    <m/>
    <m/>
    <n v="23.88"/>
    <n v="23.88"/>
    <n v="20605.2"/>
    <n v="286961.21999999997"/>
    <n v="2.0154000000000001"/>
    <n v="7.1010000000000004E-2"/>
    <n v="0.36847000000000002"/>
    <n v="0.23454"/>
    <n v="5177.76"/>
    <n v="23971.919999999998"/>
    <n v="0.2457"/>
    <n v="0.2457"/>
    <n v="208467.781227"/>
    <n v="307566.42"/>
    <m/>
    <m/>
    <n v="15378.321"/>
  </r>
  <r>
    <d v="2018-07-01T00:00:00"/>
    <x v="2"/>
    <n v="7"/>
    <n v="31"/>
    <m/>
    <m/>
    <n v="0.25"/>
    <n v="1300"/>
    <n v="1300"/>
    <n v="559.44000000000005"/>
    <n v="1382.64"/>
    <m/>
    <m/>
    <n v="23.88"/>
    <n v="23.88"/>
    <n v="21175.56"/>
    <n v="278230.26"/>
    <n v="2.0154000000000001"/>
    <n v="7.1010000000000004E-2"/>
    <n v="0.36847000000000002"/>
    <n v="0.23454"/>
    <n v="5129.04"/>
    <n v="23516.639999999999"/>
    <n v="0.2457"/>
    <n v="0.2457"/>
    <n v="206284.41998820001"/>
    <n v="299405.82"/>
    <m/>
    <m/>
    <n v="14970.291000000001"/>
  </r>
  <r>
    <d v="2018-08-01T00:00:00"/>
    <x v="2"/>
    <n v="8"/>
    <n v="31"/>
    <m/>
    <m/>
    <n v="0.25"/>
    <n v="1300"/>
    <n v="1300"/>
    <n v="473.76"/>
    <n v="1290.24"/>
    <m/>
    <m/>
    <n v="25.29"/>
    <n v="25.29"/>
    <n v="18228.419999999998"/>
    <n v="254694.72"/>
    <n v="2.1239300000000001"/>
    <n v="8.6150000000000004E-2"/>
    <n v="0.42509000000000002"/>
    <n v="0.26374999999999998"/>
    <n v="5450.76"/>
    <n v="27965.279999999999"/>
    <n v="0.39378999999999997"/>
    <n v="0.39378999999999997"/>
    <n v="212217.5752468"/>
    <n v="272923.14"/>
    <m/>
    <m/>
    <n v="13646.157000000001"/>
  </r>
  <r>
    <d v="2018-09-01T00:00:00"/>
    <x v="2"/>
    <n v="9"/>
    <n v="30"/>
    <m/>
    <m/>
    <n v="0.25"/>
    <n v="1300"/>
    <n v="1300"/>
    <n v="532.55999999999995"/>
    <n v="1352.4"/>
    <m/>
    <m/>
    <n v="25.29"/>
    <n v="25.29"/>
    <n v="22604.82"/>
    <n v="311078.88"/>
    <n v="2.1239300000000001"/>
    <n v="8.6150000000000004E-2"/>
    <n v="0.42509000000000002"/>
    <n v="0.26374999999999998"/>
    <n v="4193.28"/>
    <n v="17760.54"/>
    <n v="0.39378999999999997"/>
    <n v="0.39378999999999997"/>
    <n v="235440.02890960002"/>
    <n v="333683.7"/>
    <m/>
    <m/>
    <n v="16684.185000000001"/>
  </r>
  <r>
    <d v="2018-10-01T00:00:00"/>
    <x v="2"/>
    <n v="10"/>
    <n v="31"/>
    <m/>
    <m/>
    <n v="0.25"/>
    <n v="1300"/>
    <n v="1300"/>
    <n v="510.72"/>
    <n v="1312.08"/>
    <m/>
    <m/>
    <n v="25.29"/>
    <n v="25.29"/>
    <n v="20274.66"/>
    <n v="306842.34000000003"/>
    <n v="2.1239300000000001"/>
    <n v="8.6150000000000004E-2"/>
    <n v="0.42509000000000002"/>
    <n v="0.26374999999999998"/>
    <n v="3408.3"/>
    <n v="15198.12"/>
    <n v="0.39378999999999997"/>
    <n v="0.39378999999999997"/>
    <n v="224818.16684620001"/>
    <n v="327117"/>
    <m/>
    <m/>
    <n v="16355.85"/>
  </r>
  <r>
    <d v="2018-11-01T00:00:00"/>
    <x v="2"/>
    <n v="11"/>
    <n v="30"/>
    <m/>
    <m/>
    <n v="0.25"/>
    <n v="1300"/>
    <n v="1300"/>
    <n v="540.96"/>
    <n v="1513.68"/>
    <m/>
    <m/>
    <n v="25.29"/>
    <n v="25.29"/>
    <n v="21598.5"/>
    <n v="313688.34000000003"/>
    <n v="2.1239300000000001"/>
    <n v="8.6150000000000004E-2"/>
    <n v="0.42509000000000002"/>
    <n v="0.26374999999999998"/>
    <n v="4417.1400000000003"/>
    <n v="24875.759999999998"/>
    <n v="0.39378999999999997"/>
    <n v="0.39378999999999997"/>
    <n v="227660.00638660003"/>
    <n v="335286.84000000003"/>
    <n v="3352.8684000000003"/>
    <m/>
    <m/>
  </r>
  <r>
    <d v="2018-12-01T00:00:00"/>
    <x v="2"/>
    <n v="12"/>
    <n v="31"/>
    <m/>
    <m/>
    <n v="0.25"/>
    <n v="1300"/>
    <n v="1300"/>
    <n v="589.67999999999995"/>
    <n v="1461.6"/>
    <m/>
    <m/>
    <n v="25.29"/>
    <n v="25.29"/>
    <n v="21971.040000000001"/>
    <n v="317525.46000000002"/>
    <n v="2.1239300000000001"/>
    <n v="8.6150000000000004E-2"/>
    <n v="0.42509000000000002"/>
    <n v="0.26374999999999998"/>
    <n v="5554.92"/>
    <n v="25081.56"/>
    <n v="0.39378999999999997"/>
    <n v="0.39378999999999997"/>
    <n v="227253.20457160001"/>
    <n v="339496.5"/>
    <m/>
    <m/>
    <m/>
  </r>
  <r>
    <d v="2019-01-01T00:00:00"/>
    <x v="3"/>
    <n v="1"/>
    <n v="31"/>
    <m/>
    <m/>
    <n v="0.25"/>
    <n v="1300"/>
    <n v="1300"/>
    <n v="482.16"/>
    <n v="1199.52"/>
    <m/>
    <m/>
    <n v="25.29"/>
    <n v="25.29"/>
    <n v="15939.42"/>
    <n v="216611.64"/>
    <n v="2.1239300000000001"/>
    <n v="8.6150000000000004E-2"/>
    <n v="0.42509000000000002"/>
    <n v="0.26374999999999998"/>
    <n v="6028.26"/>
    <n v="39839.1"/>
    <n v="0.39378999999999997"/>
    <n v="0.39378999999999997"/>
    <n v="191512.67549980001"/>
    <n v="232551.06000000003"/>
    <m/>
    <m/>
    <m/>
  </r>
  <r>
    <d v="2019-02-01T00:00:00"/>
    <x v="3"/>
    <n v="2"/>
    <n v="28"/>
    <m/>
    <m/>
    <n v="0.25"/>
    <n v="1300"/>
    <n v="1300"/>
    <n v="430.08"/>
    <n v="1290.24"/>
    <m/>
    <m/>
    <n v="25.29"/>
    <n v="25.29"/>
    <n v="19157.88"/>
    <n v="270031.02"/>
    <n v="2.1239300000000001"/>
    <n v="8.6150000000000004E-2"/>
    <n v="0.42509000000000002"/>
    <n v="0.26374999999999998"/>
    <n v="5769.96"/>
    <n v="27228.18"/>
    <n v="0.39378999999999997"/>
    <n v="0.39378999999999997"/>
    <n v="205695.39951399999"/>
    <n v="289188.90000000002"/>
    <m/>
    <m/>
    <m/>
  </r>
  <r>
    <d v="2019-03-01T00:00:00"/>
    <x v="3"/>
    <n v="3"/>
    <n v="31"/>
    <m/>
    <m/>
    <n v="0.25"/>
    <n v="1300"/>
    <n v="1300"/>
    <n v="500.64"/>
    <n v="1219.68"/>
    <m/>
    <m/>
    <n v="25.29"/>
    <n v="25.29"/>
    <n v="19127.22"/>
    <n v="252789.6"/>
    <n v="2.1239300000000001"/>
    <n v="8.6150000000000004E-2"/>
    <n v="0.42509000000000002"/>
    <n v="0.26374999999999998"/>
    <n v="5929.56"/>
    <n v="30911.16"/>
    <n v="0.39378999999999997"/>
    <n v="0.39378999999999997"/>
    <n v="203330.30258680001"/>
    <n v="271916.82"/>
    <m/>
    <m/>
    <m/>
  </r>
  <r>
    <d v="2019-04-01T00:00:00"/>
    <x v="3"/>
    <n v="4"/>
    <n v="30"/>
    <m/>
    <m/>
    <n v="0.25"/>
    <n v="1300"/>
    <n v="1300"/>
    <n v="420"/>
    <n v="1090.32"/>
    <m/>
    <m/>
    <n v="25.29"/>
    <n v="25.29"/>
    <n v="16415.7"/>
    <n v="227537.1"/>
    <n v="2.1239300000000001"/>
    <n v="8.6150000000000004E-2"/>
    <n v="0.42509000000000002"/>
    <n v="0.26374999999999998"/>
    <n v="4115.16"/>
    <n v="19073.88"/>
    <n v="0.39378999999999997"/>
    <n v="0.39378999999999997"/>
    <n v="175030.96155040001"/>
    <n v="243952.80000000002"/>
    <m/>
    <m/>
    <m/>
  </r>
  <r>
    <d v="2019-05-01T00:00:00"/>
    <x v="3"/>
    <n v="5"/>
    <n v="31"/>
    <m/>
    <m/>
    <n v="0.25"/>
    <n v="1300"/>
    <n v="1300"/>
    <n v="470.4"/>
    <n v="1249.92"/>
    <m/>
    <m/>
    <n v="25.29"/>
    <n v="25.29"/>
    <n v="18331.32"/>
    <n v="277452"/>
    <n v="2.1239300000000001"/>
    <n v="8.6150000000000004E-2"/>
    <n v="0.42509000000000002"/>
    <n v="0.26374999999999998"/>
    <n v="4929.54"/>
    <n v="33085.919999999998"/>
    <n v="0.39378999999999997"/>
    <n v="0.39378999999999997"/>
    <n v="214669.70665300003"/>
    <n v="295783.32"/>
    <n v="2957.8332"/>
    <m/>
    <m/>
  </r>
  <r>
    <d v="2019-06-01T00:00:00"/>
    <x v="3"/>
    <n v="6"/>
    <n v="30"/>
    <m/>
    <m/>
    <n v="0.25"/>
    <n v="1300"/>
    <n v="1300"/>
    <n v="579.6"/>
    <n v="1431.36"/>
    <m/>
    <m/>
    <n v="25.29"/>
    <n v="25.29"/>
    <n v="23499.84"/>
    <n v="311893.68"/>
    <n v="2.1239300000000001"/>
    <n v="8.6150000000000004E-2"/>
    <n v="0.42509000000000002"/>
    <n v="0.26374999999999998"/>
    <n v="5736.78"/>
    <n v="25981.62"/>
    <n v="0.39378999999999997"/>
    <n v="0.39378999999999997"/>
    <n v="230151.26117499999"/>
    <n v="335393.52"/>
    <m/>
    <m/>
    <m/>
  </r>
  <r>
    <d v="2019-07-01T00:00:00"/>
    <x v="3"/>
    <n v="7"/>
    <n v="31"/>
    <m/>
    <m/>
    <n v="0.25"/>
    <n v="1300"/>
    <n v="1300"/>
    <n v="564.48"/>
    <n v="1369.2"/>
    <m/>
    <m/>
    <n v="25.29"/>
    <n v="25.29"/>
    <n v="22404.48"/>
    <n v="315491.40000000002"/>
    <n v="2.1239300000000001"/>
    <n v="8.6150000000000004E-2"/>
    <n v="0.42509000000000002"/>
    <n v="0.26374999999999998"/>
    <n v="5697.3"/>
    <n v="26693.1"/>
    <n v="0.39378999999999997"/>
    <n v="0.39378999999999997"/>
    <n v="233851.88369500003"/>
    <n v="337895.88"/>
    <n v="4537.9416683999998"/>
    <m/>
    <m/>
  </r>
  <r>
    <d v="2019-08-01T00:00:00"/>
    <x v="3"/>
    <n v="8"/>
    <n v="31"/>
    <m/>
    <m/>
    <n v="0.25"/>
    <n v="1300"/>
    <n v="1300"/>
    <n v="517.44000000000005"/>
    <n v="1300.32"/>
    <m/>
    <m/>
    <n v="26.36"/>
    <n v="26.36"/>
    <n v="20224.259999999998"/>
    <n v="306664.68"/>
    <n v="2.2465799999999998"/>
    <n v="8.8739999999999999E-2"/>
    <n v="0.38147999999999999"/>
    <n v="0.21790000000000001"/>
    <n v="5723.76"/>
    <n v="28817.88"/>
    <n v="0.23153000000000001"/>
    <n v="0.23153000000000001"/>
    <n v="225225.5598022"/>
    <n v="326888.94"/>
    <m/>
    <n v="13627.999908599999"/>
    <m/>
  </r>
  <r>
    <d v="2019-09-01T00:00:00"/>
    <x v="3"/>
    <n v="9"/>
    <n v="30"/>
    <m/>
    <m/>
    <n v="0.25"/>
    <n v="1300"/>
    <n v="1300"/>
    <n v="556.08000000000004"/>
    <n v="1422.96"/>
    <m/>
    <m/>
    <n v="26.36"/>
    <n v="26.36"/>
    <n v="20153.7"/>
    <n v="302953.98"/>
    <n v="2.2465799999999998"/>
    <n v="8.8739999999999999E-2"/>
    <n v="0.38147999999999999"/>
    <n v="0.21790000000000001"/>
    <n v="6452.46"/>
    <n v="29600.76"/>
    <n v="0.23153000000000001"/>
    <n v="0.23153000000000001"/>
    <n v="224696.23002219998"/>
    <n v="323107.68"/>
    <m/>
    <n v="13470.359179199999"/>
    <m/>
  </r>
  <r>
    <d v="2019-10-01T00:00:00"/>
    <x v="3"/>
    <n v="10"/>
    <n v="31"/>
    <m/>
    <m/>
    <n v="0.25"/>
    <n v="1300"/>
    <n v="1300"/>
    <n v="500.64"/>
    <n v="1446.48"/>
    <m/>
    <m/>
    <n v="26.36"/>
    <n v="26.36"/>
    <n v="21618.66"/>
    <n v="322546.98"/>
    <n v="2.2465799999999998"/>
    <n v="8.8739999999999999E-2"/>
    <n v="0.38147999999999999"/>
    <n v="0.21790000000000001"/>
    <n v="6273.12"/>
    <n v="29192.1"/>
    <n v="0.23153000000000001"/>
    <n v="0.23153000000000001"/>
    <n v="225255.83309559998"/>
    <n v="344165.63999999996"/>
    <n v="4622.1445451999989"/>
    <m/>
    <m/>
  </r>
  <r>
    <d v="2019-11-01T00:00:00"/>
    <x v="3"/>
    <n v="11"/>
    <n v="30"/>
    <m/>
    <m/>
    <n v="0.25"/>
    <n v="1300"/>
    <n v="1300"/>
    <n v="527.52"/>
    <n v="1323.84"/>
    <m/>
    <m/>
    <n v="26.36"/>
    <n v="26.36"/>
    <n v="20992.86"/>
    <n v="321070.68"/>
    <n v="2.2465799999999998"/>
    <n v="8.8739999999999999E-2"/>
    <n v="0.38147999999999999"/>
    <n v="0.21790000000000001"/>
    <n v="5299.56"/>
    <n v="26403.3"/>
    <n v="0.23153000000000001"/>
    <n v="0.23153000000000001"/>
    <n v="229782.7766062"/>
    <n v="342063.54"/>
    <m/>
    <n v="14260.628982599999"/>
    <m/>
  </r>
  <r>
    <d v="2019-12-01T00:00:00"/>
    <x v="3"/>
    <n v="12"/>
    <n v="31"/>
    <m/>
    <m/>
    <n v="0.25"/>
    <n v="1300"/>
    <n v="1300"/>
    <n v="502.32"/>
    <n v="1379.28"/>
    <m/>
    <m/>
    <n v="26.36"/>
    <n v="26.36"/>
    <n v="21353.22"/>
    <n v="332416.98"/>
    <n v="2.2465799999999998"/>
    <n v="8.8739999999999999E-2"/>
    <n v="0.38147999999999999"/>
    <n v="0.21790000000000001"/>
    <n v="5440.26"/>
    <n v="24878.7"/>
    <n v="0.23153000000000001"/>
    <n v="0.23153000000000001"/>
    <n v="223207.53481419999"/>
    <n v="353770.19999999995"/>
    <n v="4751.1337859999994"/>
    <m/>
    <m/>
  </r>
  <r>
    <d v="2020-01-01T00:00:00"/>
    <x v="4"/>
    <n v="1"/>
    <n v="31"/>
    <m/>
    <m/>
    <n v="0.25"/>
    <n v="1300"/>
    <n v="1300"/>
    <n v="411.6"/>
    <n v="1302"/>
    <m/>
    <m/>
    <n v="26.36"/>
    <n v="26.36"/>
    <n v="14183.82"/>
    <n v="218233.68"/>
    <n v="2.2465799999999998"/>
    <n v="8.8739999999999999E-2"/>
    <n v="0.38147999999999999"/>
    <n v="0.21790000000000001"/>
    <n v="7128.24"/>
    <n v="46507.02"/>
    <n v="0.23153000000000001"/>
    <n v="0.23153000000000001"/>
    <n v="189742.12558659998"/>
    <n v="232417.5"/>
    <n v="3121.367025"/>
    <m/>
    <m/>
  </r>
  <r>
    <d v="2020-02-01T00:00:00"/>
    <x v="4"/>
    <n v="2"/>
    <n v="29"/>
    <m/>
    <m/>
    <n v="0.25"/>
    <n v="1300"/>
    <n v="1300"/>
    <n v="319.2"/>
    <n v="967.68"/>
    <m/>
    <m/>
    <n v="26.36"/>
    <n v="26.36"/>
    <n v="14249.76"/>
    <n v="201323.64"/>
    <n v="2.2465799999999998"/>
    <n v="8.8739999999999999E-2"/>
    <n v="0.38147999999999999"/>
    <n v="0.21790000000000001"/>
    <n v="7293.72"/>
    <n v="37112.46"/>
    <n v="0.23153000000000001"/>
    <n v="0.23153000000000001"/>
    <n v="172252.5117568"/>
    <n v="215573.40000000002"/>
    <m/>
    <m/>
    <m/>
  </r>
  <r>
    <d v="2020-03-01T00:00:00"/>
    <x v="4"/>
    <n v="3"/>
    <n v="31"/>
    <m/>
    <m/>
    <n v="0.25"/>
    <n v="1300"/>
    <n v="1300"/>
    <n v="388.08"/>
    <n v="1249.92"/>
    <m/>
    <m/>
    <n v="26.36"/>
    <n v="26.36"/>
    <n v="14493.36"/>
    <n v="202699.14"/>
    <n v="2.2465799999999998"/>
    <n v="8.8739999999999999E-2"/>
    <n v="0.38147999999999999"/>
    <n v="0.21790000000000001"/>
    <n v="6840.54"/>
    <n v="39301.08"/>
    <n v="0.23153000000000001"/>
    <n v="0.23153000000000001"/>
    <n v="175398.18572740001"/>
    <n v="217192.5"/>
    <m/>
    <m/>
    <m/>
  </r>
  <r>
    <d v="2020-04-01T00:00:00"/>
    <x v="4"/>
    <n v="4"/>
    <n v="30"/>
    <m/>
    <m/>
    <n v="0.25"/>
    <n v="1300"/>
    <n v="1300"/>
    <n v="426.72"/>
    <n v="1260"/>
    <m/>
    <m/>
    <n v="26.36"/>
    <n v="26.36"/>
    <n v="14165.76"/>
    <n v="165823.98000000001"/>
    <n v="2.2465799999999998"/>
    <n v="8.8739999999999999E-2"/>
    <n v="0.38147999999999999"/>
    <n v="0.21790000000000001"/>
    <n v="7317.66"/>
    <n v="46448.639999999999"/>
    <n v="0.23153000000000001"/>
    <n v="0.23153000000000001"/>
    <n v="170487.8618026"/>
    <n v="179989.74000000002"/>
    <m/>
    <m/>
    <m/>
  </r>
  <r>
    <d v="2020-05-01T00:00:00"/>
    <x v="4"/>
    <n v="5"/>
    <n v="31"/>
    <m/>
    <m/>
    <n v="0.25"/>
    <n v="1300"/>
    <n v="1300"/>
    <n v="196.56"/>
    <n v="268.8"/>
    <m/>
    <m/>
    <n v="26.36"/>
    <n v="26.36"/>
    <n v="10551.24"/>
    <n v="112010.22"/>
    <n v="2.2465799999999998"/>
    <n v="8.8739999999999999E-2"/>
    <n v="0.38147999999999999"/>
    <n v="0.21790000000000001"/>
    <n v="7657.02"/>
    <n v="65942.100000000006"/>
    <n v="0.23153000000000001"/>
    <n v="0.23153000000000001"/>
    <n v="164059.26702580001"/>
    <n v="122561.46"/>
    <m/>
    <m/>
    <m/>
  </r>
  <r>
    <d v="2020-06-01T00:00:00"/>
    <x v="4"/>
    <n v="6"/>
    <n v="30"/>
    <m/>
    <m/>
    <n v="0.25"/>
    <n v="1300"/>
    <n v="1300"/>
    <n v="183.12"/>
    <n v="292.32"/>
    <m/>
    <m/>
    <n v="26.36"/>
    <n v="26.36"/>
    <n v="10287.06"/>
    <n v="91571.34"/>
    <n v="2.2465799999999998"/>
    <n v="8.8739999999999999E-2"/>
    <n v="0.38147999999999999"/>
    <n v="0.21790000000000001"/>
    <n v="7680.54"/>
    <n v="55792.800000000003"/>
    <n v="0.23153000000000001"/>
    <n v="0.23153000000000001"/>
    <n v="146953.75355739999"/>
    <n v="101858.4"/>
    <m/>
    <m/>
    <m/>
  </r>
  <r>
    <d v="2020-07-01T00:00:00"/>
    <x v="5"/>
    <m/>
    <n v="30"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8" firstHeaderRow="0" firstDataRow="1" firstDataCol="1"/>
  <pivotFields count="30">
    <pivotField showAll="0"/>
    <pivotField axis="axisRow" showAll="0">
      <items count="7">
        <item x="0"/>
        <item x="1"/>
        <item x="2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ENERGIA_PONTA" fld="15" subtotal="average" baseField="1" baseItem="0"/>
    <dataField name="Média de ENERGIA_FPONTA" fld="16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8" sqref="F8"/>
    </sheetView>
  </sheetViews>
  <sheetFormatPr defaultRowHeight="14.25" x14ac:dyDescent="0.2"/>
  <cols>
    <col min="1" max="1" width="20.5703125" style="22" bestFit="1" customWidth="1"/>
    <col min="2" max="2" width="10.5703125" style="22" customWidth="1"/>
    <col min="3" max="3" width="12.28515625" style="22" customWidth="1"/>
    <col min="4" max="5" width="13.7109375" style="22" bestFit="1" customWidth="1"/>
    <col min="6" max="16384" width="9.140625" style="22"/>
  </cols>
  <sheetData>
    <row r="1" spans="1:9" x14ac:dyDescent="0.2">
      <c r="B1" s="22" t="s">
        <v>62</v>
      </c>
    </row>
    <row r="2" spans="1:9" x14ac:dyDescent="0.2">
      <c r="A2" s="22" t="s">
        <v>44</v>
      </c>
    </row>
    <row r="3" spans="1:9" x14ac:dyDescent="0.2">
      <c r="A3" s="22" t="s">
        <v>45</v>
      </c>
      <c r="B3" s="22" t="s">
        <v>46</v>
      </c>
      <c r="C3" s="22" t="s">
        <v>47</v>
      </c>
    </row>
    <row r="4" spans="1:9" x14ac:dyDescent="0.2">
      <c r="A4" s="23">
        <v>2016</v>
      </c>
      <c r="B4" s="24">
        <v>18995.902222222223</v>
      </c>
      <c r="C4" s="24">
        <v>272206.08888888895</v>
      </c>
      <c r="D4" s="22" t="s">
        <v>25</v>
      </c>
      <c r="E4" s="22" t="s">
        <v>48</v>
      </c>
      <c r="F4" s="22" t="s">
        <v>25</v>
      </c>
      <c r="G4" s="22" t="s">
        <v>48</v>
      </c>
    </row>
    <row r="5" spans="1:9" ht="15" x14ac:dyDescent="0.25">
      <c r="A5" s="23">
        <v>2017</v>
      </c>
      <c r="B5" s="24">
        <v>19176.255000000005</v>
      </c>
      <c r="C5" s="24">
        <v>270695.81</v>
      </c>
      <c r="D5" s="22">
        <f>GETPIVOTDATA("Média de ENERGIA_PONTA",$A$3,"ANO",2017)/GETPIVOTDATA("Média de ENERGIA_PONTA",$A$3,"ANO",2016)</f>
        <v>1.0094942991213545</v>
      </c>
      <c r="E5" s="22">
        <f>GETPIVOTDATA("Média de ENERGIA_FPONTA",$A$3,"ANO",2017)/GETPIVOTDATA("Média de ENERGIA_FPONTA",$A$3,"ANO",2016)</f>
        <v>0.99445170791346471</v>
      </c>
      <c r="F5" s="25">
        <f t="shared" ref="F5:G7" si="0">D5-1</f>
        <v>9.4942991213544659E-3</v>
      </c>
      <c r="G5" s="25">
        <f t="shared" si="0"/>
        <v>-5.5482920865352892E-3</v>
      </c>
    </row>
    <row r="6" spans="1:9" ht="15" x14ac:dyDescent="0.25">
      <c r="A6" s="23">
        <v>2018</v>
      </c>
      <c r="B6" s="24">
        <v>19522.475000000002</v>
      </c>
      <c r="C6" s="24">
        <v>273823.75999999995</v>
      </c>
      <c r="D6" s="22">
        <f>GETPIVOTDATA("Média de ENERGIA_PONTA",$A$3,"ANO",2018)/GETPIVOTDATA("Média de ENERGIA_PONTA",$A$3,"ANO",2017)</f>
        <v>1.0180546201539351</v>
      </c>
      <c r="E6" s="22">
        <f>GETPIVOTDATA("Média de ENERGIA_FPONTA",$A$3,"ANO",2018)/GETPIVOTDATA("Média de ENERGIA_FPONTA",$A$3,"ANO",2017)</f>
        <v>1.0115552213386678</v>
      </c>
      <c r="F6" s="25">
        <f t="shared" si="0"/>
        <v>1.8054620153935108E-2</v>
      </c>
      <c r="G6" s="25">
        <f t="shared" si="0"/>
        <v>1.155522133866782E-2</v>
      </c>
    </row>
    <row r="7" spans="1:9" ht="15" x14ac:dyDescent="0.25">
      <c r="A7" s="23">
        <v>2019</v>
      </c>
      <c r="B7" s="24">
        <v>19934.88</v>
      </c>
      <c r="C7" s="24">
        <v>288121.64500000002</v>
      </c>
      <c r="D7" s="22">
        <f>GETPIVOTDATA("Média de ENERGIA_PONTA",$A$3,"ANO",2019)/GETPIVOTDATA("Média de ENERGIA_PONTA",$A$3,"ANO",2018)</f>
        <v>1.0211246268723611</v>
      </c>
      <c r="E7" s="22">
        <f>GETPIVOTDATA("Média de ENERGIA_FPONTA",$A$3,"ANO",2019)/GETPIVOTDATA("Média de ENERGIA_FPONTA",$A$3,"ANO",2018)</f>
        <v>1.0522156477582518</v>
      </c>
      <c r="F7" s="25">
        <f t="shared" si="0"/>
        <v>2.1124626872361052E-2</v>
      </c>
      <c r="G7" s="25">
        <f t="shared" si="0"/>
        <v>5.2215647758251826E-2</v>
      </c>
    </row>
    <row r="8" spans="1:9" ht="15" x14ac:dyDescent="0.25">
      <c r="A8" s="23" t="s">
        <v>49</v>
      </c>
      <c r="B8" s="24">
        <v>19434.809777777777</v>
      </c>
      <c r="C8" s="24">
        <v>276478.87511111115</v>
      </c>
      <c r="F8" s="26">
        <v>1.6E-2</v>
      </c>
      <c r="G8" s="27">
        <v>1.9E-2</v>
      </c>
      <c r="H8" s="28" t="s">
        <v>50</v>
      </c>
      <c r="I8" s="28"/>
    </row>
    <row r="9" spans="1:9" ht="15" x14ac:dyDescent="0.25">
      <c r="F9" s="29" t="s">
        <v>51</v>
      </c>
      <c r="G9" s="30"/>
      <c r="H9" s="30"/>
    </row>
    <row r="11" spans="1:9" ht="15" x14ac:dyDescent="0.25">
      <c r="B11" s="84" t="s">
        <v>52</v>
      </c>
      <c r="C11" s="84"/>
      <c r="D11" s="85" t="s">
        <v>53</v>
      </c>
      <c r="E11" s="85"/>
    </row>
    <row r="12" spans="1:9" ht="15" x14ac:dyDescent="0.25">
      <c r="A12" s="22" t="s">
        <v>54</v>
      </c>
      <c r="B12" s="31" t="s">
        <v>25</v>
      </c>
      <c r="C12" s="31" t="s">
        <v>55</v>
      </c>
      <c r="D12" s="32" t="s">
        <v>25</v>
      </c>
      <c r="E12" s="32" t="s">
        <v>55</v>
      </c>
    </row>
    <row r="13" spans="1:9" x14ac:dyDescent="0.2">
      <c r="A13" s="22" t="s">
        <v>56</v>
      </c>
      <c r="B13" s="33">
        <v>19934.88</v>
      </c>
      <c r="C13" s="33">
        <v>288121.64500000002</v>
      </c>
      <c r="D13" s="34">
        <f t="shared" ref="D13:D18" si="1">(B13*$F$8)+B13</f>
        <v>20253.838080000001</v>
      </c>
      <c r="E13" s="34">
        <f t="shared" ref="E13:E18" si="2">(C13*$G$8)+C13</f>
        <v>293595.95625500003</v>
      </c>
    </row>
    <row r="14" spans="1:9" x14ac:dyDescent="0.2">
      <c r="A14" s="22" t="s">
        <v>57</v>
      </c>
      <c r="B14" s="33">
        <v>1923.46</v>
      </c>
      <c r="C14" s="33">
        <v>15545.32</v>
      </c>
      <c r="D14" s="34">
        <f t="shared" si="1"/>
        <v>1954.2353600000001</v>
      </c>
      <c r="E14" s="34">
        <f t="shared" si="2"/>
        <v>15840.68108</v>
      </c>
    </row>
    <row r="15" spans="1:9" x14ac:dyDescent="0.2">
      <c r="A15" s="35" t="s">
        <v>58</v>
      </c>
      <c r="B15" s="33">
        <v>2205.67</v>
      </c>
      <c r="C15" s="33">
        <v>20611.939999999999</v>
      </c>
      <c r="D15" s="34">
        <f t="shared" si="1"/>
        <v>2240.96072</v>
      </c>
      <c r="E15" s="34">
        <f t="shared" si="2"/>
        <v>21003.566859999999</v>
      </c>
    </row>
    <row r="16" spans="1:9" x14ac:dyDescent="0.2">
      <c r="A16" s="35" t="s">
        <v>59</v>
      </c>
      <c r="B16" s="33">
        <v>3068.19</v>
      </c>
      <c r="C16" s="33">
        <v>23855.58</v>
      </c>
      <c r="D16" s="34">
        <f t="shared" si="1"/>
        <v>3117.2810399999998</v>
      </c>
      <c r="E16" s="34">
        <f t="shared" si="2"/>
        <v>24308.836020000002</v>
      </c>
    </row>
    <row r="17" spans="1:5" x14ac:dyDescent="0.2">
      <c r="A17" s="35" t="s">
        <v>60</v>
      </c>
      <c r="B17" s="33">
        <v>3735.91</v>
      </c>
      <c r="C17" s="33">
        <v>29970.69</v>
      </c>
      <c r="D17" s="34">
        <f t="shared" si="1"/>
        <v>3795.6845599999997</v>
      </c>
      <c r="E17" s="34">
        <f t="shared" si="2"/>
        <v>30540.133109999999</v>
      </c>
    </row>
    <row r="18" spans="1:5" x14ac:dyDescent="0.2">
      <c r="A18" s="35" t="s">
        <v>61</v>
      </c>
      <c r="B18" s="33">
        <v>3472.8</v>
      </c>
      <c r="C18" s="33">
        <v>15619.01</v>
      </c>
      <c r="D18" s="34">
        <f t="shared" si="1"/>
        <v>3528.3648000000003</v>
      </c>
      <c r="E18" s="34">
        <f t="shared" si="2"/>
        <v>15915.771189999999</v>
      </c>
    </row>
    <row r="19" spans="1:5" x14ac:dyDescent="0.2">
      <c r="D19" s="24">
        <f>SUM(D13:D18)</f>
        <v>34890.364560000002</v>
      </c>
      <c r="E19" s="24">
        <f>SUM(E13:E18)</f>
        <v>401204.94451500004</v>
      </c>
    </row>
  </sheetData>
  <mergeCells count="2">
    <mergeCell ref="B11:C11"/>
    <mergeCell ref="D11:E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100"/>
  <sheetViews>
    <sheetView showGridLines="0" tabSelected="1" zoomScale="85" zoomScaleNormal="85" workbookViewId="0">
      <selection activeCell="AD33" sqref="AD33"/>
    </sheetView>
  </sheetViews>
  <sheetFormatPr defaultRowHeight="15" x14ac:dyDescent="0.25"/>
  <cols>
    <col min="2" max="2" width="12.140625" customWidth="1"/>
    <col min="3" max="4" width="10.5703125" bestFit="1" customWidth="1"/>
    <col min="6" max="6" width="16.140625" bestFit="1" customWidth="1"/>
    <col min="7" max="7" width="10.5703125" bestFit="1" customWidth="1"/>
    <col min="9" max="9" width="15.7109375" style="10" bestFit="1" customWidth="1"/>
    <col min="10" max="10" width="15.140625" style="10" customWidth="1"/>
    <col min="11" max="11" width="3.42578125" customWidth="1"/>
    <col min="12" max="12" width="16.140625" bestFit="1" customWidth="1"/>
    <col min="13" max="13" width="16" customWidth="1"/>
    <col min="14" max="14" width="8.28515625" style="1" bestFit="1" customWidth="1"/>
    <col min="15" max="15" width="16" bestFit="1" customWidth="1"/>
    <col min="16" max="16" width="14.28515625" style="10" customWidth="1"/>
    <col min="17" max="17" width="2" customWidth="1"/>
    <col min="18" max="18" width="16.140625" bestFit="1" customWidth="1"/>
    <col min="19" max="19" width="13.28515625" customWidth="1"/>
    <col min="21" max="21" width="16" bestFit="1" customWidth="1"/>
    <col min="22" max="22" width="14.5703125" bestFit="1" customWidth="1"/>
    <col min="24" max="24" width="14.28515625" customWidth="1"/>
    <col min="25" max="25" width="9.7109375" customWidth="1"/>
    <col min="26" max="26" width="15.28515625" customWidth="1"/>
    <col min="27" max="27" width="15.85546875" customWidth="1"/>
    <col min="28" max="28" width="16.140625" bestFit="1" customWidth="1"/>
    <col min="29" max="29" width="37.7109375" bestFit="1" customWidth="1"/>
    <col min="30" max="33" width="16.140625" bestFit="1" customWidth="1"/>
    <col min="34" max="34" width="17.5703125" bestFit="1" customWidth="1"/>
  </cols>
  <sheetData>
    <row r="1" spans="2:33" x14ac:dyDescent="0.25">
      <c r="B1" s="19" t="s">
        <v>6</v>
      </c>
    </row>
    <row r="2" spans="2:33" x14ac:dyDescent="0.25">
      <c r="B2" t="s">
        <v>7</v>
      </c>
    </row>
    <row r="3" spans="2:33" x14ac:dyDescent="0.25">
      <c r="B3" s="2" t="s">
        <v>0</v>
      </c>
    </row>
    <row r="4" spans="2:33" x14ac:dyDescent="0.25">
      <c r="B4" t="s">
        <v>8</v>
      </c>
    </row>
    <row r="5" spans="2:33" x14ac:dyDescent="0.25">
      <c r="B5" t="s">
        <v>9</v>
      </c>
    </row>
    <row r="6" spans="2:33" x14ac:dyDescent="0.25">
      <c r="B6" t="s">
        <v>126</v>
      </c>
      <c r="E6" t="s">
        <v>127</v>
      </c>
    </row>
    <row r="7" spans="2:33" x14ac:dyDescent="0.25">
      <c r="B7" t="s">
        <v>125</v>
      </c>
    </row>
    <row r="8" spans="2:33" x14ac:dyDescent="0.25">
      <c r="B8" t="s">
        <v>5</v>
      </c>
      <c r="G8" t="s">
        <v>30</v>
      </c>
      <c r="M8" t="s">
        <v>66</v>
      </c>
      <c r="S8" t="s">
        <v>67</v>
      </c>
      <c r="AC8" s="86" t="s">
        <v>42</v>
      </c>
      <c r="AD8" s="86"/>
      <c r="AE8" s="86"/>
      <c r="AF8" s="86"/>
      <c r="AG8" s="86"/>
    </row>
    <row r="9" spans="2:33" x14ac:dyDescent="0.25">
      <c r="B9" s="89" t="s">
        <v>1</v>
      </c>
      <c r="C9" s="89"/>
      <c r="D9" s="89"/>
      <c r="F9" s="8"/>
      <c r="G9" s="90" t="s">
        <v>15</v>
      </c>
      <c r="H9" s="90"/>
      <c r="I9" s="46" t="s">
        <v>72</v>
      </c>
      <c r="J9" s="46" t="s">
        <v>29</v>
      </c>
      <c r="L9" s="8"/>
      <c r="M9" s="90" t="s">
        <v>15</v>
      </c>
      <c r="N9" s="90"/>
      <c r="O9" s="39" t="s">
        <v>72</v>
      </c>
      <c r="P9" s="46" t="s">
        <v>29</v>
      </c>
      <c r="R9" s="8"/>
      <c r="S9" s="90" t="s">
        <v>15</v>
      </c>
      <c r="T9" s="90"/>
      <c r="U9" s="39" t="s">
        <v>72</v>
      </c>
      <c r="V9" s="46" t="s">
        <v>29</v>
      </c>
      <c r="AC9" s="46" t="s">
        <v>41</v>
      </c>
      <c r="AD9" s="20">
        <v>2021</v>
      </c>
      <c r="AE9" s="20">
        <v>2022</v>
      </c>
      <c r="AF9" s="20">
        <v>2023</v>
      </c>
      <c r="AG9" s="20">
        <v>2024</v>
      </c>
    </row>
    <row r="10" spans="2:33" x14ac:dyDescent="0.25">
      <c r="B10" s="3" t="s">
        <v>2</v>
      </c>
      <c r="C10" s="3" t="s">
        <v>3</v>
      </c>
      <c r="D10" s="3" t="s">
        <v>4</v>
      </c>
      <c r="F10" s="4" t="s">
        <v>14</v>
      </c>
      <c r="G10" s="21" t="s">
        <v>76</v>
      </c>
      <c r="H10" s="9" t="s">
        <v>76</v>
      </c>
      <c r="I10" s="12" t="s">
        <v>76</v>
      </c>
      <c r="J10" s="36" t="s">
        <v>76</v>
      </c>
      <c r="L10" s="4" t="s">
        <v>14</v>
      </c>
      <c r="M10" s="21" t="s">
        <v>76</v>
      </c>
      <c r="N10" s="9" t="s">
        <v>76</v>
      </c>
      <c r="O10" s="12" t="s">
        <v>76</v>
      </c>
      <c r="P10" s="36" t="s">
        <v>76</v>
      </c>
      <c r="R10" s="4" t="s">
        <v>14</v>
      </c>
      <c r="S10" s="21" t="s">
        <v>76</v>
      </c>
      <c r="T10" s="9" t="s">
        <v>76</v>
      </c>
      <c r="U10" s="12" t="s">
        <v>76</v>
      </c>
      <c r="V10" s="36" t="s">
        <v>76</v>
      </c>
      <c r="Y10" t="s">
        <v>83</v>
      </c>
      <c r="AB10" s="58">
        <v>1.05</v>
      </c>
      <c r="AC10" s="61" t="s">
        <v>27</v>
      </c>
      <c r="AD10" s="5">
        <f>J18*12</f>
        <v>3640273.6180199999</v>
      </c>
      <c r="AE10" s="5">
        <f>AD10*$AB$10</f>
        <v>3822287.2989210002</v>
      </c>
      <c r="AF10" s="5">
        <f>AE10*$AB$10</f>
        <v>4013401.6638670503</v>
      </c>
      <c r="AG10" s="5">
        <f>AF10*$AB$10</f>
        <v>4214071.7470604032</v>
      </c>
    </row>
    <row r="11" spans="2:33" x14ac:dyDescent="0.25">
      <c r="B11" s="3">
        <v>2021</v>
      </c>
      <c r="C11" s="5">
        <v>257</v>
      </c>
      <c r="D11" s="5">
        <v>340</v>
      </c>
      <c r="F11" s="4" t="s">
        <v>18</v>
      </c>
      <c r="G11" s="21">
        <v>1900</v>
      </c>
      <c r="H11" s="9" t="s">
        <v>43</v>
      </c>
      <c r="I11" s="12">
        <v>26.36</v>
      </c>
      <c r="J11" s="36">
        <f>G11*I11</f>
        <v>50084</v>
      </c>
      <c r="L11" s="4" t="s">
        <v>18</v>
      </c>
      <c r="M11" s="21">
        <v>1900</v>
      </c>
      <c r="N11" s="9" t="s">
        <v>43</v>
      </c>
      <c r="O11" s="12">
        <v>26.36</v>
      </c>
      <c r="P11" s="36">
        <f>M11*O11</f>
        <v>50084</v>
      </c>
      <c r="R11" s="4" t="s">
        <v>18</v>
      </c>
      <c r="S11" s="21">
        <v>1900</v>
      </c>
      <c r="T11" s="9" t="s">
        <v>43</v>
      </c>
      <c r="U11" s="12">
        <v>26.36</v>
      </c>
      <c r="V11" s="36">
        <f>S11*U11</f>
        <v>50084</v>
      </c>
      <c r="Y11" t="s">
        <v>84</v>
      </c>
      <c r="AC11" s="61" t="s">
        <v>39</v>
      </c>
      <c r="AD11" s="5">
        <f>P26*12</f>
        <v>3030023.7460707002</v>
      </c>
      <c r="AE11" s="5">
        <v>2731734.7660706998</v>
      </c>
      <c r="AF11" s="5">
        <v>2663703.9460707</v>
      </c>
      <c r="AG11" s="5">
        <v>2632305.1060707001</v>
      </c>
    </row>
    <row r="12" spans="2:33" x14ac:dyDescent="0.25">
      <c r="B12" s="3">
        <v>2022</v>
      </c>
      <c r="C12" s="5">
        <v>200</v>
      </c>
      <c r="D12" s="5">
        <v>297</v>
      </c>
      <c r="F12" s="4" t="s">
        <v>19</v>
      </c>
      <c r="G12" s="9">
        <v>34.89</v>
      </c>
      <c r="H12" s="9" t="s">
        <v>26</v>
      </c>
      <c r="I12" s="12">
        <v>795.53</v>
      </c>
      <c r="J12" s="36">
        <f>G12*I12</f>
        <v>27756.041699999998</v>
      </c>
      <c r="L12" s="4" t="s">
        <v>19</v>
      </c>
      <c r="M12" s="9">
        <v>34.89</v>
      </c>
      <c r="N12" s="9" t="s">
        <v>26</v>
      </c>
      <c r="O12" s="12">
        <v>795.53</v>
      </c>
      <c r="P12" s="36">
        <f>M12*O12</f>
        <v>27756.041699999998</v>
      </c>
      <c r="R12" s="4" t="s">
        <v>19</v>
      </c>
      <c r="S12" s="9">
        <v>34.89</v>
      </c>
      <c r="T12" s="9" t="s">
        <v>26</v>
      </c>
      <c r="U12" s="12">
        <v>795.53</v>
      </c>
      <c r="V12" s="36">
        <f>S12*U12</f>
        <v>27756.041699999998</v>
      </c>
      <c r="Y12" t="s">
        <v>84</v>
      </c>
      <c r="AC12" s="61" t="s">
        <v>40</v>
      </c>
      <c r="AD12" s="5">
        <f>V26*12</f>
        <v>3014598.3856707006</v>
      </c>
      <c r="AE12" s="5">
        <v>2789573.3656707006</v>
      </c>
      <c r="AF12" s="5">
        <v>2643045.4456707002</v>
      </c>
      <c r="AG12" s="5">
        <v>2601180.3256707005</v>
      </c>
    </row>
    <row r="13" spans="2:33" x14ac:dyDescent="0.25">
      <c r="B13" s="3">
        <v>2023</v>
      </c>
      <c r="C13" s="5">
        <v>187</v>
      </c>
      <c r="D13" s="5">
        <v>271</v>
      </c>
      <c r="F13" s="4" t="s">
        <v>20</v>
      </c>
      <c r="G13" s="9">
        <v>401.20499999999998</v>
      </c>
      <c r="H13" s="9" t="s">
        <v>26</v>
      </c>
      <c r="I13" s="12">
        <v>82.47</v>
      </c>
      <c r="J13" s="36">
        <f>G13*I13</f>
        <v>33087.376349999999</v>
      </c>
      <c r="L13" s="4" t="s">
        <v>20</v>
      </c>
      <c r="M13" s="9">
        <v>401.20499999999998</v>
      </c>
      <c r="N13" s="9" t="s">
        <v>26</v>
      </c>
      <c r="O13" s="12">
        <v>82.47</v>
      </c>
      <c r="P13" s="36">
        <f>M13*O13</f>
        <v>33087.376349999999</v>
      </c>
      <c r="R13" s="4" t="s">
        <v>20</v>
      </c>
      <c r="S13" s="9">
        <v>401.20499999999998</v>
      </c>
      <c r="T13" s="9" t="s">
        <v>26</v>
      </c>
      <c r="U13" s="12">
        <v>82.47</v>
      </c>
      <c r="V13" s="36">
        <f>S13*U13</f>
        <v>33087.376349999999</v>
      </c>
      <c r="AC13" s="1"/>
    </row>
    <row r="14" spans="2:33" x14ac:dyDescent="0.25">
      <c r="B14" s="3">
        <v>2024</v>
      </c>
      <c r="C14" s="5">
        <v>181</v>
      </c>
      <c r="D14" s="5">
        <v>261</v>
      </c>
      <c r="F14" s="4" t="s">
        <v>21</v>
      </c>
      <c r="G14" s="9">
        <v>34.89</v>
      </c>
      <c r="H14" s="9" t="s">
        <v>26</v>
      </c>
      <c r="I14" s="12">
        <v>443.4</v>
      </c>
      <c r="J14" s="36">
        <f>G14*I14</f>
        <v>15470.225999999999</v>
      </c>
      <c r="L14" s="4" t="s">
        <v>16</v>
      </c>
      <c r="M14" s="9"/>
      <c r="N14" s="9"/>
      <c r="O14" s="9"/>
      <c r="P14" s="36">
        <v>5546.3709025000007</v>
      </c>
      <c r="R14" s="4" t="s">
        <v>16</v>
      </c>
      <c r="S14" s="9"/>
      <c r="T14" s="9"/>
      <c r="U14" s="9"/>
      <c r="V14" s="36">
        <v>5546.3709025000007</v>
      </c>
      <c r="AC14" s="46" t="s">
        <v>85</v>
      </c>
      <c r="AD14" s="20">
        <v>2021</v>
      </c>
      <c r="AE14" s="20">
        <v>2022</v>
      </c>
      <c r="AF14" s="20">
        <v>2023</v>
      </c>
      <c r="AG14" s="20">
        <v>2024</v>
      </c>
    </row>
    <row r="15" spans="2:33" x14ac:dyDescent="0.25">
      <c r="B15" s="53" t="s">
        <v>88</v>
      </c>
      <c r="F15" s="4" t="s">
        <v>22</v>
      </c>
      <c r="G15" s="9">
        <v>401.20499999999998</v>
      </c>
      <c r="H15" s="9" t="s">
        <v>26</v>
      </c>
      <c r="I15" s="12">
        <v>266.58</v>
      </c>
      <c r="J15" s="36">
        <f>G15*I15</f>
        <v>106953.22889999999</v>
      </c>
      <c r="L15" s="4" t="s">
        <v>24</v>
      </c>
      <c r="M15" s="9"/>
      <c r="N15" s="9"/>
      <c r="O15" s="9"/>
      <c r="P15" s="38">
        <f>SUM(P10:P14)</f>
        <v>116473.78895250001</v>
      </c>
      <c r="R15" s="4" t="s">
        <v>24</v>
      </c>
      <c r="S15" s="9"/>
      <c r="T15" s="9"/>
      <c r="U15" s="9"/>
      <c r="V15" s="38">
        <f>SUM(V10:V14)</f>
        <v>116473.78895250001</v>
      </c>
      <c r="AA15" t="s">
        <v>87</v>
      </c>
      <c r="AC15" s="61" t="s">
        <v>39</v>
      </c>
      <c r="AD15" s="5">
        <f>AD10-AD11</f>
        <v>610249.8719492997</v>
      </c>
      <c r="AE15" s="5">
        <f>AE10-AE11</f>
        <v>1090552.5328503004</v>
      </c>
      <c r="AF15" s="5">
        <f>AF10-AF11</f>
        <v>1349697.7177963504</v>
      </c>
      <c r="AG15" s="5">
        <f>AG10-AG11</f>
        <v>1581766.6409897031</v>
      </c>
    </row>
    <row r="16" spans="2:33" x14ac:dyDescent="0.25">
      <c r="F16" s="4" t="s">
        <v>16</v>
      </c>
      <c r="G16" s="9"/>
      <c r="H16" s="9"/>
      <c r="I16" s="12"/>
      <c r="J16" s="37">
        <v>11667.543647500001</v>
      </c>
      <c r="L16" s="4" t="s">
        <v>31</v>
      </c>
      <c r="M16" s="9"/>
      <c r="N16" s="9"/>
      <c r="O16" s="9"/>
      <c r="P16" s="13">
        <f>M37*-1</f>
        <v>-37481.331699999995</v>
      </c>
      <c r="Q16" s="6"/>
      <c r="R16" s="4" t="s">
        <v>31</v>
      </c>
      <c r="S16" s="9"/>
      <c r="T16" s="9"/>
      <c r="U16" s="9"/>
      <c r="V16" s="13">
        <f>S37*-1</f>
        <v>-74962.66339999999</v>
      </c>
      <c r="W16" s="6"/>
      <c r="AA16" t="s">
        <v>86</v>
      </c>
      <c r="AC16" s="61" t="s">
        <v>40</v>
      </c>
      <c r="AD16" s="5">
        <f>AD10-AD12</f>
        <v>625675.23234929936</v>
      </c>
      <c r="AE16" s="5">
        <f>AE10-AE12</f>
        <v>1032713.9332502997</v>
      </c>
      <c r="AF16" s="5">
        <f>AF10-AF12</f>
        <v>1370356.2181963501</v>
      </c>
      <c r="AG16" s="5">
        <f>AG10-AG12</f>
        <v>1612891.4213897027</v>
      </c>
    </row>
    <row r="17" spans="2:37" x14ac:dyDescent="0.25">
      <c r="B17" t="s">
        <v>10</v>
      </c>
      <c r="F17" s="7" t="s">
        <v>17</v>
      </c>
      <c r="G17" s="4"/>
      <c r="H17" s="4"/>
      <c r="I17" s="12"/>
      <c r="J17" s="37">
        <v>58337.718237499997</v>
      </c>
      <c r="L17" s="7" t="s">
        <v>32</v>
      </c>
      <c r="M17" s="4"/>
      <c r="N17" s="9"/>
      <c r="O17" s="9"/>
      <c r="P17" s="48">
        <f>P15*0.22</f>
        <v>25624.233569550001</v>
      </c>
      <c r="R17" s="7" t="s">
        <v>32</v>
      </c>
      <c r="S17" s="4"/>
      <c r="T17" s="9"/>
      <c r="U17" s="9"/>
      <c r="V17" s="48">
        <f>V15*0.22</f>
        <v>25624.233569550001</v>
      </c>
      <c r="W17" s="51" t="s">
        <v>90</v>
      </c>
      <c r="AC17" s="1"/>
    </row>
    <row r="18" spans="2:37" x14ac:dyDescent="0.25">
      <c r="B18" t="s">
        <v>11</v>
      </c>
      <c r="F18" s="16" t="s">
        <v>23</v>
      </c>
      <c r="G18" s="14"/>
      <c r="H18" s="14"/>
      <c r="I18" s="17"/>
      <c r="J18" s="17">
        <f>SUM(J10:J17)</f>
        <v>303356.13483499998</v>
      </c>
      <c r="L18" s="7" t="s">
        <v>33</v>
      </c>
      <c r="M18" s="4"/>
      <c r="N18" s="9"/>
      <c r="O18" s="9"/>
      <c r="P18" s="48">
        <f>P15*0.27</f>
        <v>31447.923017175002</v>
      </c>
      <c r="R18" s="7" t="s">
        <v>33</v>
      </c>
      <c r="S18" s="4"/>
      <c r="T18" s="9"/>
      <c r="U18" s="9"/>
      <c r="V18" s="48">
        <f>V15*0.27</f>
        <v>31447.923017175002</v>
      </c>
      <c r="W18" s="51" t="s">
        <v>90</v>
      </c>
      <c r="AA18" t="s">
        <v>133</v>
      </c>
      <c r="AC18" s="46" t="s">
        <v>85</v>
      </c>
      <c r="AD18" s="20">
        <v>2021</v>
      </c>
      <c r="AE18" s="20">
        <v>2022</v>
      </c>
      <c r="AF18" s="20">
        <v>2023</v>
      </c>
      <c r="AG18" s="20">
        <v>2024</v>
      </c>
      <c r="AH18" s="20" t="s">
        <v>24</v>
      </c>
    </row>
    <row r="19" spans="2:37" x14ac:dyDescent="0.25">
      <c r="B19" t="s">
        <v>78</v>
      </c>
      <c r="F19" s="6" t="s">
        <v>64</v>
      </c>
      <c r="J19" s="40" t="s">
        <v>63</v>
      </c>
      <c r="L19" s="14" t="s">
        <v>34</v>
      </c>
      <c r="M19" s="14"/>
      <c r="N19" s="18"/>
      <c r="O19" s="14"/>
      <c r="P19" s="15">
        <f>SUM(P15:P18)</f>
        <v>136064.613839225</v>
      </c>
      <c r="R19" s="14" t="s">
        <v>34</v>
      </c>
      <c r="S19" s="14"/>
      <c r="T19" s="18"/>
      <c r="U19" s="14"/>
      <c r="V19" s="15">
        <f>SUM(V15:V18)</f>
        <v>98583.282139225019</v>
      </c>
      <c r="AC19" s="61" t="s">
        <v>39</v>
      </c>
      <c r="AD19" s="5">
        <f>AD15-$AD$24-$AD$25-($AD$26*$M$22)-(12*$AD$27)</f>
        <v>545703.26244929968</v>
      </c>
      <c r="AE19" s="5">
        <f t="shared" ref="AE19:AG20" si="0">AE15-($AD$26*$M$22)-(12*$AD$27)</f>
        <v>1072508.9233503004</v>
      </c>
      <c r="AF19" s="5">
        <f t="shared" si="0"/>
        <v>1331654.1082963503</v>
      </c>
      <c r="AG19" s="5">
        <f t="shared" si="0"/>
        <v>1563723.0314897031</v>
      </c>
      <c r="AH19" s="76">
        <f>SUM(AD19:AG19)</f>
        <v>4513589.3255856531</v>
      </c>
      <c r="AI19" s="6"/>
    </row>
    <row r="20" spans="2:37" x14ac:dyDescent="0.25">
      <c r="B20" t="s">
        <v>12</v>
      </c>
      <c r="J20" s="40" t="s">
        <v>65</v>
      </c>
      <c r="M20" t="s">
        <v>35</v>
      </c>
      <c r="S20" t="s">
        <v>35</v>
      </c>
      <c r="T20" s="1"/>
      <c r="V20" s="10"/>
      <c r="AC20" s="78" t="s">
        <v>40</v>
      </c>
      <c r="AD20" s="79">
        <f>AD16-$AD$24-$AD$25-($AD$26*$M$22)-(12*$AD$27)</f>
        <v>561128.62284929934</v>
      </c>
      <c r="AE20" s="79">
        <f t="shared" si="0"/>
        <v>1014670.3237502996</v>
      </c>
      <c r="AF20" s="79">
        <f t="shared" si="0"/>
        <v>1352312.6086963501</v>
      </c>
      <c r="AG20" s="79">
        <f t="shared" si="0"/>
        <v>1594847.8118897027</v>
      </c>
      <c r="AH20" s="77">
        <f>SUM(AD20:AG20)</f>
        <v>4522959.3671856513</v>
      </c>
    </row>
    <row r="21" spans="2:37" x14ac:dyDescent="0.25">
      <c r="B21" t="s">
        <v>13</v>
      </c>
      <c r="L21" s="4"/>
      <c r="M21" s="87" t="s">
        <v>15</v>
      </c>
      <c r="N21" s="88"/>
      <c r="O21" s="8" t="s">
        <v>28</v>
      </c>
      <c r="P21" s="11" t="s">
        <v>29</v>
      </c>
      <c r="R21" s="4"/>
      <c r="S21" s="87" t="s">
        <v>15</v>
      </c>
      <c r="T21" s="88"/>
      <c r="U21" s="8" t="s">
        <v>28</v>
      </c>
      <c r="V21" s="11" t="s">
        <v>29</v>
      </c>
      <c r="AH21" s="6"/>
      <c r="AK21" s="6"/>
    </row>
    <row r="22" spans="2:37" x14ac:dyDescent="0.25">
      <c r="B22" s="2" t="s">
        <v>77</v>
      </c>
      <c r="L22" s="4" t="s">
        <v>37</v>
      </c>
      <c r="M22" s="4">
        <v>436.09500000000003</v>
      </c>
      <c r="N22" s="9" t="s">
        <v>26</v>
      </c>
      <c r="O22" s="75">
        <v>257</v>
      </c>
      <c r="P22" s="5">
        <f>M22*O22</f>
        <v>112076.41500000001</v>
      </c>
      <c r="Q22" s="6"/>
      <c r="R22" s="4" t="s">
        <v>38</v>
      </c>
      <c r="S22" s="4">
        <v>436.09500000000003</v>
      </c>
      <c r="T22" s="9" t="s">
        <v>26</v>
      </c>
      <c r="U22" s="75">
        <v>340</v>
      </c>
      <c r="V22" s="5">
        <f>S22*U22</f>
        <v>148272.30000000002</v>
      </c>
      <c r="W22" t="s">
        <v>89</v>
      </c>
      <c r="AD22" s="81"/>
    </row>
    <row r="23" spans="2:37" x14ac:dyDescent="0.25">
      <c r="L23" s="4" t="s">
        <v>36</v>
      </c>
      <c r="M23" s="4">
        <v>436.09500000000003</v>
      </c>
      <c r="N23" s="9" t="s">
        <v>26</v>
      </c>
      <c r="O23" s="52">
        <v>10</v>
      </c>
      <c r="P23" s="5">
        <f>M23*O23</f>
        <v>4360.9500000000007</v>
      </c>
      <c r="R23" s="4" t="s">
        <v>36</v>
      </c>
      <c r="S23" s="4">
        <v>436.09500000000003</v>
      </c>
      <c r="T23" s="9" t="s">
        <v>26</v>
      </c>
      <c r="U23" s="52">
        <v>10</v>
      </c>
      <c r="V23" s="5">
        <f>S23*U23</f>
        <v>4360.9500000000007</v>
      </c>
      <c r="AC23" s="83" t="s">
        <v>135</v>
      </c>
      <c r="AD23" s="82">
        <f>AD15-AD19</f>
        <v>64546.60950000002</v>
      </c>
    </row>
    <row r="24" spans="2:37" x14ac:dyDescent="0.25">
      <c r="L24" s="14" t="s">
        <v>24</v>
      </c>
      <c r="M24" s="14"/>
      <c r="N24" s="18"/>
      <c r="O24" s="14"/>
      <c r="P24" s="15">
        <f>P22+P23</f>
        <v>116437.36500000001</v>
      </c>
      <c r="R24" s="14" t="s">
        <v>24</v>
      </c>
      <c r="S24" s="14"/>
      <c r="T24" s="18"/>
      <c r="U24" s="14"/>
      <c r="V24" s="15">
        <f>V22+V23</f>
        <v>152633.25000000003</v>
      </c>
      <c r="AC24" t="s">
        <v>128</v>
      </c>
      <c r="AD24" s="10">
        <v>40000</v>
      </c>
    </row>
    <row r="25" spans="2:37" x14ac:dyDescent="0.25">
      <c r="AC25" t="s">
        <v>129</v>
      </c>
      <c r="AD25" s="10">
        <v>6503</v>
      </c>
    </row>
    <row r="26" spans="2:37" x14ac:dyDescent="0.25">
      <c r="L26" s="54" t="s">
        <v>82</v>
      </c>
      <c r="M26" s="56"/>
      <c r="N26" s="57"/>
      <c r="O26" s="56"/>
      <c r="P26" s="55">
        <f>P24+P19</f>
        <v>252501.97883922502</v>
      </c>
      <c r="R26" s="54" t="s">
        <v>82</v>
      </c>
      <c r="S26" s="56"/>
      <c r="T26" s="57"/>
      <c r="U26" s="56"/>
      <c r="V26" s="55">
        <f>V24+V19</f>
        <v>251216.53213922505</v>
      </c>
      <c r="AC26" t="s">
        <v>130</v>
      </c>
      <c r="AD26" s="10">
        <v>0.1</v>
      </c>
      <c r="AE26" t="s">
        <v>132</v>
      </c>
    </row>
    <row r="27" spans="2:37" x14ac:dyDescent="0.25">
      <c r="AC27" t="s">
        <v>131</v>
      </c>
      <c r="AD27" s="10">
        <v>1500</v>
      </c>
    </row>
    <row r="28" spans="2:37" ht="18.75" x14ac:dyDescent="0.3">
      <c r="B28" s="59" t="s">
        <v>91</v>
      </c>
    </row>
    <row r="29" spans="2:37" x14ac:dyDescent="0.25">
      <c r="G29" s="42"/>
      <c r="N29" s="42" t="s">
        <v>68</v>
      </c>
      <c r="T29" s="42" t="s">
        <v>68</v>
      </c>
      <c r="AC29" s="46" t="s">
        <v>41</v>
      </c>
      <c r="AD29" s="20">
        <v>2021</v>
      </c>
      <c r="AE29" s="20" t="s">
        <v>134</v>
      </c>
    </row>
    <row r="30" spans="2:37" x14ac:dyDescent="0.25">
      <c r="F30" s="10"/>
      <c r="G30" s="10"/>
      <c r="M30" s="10">
        <v>795.53</v>
      </c>
      <c r="N30" s="10" t="s">
        <v>69</v>
      </c>
      <c r="S30" s="10">
        <v>795.53</v>
      </c>
      <c r="T30" s="10" t="s">
        <v>69</v>
      </c>
      <c r="AC30" s="74" t="s">
        <v>27</v>
      </c>
      <c r="AD30" s="5">
        <f>J18*12-AD23</f>
        <v>3575727.0085199997</v>
      </c>
      <c r="AE30" s="80" t="s">
        <v>76</v>
      </c>
    </row>
    <row r="31" spans="2:37" x14ac:dyDescent="0.25">
      <c r="F31" s="10"/>
      <c r="G31" s="10"/>
      <c r="M31" s="10">
        <v>82.47</v>
      </c>
      <c r="N31" s="10" t="s">
        <v>70</v>
      </c>
      <c r="S31" s="10">
        <v>82.47</v>
      </c>
      <c r="T31" s="10" t="s">
        <v>70</v>
      </c>
      <c r="AC31" s="74" t="s">
        <v>39</v>
      </c>
      <c r="AD31" s="5">
        <f>AD30</f>
        <v>3575727.0085199997</v>
      </c>
      <c r="AE31" s="5">
        <v>361.28</v>
      </c>
    </row>
    <row r="32" spans="2:37" x14ac:dyDescent="0.25">
      <c r="F32" s="10"/>
      <c r="G32" s="10"/>
      <c r="M32" s="10">
        <f>M30-M31</f>
        <v>713.06</v>
      </c>
      <c r="N32" s="10" t="s">
        <v>71</v>
      </c>
      <c r="S32" s="10">
        <f>S30-S31</f>
        <v>713.06</v>
      </c>
      <c r="T32" s="10" t="s">
        <v>71</v>
      </c>
      <c r="AC32" s="74" t="s">
        <v>40</v>
      </c>
      <c r="AD32" s="5">
        <f>AD30</f>
        <v>3575727.0085199997</v>
      </c>
      <c r="AE32" s="5">
        <v>447.23</v>
      </c>
    </row>
    <row r="33" spans="6:21" x14ac:dyDescent="0.25">
      <c r="F33" s="10"/>
      <c r="G33" s="10"/>
      <c r="M33" s="10">
        <f>M32*0.5</f>
        <v>356.53</v>
      </c>
      <c r="N33" s="10" t="s">
        <v>81</v>
      </c>
      <c r="S33" s="10">
        <f>S32*1</f>
        <v>713.06</v>
      </c>
      <c r="T33" s="10" t="s">
        <v>80</v>
      </c>
    </row>
    <row r="34" spans="6:21" x14ac:dyDescent="0.25">
      <c r="F34" s="10"/>
      <c r="G34" s="10"/>
      <c r="M34" s="41">
        <f>M33*M12</f>
        <v>12439.331699999999</v>
      </c>
      <c r="N34" s="47" t="s">
        <v>73</v>
      </c>
      <c r="O34" s="10"/>
      <c r="S34" s="41">
        <f>S33*S12</f>
        <v>24878.663399999998</v>
      </c>
      <c r="T34" s="47" t="s">
        <v>73</v>
      </c>
      <c r="U34" s="10"/>
    </row>
    <row r="35" spans="6:21" x14ac:dyDescent="0.25">
      <c r="M35" s="41">
        <f>O11*0.5</f>
        <v>13.18</v>
      </c>
      <c r="N35" s="47" t="s">
        <v>74</v>
      </c>
      <c r="S35" s="41">
        <f>U11*1</f>
        <v>26.36</v>
      </c>
      <c r="T35" s="47" t="s">
        <v>79</v>
      </c>
    </row>
    <row r="36" spans="6:21" x14ac:dyDescent="0.25">
      <c r="M36" s="41">
        <f>M35*M11</f>
        <v>25042</v>
      </c>
      <c r="N36" s="47" t="s">
        <v>75</v>
      </c>
      <c r="S36" s="41">
        <f>S35*S11</f>
        <v>50084</v>
      </c>
      <c r="T36" s="47" t="s">
        <v>75</v>
      </c>
    </row>
    <row r="37" spans="6:21" x14ac:dyDescent="0.25">
      <c r="M37" s="41">
        <f>M36+M34</f>
        <v>37481.331699999995</v>
      </c>
      <c r="N37" s="47" t="s">
        <v>31</v>
      </c>
      <c r="S37" s="41">
        <f>S36+S34</f>
        <v>74962.66339999999</v>
      </c>
      <c r="T37" s="47" t="s">
        <v>31</v>
      </c>
    </row>
    <row r="39" spans="6:21" x14ac:dyDescent="0.25">
      <c r="L39" s="41"/>
      <c r="N39" s="43"/>
      <c r="O39" s="41"/>
      <c r="R39" s="41"/>
    </row>
    <row r="40" spans="6:21" x14ac:dyDescent="0.25">
      <c r="O40" s="41"/>
    </row>
    <row r="43" spans="6:21" x14ac:dyDescent="0.25">
      <c r="M43" s="45"/>
    </row>
    <row r="45" spans="6:21" x14ac:dyDescent="0.25">
      <c r="O45" s="44"/>
    </row>
    <row r="46" spans="6:21" x14ac:dyDescent="0.25">
      <c r="M46" s="10"/>
    </row>
    <row r="47" spans="6:21" x14ac:dyDescent="0.25">
      <c r="K47" s="10"/>
      <c r="L47" s="10"/>
      <c r="M47" s="10"/>
      <c r="N47" s="10"/>
      <c r="O47" s="10"/>
      <c r="Q47" s="10"/>
    </row>
    <row r="48" spans="6:21" x14ac:dyDescent="0.25">
      <c r="K48" s="10"/>
      <c r="L48" s="10"/>
      <c r="M48" s="10" t="s">
        <v>15</v>
      </c>
      <c r="N48" s="10"/>
      <c r="O48" s="10" t="s">
        <v>28</v>
      </c>
      <c r="P48" s="10" t="s">
        <v>29</v>
      </c>
      <c r="Q48" s="10"/>
    </row>
    <row r="49" spans="2:19" x14ac:dyDescent="0.25">
      <c r="K49" s="10"/>
      <c r="L49" s="10" t="s">
        <v>14</v>
      </c>
      <c r="M49" s="10">
        <v>980</v>
      </c>
      <c r="N49" s="10" t="s">
        <v>43</v>
      </c>
      <c r="O49" s="10">
        <v>0</v>
      </c>
      <c r="P49" s="10">
        <f>M49*O49</f>
        <v>0</v>
      </c>
      <c r="Q49" s="10"/>
    </row>
    <row r="50" spans="2:19" x14ac:dyDescent="0.25">
      <c r="K50" s="10"/>
      <c r="L50" s="10" t="s">
        <v>18</v>
      </c>
      <c r="M50" s="10">
        <v>980</v>
      </c>
      <c r="N50" s="10" t="s">
        <v>43</v>
      </c>
      <c r="O50" s="10">
        <v>11.7</v>
      </c>
      <c r="P50" s="10">
        <f>M50*O50</f>
        <v>11466</v>
      </c>
      <c r="Q50" s="10"/>
      <c r="R50" s="41">
        <f>P54+P55</f>
        <v>33399.202740000001</v>
      </c>
    </row>
    <row r="51" spans="2:19" x14ac:dyDescent="0.25">
      <c r="K51" s="10"/>
      <c r="L51" s="10" t="s">
        <v>19</v>
      </c>
      <c r="M51" s="10">
        <v>20.92</v>
      </c>
      <c r="N51" s="10" t="s">
        <v>26</v>
      </c>
      <c r="O51" s="10">
        <v>795.53</v>
      </c>
      <c r="P51" s="10">
        <f>M51*O51</f>
        <v>16642.4876</v>
      </c>
      <c r="Q51" s="10"/>
      <c r="R51" s="50">
        <f>P56/R50</f>
        <v>0.30621239912866255</v>
      </c>
    </row>
    <row r="52" spans="2:19" x14ac:dyDescent="0.25">
      <c r="K52" s="10"/>
      <c r="L52" s="10" t="s">
        <v>20</v>
      </c>
      <c r="M52" s="10">
        <v>189.66200000000001</v>
      </c>
      <c r="N52" s="10" t="s">
        <v>26</v>
      </c>
      <c r="O52" s="10">
        <v>82.47</v>
      </c>
      <c r="P52" s="10">
        <f>M52*O52</f>
        <v>15641.425140000001</v>
      </c>
      <c r="Q52" s="10"/>
      <c r="R52" s="50">
        <f>P57/R50</f>
        <v>0.37347897484573306</v>
      </c>
    </row>
    <row r="53" spans="2:19" x14ac:dyDescent="0.25">
      <c r="K53" s="10"/>
      <c r="L53" s="10" t="s">
        <v>16</v>
      </c>
      <c r="M53" s="10"/>
      <c r="N53" s="10"/>
      <c r="O53" s="10"/>
      <c r="P53" s="10">
        <v>2840.9</v>
      </c>
      <c r="Q53" s="10"/>
    </row>
    <row r="54" spans="2:19" x14ac:dyDescent="0.25">
      <c r="K54" s="10"/>
      <c r="L54" s="42" t="s">
        <v>24</v>
      </c>
      <c r="M54" s="42"/>
      <c r="N54" s="42"/>
      <c r="O54" s="42"/>
      <c r="P54" s="42">
        <f>SUM(P49:P53)</f>
        <v>46590.812740000001</v>
      </c>
      <c r="Q54" s="10"/>
    </row>
    <row r="55" spans="2:19" x14ac:dyDescent="0.25">
      <c r="K55" s="10"/>
      <c r="L55" s="10" t="s">
        <v>31</v>
      </c>
      <c r="M55" s="10"/>
      <c r="N55" s="10"/>
      <c r="O55" s="10"/>
      <c r="P55" s="10">
        <v>-13191.61</v>
      </c>
      <c r="Q55" s="10"/>
    </row>
    <row r="56" spans="2:19" x14ac:dyDescent="0.25">
      <c r="K56" s="10"/>
      <c r="L56" s="10" t="s">
        <v>32</v>
      </c>
      <c r="M56" s="10"/>
      <c r="N56" s="10"/>
      <c r="O56" s="10"/>
      <c r="P56" s="10">
        <v>10227.25</v>
      </c>
      <c r="Q56" s="10"/>
      <c r="R56" s="49">
        <f>P56/P54</f>
        <v>0.21951216127250583</v>
      </c>
      <c r="S56" s="49">
        <f>P56/P58</f>
        <v>0.1823027517113972</v>
      </c>
    </row>
    <row r="57" spans="2:19" x14ac:dyDescent="0.25">
      <c r="K57" s="10"/>
      <c r="L57" s="10" t="s">
        <v>33</v>
      </c>
      <c r="M57" s="10"/>
      <c r="N57" s="10"/>
      <c r="O57" s="10"/>
      <c r="P57" s="10">
        <v>12473.9</v>
      </c>
      <c r="Q57" s="10"/>
      <c r="R57" s="49">
        <f>P57/P54</f>
        <v>0.26773304148203186</v>
      </c>
      <c r="S57" s="49">
        <f>P57/P58</f>
        <v>0.22234973180207757</v>
      </c>
    </row>
    <row r="58" spans="2:19" x14ac:dyDescent="0.25">
      <c r="K58" s="10"/>
      <c r="L58" s="10" t="s">
        <v>34</v>
      </c>
      <c r="M58" s="10"/>
      <c r="N58" s="10"/>
      <c r="O58" s="10"/>
      <c r="P58" s="10">
        <v>56100.36</v>
      </c>
      <c r="Q58" s="10"/>
    </row>
    <row r="59" spans="2:19" x14ac:dyDescent="0.25">
      <c r="K59" s="10"/>
      <c r="L59" s="10"/>
      <c r="M59" s="10"/>
      <c r="N59" s="10"/>
      <c r="O59" s="10"/>
      <c r="Q59" s="10"/>
    </row>
    <row r="60" spans="2:19" ht="18.75" x14ac:dyDescent="0.3">
      <c r="B60" s="59" t="s">
        <v>92</v>
      </c>
      <c r="K60" s="10"/>
      <c r="L60" s="10"/>
      <c r="M60" s="10"/>
      <c r="N60" s="10"/>
      <c r="O60" s="10"/>
      <c r="Q60" s="10"/>
    </row>
    <row r="61" spans="2:19" x14ac:dyDescent="0.25">
      <c r="B61" t="s">
        <v>93</v>
      </c>
      <c r="K61" s="10"/>
      <c r="L61" s="10"/>
      <c r="M61" s="10"/>
      <c r="N61" s="10"/>
      <c r="O61" s="10"/>
      <c r="P61" s="42">
        <v>46590.812740000001</v>
      </c>
      <c r="Q61" s="10"/>
    </row>
    <row r="62" spans="2:19" x14ac:dyDescent="0.25">
      <c r="K62" s="10"/>
      <c r="L62" s="10"/>
      <c r="M62" s="10"/>
      <c r="N62" s="10"/>
      <c r="O62" s="10"/>
      <c r="P62" s="10">
        <v>-13191.61</v>
      </c>
      <c r="Q62" s="10"/>
    </row>
    <row r="63" spans="2:19" x14ac:dyDescent="0.25">
      <c r="K63" s="10"/>
      <c r="L63" s="10"/>
      <c r="M63" s="10"/>
      <c r="N63" s="10"/>
      <c r="O63" s="10"/>
      <c r="Q63" s="10"/>
    </row>
    <row r="64" spans="2:19" ht="18.75" x14ac:dyDescent="0.3">
      <c r="B64" s="59" t="s">
        <v>94</v>
      </c>
      <c r="K64" s="10"/>
      <c r="L64" s="10"/>
      <c r="M64" s="10"/>
      <c r="N64" s="10"/>
      <c r="O64" s="10"/>
      <c r="Q64" s="10"/>
    </row>
    <row r="65" spans="16:16" x14ac:dyDescent="0.25">
      <c r="P65" s="10">
        <v>56100.36</v>
      </c>
    </row>
    <row r="96" spans="2:2" x14ac:dyDescent="0.25">
      <c r="B96" t="s">
        <v>95</v>
      </c>
    </row>
    <row r="98" spans="2:2" x14ac:dyDescent="0.25">
      <c r="B98" t="s">
        <v>96</v>
      </c>
    </row>
    <row r="100" spans="2:2" x14ac:dyDescent="0.25">
      <c r="B100" t="s">
        <v>93</v>
      </c>
    </row>
  </sheetData>
  <mergeCells count="7">
    <mergeCell ref="AC8:AG8"/>
    <mergeCell ref="S21:T21"/>
    <mergeCell ref="M21:N21"/>
    <mergeCell ref="B9:D9"/>
    <mergeCell ref="G9:H9"/>
    <mergeCell ref="M9:N9"/>
    <mergeCell ref="S9:T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5" zoomScaleNormal="85" workbookViewId="0">
      <selection activeCell="E22" sqref="E22"/>
    </sheetView>
  </sheetViews>
  <sheetFormatPr defaultRowHeight="15" x14ac:dyDescent="0.25"/>
  <cols>
    <col min="1" max="1" width="21.140625" bestFit="1" customWidth="1"/>
    <col min="2" max="2" width="11" bestFit="1" customWidth="1"/>
    <col min="3" max="3" width="8.7109375" bestFit="1" customWidth="1"/>
    <col min="5" max="5" width="35.42578125" bestFit="1" customWidth="1"/>
    <col min="6" max="16" width="8.28515625" bestFit="1" customWidth="1"/>
    <col min="17" max="17" width="9.5703125" bestFit="1" customWidth="1"/>
    <col min="18" max="18" width="9.28515625" bestFit="1" customWidth="1"/>
    <col min="19" max="19" width="8.28515625" bestFit="1" customWidth="1"/>
  </cols>
  <sheetData>
    <row r="1" spans="1:19" x14ac:dyDescent="0.25">
      <c r="A1" s="4"/>
      <c r="B1" s="3" t="s">
        <v>100</v>
      </c>
      <c r="C1" s="3" t="s">
        <v>26</v>
      </c>
      <c r="E1" s="4"/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115</v>
      </c>
    </row>
    <row r="2" spans="1:19" x14ac:dyDescent="0.25">
      <c r="A2" s="60" t="s">
        <v>97</v>
      </c>
      <c r="B2" s="64">
        <f>B7/R2</f>
        <v>0.59739041095890411</v>
      </c>
      <c r="C2" s="65">
        <f>B7</f>
        <v>5233.1400000000003</v>
      </c>
      <c r="E2" s="60" t="s">
        <v>113</v>
      </c>
      <c r="F2" s="9">
        <v>744</v>
      </c>
      <c r="G2" s="9">
        <v>672</v>
      </c>
      <c r="H2" s="9">
        <v>744</v>
      </c>
      <c r="I2" s="9">
        <v>720</v>
      </c>
      <c r="J2" s="9">
        <v>744</v>
      </c>
      <c r="K2" s="9">
        <v>720</v>
      </c>
      <c r="L2" s="9">
        <v>744</v>
      </c>
      <c r="M2" s="9">
        <v>744</v>
      </c>
      <c r="N2" s="9">
        <v>720</v>
      </c>
      <c r="O2" s="9">
        <v>744</v>
      </c>
      <c r="P2" s="9">
        <v>720</v>
      </c>
      <c r="Q2" s="9">
        <v>744</v>
      </c>
      <c r="R2" s="9">
        <f>SUM(F2:Q2)</f>
        <v>8760</v>
      </c>
    </row>
    <row r="3" spans="1:19" x14ac:dyDescent="0.25">
      <c r="A3" s="60" t="s">
        <v>98</v>
      </c>
      <c r="B3" s="91">
        <v>0.85</v>
      </c>
      <c r="C3" s="92"/>
      <c r="E3" s="60" t="s">
        <v>114</v>
      </c>
      <c r="F3" s="64">
        <f>F2*$B$2</f>
        <v>444.45846575342466</v>
      </c>
      <c r="G3" s="64">
        <f t="shared" ref="G3:Q3" si="0">G2*$B$2</f>
        <v>401.44635616438359</v>
      </c>
      <c r="H3" s="64">
        <f t="shared" si="0"/>
        <v>444.45846575342466</v>
      </c>
      <c r="I3" s="64">
        <f t="shared" si="0"/>
        <v>430.12109589041097</v>
      </c>
      <c r="J3" s="64">
        <f t="shared" si="0"/>
        <v>444.45846575342466</v>
      </c>
      <c r="K3" s="64">
        <f t="shared" si="0"/>
        <v>430.12109589041097</v>
      </c>
      <c r="L3" s="64">
        <f t="shared" si="0"/>
        <v>444.45846575342466</v>
      </c>
      <c r="M3" s="64">
        <f t="shared" si="0"/>
        <v>444.45846575342466</v>
      </c>
      <c r="N3" s="64">
        <f t="shared" si="0"/>
        <v>430.12109589041097</v>
      </c>
      <c r="O3" s="64">
        <f t="shared" si="0"/>
        <v>444.45846575342466</v>
      </c>
      <c r="P3" s="64">
        <f t="shared" si="0"/>
        <v>430.12109589041097</v>
      </c>
      <c r="Q3" s="64">
        <f t="shared" si="0"/>
        <v>444.45846575342466</v>
      </c>
      <c r="R3" s="65">
        <f>SUM(F3:Q3)</f>
        <v>5233.1399999999994</v>
      </c>
    </row>
    <row r="4" spans="1:19" x14ac:dyDescent="0.25">
      <c r="A4" s="60" t="s">
        <v>99</v>
      </c>
      <c r="B4" s="91">
        <v>1.1499999999999999</v>
      </c>
      <c r="C4" s="92"/>
      <c r="E4" s="60" t="s">
        <v>98</v>
      </c>
      <c r="F4" s="64">
        <f>F3*$B$3</f>
        <v>377.78969589041094</v>
      </c>
      <c r="G4" s="64">
        <f t="shared" ref="G4:Q4" si="1">G3*$B$3</f>
        <v>341.22940273972603</v>
      </c>
      <c r="H4" s="64">
        <f t="shared" si="1"/>
        <v>377.78969589041094</v>
      </c>
      <c r="I4" s="64">
        <f t="shared" si="1"/>
        <v>365.6029315068493</v>
      </c>
      <c r="J4" s="64">
        <f t="shared" si="1"/>
        <v>377.78969589041094</v>
      </c>
      <c r="K4" s="64">
        <f t="shared" si="1"/>
        <v>365.6029315068493</v>
      </c>
      <c r="L4" s="64">
        <f t="shared" si="1"/>
        <v>377.78969589041094</v>
      </c>
      <c r="M4" s="64">
        <f t="shared" si="1"/>
        <v>377.78969589041094</v>
      </c>
      <c r="N4" s="64">
        <f t="shared" si="1"/>
        <v>365.6029315068493</v>
      </c>
      <c r="O4" s="64">
        <f t="shared" si="1"/>
        <v>377.78969589041094</v>
      </c>
      <c r="P4" s="64">
        <f t="shared" si="1"/>
        <v>365.6029315068493</v>
      </c>
      <c r="Q4" s="64">
        <f t="shared" si="1"/>
        <v>377.78969589041094</v>
      </c>
      <c r="R4" s="9"/>
    </row>
    <row r="5" spans="1:19" s="72" customFormat="1" x14ac:dyDescent="0.25">
      <c r="E5" s="69" t="s">
        <v>99</v>
      </c>
      <c r="F5" s="70">
        <f>F3*$B$4</f>
        <v>511.12723561643833</v>
      </c>
      <c r="G5" s="70">
        <f t="shared" ref="G5:Q5" si="2">G3*$B$4</f>
        <v>461.66330958904109</v>
      </c>
      <c r="H5" s="70">
        <f t="shared" si="2"/>
        <v>511.12723561643833</v>
      </c>
      <c r="I5" s="70">
        <f t="shared" si="2"/>
        <v>494.63926027397258</v>
      </c>
      <c r="J5" s="70">
        <f t="shared" si="2"/>
        <v>511.12723561643833</v>
      </c>
      <c r="K5" s="70">
        <f t="shared" si="2"/>
        <v>494.63926027397258</v>
      </c>
      <c r="L5" s="70">
        <f t="shared" si="2"/>
        <v>511.12723561643833</v>
      </c>
      <c r="M5" s="70">
        <f t="shared" si="2"/>
        <v>511.12723561643833</v>
      </c>
      <c r="N5" s="70">
        <f t="shared" si="2"/>
        <v>494.63926027397258</v>
      </c>
      <c r="O5" s="70">
        <f t="shared" si="2"/>
        <v>511.12723561643833</v>
      </c>
      <c r="P5" s="70">
        <f t="shared" si="2"/>
        <v>494.63926027397258</v>
      </c>
      <c r="Q5" s="70">
        <f t="shared" si="2"/>
        <v>511.12723561643833</v>
      </c>
      <c r="R5" s="73"/>
    </row>
    <row r="6" spans="1:19" x14ac:dyDescent="0.25">
      <c r="A6" s="62" t="s">
        <v>117</v>
      </c>
      <c r="B6">
        <v>436.09500000000003</v>
      </c>
      <c r="C6" s="1" t="s">
        <v>26</v>
      </c>
    </row>
    <row r="7" spans="1:19" x14ac:dyDescent="0.25">
      <c r="A7" s="62" t="s">
        <v>116</v>
      </c>
      <c r="B7" s="6">
        <f>436.095*12</f>
        <v>5233.1400000000003</v>
      </c>
      <c r="C7" s="1" t="s">
        <v>26</v>
      </c>
    </row>
    <row r="8" spans="1:19" x14ac:dyDescent="0.25">
      <c r="E8" s="4"/>
      <c r="F8" s="3" t="s">
        <v>101</v>
      </c>
      <c r="G8" s="3" t="s">
        <v>102</v>
      </c>
      <c r="H8" s="3" t="s">
        <v>103</v>
      </c>
      <c r="I8" s="3" t="s">
        <v>104</v>
      </c>
      <c r="J8" s="3" t="s">
        <v>105</v>
      </c>
      <c r="K8" s="3" t="s">
        <v>106</v>
      </c>
      <c r="L8" s="3" t="s">
        <v>107</v>
      </c>
      <c r="M8" s="3" t="s">
        <v>108</v>
      </c>
      <c r="N8" s="3" t="s">
        <v>109</v>
      </c>
      <c r="O8" s="3" t="s">
        <v>110</v>
      </c>
      <c r="P8" s="3" t="s">
        <v>111</v>
      </c>
      <c r="Q8" s="3" t="s">
        <v>112</v>
      </c>
      <c r="R8" s="3" t="s">
        <v>115</v>
      </c>
    </row>
    <row r="9" spans="1:19" x14ac:dyDescent="0.25">
      <c r="E9" s="60" t="s">
        <v>120</v>
      </c>
      <c r="F9" s="64">
        <v>328.88604863999996</v>
      </c>
      <c r="G9" s="64">
        <v>395.21513676000001</v>
      </c>
      <c r="H9" s="64">
        <v>385.33857274999997</v>
      </c>
      <c r="I9" s="64">
        <v>332.62387387999996</v>
      </c>
      <c r="J9" s="64">
        <v>411.91989133000004</v>
      </c>
      <c r="K9" s="64">
        <v>470.11340291999988</v>
      </c>
      <c r="L9" s="64">
        <v>482.38523259999994</v>
      </c>
      <c r="M9" s="64">
        <v>460.77426154999995</v>
      </c>
      <c r="N9" s="64">
        <v>451.01699205999989</v>
      </c>
      <c r="O9" s="64">
        <v>495.84448863999995</v>
      </c>
      <c r="P9" s="64">
        <v>506.41889821999996</v>
      </c>
      <c r="Q9" s="64">
        <v>512.60689965999995</v>
      </c>
      <c r="R9" s="65">
        <f>SUM(F9:Q9)</f>
        <v>5233.1436990100001</v>
      </c>
    </row>
    <row r="10" spans="1:19" x14ac:dyDescent="0.25">
      <c r="E10" s="60" t="s">
        <v>118</v>
      </c>
      <c r="F10" s="64">
        <v>377.78969589041094</v>
      </c>
      <c r="G10" s="64">
        <v>461.66330958904109</v>
      </c>
      <c r="H10" s="64">
        <v>511.12723561643833</v>
      </c>
      <c r="I10" s="64">
        <v>365.6029315068493</v>
      </c>
      <c r="J10" s="64">
        <v>511.12723561643833</v>
      </c>
      <c r="K10" s="64">
        <v>494.63926027397258</v>
      </c>
      <c r="L10" s="64">
        <v>511.12723561643833</v>
      </c>
      <c r="M10" s="64">
        <v>511.12723561643833</v>
      </c>
      <c r="N10" s="64">
        <v>494.63926027397258</v>
      </c>
      <c r="O10" s="64">
        <v>511.12723561643833</v>
      </c>
      <c r="P10" s="64">
        <v>494.63926027397258</v>
      </c>
      <c r="Q10" s="64">
        <v>511.12723561643833</v>
      </c>
      <c r="R10" s="65">
        <f>SUM(F10:Q10)</f>
        <v>5755.7371315068485</v>
      </c>
      <c r="S10" s="6"/>
    </row>
    <row r="11" spans="1:19" x14ac:dyDescent="0.25">
      <c r="E11" s="60" t="s">
        <v>119</v>
      </c>
      <c r="F11" s="64">
        <f>F10/F2</f>
        <v>0.50778184931506842</v>
      </c>
      <c r="G11" s="64">
        <f t="shared" ref="G11:Q11" si="3">G10/G2</f>
        <v>0.68699897260273968</v>
      </c>
      <c r="H11" s="64">
        <f t="shared" si="3"/>
        <v>0.68699897260273968</v>
      </c>
      <c r="I11" s="64">
        <f t="shared" si="3"/>
        <v>0.50778184931506842</v>
      </c>
      <c r="J11" s="64">
        <f t="shared" si="3"/>
        <v>0.68699897260273968</v>
      </c>
      <c r="K11" s="64">
        <f t="shared" si="3"/>
        <v>0.68699897260273968</v>
      </c>
      <c r="L11" s="64">
        <f t="shared" si="3"/>
        <v>0.68699897260273968</v>
      </c>
      <c r="M11" s="64">
        <f t="shared" si="3"/>
        <v>0.68699897260273968</v>
      </c>
      <c r="N11" s="64">
        <f t="shared" si="3"/>
        <v>0.68699897260273968</v>
      </c>
      <c r="O11" s="64">
        <f t="shared" si="3"/>
        <v>0.68699897260273968</v>
      </c>
      <c r="P11" s="64">
        <f t="shared" si="3"/>
        <v>0.68699897260273968</v>
      </c>
      <c r="Q11" s="64">
        <f t="shared" si="3"/>
        <v>0.68699897260273968</v>
      </c>
      <c r="R11" s="4"/>
    </row>
    <row r="12" spans="1:19" x14ac:dyDescent="0.25">
      <c r="Q12" s="3" t="s">
        <v>121</v>
      </c>
      <c r="R12" s="66">
        <f>R10-R9</f>
        <v>522.59343249684844</v>
      </c>
    </row>
    <row r="15" spans="1:19" ht="18.75" x14ac:dyDescent="0.3">
      <c r="E15" s="67" t="s">
        <v>124</v>
      </c>
      <c r="F15" s="3" t="s">
        <v>101</v>
      </c>
      <c r="G15" s="3" t="s">
        <v>102</v>
      </c>
      <c r="H15" s="3" t="s">
        <v>103</v>
      </c>
      <c r="I15" s="3" t="s">
        <v>104</v>
      </c>
      <c r="J15" s="3" t="s">
        <v>105</v>
      </c>
      <c r="K15" s="3" t="s">
        <v>106</v>
      </c>
      <c r="L15" s="3" t="s">
        <v>107</v>
      </c>
      <c r="M15" s="3" t="s">
        <v>108</v>
      </c>
      <c r="N15" s="3" t="s">
        <v>109</v>
      </c>
      <c r="O15" s="3" t="s">
        <v>110</v>
      </c>
      <c r="P15" s="3" t="s">
        <v>111</v>
      </c>
      <c r="Q15" s="3" t="s">
        <v>112</v>
      </c>
      <c r="R15" s="3" t="s">
        <v>115</v>
      </c>
    </row>
    <row r="16" spans="1:19" x14ac:dyDescent="0.25">
      <c r="E16" s="60" t="s">
        <v>120</v>
      </c>
      <c r="F16" s="64">
        <v>328.88604863999996</v>
      </c>
      <c r="G16" s="64">
        <v>395.21513676000001</v>
      </c>
      <c r="H16" s="64">
        <v>385.33857274999997</v>
      </c>
      <c r="I16" s="64">
        <v>332.62387387999996</v>
      </c>
      <c r="J16" s="64">
        <v>411.91989133000004</v>
      </c>
      <c r="K16" s="64">
        <v>470.11340291999988</v>
      </c>
      <c r="L16" s="64">
        <v>482.38523259999994</v>
      </c>
      <c r="M16" s="64">
        <v>460.77426154999995</v>
      </c>
      <c r="N16" s="64">
        <v>451.01699205999989</v>
      </c>
      <c r="O16" s="64">
        <v>495.84448863999995</v>
      </c>
      <c r="P16" s="64">
        <v>506.41889821999996</v>
      </c>
      <c r="Q16" s="64">
        <v>512.60689965999995</v>
      </c>
      <c r="R16" s="65">
        <f>SUM(F16:Q16)</f>
        <v>5233.1436990100001</v>
      </c>
    </row>
    <row r="17" spans="5:19" s="72" customFormat="1" x14ac:dyDescent="0.25">
      <c r="E17" s="69" t="s">
        <v>118</v>
      </c>
      <c r="F17" s="70">
        <v>377.78969589041094</v>
      </c>
      <c r="G17" s="70">
        <v>369.02740273972603</v>
      </c>
      <c r="H17" s="70">
        <v>377.78969589041094</v>
      </c>
      <c r="I17" s="70">
        <v>365.6029315068493</v>
      </c>
      <c r="J17" s="70">
        <v>390.789695890411</v>
      </c>
      <c r="K17" s="70">
        <v>472</v>
      </c>
      <c r="L17" s="70">
        <v>484</v>
      </c>
      <c r="M17" s="70">
        <v>462</v>
      </c>
      <c r="N17" s="70">
        <v>452.37799999999999</v>
      </c>
      <c r="O17" s="70">
        <v>496</v>
      </c>
      <c r="P17" s="70">
        <v>489.63900000000001</v>
      </c>
      <c r="Q17" s="70">
        <v>496.12700000000001</v>
      </c>
      <c r="R17" s="71">
        <f>SUM(F17:Q17)</f>
        <v>5233.1434219178091</v>
      </c>
    </row>
    <row r="18" spans="5:19" x14ac:dyDescent="0.25">
      <c r="E18" s="60" t="s">
        <v>119</v>
      </c>
      <c r="F18" s="64">
        <f>F17/F2</f>
        <v>0.50778184931506842</v>
      </c>
      <c r="G18" s="64">
        <f t="shared" ref="G18:Q18" si="4">G17/G2</f>
        <v>0.54914792074363994</v>
      </c>
      <c r="H18" s="64">
        <f t="shared" si="4"/>
        <v>0.50778184931506842</v>
      </c>
      <c r="I18" s="64">
        <f t="shared" si="4"/>
        <v>0.50778184931506842</v>
      </c>
      <c r="J18" s="64">
        <f t="shared" si="4"/>
        <v>0.52525496759463841</v>
      </c>
      <c r="K18" s="64">
        <f t="shared" si="4"/>
        <v>0.65555555555555556</v>
      </c>
      <c r="L18" s="64">
        <f t="shared" si="4"/>
        <v>0.65053763440860213</v>
      </c>
      <c r="M18" s="64">
        <f t="shared" si="4"/>
        <v>0.62096774193548387</v>
      </c>
      <c r="N18" s="64">
        <f t="shared" si="4"/>
        <v>0.62830277777777777</v>
      </c>
      <c r="O18" s="64">
        <f t="shared" si="4"/>
        <v>0.66666666666666663</v>
      </c>
      <c r="P18" s="64">
        <f t="shared" si="4"/>
        <v>0.68005416666666663</v>
      </c>
      <c r="Q18" s="64">
        <f t="shared" si="4"/>
        <v>0.66683736559139783</v>
      </c>
      <c r="R18" s="4"/>
    </row>
    <row r="19" spans="5:19" x14ac:dyDescent="0.25"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3" t="s">
        <v>121</v>
      </c>
      <c r="R19" s="66">
        <f>R17-R16</f>
        <v>-2.7709219102689531E-4</v>
      </c>
    </row>
    <row r="20" spans="5:19" x14ac:dyDescent="0.25"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8"/>
    </row>
  </sheetData>
  <mergeCells count="2">
    <mergeCell ref="B3:C3"/>
    <mergeCell ref="B4:C4"/>
  </mergeCells>
  <phoneticPr fontId="1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24.42578125" bestFit="1" customWidth="1"/>
    <col min="3" max="3" width="25.5703125" bestFit="1" customWidth="1"/>
  </cols>
  <sheetData>
    <row r="1" spans="1:4" x14ac:dyDescent="0.25">
      <c r="A1" t="s">
        <v>45</v>
      </c>
      <c r="B1" t="s">
        <v>122</v>
      </c>
      <c r="C1" t="s">
        <v>123</v>
      </c>
    </row>
    <row r="2" spans="1:4" x14ac:dyDescent="0.25">
      <c r="A2">
        <v>1</v>
      </c>
      <c r="B2">
        <v>15939.42</v>
      </c>
      <c r="C2">
        <v>216611.64</v>
      </c>
      <c r="D2">
        <f>C2+B2</f>
        <v>232551.06000000003</v>
      </c>
    </row>
    <row r="3" spans="1:4" x14ac:dyDescent="0.25">
      <c r="A3">
        <v>2</v>
      </c>
      <c r="B3">
        <v>19157.88</v>
      </c>
      <c r="C3">
        <v>270031.02</v>
      </c>
      <c r="D3">
        <f t="shared" ref="D3:D13" si="0">C3+B3</f>
        <v>289188.90000000002</v>
      </c>
    </row>
    <row r="4" spans="1:4" x14ac:dyDescent="0.25">
      <c r="A4">
        <v>3</v>
      </c>
      <c r="B4">
        <v>19127.22</v>
      </c>
      <c r="C4">
        <v>252789.6</v>
      </c>
      <c r="D4">
        <f t="shared" si="0"/>
        <v>271916.82</v>
      </c>
    </row>
    <row r="5" spans="1:4" x14ac:dyDescent="0.25">
      <c r="A5">
        <v>4</v>
      </c>
      <c r="B5">
        <v>16415.7</v>
      </c>
      <c r="C5">
        <v>227537.1</v>
      </c>
      <c r="D5">
        <f t="shared" si="0"/>
        <v>243952.80000000002</v>
      </c>
    </row>
    <row r="6" spans="1:4" x14ac:dyDescent="0.25">
      <c r="A6">
        <v>5</v>
      </c>
      <c r="B6">
        <v>18331.32</v>
      </c>
      <c r="C6">
        <v>277452</v>
      </c>
      <c r="D6">
        <f t="shared" si="0"/>
        <v>295783.32</v>
      </c>
    </row>
    <row r="7" spans="1:4" x14ac:dyDescent="0.25">
      <c r="A7">
        <v>6</v>
      </c>
      <c r="B7">
        <v>23499.84</v>
      </c>
      <c r="C7">
        <v>311893.68</v>
      </c>
      <c r="D7">
        <f t="shared" si="0"/>
        <v>335393.52</v>
      </c>
    </row>
    <row r="8" spans="1:4" x14ac:dyDescent="0.25">
      <c r="A8">
        <v>7</v>
      </c>
      <c r="B8">
        <v>22404.48</v>
      </c>
      <c r="C8">
        <v>315491.40000000002</v>
      </c>
      <c r="D8">
        <f t="shared" si="0"/>
        <v>337895.88</v>
      </c>
    </row>
    <row r="9" spans="1:4" x14ac:dyDescent="0.25">
      <c r="A9">
        <v>8</v>
      </c>
      <c r="B9">
        <v>20224.259999999998</v>
      </c>
      <c r="C9">
        <v>306664.68</v>
      </c>
      <c r="D9">
        <f t="shared" si="0"/>
        <v>326888.94</v>
      </c>
    </row>
    <row r="10" spans="1:4" x14ac:dyDescent="0.25">
      <c r="A10">
        <v>9</v>
      </c>
      <c r="B10">
        <v>20153.7</v>
      </c>
      <c r="C10">
        <v>302953.98</v>
      </c>
      <c r="D10">
        <f t="shared" si="0"/>
        <v>323107.68</v>
      </c>
    </row>
    <row r="11" spans="1:4" x14ac:dyDescent="0.25">
      <c r="A11">
        <v>10</v>
      </c>
      <c r="B11">
        <v>21618.66</v>
      </c>
      <c r="C11">
        <v>322546.98</v>
      </c>
      <c r="D11">
        <f t="shared" si="0"/>
        <v>344165.63999999996</v>
      </c>
    </row>
    <row r="12" spans="1:4" x14ac:dyDescent="0.25">
      <c r="A12">
        <v>11</v>
      </c>
      <c r="B12">
        <v>20992.86</v>
      </c>
      <c r="C12">
        <v>321070.68</v>
      </c>
      <c r="D12">
        <f t="shared" si="0"/>
        <v>342063.54</v>
      </c>
    </row>
    <row r="13" spans="1:4" x14ac:dyDescent="0.25">
      <c r="A13">
        <v>12</v>
      </c>
      <c r="B13">
        <v>21353.22</v>
      </c>
      <c r="C13">
        <v>332416.98</v>
      </c>
      <c r="D13">
        <f t="shared" si="0"/>
        <v>353770.19999999995</v>
      </c>
    </row>
    <row r="14" spans="1:4" x14ac:dyDescent="0.25">
      <c r="A14" t="s">
        <v>49</v>
      </c>
      <c r="B14">
        <v>239218.56000000003</v>
      </c>
      <c r="C14">
        <v>3457459.74</v>
      </c>
      <c r="D14">
        <f>SUM(D2:D13)</f>
        <v>3696678.3000000007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Estimativa de consumo</vt:lpstr>
      <vt:lpstr>Estudo de Caso</vt:lpstr>
      <vt:lpstr>Sazonalização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2021-01-15T22:12:34Z</dcterms:modified>
</cp:coreProperties>
</file>