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<sst xmlns="http://schemas.openxmlformats.org/spreadsheetml/2006/main" count="507" uniqueCount="422">
  <si>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</si>
  <si>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</si>
  <si>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</si>
  <si>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</si>
  <si>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</si>
  <si>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</si>
  <si>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</si>
  <si>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</si>
  <si>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</si>
  <si>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</si>
  <si>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</si>
  <si>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</si>
  <si>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</si>
  <si>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</si>
  <si>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</si>
  <si>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</si>
  <si>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</si>
  <si>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</si>
  <si>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</si>
  <si>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</si>
  <si>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</si>
  <si>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</si>
  <si>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</si>
  <si>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</si>
  <si>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</si>
  <si>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</si>
  <si>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</si>
  <si>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</si>
  <si>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</si>
  <si>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</si>
  <si>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</si>
  <si>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</si>
  <si>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</si>
  <si>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</si>
  <si>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</si>
  <si>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</si>
  <si>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</si>
  <si>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</si>
  <si>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</si>
  <si>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</si>
  <si>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</si>
  <si>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</si>
  <si>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</si>
  <si>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</si>
  <si>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</si>
  <si>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</si>
  <si>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</si>
  <si>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</si>
  <si>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</si>
  <si>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</si>
  <si>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</si>
  <si>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</si>
  <si>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</si>
  <si>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</si>
  <si>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</si>
  <si>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</si>
  <si>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</si>
  <si>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</si>
  <si>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</si>
  <si>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</si>
  <si>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</si>
  <si>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</si>
  <si>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</si>
  <si>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</si>
  <si>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</si>
  <si>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</si>
  <si>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</si>
  <si>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Revenues</t>
  </si>
  <si>
    <t>Gain (Loss) on Sale of Assets (Rev)</t>
  </si>
  <si>
    <t>Interest And Invest. Income (Rev)</t>
  </si>
  <si>
    <t>Other Revenues</t>
  </si>
  <si>
    <t>Total Revenues</t>
  </si>
  <si>
    <t>% Change YoY</t>
  </si>
  <si>
    <t>(4,6 %)</t>
  </si>
  <si>
    <t>(0,1 %)</t>
  </si>
  <si>
    <t>(4,7 %)</t>
  </si>
  <si>
    <t>2,9 %</t>
  </si>
  <si>
    <t>(9,0 %)</t>
  </si>
  <si>
    <t>2,1 %</t>
  </si>
  <si>
    <t>52,8 %</t>
  </si>
  <si>
    <t>8,1 %</t>
  </si>
  <si>
    <t>5,5 %</t>
  </si>
  <si>
    <t>Cost of Goods Sold</t>
  </si>
  <si>
    <t>Gross Profit</t>
  </si>
  <si>
    <t>(8,7 %)</t>
  </si>
  <si>
    <t>3,9 %</t>
  </si>
  <si>
    <t>(3,5 %)</t>
  </si>
  <si>
    <t>11,2 %</t>
  </si>
  <si>
    <t>(15,1 %)</t>
  </si>
  <si>
    <t>0,3 %</t>
  </si>
  <si>
    <t>50,1 %</t>
  </si>
  <si>
    <t>14,3 %</t>
  </si>
  <si>
    <t>6,1 %</t>
  </si>
  <si>
    <t>% Gross Margins</t>
  </si>
  <si>
    <t>55,3 %</t>
  </si>
  <si>
    <t>52,9 %</t>
  </si>
  <si>
    <t>55,0 %</t>
  </si>
  <si>
    <t>55,7 %</t>
  </si>
  <si>
    <t>60,2 %</t>
  </si>
  <si>
    <t>56,2 %</t>
  </si>
  <si>
    <t>55,2 %</t>
  </si>
  <si>
    <t>54,2 %</t>
  </si>
  <si>
    <t>57,3 %</t>
  </si>
  <si>
    <t>57,6 %</t>
  </si>
  <si>
    <t>58,4 %</t>
  </si>
  <si>
    <t>Selling General &amp; Admin Expenses</t>
  </si>
  <si>
    <t>Provision for Bad Debts</t>
  </si>
  <si>
    <t>Other Operating Expenses</t>
  </si>
  <si>
    <t>Total Operating Expenses</t>
  </si>
  <si>
    <t>Operating Income</t>
  </si>
  <si>
    <t>(6,3 %)</t>
  </si>
  <si>
    <t>1,8 %</t>
  </si>
  <si>
    <t>(2,3 %)</t>
  </si>
  <si>
    <t>14,2 %</t>
  </si>
  <si>
    <t>(15,6 %)</t>
  </si>
  <si>
    <t>(3,0 %)</t>
  </si>
  <si>
    <t>53,6 %</t>
  </si>
  <si>
    <t>14,1 %</t>
  </si>
  <si>
    <t>% Operating Margins</t>
  </si>
  <si>
    <t>48,1 %</t>
  </si>
  <si>
    <t>47,2 %</t>
  </si>
  <si>
    <t>49,4 %</t>
  </si>
  <si>
    <t>54,8 %</t>
  </si>
  <si>
    <t>50,8 %</t>
  </si>
  <si>
    <t>48,2 %</t>
  </si>
  <si>
    <t>48,5 %</t>
  </si>
  <si>
    <t>51,2 %</t>
  </si>
  <si>
    <t>51,5 %</t>
  </si>
  <si>
    <t>52,4 %</t>
  </si>
  <si>
    <t>Interest Expense</t>
  </si>
  <si>
    <t>Income (Loss) On Equity Invest.</t>
  </si>
  <si>
    <t>Other Non Operating Income (Expenses)</t>
  </si>
  <si>
    <t>EBT Excl. Unusual Items</t>
  </si>
  <si>
    <t>Merger &amp; Restructuring Charges</t>
  </si>
  <si>
    <t>Impairment of Goodwill</t>
  </si>
  <si>
    <t>Gain (Loss) On Sale Of Investments</t>
  </si>
  <si>
    <t>Gain (Loss) On Sale Of Assets</t>
  </si>
  <si>
    <t>Asset Writedown</t>
  </si>
  <si>
    <t>Insurance Settlements</t>
  </si>
  <si>
    <t>Other Unusual Items</t>
  </si>
  <si>
    <t>EBT Incl. Unusual Items</t>
  </si>
  <si>
    <t>Income Tax Expense</t>
  </si>
  <si>
    <t>Earnings From Continuing Operations</t>
  </si>
  <si>
    <t>Earnings Of Discontinued Operations</t>
  </si>
  <si>
    <t>Net Income to Company</t>
  </si>
  <si>
    <t>Minority Interest</t>
  </si>
  <si>
    <t>Net Income to Common Incl Extra Items</t>
  </si>
  <si>
    <t>% Net Income to Common Incl Extra Items Margins</t>
  </si>
  <si>
    <t>22,3 %</t>
  </si>
  <si>
    <t>20,8 %</t>
  </si>
  <si>
    <t>21,4 %</t>
  </si>
  <si>
    <t>21,2 %</t>
  </si>
  <si>
    <t>23,2 %</t>
  </si>
  <si>
    <t>(6,6 %)</t>
  </si>
  <si>
    <t>21,8 %</t>
  </si>
  <si>
    <t>(10,4 %)</t>
  </si>
  <si>
    <t>41,4 %</t>
  </si>
  <si>
    <t>26,2 %</t>
  </si>
  <si>
    <t>26,5 %</t>
  </si>
  <si>
    <t>Net Income to Common Excl. Extra Items</t>
  </si>
  <si>
    <t>% Net Income to Common Excl. Extra Items Margins</t>
  </si>
  <si>
    <t>Supplementary Data:</t>
  </si>
  <si>
    <t>Diluted EPS Excl Extra Items</t>
  </si>
  <si>
    <t>16,5 %</t>
  </si>
  <si>
    <t>6,2 %</t>
  </si>
  <si>
    <t>23,4 %</t>
  </si>
  <si>
    <t>(127,8 %)</t>
  </si>
  <si>
    <t>386,8 %</t>
  </si>
  <si>
    <t>(145,0 %)</t>
  </si>
  <si>
    <t>556,3 %</t>
  </si>
  <si>
    <t>(21,7 %)</t>
  </si>
  <si>
    <t>Weighted Average Diluted Shares Outstanding</t>
  </si>
  <si>
    <t>(8,0 %)</t>
  </si>
  <si>
    <t>(11,8 %)</t>
  </si>
  <si>
    <t>(11,1 %)</t>
  </si>
  <si>
    <t>(8,6 %)</t>
  </si>
  <si>
    <t>(6,0 %)</t>
  </si>
  <si>
    <t>16,6 %</t>
  </si>
  <si>
    <t>61,4 %</t>
  </si>
  <si>
    <t>(5,3 %)</t>
  </si>
  <si>
    <t>(14,6 %)</t>
  </si>
  <si>
    <t>Weighted Average Basic Shares Outstanding</t>
  </si>
  <si>
    <t>(13,2 %)</t>
  </si>
  <si>
    <t>(9,9 %)</t>
  </si>
  <si>
    <t>(7,3 %)</t>
  </si>
  <si>
    <t>(5,1 %)</t>
  </si>
  <si>
    <t>14,6 %</t>
  </si>
  <si>
    <t>64,2 %</t>
  </si>
  <si>
    <t>(6,8 %)</t>
  </si>
  <si>
    <t>(15,3 %)</t>
  </si>
  <si>
    <t>Dividends Per Share</t>
  </si>
  <si>
    <t>Payout Ratio %</t>
  </si>
  <si>
    <t>6,7 %</t>
  </si>
  <si>
    <t>6,8 %</t>
  </si>
  <si>
    <t>Basic EPS</t>
  </si>
  <si>
    <t>EBITDA</t>
  </si>
  <si>
    <t>1,3 %</t>
  </si>
  <si>
    <t>(2,2 %)</t>
  </si>
  <si>
    <t>44,0 %</t>
  </si>
  <si>
    <t>0,6 %</t>
  </si>
  <si>
    <t>46,5 %</t>
  </si>
  <si>
    <t>(32,4 %)</t>
  </si>
  <si>
    <t>6,0 %</t>
  </si>
  <si>
    <t>EBITDAR</t>
  </si>
  <si>
    <t>13,9 %</t>
  </si>
  <si>
    <t>13,2 %</t>
  </si>
  <si>
    <t>12,4 %</t>
  </si>
  <si>
    <t>12,6 %</t>
  </si>
  <si>
    <t>18,5 %</t>
  </si>
  <si>
    <t>8,5 %</t>
  </si>
  <si>
    <t>13,4 %</t>
  </si>
  <si>
    <t>13,7 %</t>
  </si>
  <si>
    <t>Price Factors:</t>
  </si>
  <si>
    <t>Market Cap</t>
  </si>
  <si>
    <t>Price Close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</si>
  <si>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</si>
  <si>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</si>
  <si>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</si>
  <si>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</si>
  <si>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</si>
  <si>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</si>
  <si>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</si>
  <si>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Trading Asset Securities</t>
  </si>
  <si>
    <t>Total Cash And Short Term Investments</t>
  </si>
  <si>
    <t>Accounts Receivable</t>
  </si>
  <si>
    <t>Other Receivables</t>
  </si>
  <si>
    <t>Notes Receivable</t>
  </si>
  <si>
    <t>Total Receivables</t>
  </si>
  <si>
    <t>Inventory</t>
  </si>
  <si>
    <t>Prepaid Expenses</t>
  </si>
  <si>
    <t>Restricted Cash</t>
  </si>
  <si>
    <t>Other Current Assets</t>
  </si>
  <si>
    <t>Total Current Assets</t>
  </si>
  <si>
    <t>Net Property Plant And Equipment</t>
  </si>
  <si>
    <t>Long-term Investments</t>
  </si>
  <si>
    <t>Goodwill</t>
  </si>
  <si>
    <t>Other Intangibles</t>
  </si>
  <si>
    <t>Deferred Tax Assets Long-Term</t>
  </si>
  <si>
    <t>Deferred Charges Long-Term</t>
  </si>
  <si>
    <t>Other Long-Term Assets</t>
  </si>
  <si>
    <t>Total Assets</t>
  </si>
  <si>
    <t>Accounts Payable</t>
  </si>
  <si>
    <t>Accrued Expenses</t>
  </si>
  <si>
    <t>Current Portion of Long-Term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</si>
  <si>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</si>
  <si>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</si>
  <si>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</si>
  <si>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</si>
  <si>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</si>
  <si>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Unearned Revenue Non Current</t>
  </si>
  <si>
    <t>Deferred Tax Liability Non Current</t>
  </si>
  <si>
    <t>Other Non 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</si>
  <si>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</si>
  <si>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</si>
  <si>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</si>
  <si>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</si>
  <si>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</si>
  <si>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</si>
  <si>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</si>
  <si>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</si>
  <si>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</si>
  <si>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</si>
  <si>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</si>
  <si>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</si>
  <si>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</si>
  <si>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</si>
  <si>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</si>
  <si>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</si>
  <si>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Equity Method Investments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</si>
  <si>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</si>
  <si>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</si>
  <si>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</si>
  <si>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</si>
  <si>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</si>
  <si>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</si>
  <si>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 &amp; Amortization</t>
  </si>
  <si>
    <t>Amortization of Goodwill and Intangible Assets</t>
  </si>
  <si>
    <t>Total Depreciation &amp; Amortization</t>
  </si>
  <si>
    <t>Amortization of Deferred Charges</t>
  </si>
  <si>
    <t>Minority Interest in Earnings</t>
  </si>
  <si>
    <t>(Gain) Loss From Sale Of Asset</t>
  </si>
  <si>
    <t>(Gain) Loss on Sale of Investments</t>
  </si>
  <si>
    <t>Asset Writedown &amp; Restructuring Costs</t>
  </si>
  <si>
    <t>Net (Increase) Decrease in Loans Originated / Sold - Operating</t>
  </si>
  <si>
    <t>Stock-Based Compensation</t>
  </si>
  <si>
    <t>Provision and Write-off of Bad Debts</t>
  </si>
  <si>
    <t>Net Cash From Discontinued Operations</t>
  </si>
  <si>
    <t>Other Operating Activities</t>
  </si>
  <si>
    <t>Change In Accounts Receivable</t>
  </si>
  <si>
    <t>Change In Inventories</t>
  </si>
  <si>
    <t>Change In Accounts Payable</t>
  </si>
  <si>
    <t>Change in Unearned Revenues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</si>
  <si>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</si>
  <si>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</si>
  <si>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</si>
  <si>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</si>
  <si>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</si>
  <si>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Cash Acquisitions</t>
  </si>
  <si>
    <t>Divestitures</t>
  </si>
  <si>
    <t>Sale (Purchase) of Intangible assets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</si>
  <si>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</si>
  <si>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</si>
  <si>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</si>
  <si>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</si>
  <si>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</si>
  <si>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</si>
  <si>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</si>
  <si>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</si>
  <si>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Common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</si>
  <si>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</si>
  <si>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</si>
  <si>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</si>
  <si>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</si>
  <si>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</si>
  <si>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10,8 %</t>
  </si>
  <si>
    <t>10,1 %</t>
  </si>
  <si>
    <t>12,8 %</t>
  </si>
  <si>
    <t>17,2 %</t>
  </si>
  <si>
    <t>15,9 %</t>
  </si>
  <si>
    <t>35,4 %</t>
  </si>
  <si>
    <t>(3,2 %)</t>
  </si>
  <si>
    <t>7,6 %</t>
  </si>
  <si>
    <t>10,4 %</t>
  </si>
  <si>
    <t>Free Cash Flow</t>
  </si>
  <si>
    <t>125,4 %</t>
  </si>
  <si>
    <t>354,3 %</t>
  </si>
  <si>
    <t>49,1 %</t>
  </si>
  <si>
    <t>47,8 %</t>
  </si>
  <si>
    <t>158,3 %</t>
  </si>
  <si>
    <t>101,1 %</t>
  </si>
  <si>
    <t>(31,8 %)</t>
  </si>
  <si>
    <t>(174,7 %)</t>
  </si>
  <si>
    <t>21,5 %</t>
  </si>
  <si>
    <t>% Free Cash Flow Margins</t>
  </si>
  <si>
    <t>(3,9 %)</t>
  </si>
  <si>
    <t>(9,1 %)</t>
  </si>
  <si>
    <t>(41,4 %)</t>
  </si>
  <si>
    <t>(64,8 %)</t>
  </si>
  <si>
    <t>(32,9 %)</t>
  </si>
  <si>
    <t>21,1 %</t>
  </si>
  <si>
    <t>41,5 %</t>
  </si>
  <si>
    <t>(12,8 %)</t>
  </si>
  <si>
    <t>(14,8 %)</t>
  </si>
  <si>
    <t>(25,9 %)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</si>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</sst>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5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/>
    <font>
      <sz val="12.0"/>
      <color rgb="FF1F497D"/>
      <name val="Arial"/>
    </font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CFD2D6"/>
      <name val="Roboto"/>
    </font>
    <font>
      <b/>
      <sz val="11.0"/>
      <color rgb="FFCFD2D6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CFD2D6"/>
      <name val="Roboto"/>
    </font>
    <font>
      <b/>
      <i/>
      <sz val="11.0"/>
      <color rgb="FF000000"/>
      <name val="Roboto"/>
    </font>
    <font>
      <sz val="11.0"/>
      <color rgb="FFF44336"/>
      <name val="Roboto"/>
    </font>
    <font>
      <sz val="11.0"/>
      <color rgb="FF000000"/>
      <name val="Roboto"/>
    </font>
    <font>
      <b/>
      <sz val="11.0"/>
      <color rgb="FFF44336"/>
      <name val="Roboto"/>
    </font>
    <font>
      <sz val="11.0"/>
      <color rgb="FFE1E4EA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F44336"/>
      <name val="Roboto"/>
    </font>
    <font>
      <i/>
      <sz val="11.0"/>
      <color rgb="FFCFD2D6"/>
      <name val="Roboto"/>
    </font>
    <font>
      <i/>
      <sz val="11.0"/>
      <color rgb="FF000000"/>
      <name val="Roboto"/>
    </font>
    <font>
      <b/>
      <color rgb="FFCFD2D6"/>
      <name val="Roboto"/>
    </font>
    <font>
      <b/>
      <u/>
      <color rgb="FFCFD2D6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u/>
      <color rgb="FFE1E4EA"/>
      <name val="Roboto"/>
    </font>
    <font>
      <b/>
      <i/>
      <sz val="11.0"/>
      <color rgb="FFE1E4EA"/>
      <name val="Roboto"/>
    </font>
    <font>
      <b/>
      <i/>
      <sz val="12.0"/>
      <color theme="1"/>
      <name val="Ebrima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654F32"/>
        <bgColor rgb="FF654F32"/>
      </patternFill>
    </fill>
    <fill>
      <patternFill patternType="solid">
        <fgColor rgb="FFA5A5A5"/>
        <bgColor rgb="FFA5A5A5"/>
      </patternFill>
    </fill>
  </fills>
  <borders count="50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bottom style="thin">
        <color rgb="FF9C5700"/>
      </bottom>
    </border>
    <border>
      <left style="thin">
        <color rgb="FF9C5700"/>
      </left>
      <bottom style="thin">
        <color rgb="FF9C5700"/>
      </bottom>
    </border>
    <border>
      <right style="thin">
        <color rgb="FF9C5700"/>
      </right>
      <bottom style="thin">
        <color rgb="FF9C5700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164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2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13" fillId="3" fontId="4" numFmtId="0" xfId="0" applyAlignment="1" applyBorder="1" applyFont="1">
      <alignment horizontal="left" vertical="center"/>
    </xf>
    <xf borderId="13" fillId="3" fontId="4" numFmtId="9" xfId="0" applyAlignment="1" applyBorder="1" applyFont="1" applyNumberFormat="1">
      <alignment horizontal="center" vertical="center"/>
    </xf>
    <xf borderId="13" fillId="3" fontId="4" numFmtId="164" xfId="0" applyAlignment="1" applyBorder="1" applyFont="1" applyNumberForma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5" fillId="5" fontId="4" numFmtId="164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6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7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8" fillId="3" fontId="4" numFmtId="0" xfId="0" applyAlignment="1" applyBorder="1" applyFont="1">
      <alignment horizontal="left" vertical="center"/>
    </xf>
    <xf borderId="19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9" fillId="3" fontId="4" numFmtId="9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17" fillId="3" fontId="4" numFmtId="164" xfId="0" applyAlignment="1" applyBorder="1" applyFont="1" applyNumberFormat="1">
      <alignment horizontal="center" vertical="center"/>
    </xf>
    <xf borderId="22" fillId="3" fontId="4" numFmtId="0" xfId="0" applyAlignment="1" applyBorder="1" applyFont="1">
      <alignment horizontal="left" vertical="center"/>
    </xf>
    <xf borderId="23" fillId="3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5" fillId="0" fontId="4" numFmtId="9" xfId="0" applyAlignment="1" applyBorder="1" applyFont="1" applyNumberFormat="1">
      <alignment horizontal="center" vertical="center"/>
    </xf>
    <xf borderId="26" fillId="0" fontId="4" numFmtId="9" xfId="0" applyAlignment="1" applyBorder="1" applyFont="1" applyNumberFormat="1">
      <alignment horizontal="center" vertical="center"/>
    </xf>
    <xf borderId="27" fillId="3" fontId="4" numFmtId="9" xfId="0" applyAlignment="1" applyBorder="1" applyFont="1" applyNumberFormat="1">
      <alignment horizontal="center" vertical="center"/>
    </xf>
    <xf borderId="23" fillId="3" fontId="4" numFmtId="166" xfId="0" applyAlignment="1" applyBorder="1" applyFont="1" applyNumberFormat="1">
      <alignment horizontal="center" vertical="center"/>
    </xf>
    <xf borderId="24" fillId="3" fontId="4" numFmtId="166" xfId="0" applyAlignment="1" applyBorder="1" applyFont="1" applyNumberFormat="1">
      <alignment horizontal="center" vertical="center"/>
    </xf>
    <xf borderId="28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left" vertical="center"/>
    </xf>
    <xf borderId="30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20" fillId="0" fontId="4" numFmtId="165" xfId="0" applyAlignment="1" applyBorder="1" applyFont="1" applyNumberFormat="1">
      <alignment horizontal="center" vertical="center"/>
    </xf>
    <xf borderId="21" fillId="0" fontId="4" numFmtId="165" xfId="0" applyAlignment="1" applyBorder="1" applyFont="1" applyNumberFormat="1">
      <alignment horizontal="center" vertical="center"/>
    </xf>
    <xf borderId="31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32" fillId="0" fontId="4" numFmtId="167" xfId="0" applyAlignment="1" applyBorder="1" applyFont="1" applyNumberFormat="1">
      <alignment horizontal="center" vertical="center"/>
    </xf>
    <xf borderId="33" fillId="0" fontId="4" numFmtId="0" xfId="0" applyAlignment="1" applyBorder="1" applyFont="1">
      <alignment horizontal="left" vertical="center"/>
    </xf>
    <xf borderId="28" fillId="3" fontId="4" numFmtId="167" xfId="0" applyAlignment="1" applyBorder="1" applyFont="1" applyNumberFormat="1">
      <alignment horizontal="center" vertical="center"/>
    </xf>
    <xf borderId="24" fillId="3" fontId="4" numFmtId="167" xfId="0" applyAlignment="1" applyBorder="1" applyFont="1" applyNumberFormat="1">
      <alignment horizontal="center" vertical="center"/>
    </xf>
    <xf borderId="25" fillId="0" fontId="4" numFmtId="167" xfId="0" applyAlignment="1" applyBorder="1" applyFont="1" applyNumberFormat="1">
      <alignment horizontal="center" vertical="center"/>
    </xf>
    <xf borderId="26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4" fillId="5" fontId="9" numFmtId="0" xfId="0" applyAlignment="1" applyBorder="1" applyFont="1">
      <alignment horizontal="left" vertical="center"/>
    </xf>
    <xf borderId="35" fillId="0" fontId="13" numFmtId="0" xfId="0" applyBorder="1" applyFont="1"/>
    <xf borderId="36" fillId="5" fontId="11" numFmtId="4" xfId="0" applyAlignment="1" applyBorder="1" applyFont="1" applyNumberFormat="1">
      <alignment horizontal="center" readingOrder="0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4" fillId="3" fontId="9" numFmtId="0" xfId="0" applyAlignment="1" applyBorder="1" applyFont="1">
      <alignment horizontal="left" vertical="center"/>
    </xf>
    <xf borderId="37" fillId="3" fontId="9" numFmtId="4" xfId="0" applyAlignment="1" applyBorder="1" applyFont="1" applyNumberFormat="1">
      <alignment horizontal="center" vertical="center"/>
    </xf>
    <xf borderId="0" fillId="0" fontId="14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8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5" fillId="0" fontId="4" numFmtId="166" xfId="0" applyAlignment="1" applyBorder="1" applyFont="1" applyNumberFormat="1">
      <alignment horizontal="center" vertical="center"/>
    </xf>
    <xf borderId="39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readingOrder="0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40" fillId="4" fontId="8" numFmtId="0" xfId="0" applyAlignment="1" applyBorder="1" applyFont="1">
      <alignment horizontal="center" shrinkToFit="0" vertical="center" wrapText="1"/>
    </xf>
    <xf borderId="41" fillId="2" fontId="8" numFmtId="0" xfId="0" applyAlignment="1" applyBorder="1" applyFont="1">
      <alignment horizontal="center" shrinkToFit="0" vertical="center" wrapText="1"/>
    </xf>
    <xf borderId="42" fillId="0" fontId="13" numFmtId="0" xfId="0" applyBorder="1" applyFont="1"/>
    <xf borderId="0" fillId="0" fontId="4" numFmtId="4" xfId="0" applyAlignment="1" applyFont="1" applyNumberFormat="1">
      <alignment horizontal="center" vertical="center"/>
    </xf>
    <xf borderId="43" fillId="3" fontId="4" numFmtId="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4" fillId="0" fontId="4" numFmtId="164" xfId="0" applyAlignment="1" applyBorder="1" applyFont="1" applyNumberFormat="1">
      <alignment horizontal="center" vertical="center"/>
    </xf>
    <xf borderId="45" fillId="0" fontId="4" numFmtId="164" xfId="0" applyAlignment="1" applyBorder="1" applyFont="1" applyNumberFormat="1">
      <alignment horizontal="center" vertical="center"/>
    </xf>
    <xf borderId="2" fillId="6" fontId="18" numFmtId="0" xfId="0" applyAlignment="1" applyBorder="1" applyFill="1" applyFont="1">
      <alignment horizontal="left" vertical="center"/>
    </xf>
    <xf borderId="2" fillId="6" fontId="18" numFmtId="4" xfId="0" applyAlignment="1" applyBorder="1" applyFont="1" applyNumberFormat="1">
      <alignment horizontal="center" vertical="center"/>
    </xf>
    <xf borderId="43" fillId="6" fontId="18" numFmtId="4" xfId="0" applyAlignment="1" applyBorder="1" applyFont="1" applyNumberFormat="1">
      <alignment horizontal="center" vertical="center"/>
    </xf>
    <xf borderId="6" fillId="7" fontId="14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24" fillId="6" fontId="18" numFmtId="0" xfId="0" applyAlignment="1" applyBorder="1" applyFont="1">
      <alignment horizontal="left" vertical="center"/>
    </xf>
    <xf borderId="24" fillId="6" fontId="18" numFmtId="9" xfId="0" applyAlignment="1" applyBorder="1" applyFont="1" applyNumberFormat="1">
      <alignment horizontal="center" vertical="center"/>
    </xf>
    <xf borderId="46" fillId="6" fontId="18" numFmtId="9" xfId="0" applyAlignment="1" applyBorder="1" applyFont="1" applyNumberFormat="1">
      <alignment horizontal="center" vertical="center"/>
    </xf>
    <xf borderId="23" fillId="6" fontId="18" numFmtId="0" xfId="0" applyAlignment="1" applyBorder="1" applyFont="1">
      <alignment horizontal="left" vertical="center"/>
    </xf>
    <xf borderId="47" fillId="0" fontId="18" numFmtId="164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4" fillId="0" fontId="18" numFmtId="0" xfId="0" applyAlignment="1" applyBorder="1" applyFont="1">
      <alignment horizontal="left" vertical="center"/>
    </xf>
    <xf borderId="29" fillId="0" fontId="4" numFmtId="9" xfId="0" applyAlignment="1" applyBorder="1" applyFont="1" applyNumberFormat="1">
      <alignment horizontal="center" vertical="center"/>
    </xf>
    <xf borderId="20" fillId="0" fontId="4" numFmtId="9" xfId="0" applyAlignment="1" applyBorder="1" applyFont="1" applyNumberFormat="1">
      <alignment horizontal="center" vertical="center"/>
    </xf>
    <xf borderId="21" fillId="0" fontId="4" numFmtId="9" xfId="0" applyAlignment="1" applyBorder="1" applyFont="1" applyNumberFormat="1">
      <alignment horizontal="center" vertical="center"/>
    </xf>
    <xf borderId="45" fillId="0" fontId="4" numFmtId="0" xfId="0" applyAlignment="1" applyBorder="1" applyFont="1">
      <alignment horizontal="left" vertical="center"/>
    </xf>
    <xf borderId="31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32" fillId="0" fontId="4" numFmtId="9" xfId="0" applyAlignment="1" applyBorder="1" applyFont="1" applyNumberFormat="1">
      <alignment horizontal="center" vertical="center"/>
    </xf>
    <xf borderId="47" fillId="0" fontId="4" numFmtId="0" xfId="0" applyAlignment="1" applyBorder="1" applyFont="1">
      <alignment horizontal="left" vertical="center"/>
    </xf>
    <xf borderId="33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4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5" fillId="0" fontId="4" numFmtId="3" xfId="0" applyAlignment="1" applyBorder="1" applyFont="1" applyNumberFormat="1">
      <alignment horizontal="center" vertical="center"/>
    </xf>
    <xf borderId="47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19" numFmtId="0" xfId="0" applyAlignment="1" applyFill="1" applyFont="1">
      <alignment horizontal="left" readingOrder="0" shrinkToFit="0" wrapText="0"/>
    </xf>
    <xf borderId="0" fillId="8" fontId="19" numFmtId="169" xfId="0" applyAlignment="1" applyFont="1" applyNumberFormat="1">
      <alignment horizontal="right" readingOrder="0" shrinkToFit="0" wrapText="0"/>
    </xf>
    <xf borderId="0" fillId="8" fontId="19" numFmtId="0" xfId="0" applyAlignment="1" applyFont="1">
      <alignment horizontal="right" readingOrder="0" shrinkToFit="0" wrapText="0"/>
    </xf>
    <xf borderId="0" fillId="0" fontId="20" numFmtId="0" xfId="0" applyFont="1"/>
    <xf borderId="0" fillId="0" fontId="20" numFmtId="170" xfId="0" applyAlignment="1" applyFont="1" applyNumberFormat="1">
      <alignment horizontal="center"/>
    </xf>
    <xf borderId="0" fillId="9" fontId="21" numFmtId="0" xfId="0" applyAlignment="1" applyFill="1" applyFont="1">
      <alignment horizontal="left" readingOrder="0" shrinkToFit="0" wrapText="0"/>
    </xf>
    <xf borderId="0" fillId="9" fontId="22" numFmtId="4" xfId="0" applyAlignment="1" applyFont="1" applyNumberFormat="1">
      <alignment horizontal="right" readingOrder="0" shrinkToFit="0" wrapText="0"/>
    </xf>
    <xf borderId="0" fillId="9" fontId="19" numFmtId="0" xfId="0" applyAlignment="1" applyFont="1">
      <alignment horizontal="left" readingOrder="0" shrinkToFit="0" wrapText="0"/>
    </xf>
    <xf borderId="0" fillId="9" fontId="23" numFmtId="4" xfId="0" applyAlignment="1" applyFont="1" applyNumberFormat="1">
      <alignment horizontal="right" readingOrder="0" shrinkToFit="0" wrapText="0"/>
    </xf>
    <xf borderId="0" fillId="9" fontId="24" numFmtId="0" xfId="0" applyAlignment="1" applyFont="1">
      <alignment horizontal="left" readingOrder="0" shrinkToFit="0" wrapText="0"/>
    </xf>
    <xf borderId="0" fillId="0" fontId="25" numFmtId="4" xfId="0" applyAlignment="1" applyFont="1" applyNumberFormat="1">
      <alignment horizontal="right" shrinkToFit="0" wrapText="0"/>
    </xf>
    <xf borderId="0" fillId="9" fontId="26" numFmtId="4" xfId="0" applyAlignment="1" applyFont="1" applyNumberFormat="1">
      <alignment horizontal="right" readingOrder="0" shrinkToFit="0" wrapText="0"/>
    </xf>
    <xf borderId="0" fillId="9" fontId="27" numFmtId="4" xfId="0" applyAlignment="1" applyFont="1" applyNumberFormat="1">
      <alignment horizontal="right" readingOrder="0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readingOrder="0" shrinkToFit="0" wrapText="0"/>
    </xf>
    <xf borderId="48" fillId="9" fontId="19" numFmtId="0" xfId="0" applyAlignment="1" applyBorder="1" applyFont="1">
      <alignment horizontal="left" readingOrder="0" shrinkToFit="0" wrapText="0"/>
    </xf>
    <xf borderId="48" fillId="9" fontId="23" numFmtId="4" xfId="0" applyAlignment="1" applyBorder="1" applyFont="1" applyNumberFormat="1">
      <alignment horizontal="right" readingOrder="0" shrinkToFit="0" wrapText="0"/>
    </xf>
    <xf borderId="0" fillId="9" fontId="30" numFmtId="4" xfId="0" applyAlignment="1" applyFont="1" applyNumberFormat="1">
      <alignment horizontal="right" shrinkToFit="0" wrapText="0"/>
    </xf>
    <xf borderId="48" fillId="9" fontId="31" numFmtId="4" xfId="0" applyAlignment="1" applyBorder="1" applyFont="1" applyNumberFormat="1">
      <alignment horizontal="right" readingOrder="0" shrinkToFit="0" wrapText="0"/>
    </xf>
    <xf borderId="0" fillId="9" fontId="31" numFmtId="4" xfId="0" applyAlignment="1" applyFont="1" applyNumberFormat="1">
      <alignment horizontal="right" readingOrder="0" shrinkToFit="0" wrapText="0"/>
    </xf>
    <xf borderId="0" fillId="0" fontId="5" numFmtId="0" xfId="0" applyFont="1"/>
    <xf borderId="0" fillId="9" fontId="32" numFmtId="4" xfId="0" applyAlignment="1" applyFont="1" applyNumberFormat="1">
      <alignment horizontal="right" readingOrder="0" shrinkToFit="0" wrapText="0"/>
    </xf>
    <xf borderId="0" fillId="9" fontId="33" numFmtId="0" xfId="0" applyAlignment="1" applyFont="1">
      <alignment horizontal="left" readingOrder="0" shrinkToFit="0" wrapText="0"/>
    </xf>
    <xf borderId="0" fillId="0" fontId="34" numFmtId="4" xfId="0" applyAlignment="1" applyFont="1" applyNumberFormat="1">
      <alignment horizontal="right" shrinkToFit="0" wrapText="0"/>
    </xf>
    <xf borderId="0" fillId="9" fontId="35" numFmtId="4" xfId="0" applyAlignment="1" applyFont="1" applyNumberFormat="1">
      <alignment horizontal="right" readingOrder="0" shrinkToFit="0" wrapText="0"/>
    </xf>
    <xf borderId="0" fillId="9" fontId="36" numFmtId="4" xfId="0" applyAlignment="1" applyFont="1" applyNumberFormat="1">
      <alignment horizontal="right" readingOrder="0" shrinkToFit="0" wrapText="0"/>
    </xf>
    <xf borderId="0" fillId="9" fontId="37" numFmtId="4" xfId="0" applyAlignment="1" applyFont="1" applyNumberFormat="1">
      <alignment horizontal="right" shrinkToFit="0" wrapText="0"/>
    </xf>
    <xf borderId="0" fillId="0" fontId="5" numFmtId="4" xfId="0" applyAlignment="1" applyFont="1" applyNumberFormat="1">
      <alignment horizontal="center"/>
    </xf>
    <xf borderId="0" fillId="9" fontId="30" numFmtId="0" xfId="0" applyAlignment="1" applyFont="1">
      <alignment horizontal="right" shrinkToFit="0" wrapText="0"/>
    </xf>
    <xf borderId="0" fillId="10" fontId="38" numFmtId="0" xfId="0" applyAlignment="1" applyFill="1" applyFont="1">
      <alignment readingOrder="0" shrinkToFit="0" wrapText="1"/>
    </xf>
    <xf borderId="0" fillId="10" fontId="39" numFmtId="0" xfId="0" applyAlignment="1" applyFont="1">
      <alignment readingOrder="0" shrinkToFit="0" wrapText="1"/>
    </xf>
    <xf borderId="0" fillId="9" fontId="22" numFmtId="0" xfId="0" applyAlignment="1" applyFont="1">
      <alignment horizontal="right" readingOrder="0" shrinkToFit="0" wrapText="0"/>
    </xf>
    <xf borderId="0" fillId="0" fontId="40" numFmtId="4" xfId="0" applyAlignment="1" applyFont="1" applyNumberFormat="1">
      <alignment horizontal="right" shrinkToFit="0" wrapText="0"/>
    </xf>
    <xf borderId="0" fillId="0" fontId="41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10" fontId="42" numFmtId="0" xfId="0" applyAlignment="1" applyFont="1">
      <alignment shrinkToFit="0" wrapText="1"/>
    </xf>
    <xf borderId="0" fillId="11" fontId="19" numFmtId="0" xfId="0" applyAlignment="1" applyFill="1" applyFont="1">
      <alignment horizontal="left" readingOrder="0" shrinkToFit="0" wrapText="0"/>
    </xf>
    <xf borderId="0" fillId="0" fontId="23" numFmtId="0" xfId="0" applyAlignment="1" applyFont="1">
      <alignment horizontal="right" readingOrder="0" shrinkToFit="0" wrapText="0"/>
    </xf>
    <xf borderId="0" fillId="0" fontId="31" numFmtId="0" xfId="0" applyAlignment="1" applyFont="1">
      <alignment horizontal="right" readingOrder="0" shrinkToFit="0" wrapText="0"/>
    </xf>
    <xf borderId="0" fillId="9" fontId="30" numFmtId="0" xfId="0" applyAlignment="1" applyFont="1">
      <alignment horizontal="right" shrinkToFit="0" wrapText="0"/>
    </xf>
    <xf borderId="0" fillId="9" fontId="43" numFmtId="4" xfId="0" applyAlignment="1" applyFont="1" applyNumberFormat="1">
      <alignment horizontal="right" shrinkToFit="0" wrapText="0"/>
    </xf>
    <xf borderId="0" fillId="9" fontId="26" numFmtId="4" xfId="0" applyAlignment="1" applyFont="1" applyNumberFormat="1">
      <alignment horizontal="right" shrinkToFit="0" wrapText="0"/>
    </xf>
    <xf borderId="0" fillId="9" fontId="27" numFmtId="0" xfId="0" applyAlignment="1" applyFont="1">
      <alignment horizontal="right" readingOrder="0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41" fillId="3" fontId="17" numFmtId="0" xfId="0" applyAlignment="1" applyBorder="1" applyFont="1">
      <alignment horizontal="left" vertical="center"/>
    </xf>
    <xf borderId="2" fillId="3" fontId="44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0" numFmtId="0" xfId="0" applyBorder="1" applyFont="1"/>
    <xf borderId="2" fillId="6" fontId="20" numFmtId="1" xfId="0" applyAlignment="1" applyBorder="1" applyFont="1" applyNumberFormat="1">
      <alignment horizontal="right"/>
    </xf>
    <xf borderId="0" fillId="0" fontId="20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2" fontId="20" numFmtId="0" xfId="0" applyAlignment="1" applyBorder="1" applyFill="1" applyFont="1">
      <alignment horizontal="right"/>
    </xf>
    <xf borderId="2" fillId="12" fontId="5" numFmtId="3" xfId="0" applyAlignment="1" applyBorder="1" applyFont="1" applyNumberFormat="1">
      <alignment horizontal="right"/>
    </xf>
    <xf borderId="49" fillId="0" fontId="5" numFmtId="1" xfId="0" applyAlignment="1" applyBorder="1" applyFont="1" applyNumberFormat="1">
      <alignment horizontal="right"/>
    </xf>
    <xf borderId="2" fillId="6" fontId="20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2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4998338" y="2817975"/>
                      <a:chExt cx="695325" cy="1924050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4998338" y="2817975"/>
                        <a:ext cx="695325" cy="19240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4998338" y="2817975"/>
                        <a:ext cx="695325" cy="1924050"/>
                        <a:chOff x="5003100" y="2822738"/>
                        <a:chExt cx="685800" cy="191452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5003100" y="2822738"/>
                          <a:ext cx="685800" cy="19145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cxnSp>
                      <xdr:nvCxnSpPr>
                        <xdr:cNvPr id="17" name="Shape 17"/>
                        <xdr:cNvCxnSpPr/>
                      </xdr:nvCxnSpPr>
                      <xdr:spPr>
                        <a:xfrm rot="10800000">
                          <a:off x="5003100" y="2822738"/>
                          <a:ext cx="685800" cy="1914525"/>
                        </a:xfrm>
                        <a:prstGeom prst="straightConnector1">
                          <a:avLst/>
                        </a:prstGeom>
                        <a:noFill/>
                        <a:ln cap="flat" cmpd="sng" w="9525">
                          <a:solidFill>
                            <a:srgbClr val="F5913F"/>
                          </a:solidFill>
                          <a:prstDash val="solid"/>
                          <a:round/>
                          <a:headEnd len="sm" w="sm" type="none"/>
                          <a:tailEnd len="med" w="med" type="triangle"/>
                        </a:ln>
                      </xdr:spPr>
                    </xdr:cxn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tikr.com/account/subs?ref=4v1it1" TargetMode="External"/><Relationship Id="rId42" Type="http://schemas.openxmlformats.org/officeDocument/2006/relationships/hyperlink" Target="https://app.tikr.com/account/subs?ref=4v1it1" TargetMode="External"/><Relationship Id="rId41" Type="http://schemas.openxmlformats.org/officeDocument/2006/relationships/hyperlink" Target="https://app.tikr.com/account/subs?ref=4v1it1" TargetMode="External"/><Relationship Id="rId44" Type="http://schemas.openxmlformats.org/officeDocument/2006/relationships/hyperlink" Target="https://app.tikr.com/account/subs?ref=4v1it1" TargetMode="External"/><Relationship Id="rId43" Type="http://schemas.openxmlformats.org/officeDocument/2006/relationships/hyperlink" Target="https://app.tikr.com/account/subs?ref=4v1it1" TargetMode="External"/><Relationship Id="rId46" Type="http://schemas.openxmlformats.org/officeDocument/2006/relationships/hyperlink" Target="https://app.tikr.com/account/subs?ref=4v1it1" TargetMode="External"/><Relationship Id="rId45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48" Type="http://schemas.openxmlformats.org/officeDocument/2006/relationships/hyperlink" Target="https://app.tikr.com/account/subs?ref=4v1it1" TargetMode="External"/><Relationship Id="rId47" Type="http://schemas.openxmlformats.org/officeDocument/2006/relationships/hyperlink" Target="https://app.tikr.com/account/subs?ref=4v1it1" TargetMode="External"/><Relationship Id="rId49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33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account/subs?ref=4v1it1" TargetMode="External"/><Relationship Id="rId34" Type="http://schemas.openxmlformats.org/officeDocument/2006/relationships/hyperlink" Target="https://app.tikr.com/account/subs?ref=4v1it1" TargetMode="External"/><Relationship Id="rId37" Type="http://schemas.openxmlformats.org/officeDocument/2006/relationships/hyperlink" Target="https://app.tikr.com/account/subs?ref=4v1it1" TargetMode="External"/><Relationship Id="rId36" Type="http://schemas.openxmlformats.org/officeDocument/2006/relationships/hyperlink" Target="https://app.tikr.com/account/subs?ref=4v1it1" TargetMode="External"/><Relationship Id="rId39" Type="http://schemas.openxmlformats.org/officeDocument/2006/relationships/hyperlink" Target="https://app.tikr.com/account/subs?ref=4v1it1" TargetMode="External"/><Relationship Id="rId38" Type="http://schemas.openxmlformats.org/officeDocument/2006/relationships/hyperlink" Target="https://app.tikr.com/account/subs?ref=4v1it1" TargetMode="External"/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51" Type="http://schemas.openxmlformats.org/officeDocument/2006/relationships/hyperlink" Target="https://app.tikr.com/account/subs?ref=4v1it1" TargetMode="External"/><Relationship Id="rId50" Type="http://schemas.openxmlformats.org/officeDocument/2006/relationships/hyperlink" Target="https://app.tikr.com/account/subs?ref=4v1it1" TargetMode="External"/><Relationship Id="rId53" Type="http://schemas.openxmlformats.org/officeDocument/2006/relationships/hyperlink" Target="https://app.tikr.com/account/subs?ref=4v1it1" TargetMode="External"/><Relationship Id="rId52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55" Type="http://schemas.openxmlformats.org/officeDocument/2006/relationships/hyperlink" Target="https://app.tikr.com/privacypolicy" TargetMode="External"/><Relationship Id="rId10" Type="http://schemas.openxmlformats.org/officeDocument/2006/relationships/hyperlink" Target="https://app.tikr.com/account/subs?ref=4v1it1" TargetMode="External"/><Relationship Id="rId54" Type="http://schemas.openxmlformats.org/officeDocument/2006/relationships/hyperlink" Target="https://app.tikr.com/terms" TargetMode="External"/><Relationship Id="rId13" Type="http://schemas.openxmlformats.org/officeDocument/2006/relationships/hyperlink" Target="https://app.tikr.com/account/subs?ref=4v1it1" TargetMode="External"/><Relationship Id="rId57" Type="http://schemas.openxmlformats.org/officeDocument/2006/relationships/hyperlink" Target="https://app.tikr.com/privacypolicy" TargetMode="External"/><Relationship Id="rId12" Type="http://schemas.openxmlformats.org/officeDocument/2006/relationships/hyperlink" Target="https://app.tikr.com/account/subs?ref=4v1it1" TargetMode="External"/><Relationship Id="rId56" Type="http://schemas.openxmlformats.org/officeDocument/2006/relationships/hyperlink" Target="https://app.tikr.com/terms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58" Type="http://schemas.openxmlformats.org/officeDocument/2006/relationships/drawing" Target="../drawings/drawing6.xm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5287.46</v>
      </c>
      <c r="C3" s="26">
        <f>IFERROR(VLOOKUP("Total Revenues*",'7.TIKR_IS'!$A:$K,COLUMN(C3),FALSE),"0")</f>
        <v>5043.03</v>
      </c>
      <c r="D3" s="26">
        <f>IFERROR(VLOOKUP("Total Revenues*",'7.TIKR_IS'!$A:$K,COLUMN(D3),FALSE),"0")</f>
        <v>5037.49</v>
      </c>
      <c r="E3" s="26">
        <f>IFERROR(VLOOKUP("Total Revenues*",'7.TIKR_IS'!$A:$K,COLUMN(E3),FALSE),"0")</f>
        <v>4799.98</v>
      </c>
      <c r="F3" s="26">
        <f>IFERROR(VLOOKUP("Total Revenues*",'7.TIKR_IS'!$A:$K,COLUMN(F3),FALSE),"0")</f>
        <v>4937.34</v>
      </c>
      <c r="G3" s="26">
        <f>IFERROR(VLOOKUP("Total Revenues*",'7.TIKR_IS'!$A:$K,COLUMN(G3),FALSE),"0")</f>
        <v>4493.63</v>
      </c>
      <c r="H3" s="26">
        <f>IFERROR(VLOOKUP("Total Revenues*",'7.TIKR_IS'!$A:$K,COLUMN(H3),FALSE),"0")</f>
        <v>4588.93</v>
      </c>
      <c r="I3" s="26">
        <f>IFERROR(VLOOKUP("Total Revenues*",'7.TIKR_IS'!$A:$K,COLUMN(I3),FALSE),"0")</f>
        <v>7013.55</v>
      </c>
      <c r="J3" s="26">
        <f>IFERROR(VLOOKUP("Total Revenues*",'7.TIKR_IS'!$A:$K,COLUMN(J3),FALSE),"0")</f>
        <v>7580.42</v>
      </c>
      <c r="K3" s="26">
        <f>IFERROR(VLOOKUP("Total Revenues*",'7.TIKR_IS'!$A:$K,COLUMN(K3),FALSE),"0")</f>
        <v>7996.64</v>
      </c>
      <c r="L3" s="27">
        <f t="shared" ref="L3:P3" si="2">IFERROR((K3*$T$3)+K3,"")</f>
        <v>8156.5728</v>
      </c>
      <c r="M3" s="28">
        <f t="shared" si="2"/>
        <v>8319.704256</v>
      </c>
      <c r="N3" s="28">
        <f t="shared" si="2"/>
        <v>8486.098341</v>
      </c>
      <c r="O3" s="28">
        <f t="shared" si="2"/>
        <v>8655.820308</v>
      </c>
      <c r="P3" s="29">
        <f t="shared" si="2"/>
        <v>8828.936714</v>
      </c>
      <c r="Q3" s="23"/>
      <c r="R3" s="30" t="s">
        <v>16</v>
      </c>
      <c r="S3" s="31">
        <f>IFERROR(AVERAGE(C4:K4),"")</f>
        <v>0.05884179188</v>
      </c>
      <c r="T3" s="32">
        <v>0.02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-0.0462282457</v>
      </c>
      <c r="D4" s="35">
        <f t="shared" si="3"/>
        <v>-0.001098545914</v>
      </c>
      <c r="E4" s="35">
        <f t="shared" si="3"/>
        <v>-0.04714848069</v>
      </c>
      <c r="F4" s="35">
        <f t="shared" si="3"/>
        <v>0.0286167859</v>
      </c>
      <c r="G4" s="35">
        <f t="shared" si="3"/>
        <v>-0.08986822864</v>
      </c>
      <c r="H4" s="35">
        <f t="shared" si="3"/>
        <v>0.02120779859</v>
      </c>
      <c r="I4" s="36">
        <f t="shared" si="3"/>
        <v>0.528362821</v>
      </c>
      <c r="J4" s="36">
        <f t="shared" si="3"/>
        <v>0.08082497451</v>
      </c>
      <c r="K4" s="36">
        <f t="shared" si="3"/>
        <v>0.05490724788</v>
      </c>
      <c r="L4" s="37">
        <f t="shared" ref="L4:P4" si="4">$T$3</f>
        <v>0.02</v>
      </c>
      <c r="M4" s="36">
        <f t="shared" si="4"/>
        <v>0.02</v>
      </c>
      <c r="N4" s="36">
        <f t="shared" si="4"/>
        <v>0.02</v>
      </c>
      <c r="O4" s="36">
        <f t="shared" si="4"/>
        <v>0.02</v>
      </c>
      <c r="P4" s="38">
        <f t="shared" si="4"/>
        <v>0.02</v>
      </c>
      <c r="Q4" s="23"/>
      <c r="R4" s="30" t="s">
        <v>18</v>
      </c>
      <c r="S4" s="31">
        <f>IFERROR(AVERAGE(B6:K6),"")</f>
        <v>0.2074785663</v>
      </c>
      <c r="T4" s="32">
        <v>0.3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9">
        <f>IFERROR(VLOOKUP("EBT Incl. Unusual Items*",'7.TIKR_IS'!$A:$K,COLUMN(B2),FALSE),"0")</f>
        <v>1366.98</v>
      </c>
      <c r="C5" s="40">
        <f>IFERROR(VLOOKUP("EBT Incl. Unusual Items*",'7.TIKR_IS'!$A:$K,COLUMN(C2),FALSE),"0")</f>
        <v>1213.01</v>
      </c>
      <c r="D5" s="40">
        <f>IFERROR(VLOOKUP("EBT Incl. Unusual Items*",'7.TIKR_IS'!$A:$K,COLUMN(D2),FALSE),"0")</f>
        <v>1245.07</v>
      </c>
      <c r="E5" s="40">
        <f>IFERROR(VLOOKUP("EBT Incl. Unusual Items*",'7.TIKR_IS'!$A:$K,COLUMN(E2),FALSE),"0")</f>
        <v>1161.58</v>
      </c>
      <c r="F5" s="40">
        <f>IFERROR(VLOOKUP("EBT Incl. Unusual Items*",'7.TIKR_IS'!$A:$K,COLUMN(F2),FALSE),"0")</f>
        <v>1334.49</v>
      </c>
      <c r="G5" s="40">
        <f>IFERROR(VLOOKUP("EBT Incl. Unusual Items*",'7.TIKR_IS'!$A:$K,COLUMN(G2),FALSE),"0")</f>
        <v>-312.15</v>
      </c>
      <c r="H5" s="40">
        <f>IFERROR(VLOOKUP("EBT Incl. Unusual Items*",'7.TIKR_IS'!$A:$K,COLUMN(H2),FALSE),"0")</f>
        <v>1171.97</v>
      </c>
      <c r="I5" s="40">
        <f>IFERROR(VLOOKUP("EBT Incl. Unusual Items*",'7.TIKR_IS'!$A:$K,COLUMN(I2),FALSE),"0")</f>
        <v>-885.26</v>
      </c>
      <c r="J5" s="40">
        <f>IFERROR(VLOOKUP("EBT Incl. Unusual Items*",'7.TIKR_IS'!$A:$K,COLUMN(J2),FALSE),"0")</f>
        <v>3438.9</v>
      </c>
      <c r="K5" s="40">
        <f>IFERROR(VLOOKUP("EBT Incl. Unusual Items*",'7.TIKR_IS'!$A:$K,COLUMN(K2),FALSE),"0")</f>
        <v>2422.33</v>
      </c>
      <c r="L5" s="41">
        <f t="shared" ref="L5:P5" si="5">IFERROR(L3*$T$4,"")</f>
        <v>2446.97184</v>
      </c>
      <c r="M5" s="42">
        <f t="shared" si="5"/>
        <v>2495.911277</v>
      </c>
      <c r="N5" s="42">
        <f t="shared" si="5"/>
        <v>2545.829502</v>
      </c>
      <c r="O5" s="42">
        <f t="shared" si="5"/>
        <v>2596.746092</v>
      </c>
      <c r="P5" s="43">
        <f t="shared" si="5"/>
        <v>2648.681014</v>
      </c>
      <c r="Q5" s="23"/>
      <c r="R5" s="30" t="s">
        <v>20</v>
      </c>
      <c r="S5" s="31">
        <f>IFERROR(AVERAGE(B8:K8),"")</f>
        <v>0.1261421208</v>
      </c>
      <c r="T5" s="32">
        <v>0.15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0.2585324523</v>
      </c>
      <c r="C6" s="35">
        <f t="shared" si="6"/>
        <v>0.2405319818</v>
      </c>
      <c r="D6" s="35">
        <f t="shared" si="6"/>
        <v>0.2471607884</v>
      </c>
      <c r="E6" s="35">
        <f t="shared" si="6"/>
        <v>0.2419968417</v>
      </c>
      <c r="F6" s="35">
        <f t="shared" si="6"/>
        <v>0.2702852143</v>
      </c>
      <c r="G6" s="35">
        <f t="shared" si="6"/>
        <v>-0.06946499823</v>
      </c>
      <c r="H6" s="35">
        <f t="shared" si="6"/>
        <v>0.2553906902</v>
      </c>
      <c r="I6" s="36">
        <f t="shared" si="6"/>
        <v>-0.1262213857</v>
      </c>
      <c r="J6" s="36">
        <f t="shared" si="6"/>
        <v>0.4536556022</v>
      </c>
      <c r="K6" s="36">
        <f t="shared" si="6"/>
        <v>0.3029184758</v>
      </c>
      <c r="L6" s="37">
        <f t="shared" si="6"/>
        <v>0.3</v>
      </c>
      <c r="M6" s="36">
        <f t="shared" si="6"/>
        <v>0.3</v>
      </c>
      <c r="N6" s="36">
        <f t="shared" si="6"/>
        <v>0.3</v>
      </c>
      <c r="O6" s="36">
        <f t="shared" si="6"/>
        <v>0.3</v>
      </c>
      <c r="P6" s="38">
        <f t="shared" si="6"/>
        <v>0.3</v>
      </c>
      <c r="Q6" s="23"/>
      <c r="R6" s="44" t="s">
        <v>22</v>
      </c>
      <c r="S6" s="45">
        <f>IFERROR(AVERAGE(C12:K12),"")</f>
        <v>0.01398704358</v>
      </c>
      <c r="T6" s="46">
        <f>S6</f>
        <v>0.01398704358</v>
      </c>
      <c r="U6" s="22"/>
      <c r="V6" s="22"/>
      <c r="W6" s="22"/>
      <c r="X6" s="23"/>
      <c r="Y6" s="23"/>
      <c r="Z6" s="23"/>
    </row>
    <row r="7" ht="24.75" customHeight="1">
      <c r="A7" s="47" t="s">
        <v>23</v>
      </c>
      <c r="B7" s="48">
        <f>IFERROR(VLOOKUP("Income Tax Expense*",'7.TIKR_IS'!$A:$K,COLUMN(B2),FALSE),"0")</f>
        <v>-189.81</v>
      </c>
      <c r="C7" s="49">
        <f>IFERROR(VLOOKUP("Income Tax Expense*",'7.TIKR_IS'!$A:$K,COLUMN(C2),FALSE),"0")</f>
        <v>-173.5</v>
      </c>
      <c r="D7" s="49">
        <f>IFERROR(VLOOKUP("Income Tax Expense*",'7.TIKR_IS'!$A:$K,COLUMN(D2),FALSE),"0")</f>
        <v>-164.72</v>
      </c>
      <c r="E7" s="49">
        <f>IFERROR(VLOOKUP("Income Tax Expense*",'7.TIKR_IS'!$A:$K,COLUMN(E2),FALSE),"0")</f>
        <v>-144.08</v>
      </c>
      <c r="F7" s="49">
        <f>IFERROR(VLOOKUP("Income Tax Expense*",'7.TIKR_IS'!$A:$K,COLUMN(F2),FALSE),"0")</f>
        <v>-167.71</v>
      </c>
      <c r="G7" s="49">
        <f>IFERROR(VLOOKUP("Income Tax Expense*",'7.TIKR_IS'!$A:$K,COLUMN(G2),FALSE),"0")</f>
        <v>17.23</v>
      </c>
      <c r="H7" s="49">
        <f>IFERROR(VLOOKUP("Income Tax Expense*",'7.TIKR_IS'!$A:$K,COLUMN(H2),FALSE),"0")</f>
        <v>-162.54</v>
      </c>
      <c r="I7" s="49">
        <f>IFERROR(VLOOKUP("Income Tax Expense*",'7.TIKR_IS'!$A:$K,COLUMN(I2),FALSE),"0")</f>
        <v>164.1</v>
      </c>
      <c r="J7" s="49">
        <f>IFERROR(VLOOKUP("Income Tax Expense*",'7.TIKR_IS'!$A:$K,COLUMN(J2),FALSE),"0")</f>
        <v>-291.06</v>
      </c>
      <c r="K7" s="49">
        <f>IFERROR(VLOOKUP("Income Tax Expense*",'7.TIKR_IS'!$A:$K,COLUMN(K2),FALSE),"0")</f>
        <v>-323.7</v>
      </c>
      <c r="L7" s="50">
        <f t="shared" ref="L7:P7" si="7">IFERROR(-$T$5*L5,"")</f>
        <v>-367.045776</v>
      </c>
      <c r="M7" s="51">
        <f t="shared" si="7"/>
        <v>-374.3866915</v>
      </c>
      <c r="N7" s="51">
        <f t="shared" si="7"/>
        <v>-381.8744254</v>
      </c>
      <c r="O7" s="51">
        <f t="shared" si="7"/>
        <v>-389.5119139</v>
      </c>
      <c r="P7" s="52">
        <f t="shared" si="7"/>
        <v>-397.3021521</v>
      </c>
      <c r="Q7" s="23"/>
      <c r="R7" s="23"/>
      <c r="S7" s="53"/>
      <c r="T7" s="53"/>
      <c r="U7" s="22"/>
      <c r="V7" s="22"/>
      <c r="W7" s="22"/>
      <c r="X7" s="23"/>
      <c r="Y7" s="23"/>
      <c r="Z7" s="23"/>
    </row>
    <row r="8" ht="24.75" customHeight="1">
      <c r="A8" s="54" t="s">
        <v>24</v>
      </c>
      <c r="B8" s="34">
        <f t="shared" ref="B8:P8" si="8">IFERROR(-B7/B5,"")</f>
        <v>0.1388535311</v>
      </c>
      <c r="C8" s="35">
        <f t="shared" si="8"/>
        <v>0.1430326213</v>
      </c>
      <c r="D8" s="35">
        <f t="shared" si="8"/>
        <v>0.1322977825</v>
      </c>
      <c r="E8" s="35">
        <f t="shared" si="8"/>
        <v>0.1240379483</v>
      </c>
      <c r="F8" s="35">
        <f t="shared" si="8"/>
        <v>0.1256734783</v>
      </c>
      <c r="G8" s="35">
        <f t="shared" si="8"/>
        <v>0.05519782156</v>
      </c>
      <c r="H8" s="35">
        <f t="shared" si="8"/>
        <v>0.1386895569</v>
      </c>
      <c r="I8" s="36">
        <f t="shared" si="8"/>
        <v>0.18536927</v>
      </c>
      <c r="J8" s="36">
        <f t="shared" si="8"/>
        <v>0.08463752944</v>
      </c>
      <c r="K8" s="36">
        <f t="shared" si="8"/>
        <v>0.1336316687</v>
      </c>
      <c r="L8" s="37">
        <f t="shared" si="8"/>
        <v>0.15</v>
      </c>
      <c r="M8" s="36">
        <f t="shared" si="8"/>
        <v>0.15</v>
      </c>
      <c r="N8" s="36">
        <f t="shared" si="8"/>
        <v>0.15</v>
      </c>
      <c r="O8" s="36">
        <f t="shared" si="8"/>
        <v>0.15</v>
      </c>
      <c r="P8" s="38">
        <f t="shared" si="8"/>
        <v>0.15</v>
      </c>
      <c r="Q8" s="23"/>
      <c r="R8" s="23"/>
      <c r="S8" s="23"/>
      <c r="T8" s="55" t="s">
        <v>25</v>
      </c>
      <c r="U8" s="22"/>
      <c r="V8" s="22"/>
      <c r="W8" s="22"/>
      <c r="X8" s="23"/>
      <c r="Y8" s="23"/>
      <c r="Z8" s="23"/>
    </row>
    <row r="9" ht="24.75" customHeight="1">
      <c r="A9" s="47" t="s">
        <v>26</v>
      </c>
      <c r="B9" s="56">
        <f t="shared" ref="B9:K9" si="9">B5+B7</f>
        <v>1177.17</v>
      </c>
      <c r="C9" s="57">
        <f t="shared" si="9"/>
        <v>1039.51</v>
      </c>
      <c r="D9" s="57">
        <f t="shared" si="9"/>
        <v>1080.35</v>
      </c>
      <c r="E9" s="57">
        <f t="shared" si="9"/>
        <v>1017.5</v>
      </c>
      <c r="F9" s="57">
        <f t="shared" si="9"/>
        <v>1166.78</v>
      </c>
      <c r="G9" s="57">
        <f t="shared" si="9"/>
        <v>-294.92</v>
      </c>
      <c r="H9" s="57">
        <f t="shared" si="9"/>
        <v>1009.43</v>
      </c>
      <c r="I9" s="57">
        <f t="shared" si="9"/>
        <v>-721.16</v>
      </c>
      <c r="J9" s="57">
        <f t="shared" si="9"/>
        <v>3147.84</v>
      </c>
      <c r="K9" s="57">
        <f t="shared" si="9"/>
        <v>2098.63</v>
      </c>
      <c r="L9" s="58">
        <f t="shared" ref="L9:P9" si="10">IFERROR(L5+L7,"")</f>
        <v>2079.926064</v>
      </c>
      <c r="M9" s="59">
        <f t="shared" si="10"/>
        <v>2121.524585</v>
      </c>
      <c r="N9" s="59">
        <f t="shared" si="10"/>
        <v>2163.955077</v>
      </c>
      <c r="O9" s="59">
        <f t="shared" si="10"/>
        <v>2207.234179</v>
      </c>
      <c r="P9" s="60">
        <f t="shared" si="10"/>
        <v>2251.378862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0.2226343083</v>
      </c>
      <c r="C10" s="35">
        <f t="shared" si="11"/>
        <v>0.2061280619</v>
      </c>
      <c r="D10" s="35">
        <f t="shared" si="11"/>
        <v>0.2144619642</v>
      </c>
      <c r="E10" s="35">
        <f t="shared" si="11"/>
        <v>0.2119800499</v>
      </c>
      <c r="F10" s="35">
        <f t="shared" si="11"/>
        <v>0.2363175313</v>
      </c>
      <c r="G10" s="35">
        <f t="shared" si="11"/>
        <v>-0.06563068165</v>
      </c>
      <c r="H10" s="35">
        <f t="shared" si="11"/>
        <v>0.2199706685</v>
      </c>
      <c r="I10" s="35">
        <f t="shared" si="11"/>
        <v>-0.1028238196</v>
      </c>
      <c r="J10" s="35">
        <f t="shared" si="11"/>
        <v>0.4152593128</v>
      </c>
      <c r="K10" s="35">
        <f t="shared" si="11"/>
        <v>0.2624389744</v>
      </c>
      <c r="L10" s="34">
        <f t="shared" si="11"/>
        <v>0.255</v>
      </c>
      <c r="M10" s="35">
        <f t="shared" si="11"/>
        <v>0.255</v>
      </c>
      <c r="N10" s="35">
        <f t="shared" si="11"/>
        <v>0.255</v>
      </c>
      <c r="O10" s="35">
        <f t="shared" si="11"/>
        <v>0.255</v>
      </c>
      <c r="P10" s="61">
        <f t="shared" si="11"/>
        <v>0.255</v>
      </c>
      <c r="Q10" s="23"/>
      <c r="R10" s="18"/>
      <c r="S10" s="62"/>
      <c r="T10" s="62"/>
      <c r="U10" s="22"/>
      <c r="V10" s="22"/>
      <c r="W10" s="22"/>
      <c r="X10" s="23"/>
      <c r="Y10" s="23"/>
      <c r="Z10" s="23"/>
    </row>
    <row r="11" ht="24.75" customHeight="1">
      <c r="A11" s="47" t="s">
        <v>28</v>
      </c>
      <c r="B11" s="56">
        <f>IFERROR(VLOOKUP("*Diluted Shares Outstanding*",'7.TIKR_IS'!$A:$K,COLUMN(B11),FALSE),"0")</f>
        <v>206.22</v>
      </c>
      <c r="C11" s="57">
        <f>IFERROR(VLOOKUP("*Diluted Shares Outstanding*",'7.TIKR_IS'!$A:$K,COLUMN(C11),FALSE),"0")</f>
        <v>189.68</v>
      </c>
      <c r="D11" s="57">
        <f>IFERROR(VLOOKUP("*Diluted Shares Outstanding*",'7.TIKR_IS'!$A:$K,COLUMN(D11),FALSE),"0")</f>
        <v>167.29</v>
      </c>
      <c r="E11" s="57">
        <f>IFERROR(VLOOKUP("*Diluted Shares Outstanding*",'7.TIKR_IS'!$A:$K,COLUMN(E11),FALSE),"0")</f>
        <v>148.71</v>
      </c>
      <c r="F11" s="57">
        <f>IFERROR(VLOOKUP("*Diluted Shares Outstanding*",'7.TIKR_IS'!$A:$K,COLUMN(F11),FALSE),"0")</f>
        <v>135.9</v>
      </c>
      <c r="G11" s="57">
        <f>IFERROR(VLOOKUP("*Diluted Shares Outstanding*",'7.TIKR_IS'!$A:$K,COLUMN(G11),FALSE),"0")</f>
        <v>127.74</v>
      </c>
      <c r="H11" s="57">
        <f>IFERROR(VLOOKUP("*Diluted Shares Outstanding*",'7.TIKR_IS'!$A:$K,COLUMN(H11),FALSE),"0")</f>
        <v>149.01</v>
      </c>
      <c r="I11" s="57">
        <f>IFERROR(VLOOKUP("*Diluted Shares Outstanding*",'7.TIKR_IS'!$A:$K,COLUMN(I11),FALSE),"0")</f>
        <v>240.49</v>
      </c>
      <c r="J11" s="57">
        <f>IFERROR(VLOOKUP("*Diluted Shares Outstanding*",'7.TIKR_IS'!$A:$K,COLUMN(J11),FALSE),"0")</f>
        <v>227.66</v>
      </c>
      <c r="K11" s="57">
        <f>IFERROR(VLOOKUP("*Diluted Shares Outstanding*",'7.TIKR_IS'!$A:$K,COLUMN(K11),FALSE),"0")</f>
        <v>194.49</v>
      </c>
      <c r="L11" s="58">
        <f t="shared" ref="L11:P11" si="12">IFERROR(K11*(1+$T$6),"")</f>
        <v>197.2103401</v>
      </c>
      <c r="M11" s="59">
        <f t="shared" si="12"/>
        <v>199.9687297</v>
      </c>
      <c r="N11" s="59">
        <f t="shared" si="12"/>
        <v>202.7657011</v>
      </c>
      <c r="O11" s="59">
        <f t="shared" si="12"/>
        <v>205.6017938</v>
      </c>
      <c r="P11" s="60">
        <f t="shared" si="12"/>
        <v>208.477555</v>
      </c>
      <c r="Q11" s="23"/>
      <c r="R11" s="23"/>
      <c r="S11" s="53"/>
      <c r="T11" s="53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-0.08020560566</v>
      </c>
      <c r="D12" s="35">
        <f t="shared" si="13"/>
        <v>-0.118040911</v>
      </c>
      <c r="E12" s="35">
        <f t="shared" si="13"/>
        <v>-0.1110646183</v>
      </c>
      <c r="F12" s="35">
        <f t="shared" si="13"/>
        <v>-0.08614081097</v>
      </c>
      <c r="G12" s="35">
        <f t="shared" si="13"/>
        <v>-0.06004415011</v>
      </c>
      <c r="H12" s="35">
        <f t="shared" si="13"/>
        <v>0.1665100986</v>
      </c>
      <c r="I12" s="36">
        <f t="shared" si="13"/>
        <v>0.613918529</v>
      </c>
      <c r="J12" s="36">
        <f t="shared" si="13"/>
        <v>-0.05334941162</v>
      </c>
      <c r="K12" s="36">
        <f t="shared" si="13"/>
        <v>-0.1456997277</v>
      </c>
      <c r="L12" s="37">
        <f t="shared" si="13"/>
        <v>0.01398704358</v>
      </c>
      <c r="M12" s="36">
        <f t="shared" si="13"/>
        <v>0.01398704358</v>
      </c>
      <c r="N12" s="36">
        <f t="shared" si="13"/>
        <v>0.01398704358</v>
      </c>
      <c r="O12" s="36">
        <f t="shared" si="13"/>
        <v>0.01398704358</v>
      </c>
      <c r="P12" s="38">
        <f t="shared" si="13"/>
        <v>0.01398704358</v>
      </c>
      <c r="Q12" s="23"/>
      <c r="R12" s="23"/>
      <c r="S12" s="53"/>
      <c r="T12" s="53"/>
      <c r="U12" s="22"/>
      <c r="V12" s="22"/>
      <c r="W12" s="22"/>
      <c r="X12" s="23"/>
      <c r="Y12" s="23"/>
      <c r="Z12" s="23"/>
    </row>
    <row r="13" ht="24.75" customHeight="1">
      <c r="A13" s="54" t="s">
        <v>29</v>
      </c>
      <c r="B13" s="63">
        <f t="shared" ref="B13:P13" si="14">IFERROR(B9/B11,"")</f>
        <v>5.70832121</v>
      </c>
      <c r="C13" s="64">
        <f t="shared" si="14"/>
        <v>5.480335302</v>
      </c>
      <c r="D13" s="64">
        <f t="shared" si="14"/>
        <v>6.457947277</v>
      </c>
      <c r="E13" s="64">
        <f t="shared" si="14"/>
        <v>6.842176047</v>
      </c>
      <c r="F13" s="64">
        <f t="shared" si="14"/>
        <v>8.585577631</v>
      </c>
      <c r="G13" s="64">
        <f t="shared" si="14"/>
        <v>-2.308752153</v>
      </c>
      <c r="H13" s="64">
        <f t="shared" si="14"/>
        <v>6.774243339</v>
      </c>
      <c r="I13" s="64">
        <f t="shared" si="14"/>
        <v>-2.998710965</v>
      </c>
      <c r="J13" s="64">
        <f t="shared" si="14"/>
        <v>13.8269349</v>
      </c>
      <c r="K13" s="64">
        <f t="shared" si="14"/>
        <v>10.79042624</v>
      </c>
      <c r="L13" s="63">
        <f t="shared" si="14"/>
        <v>10.5467394</v>
      </c>
      <c r="M13" s="64">
        <f t="shared" si="14"/>
        <v>10.6092817</v>
      </c>
      <c r="N13" s="64">
        <f t="shared" si="14"/>
        <v>10.67219488</v>
      </c>
      <c r="O13" s="64">
        <f t="shared" si="14"/>
        <v>10.73548114</v>
      </c>
      <c r="P13" s="65">
        <f t="shared" si="14"/>
        <v>10.79914268</v>
      </c>
      <c r="Q13" s="23"/>
      <c r="R13" s="23"/>
      <c r="S13" s="53"/>
      <c r="T13" s="53"/>
      <c r="U13" s="22"/>
      <c r="V13" s="22"/>
      <c r="W13" s="22"/>
      <c r="X13" s="23"/>
      <c r="Y13" s="23"/>
      <c r="Z13" s="23"/>
    </row>
    <row r="14" ht="21.0" customHeight="1">
      <c r="A14" s="66"/>
      <c r="B14" s="67"/>
      <c r="C14" s="67">
        <f t="shared" ref="C14:P14" si="15">IFERROR((C13-B13)/B13,"")</f>
        <v>-0.03993922213</v>
      </c>
      <c r="D14" s="67">
        <f t="shared" si="15"/>
        <v>0.1783854312</v>
      </c>
      <c r="E14" s="67">
        <f t="shared" si="15"/>
        <v>0.05949704351</v>
      </c>
      <c r="F14" s="67">
        <f t="shared" si="15"/>
        <v>0.2548022108</v>
      </c>
      <c r="G14" s="67">
        <f t="shared" si="15"/>
        <v>-1.268910521</v>
      </c>
      <c r="H14" s="67">
        <f t="shared" si="15"/>
        <v>-3.934157887</v>
      </c>
      <c r="I14" s="68">
        <f t="shared" si="15"/>
        <v>-1.442663603</v>
      </c>
      <c r="J14" s="68">
        <f t="shared" si="15"/>
        <v>-5.61095953</v>
      </c>
      <c r="K14" s="68">
        <f t="shared" si="15"/>
        <v>-0.2196082271</v>
      </c>
      <c r="L14" s="69">
        <f t="shared" si="15"/>
        <v>-0.02258361606</v>
      </c>
      <c r="M14" s="68">
        <f t="shared" si="15"/>
        <v>0.005930013068</v>
      </c>
      <c r="N14" s="68">
        <f t="shared" si="15"/>
        <v>0.005930013068</v>
      </c>
      <c r="O14" s="68">
        <f t="shared" si="15"/>
        <v>0.005930013068</v>
      </c>
      <c r="P14" s="70">
        <f t="shared" si="15"/>
        <v>0.005930013068</v>
      </c>
      <c r="Q14" s="18"/>
      <c r="R14" s="18"/>
      <c r="S14" s="62"/>
      <c r="T14" s="62"/>
      <c r="U14" s="22"/>
      <c r="V14" s="22"/>
      <c r="W14" s="22"/>
      <c r="X14" s="23"/>
      <c r="Y14" s="23"/>
      <c r="Z14" s="23"/>
    </row>
    <row r="15" ht="9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8"/>
      <c r="R15" s="18"/>
      <c r="S15" s="62"/>
      <c r="T15" s="62"/>
      <c r="U15" s="22"/>
      <c r="V15" s="22"/>
      <c r="W15" s="22"/>
      <c r="X15" s="23"/>
      <c r="Y15" s="23"/>
      <c r="Z15" s="23"/>
    </row>
    <row r="16" ht="43.5" customHeight="1">
      <c r="A16" s="71" t="s">
        <v>30</v>
      </c>
      <c r="B16" s="72">
        <f>IFERROR(IF(VLOOKUP("Income Statement*",'7.TIKR_IS'!$A:$K,COLUMN(B17),FALSE)="","",IFERROR(YEAR(VLOOKUP("Income Statement*",'7.TIKR_IS'!$A:$K,COLUMN(B17),FALSE)),"2013")),"")</f>
        <v>2015</v>
      </c>
      <c r="C16" s="72">
        <f>IFERROR(IF(VLOOKUP("Income Statement*",'7.TIKR_IS'!$A:$K,COLUMN(C17),FALSE)="","",IFERROR(YEAR(VLOOKUP("Income Statement*",'7.TIKR_IS'!$A:$K,COLUMN(C17),FALSE)),"2013")),"")</f>
        <v>2016</v>
      </c>
      <c r="D16" s="72">
        <f>IFERROR(IF(VLOOKUP("Income Statement*",'7.TIKR_IS'!$A:$K,COLUMN(D17),FALSE)="","",IFERROR(YEAR(VLOOKUP("Income Statement*",'7.TIKR_IS'!$A:$K,COLUMN(D17),FALSE)),"2013")),"")</f>
        <v>2017</v>
      </c>
      <c r="E16" s="72">
        <f>IFERROR(IF(VLOOKUP("Income Statement*",'7.TIKR_IS'!$A:$K,COLUMN(E17),FALSE)="","",IFERROR(YEAR(VLOOKUP("Income Statement*",'7.TIKR_IS'!$A:$K,COLUMN(E17),FALSE)),"2013")),"")</f>
        <v>2018</v>
      </c>
      <c r="F16" s="72">
        <f>IFERROR(IF(VLOOKUP("Income Statement*",'7.TIKR_IS'!$A:$K,COLUMN(F17),FALSE)="","",IFERROR(YEAR(VLOOKUP("Income Statement*",'7.TIKR_IS'!$A:$K,COLUMN(F17),FALSE)),"2013")),"")</f>
        <v>2019</v>
      </c>
      <c r="G16" s="72">
        <f>IFERROR(IF(VLOOKUP("Income Statement*",'7.TIKR_IS'!$A:$K,COLUMN(G17),FALSE)="","",IFERROR(YEAR(VLOOKUP("Income Statement*",'7.TIKR_IS'!$A:$K,COLUMN(G17),FALSE)),"2013")),"")</f>
        <v>2020</v>
      </c>
      <c r="H16" s="72">
        <f>IFERROR(IF(VLOOKUP("Income Statement*",'7.TIKR_IS'!$A:$K,COLUMN(H17),FALSE)="","",IFERROR(YEAR(VLOOKUP("Income Statement*",'7.TIKR_IS'!$A:$K,COLUMN(H17),FALSE)),"2013")),"")</f>
        <v>2021</v>
      </c>
      <c r="I16" s="72">
        <f>IFERROR(IF(VLOOKUP("Income Statement*",'7.TIKR_IS'!$A:$K,COLUMN(I17),FALSE)="","",IFERROR(YEAR(VLOOKUP("Income Statement*",'7.TIKR_IS'!$A:$K,COLUMN(I17),FALSE)),"2013")),"")</f>
        <v>2022</v>
      </c>
      <c r="J16" s="72">
        <f>IFERROR(IF(VLOOKUP("Income Statement*",'7.TIKR_IS'!$A:$K,COLUMN(J17),FALSE)="","",IFERROR(YEAR(VLOOKUP("Income Statement*",'7.TIKR_IS'!$A:$K,COLUMN(J17),FALSE)),"2013")),"")</f>
        <v>2023</v>
      </c>
      <c r="K16" s="72">
        <f>IFERROR(IF(VLOOKUP("Income Statement*",'7.TIKR_IS'!$A:$K,COLUMN(K17),FALSE)="","",IFERROR(YEAR(VLOOKUP("Income Statement*",'7.TIKR_IS'!$A:$K,COLUMN(K17),FALSE)),"2013")),"")</f>
        <v>2024</v>
      </c>
      <c r="L16" s="73" t="str">
        <f>IF(K16&lt;&gt;"",(K16+1)&amp;"e","")</f>
        <v>2025e</v>
      </c>
      <c r="M16" s="73" t="str">
        <f t="shared" ref="M16:P16" si="16">IF(L16&lt;&gt;"",(LEFT(L16,4)+1)&amp;"e","")</f>
        <v>2026e</v>
      </c>
      <c r="N16" s="73" t="str">
        <f t="shared" si="16"/>
        <v>2027e</v>
      </c>
      <c r="O16" s="73" t="str">
        <f t="shared" si="16"/>
        <v>2028e</v>
      </c>
      <c r="P16" s="74" t="str">
        <f t="shared" si="16"/>
        <v>2029e</v>
      </c>
      <c r="Q16" s="75"/>
      <c r="R16" s="76" t="str">
        <f>"Promedio "&amp;B2&amp;" - "&amp;K2</f>
        <v>Promedio 2015 - 2024</v>
      </c>
      <c r="S16" s="75"/>
      <c r="T16" s="75"/>
      <c r="U16" s="77"/>
      <c r="V16" s="77"/>
      <c r="W16" s="77"/>
      <c r="X16" s="75"/>
      <c r="Y16" s="75"/>
      <c r="Z16" s="75"/>
    </row>
    <row r="17" ht="24.75" customHeight="1">
      <c r="A17" s="78" t="s">
        <v>31</v>
      </c>
      <c r="B17" s="79">
        <f>IFERROR(B9/VLOOKUP("Total Assets",'8.TIKR_BS'!$A:$K,COLUMN(B2),FALSE),"")</f>
        <v>0.02690705037</v>
      </c>
      <c r="C17" s="80">
        <f>IFERROR(C9/VLOOKUP("Total Assets",'8.TIKR_BS'!$A:$K,COLUMN(C2),FALSE),"")</f>
        <v>0.02497594332</v>
      </c>
      <c r="D17" s="80">
        <f>IFERROR(D9/VLOOKUP("Total Assets",'8.TIKR_BS'!$A:$K,COLUMN(D2),FALSE),"")</f>
        <v>0.02569805905</v>
      </c>
      <c r="E17" s="80">
        <f>IFERROR(E9/VLOOKUP("Total Assets",'8.TIKR_BS'!$A:$K,COLUMN(E2),FALSE),"")</f>
        <v>0.02354837844</v>
      </c>
      <c r="F17" s="80">
        <f>IFERROR(F9/VLOOKUP("Total Assets",'8.TIKR_BS'!$A:$K,COLUMN(F2),FALSE),"")</f>
        <v>0.02666972043</v>
      </c>
      <c r="G17" s="80">
        <f>IFERROR(G9/VLOOKUP("Total Assets",'8.TIKR_BS'!$A:$K,COLUMN(G2),FALSE),"")</f>
        <v>-0.007013882217</v>
      </c>
      <c r="H17" s="80">
        <f>IFERROR(H9/VLOOKUP("Total Assets",'8.TIKR_BS'!$A:$K,COLUMN(H2),FALSE),"")</f>
        <v>0.0135367187</v>
      </c>
      <c r="I17" s="80">
        <f>IFERROR(I9/VLOOKUP("Total Assets",'8.TIKR_BS'!$A:$K,COLUMN(I2),FALSE),"")</f>
        <v>-0.01034263381</v>
      </c>
      <c r="J17" s="80">
        <f>IFERROR(J9/VLOOKUP("Total Assets",'8.TIKR_BS'!$A:$K,COLUMN(J2),FALSE),"")</f>
        <v>0.04416498678</v>
      </c>
      <c r="K17" s="80">
        <f>IFERROR(K9/VLOOKUP("Total Assets",'8.TIKR_BS'!$A:$K,COLUMN(K2),FALSE),"")</f>
        <v>0.02937530567</v>
      </c>
      <c r="L17" s="81" t="s">
        <v>32</v>
      </c>
      <c r="M17" s="82" t="s">
        <v>32</v>
      </c>
      <c r="N17" s="82" t="s">
        <v>32</v>
      </c>
      <c r="O17" s="82" t="s">
        <v>32</v>
      </c>
      <c r="P17" s="83" t="s">
        <v>32</v>
      </c>
      <c r="Q17" s="75"/>
      <c r="R17" s="84">
        <f t="shared" ref="R17:R18" si="17">IFERROR(AVERAGE(B17:K17),"")</f>
        <v>0.01975196467</v>
      </c>
      <c r="S17" s="75"/>
      <c r="T17" s="75"/>
      <c r="U17" s="77"/>
      <c r="V17" s="77"/>
      <c r="W17" s="77"/>
      <c r="X17" s="75"/>
      <c r="Y17" s="75"/>
      <c r="Z17" s="75"/>
    </row>
    <row r="18" ht="24.75" customHeight="1">
      <c r="A18" s="85" t="s">
        <v>33</v>
      </c>
      <c r="B18" s="86">
        <f>IFERROR(B9/'TIKR_Cálculos'!B26,"")</f>
        <v>0.1397100101</v>
      </c>
      <c r="C18" s="87">
        <f>IFERROR(C9/'TIKR_Cálculos'!C26,"")</f>
        <v>0.1211231074</v>
      </c>
      <c r="D18" s="87">
        <f>IFERROR(D9/'TIKR_Cálculos'!D26,"")</f>
        <v>0.1250577336</v>
      </c>
      <c r="E18" s="87">
        <f>IFERROR(E9/'TIKR_Cálculos'!E26,"")</f>
        <v>0.1145754627</v>
      </c>
      <c r="F18" s="87">
        <f>IFERROR(F9/'TIKR_Cálculos'!F26,"")</f>
        <v>0.1243608915</v>
      </c>
      <c r="G18" s="87">
        <f>IFERROR(G9/'TIKR_Cálculos'!G26,"")</f>
        <v>-0.0330165497</v>
      </c>
      <c r="H18" s="87">
        <f>IFERROR(H9/'TIKR_Cálculos'!H26,"")</f>
        <v>0.06063604079</v>
      </c>
      <c r="I18" s="87">
        <f>IFERROR(I9/'TIKR_Cálculos'!I26,"")</f>
        <v>-0.04452965567</v>
      </c>
      <c r="J18" s="87">
        <f>IFERROR(J9/'TIKR_Cálculos'!J26,"")</f>
        <v>0.1897540848</v>
      </c>
      <c r="K18" s="87">
        <f>IFERROR(K9/'TIKR_Cálculos'!K26,"")</f>
        <v>0.12212108</v>
      </c>
      <c r="L18" s="86">
        <f>IFERROR(L9/'TIKR_Cálculos'!L26,"")</f>
        <v>0.1079653465</v>
      </c>
      <c r="M18" s="88">
        <f>IFERROR(M9/'TIKR_Cálculos'!M26,"")</f>
        <v>0.09920025927</v>
      </c>
      <c r="N18" s="88">
        <f>IFERROR(N9/'TIKR_Cálculos'!N26,"")</f>
        <v>0.09188676929</v>
      </c>
      <c r="O18" s="88">
        <f>IFERROR(O9/'TIKR_Cálculos'!O26,"")</f>
        <v>0.08569297321</v>
      </c>
      <c r="P18" s="89">
        <f>IFERROR(P9/'TIKR_Cálculos'!P26,"")</f>
        <v>0.08038098534</v>
      </c>
      <c r="Q18" s="75"/>
      <c r="R18" s="90">
        <f t="shared" si="17"/>
        <v>0.09197922056</v>
      </c>
      <c r="S18" s="75"/>
      <c r="T18" s="75"/>
      <c r="U18" s="77"/>
      <c r="V18" s="77"/>
      <c r="W18" s="77"/>
      <c r="X18" s="75"/>
      <c r="Y18" s="75"/>
      <c r="Z18" s="75"/>
    </row>
    <row r="19" ht="19.5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7"/>
      <c r="V19" s="77"/>
      <c r="W19" s="77"/>
      <c r="X19" s="75"/>
      <c r="Y19" s="75"/>
      <c r="Z19" s="75"/>
    </row>
    <row r="20" ht="43.5" customHeight="1">
      <c r="A20" s="71" t="s">
        <v>34</v>
      </c>
      <c r="B20" s="72">
        <f>IFERROR(IF(VLOOKUP("Income Statement*",'7.TIKR_IS'!$A:$K,COLUMN(B21),FALSE)="","",IFERROR(YEAR(VLOOKUP("Income Statement*",'7.TIKR_IS'!$A:$K,COLUMN(B21),FALSE)),"2013")),"")</f>
        <v>2015</v>
      </c>
      <c r="C20" s="72">
        <f>IFERROR(IF(VLOOKUP("Income Statement*",'7.TIKR_IS'!$A:$K,COLUMN(C21),FALSE)="","",IFERROR(YEAR(VLOOKUP("Income Statement*",'7.TIKR_IS'!$A:$K,COLUMN(C21),FALSE)),"2013")),"")</f>
        <v>2016</v>
      </c>
      <c r="D20" s="72">
        <f>IFERROR(IF(VLOOKUP("Income Statement*",'7.TIKR_IS'!$A:$K,COLUMN(D21),FALSE)="","",IFERROR(YEAR(VLOOKUP("Income Statement*",'7.TIKR_IS'!$A:$K,COLUMN(D21),FALSE)),"2013")),"")</f>
        <v>2017</v>
      </c>
      <c r="E20" s="72">
        <f>IFERROR(IF(VLOOKUP("Income Statement*",'7.TIKR_IS'!$A:$K,COLUMN(E21),FALSE)="","",IFERROR(YEAR(VLOOKUP("Income Statement*",'7.TIKR_IS'!$A:$K,COLUMN(E21),FALSE)),"2013")),"")</f>
        <v>2018</v>
      </c>
      <c r="F20" s="72">
        <f>IFERROR(IF(VLOOKUP("Income Statement*",'7.TIKR_IS'!$A:$K,COLUMN(F21),FALSE)="","",IFERROR(YEAR(VLOOKUP("Income Statement*",'7.TIKR_IS'!$A:$K,COLUMN(F21),FALSE)),"2013")),"")</f>
        <v>2019</v>
      </c>
      <c r="G20" s="72">
        <f>IFERROR(IF(VLOOKUP("Income Statement*",'7.TIKR_IS'!$A:$K,COLUMN(G21),FALSE)="","",IFERROR(YEAR(VLOOKUP("Income Statement*",'7.TIKR_IS'!$A:$K,COLUMN(G21),FALSE)),"2013")),"")</f>
        <v>2020</v>
      </c>
      <c r="H20" s="72">
        <f>IFERROR(IF(VLOOKUP("Income Statement*",'7.TIKR_IS'!$A:$K,COLUMN(H21),FALSE)="","",IFERROR(YEAR(VLOOKUP("Income Statement*",'7.TIKR_IS'!$A:$K,COLUMN(H21),FALSE)),"2013")),"")</f>
        <v>2021</v>
      </c>
      <c r="I20" s="72">
        <f>IFERROR(IF(VLOOKUP("Income Statement*",'7.TIKR_IS'!$A:$K,COLUMN(I21),FALSE)="","",IFERROR(YEAR(VLOOKUP("Income Statement*",'7.TIKR_IS'!$A:$K,COLUMN(I21),FALSE)),"2013")),"")</f>
        <v>2022</v>
      </c>
      <c r="J20" s="72">
        <f>IFERROR(IF(VLOOKUP("Income Statement*",'7.TIKR_IS'!$A:$K,COLUMN(J21),FALSE)="","",IFERROR(YEAR(VLOOKUP("Income Statement*",'7.TIKR_IS'!$A:$K,COLUMN(J21),FALSE)),"2013")),"")</f>
        <v>2023</v>
      </c>
      <c r="K20" s="72">
        <f>IFERROR(IF(VLOOKUP("Income Statement*",'7.TIKR_IS'!$A:$K,COLUMN(K21),FALSE)="","",IFERROR(YEAR(VLOOKUP("Income Statement*",'7.TIKR_IS'!$A:$K,COLUMN(K21),FALSE)),"2013")),"")</f>
        <v>2024</v>
      </c>
      <c r="L20" s="62"/>
      <c r="M20" s="62"/>
      <c r="N20" s="62"/>
      <c r="O20" s="62"/>
      <c r="P20" s="62"/>
      <c r="Q20" s="18"/>
      <c r="R20" s="18"/>
      <c r="S20" s="62"/>
      <c r="T20" s="62"/>
      <c r="U20" s="22"/>
      <c r="V20" s="22"/>
      <c r="W20" s="22"/>
      <c r="X20" s="23"/>
      <c r="Y20" s="23"/>
      <c r="Z20" s="23"/>
    </row>
    <row r="21" ht="24.75" customHeight="1">
      <c r="A21" s="85" t="s">
        <v>35</v>
      </c>
      <c r="B21" s="91">
        <f>IFERROR('TIKR_Cálculos'!B29,"")</f>
        <v>4.192319789</v>
      </c>
      <c r="C21" s="92">
        <f>IFERROR('TIKR_Cálculos'!C29,"")</f>
        <v>3.8495909</v>
      </c>
      <c r="D21" s="92">
        <f>IFERROR('TIKR_Cálculos'!D29,"")</f>
        <v>3.866427205</v>
      </c>
      <c r="E21" s="92">
        <f>IFERROR('TIKR_Cálculos'!E29,"")</f>
        <v>3.865534012</v>
      </c>
      <c r="F21" s="92">
        <f>IFERROR('TIKR_Cálculos'!F29,"")</f>
        <v>3.663000508</v>
      </c>
      <c r="G21" s="92">
        <f>IFERROR('TIKR_Cálculos'!G29,"")</f>
        <v>3.707314534</v>
      </c>
      <c r="H21" s="92">
        <f>IFERROR('TIKR_Cálculos'!H29,"")</f>
        <v>3.479375108</v>
      </c>
      <c r="I21" s="92">
        <f>IFERROR('TIKR_Cálculos'!I29,"")</f>
        <v>3.305446417</v>
      </c>
      <c r="J21" s="92">
        <f>IFERROR('TIKR_Cálculos'!J29,"")</f>
        <v>3.296482318</v>
      </c>
      <c r="K21" s="93">
        <f>IFERROR('TIKR_Cálculos'!K29,"")</f>
        <v>3.157269522</v>
      </c>
      <c r="L21" s="62"/>
      <c r="M21" s="62"/>
      <c r="N21" s="62"/>
      <c r="O21" s="62"/>
      <c r="P21" s="62"/>
      <c r="Q21" s="18"/>
      <c r="R21" s="18"/>
      <c r="S21" s="62"/>
      <c r="T21" s="62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18"/>
      <c r="R22" s="18"/>
      <c r="S22" s="62"/>
      <c r="T22" s="62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18"/>
      <c r="R23" s="18"/>
      <c r="S23" s="62"/>
      <c r="T23" s="62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18"/>
      <c r="R24" s="18"/>
      <c r="S24" s="62"/>
      <c r="T24" s="62"/>
      <c r="U24" s="22"/>
      <c r="V24" s="22"/>
      <c r="W24" s="22"/>
      <c r="X24" s="23"/>
      <c r="Y24" s="23"/>
      <c r="Z24" s="23"/>
    </row>
    <row r="25" ht="17.2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18"/>
      <c r="R25" s="18"/>
      <c r="S25" s="62"/>
      <c r="T25" s="62"/>
      <c r="U25" s="23"/>
      <c r="V25" s="23"/>
      <c r="W25" s="23"/>
      <c r="X25" s="23"/>
      <c r="Y25" s="23"/>
      <c r="Z25" s="23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18"/>
      <c r="R26" s="18"/>
      <c r="S26" s="62"/>
      <c r="T26" s="62"/>
      <c r="U26" s="23"/>
      <c r="V26" s="23"/>
      <c r="W26" s="23"/>
      <c r="X26" s="23"/>
      <c r="Y26" s="23"/>
      <c r="Z26" s="23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18"/>
      <c r="R27" s="18"/>
      <c r="S27" s="62"/>
      <c r="T27" s="62"/>
      <c r="U27" s="23"/>
      <c r="V27" s="23"/>
      <c r="W27" s="23"/>
      <c r="X27" s="23"/>
      <c r="Y27" s="23"/>
      <c r="Z27" s="23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18"/>
      <c r="R28" s="18"/>
      <c r="S28" s="62"/>
      <c r="T28" s="62"/>
      <c r="U28" s="23"/>
      <c r="V28" s="23"/>
      <c r="W28" s="23"/>
      <c r="X28" s="23"/>
      <c r="Y28" s="23"/>
      <c r="Z28" s="23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18"/>
      <c r="R29" s="18"/>
      <c r="S29" s="62"/>
      <c r="T29" s="62"/>
      <c r="U29" s="23"/>
      <c r="V29" s="23"/>
      <c r="W29" s="23"/>
      <c r="X29" s="23"/>
      <c r="Y29" s="23"/>
      <c r="Z29" s="23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18"/>
      <c r="R30" s="18"/>
      <c r="S30" s="62"/>
      <c r="T30" s="62"/>
      <c r="U30" s="23"/>
      <c r="V30" s="23"/>
      <c r="W30" s="23"/>
      <c r="X30" s="23"/>
      <c r="Y30" s="23"/>
      <c r="Z30" s="23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18"/>
      <c r="R31" s="18"/>
      <c r="S31" s="62"/>
      <c r="T31" s="62"/>
      <c r="U31" s="23"/>
      <c r="V31" s="23"/>
      <c r="W31" s="23"/>
      <c r="X31" s="23"/>
      <c r="Y31" s="23"/>
      <c r="Z31" s="23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8"/>
      <c r="R32" s="18"/>
      <c r="S32" s="62"/>
      <c r="T32" s="62"/>
      <c r="U32" s="23"/>
      <c r="V32" s="23"/>
      <c r="W32" s="23"/>
      <c r="X32" s="23"/>
      <c r="Y32" s="23"/>
      <c r="Z32" s="23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18"/>
      <c r="R33" s="18"/>
      <c r="S33" s="62"/>
      <c r="T33" s="62"/>
      <c r="U33" s="23"/>
      <c r="V33" s="23"/>
      <c r="W33" s="23"/>
      <c r="X33" s="23"/>
      <c r="Y33" s="23"/>
      <c r="Z33" s="23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62"/>
      <c r="T34" s="62"/>
      <c r="U34" s="23"/>
      <c r="V34" s="23"/>
      <c r="W34" s="23"/>
      <c r="X34" s="23"/>
      <c r="Y34" s="23"/>
      <c r="Z34" s="23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18"/>
      <c r="R35" s="18"/>
      <c r="S35" s="62"/>
      <c r="T35" s="62"/>
      <c r="U35" s="23"/>
      <c r="V35" s="23"/>
      <c r="W35" s="23"/>
      <c r="X35" s="23"/>
      <c r="Y35" s="23"/>
      <c r="Z35" s="23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18"/>
      <c r="R36" s="18"/>
      <c r="S36" s="62"/>
      <c r="T36" s="62"/>
      <c r="U36" s="23"/>
      <c r="V36" s="23"/>
      <c r="W36" s="23"/>
      <c r="X36" s="23"/>
      <c r="Y36" s="23"/>
      <c r="Z36" s="23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18"/>
      <c r="R37" s="18"/>
      <c r="S37" s="62"/>
      <c r="T37" s="62"/>
      <c r="U37" s="23"/>
      <c r="V37" s="23"/>
      <c r="W37" s="23"/>
      <c r="X37" s="23"/>
      <c r="Y37" s="23"/>
      <c r="Z37" s="23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18"/>
      <c r="R38" s="18"/>
      <c r="S38" s="62"/>
      <c r="T38" s="62"/>
      <c r="U38" s="23"/>
      <c r="V38" s="23"/>
      <c r="W38" s="23"/>
      <c r="X38" s="23"/>
      <c r="Y38" s="23"/>
      <c r="Z38" s="23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8"/>
      <c r="R39" s="18"/>
      <c r="S39" s="62"/>
      <c r="T39" s="62"/>
      <c r="U39" s="23"/>
      <c r="V39" s="23"/>
      <c r="W39" s="23"/>
      <c r="X39" s="23"/>
      <c r="Y39" s="23"/>
      <c r="Z39" s="23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18"/>
      <c r="R40" s="18"/>
      <c r="S40" s="62"/>
      <c r="T40" s="62"/>
      <c r="U40" s="23"/>
      <c r="V40" s="23"/>
      <c r="W40" s="23"/>
      <c r="X40" s="23"/>
      <c r="Y40" s="23"/>
      <c r="Z40" s="23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18"/>
      <c r="R41" s="18"/>
      <c r="S41" s="62"/>
      <c r="T41" s="62"/>
      <c r="U41" s="23"/>
      <c r="V41" s="23"/>
      <c r="W41" s="23"/>
      <c r="X41" s="23"/>
      <c r="Y41" s="23"/>
      <c r="Z41" s="23"/>
    </row>
    <row r="42" ht="17.25" hidden="1" customHeight="1">
      <c r="A42" s="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18"/>
      <c r="R42" s="18"/>
      <c r="S42" s="62"/>
      <c r="T42" s="62"/>
      <c r="U42" s="23"/>
      <c r="V42" s="23"/>
      <c r="W42" s="23"/>
      <c r="X42" s="23"/>
      <c r="Y42" s="23"/>
      <c r="Z42" s="23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18"/>
      <c r="R43" s="18"/>
      <c r="S43" s="62"/>
      <c r="T43" s="62"/>
      <c r="U43" s="23"/>
      <c r="V43" s="23"/>
      <c r="W43" s="23"/>
      <c r="X43" s="23"/>
      <c r="Y43" s="23"/>
      <c r="Z43" s="23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8"/>
      <c r="R44" s="18"/>
      <c r="S44" s="62"/>
      <c r="T44" s="62"/>
      <c r="U44" s="23"/>
      <c r="V44" s="23"/>
      <c r="W44" s="23"/>
      <c r="X44" s="23"/>
      <c r="Y44" s="23"/>
      <c r="Z44" s="23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8"/>
      <c r="R45" s="18"/>
      <c r="S45" s="62"/>
      <c r="T45" s="62"/>
      <c r="U45" s="23"/>
      <c r="V45" s="23"/>
      <c r="W45" s="23"/>
      <c r="X45" s="23"/>
      <c r="Y45" s="23"/>
      <c r="Z45" s="23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18"/>
      <c r="R46" s="18"/>
      <c r="S46" s="62"/>
      <c r="T46" s="62"/>
      <c r="U46" s="23"/>
      <c r="V46" s="23"/>
      <c r="W46" s="23"/>
      <c r="X46" s="23"/>
      <c r="Y46" s="23"/>
      <c r="Z46" s="23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18"/>
      <c r="R47" s="18"/>
      <c r="S47" s="62"/>
      <c r="T47" s="62"/>
      <c r="U47" s="23"/>
      <c r="V47" s="23"/>
      <c r="W47" s="23"/>
      <c r="X47" s="23"/>
      <c r="Y47" s="23"/>
      <c r="Z47" s="23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18"/>
      <c r="R48" s="18"/>
      <c r="S48" s="62"/>
      <c r="T48" s="62"/>
      <c r="U48" s="23"/>
      <c r="V48" s="23"/>
      <c r="W48" s="23"/>
      <c r="X48" s="23"/>
      <c r="Y48" s="23"/>
      <c r="Z48" s="23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18"/>
      <c r="R49" s="18"/>
      <c r="S49" s="62"/>
      <c r="T49" s="62"/>
      <c r="U49" s="23"/>
      <c r="V49" s="23"/>
      <c r="W49" s="23"/>
      <c r="X49" s="23"/>
      <c r="Y49" s="23"/>
      <c r="Z49" s="23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8"/>
      <c r="R50" s="18"/>
      <c r="S50" s="62"/>
      <c r="T50" s="62"/>
      <c r="U50" s="23"/>
      <c r="V50" s="23"/>
      <c r="W50" s="23"/>
      <c r="X50" s="23"/>
      <c r="Y50" s="23"/>
      <c r="Z50" s="23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8"/>
      <c r="R51" s="18"/>
      <c r="S51" s="62"/>
      <c r="T51" s="62"/>
      <c r="U51" s="23"/>
      <c r="V51" s="23"/>
      <c r="W51" s="23"/>
      <c r="X51" s="23"/>
      <c r="Y51" s="23"/>
      <c r="Z51" s="23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18"/>
      <c r="R52" s="18"/>
      <c r="S52" s="62"/>
      <c r="T52" s="62"/>
      <c r="U52" s="23"/>
      <c r="V52" s="23"/>
      <c r="W52" s="23"/>
      <c r="X52" s="23"/>
      <c r="Y52" s="23"/>
      <c r="Z52" s="23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18"/>
      <c r="R53" s="18"/>
      <c r="S53" s="62"/>
      <c r="T53" s="62"/>
      <c r="U53" s="23"/>
      <c r="V53" s="23"/>
      <c r="W53" s="23"/>
      <c r="X53" s="23"/>
      <c r="Y53" s="23"/>
      <c r="Z53" s="23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18"/>
      <c r="R54" s="18"/>
      <c r="S54" s="62"/>
      <c r="T54" s="62"/>
      <c r="U54" s="23"/>
      <c r="V54" s="23"/>
      <c r="W54" s="23"/>
      <c r="X54" s="23"/>
      <c r="Y54" s="23"/>
      <c r="Z54" s="23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18"/>
      <c r="R55" s="18"/>
      <c r="S55" s="62"/>
      <c r="T55" s="62"/>
      <c r="U55" s="23"/>
      <c r="V55" s="23"/>
      <c r="W55" s="23"/>
      <c r="X55" s="23"/>
      <c r="Y55" s="23"/>
      <c r="Z55" s="23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8"/>
      <c r="R56" s="18"/>
      <c r="S56" s="62"/>
      <c r="T56" s="62"/>
      <c r="U56" s="23"/>
      <c r="V56" s="23"/>
      <c r="W56" s="23"/>
      <c r="X56" s="23"/>
      <c r="Y56" s="23"/>
      <c r="Z56" s="23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8"/>
      <c r="R57" s="18"/>
      <c r="S57" s="62"/>
      <c r="T57" s="62"/>
      <c r="U57" s="23"/>
      <c r="V57" s="23"/>
      <c r="W57" s="23"/>
      <c r="X57" s="23"/>
      <c r="Y57" s="23"/>
      <c r="Z57" s="23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18"/>
      <c r="R58" s="18"/>
      <c r="S58" s="62"/>
      <c r="T58" s="62"/>
      <c r="U58" s="23"/>
      <c r="V58" s="23"/>
      <c r="W58" s="23"/>
      <c r="X58" s="23"/>
      <c r="Y58" s="23"/>
      <c r="Z58" s="23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18"/>
      <c r="R59" s="18"/>
      <c r="S59" s="62"/>
      <c r="T59" s="62"/>
      <c r="U59" s="23"/>
      <c r="V59" s="23"/>
      <c r="W59" s="23"/>
      <c r="X59" s="23"/>
      <c r="Y59" s="23"/>
      <c r="Z59" s="23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18"/>
      <c r="R60" s="18"/>
      <c r="S60" s="62"/>
      <c r="T60" s="62"/>
      <c r="U60" s="23"/>
      <c r="V60" s="23"/>
      <c r="W60" s="23"/>
      <c r="X60" s="23"/>
      <c r="Y60" s="23"/>
      <c r="Z60" s="23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18"/>
      <c r="R61" s="18"/>
      <c r="S61" s="62"/>
      <c r="T61" s="62"/>
      <c r="U61" s="23"/>
      <c r="V61" s="23"/>
      <c r="W61" s="23"/>
      <c r="X61" s="23"/>
      <c r="Y61" s="23"/>
      <c r="Z61" s="23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8"/>
      <c r="R62" s="18"/>
      <c r="S62" s="62"/>
      <c r="T62" s="62"/>
      <c r="U62" s="23"/>
      <c r="V62" s="23"/>
      <c r="W62" s="23"/>
      <c r="X62" s="23"/>
      <c r="Y62" s="23"/>
      <c r="Z62" s="23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8"/>
      <c r="R63" s="18"/>
      <c r="S63" s="62"/>
      <c r="T63" s="62"/>
      <c r="U63" s="23"/>
      <c r="V63" s="23"/>
      <c r="W63" s="23"/>
      <c r="X63" s="23"/>
      <c r="Y63" s="23"/>
      <c r="Z63" s="23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18"/>
      <c r="R64" s="18"/>
      <c r="S64" s="62"/>
      <c r="T64" s="62"/>
      <c r="U64" s="23"/>
      <c r="V64" s="23"/>
      <c r="W64" s="23"/>
      <c r="X64" s="23"/>
      <c r="Y64" s="23"/>
      <c r="Z64" s="23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18"/>
      <c r="R65" s="18"/>
      <c r="S65" s="62"/>
      <c r="T65" s="62"/>
      <c r="U65" s="23"/>
      <c r="V65" s="23"/>
      <c r="W65" s="23"/>
      <c r="X65" s="23"/>
      <c r="Y65" s="23"/>
      <c r="Z65" s="23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18"/>
      <c r="R66" s="18"/>
      <c r="S66" s="62"/>
      <c r="T66" s="62"/>
      <c r="U66" s="23"/>
      <c r="V66" s="23"/>
      <c r="W66" s="23"/>
      <c r="X66" s="23"/>
      <c r="Y66" s="23"/>
      <c r="Z66" s="23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18"/>
      <c r="R67" s="18"/>
      <c r="S67" s="62"/>
      <c r="T67" s="62"/>
      <c r="U67" s="23"/>
      <c r="V67" s="23"/>
      <c r="W67" s="23"/>
      <c r="X67" s="23"/>
      <c r="Y67" s="23"/>
      <c r="Z67" s="23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8"/>
      <c r="R68" s="18"/>
      <c r="S68" s="62"/>
      <c r="T68" s="62"/>
      <c r="U68" s="23"/>
      <c r="V68" s="23"/>
      <c r="W68" s="23"/>
      <c r="X68" s="23"/>
      <c r="Y68" s="23"/>
      <c r="Z68" s="23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8"/>
      <c r="R69" s="18"/>
      <c r="S69" s="62"/>
      <c r="T69" s="62"/>
      <c r="U69" s="23"/>
      <c r="V69" s="23"/>
      <c r="W69" s="23"/>
      <c r="X69" s="23"/>
      <c r="Y69" s="23"/>
      <c r="Z69" s="23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18"/>
      <c r="R70" s="18"/>
      <c r="S70" s="62"/>
      <c r="T70" s="62"/>
      <c r="U70" s="23"/>
      <c r="V70" s="23"/>
      <c r="W70" s="23"/>
      <c r="X70" s="23"/>
      <c r="Y70" s="23"/>
      <c r="Z70" s="23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18"/>
      <c r="R71" s="18"/>
      <c r="S71" s="62"/>
      <c r="T71" s="62"/>
      <c r="U71" s="23"/>
      <c r="V71" s="23"/>
      <c r="W71" s="23"/>
      <c r="X71" s="23"/>
      <c r="Y71" s="23"/>
      <c r="Z71" s="23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18"/>
      <c r="R72" s="18"/>
      <c r="S72" s="62"/>
      <c r="T72" s="62"/>
      <c r="U72" s="23"/>
      <c r="V72" s="23"/>
      <c r="W72" s="23"/>
      <c r="X72" s="23"/>
      <c r="Y72" s="23"/>
      <c r="Z72" s="23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18"/>
      <c r="R73" s="18"/>
      <c r="S73" s="62"/>
      <c r="T73" s="62"/>
      <c r="U73" s="23"/>
      <c r="V73" s="23"/>
      <c r="W73" s="23"/>
      <c r="X73" s="23"/>
      <c r="Y73" s="23"/>
      <c r="Z73" s="23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8"/>
      <c r="R74" s="18"/>
      <c r="S74" s="62"/>
      <c r="T74" s="62"/>
      <c r="U74" s="23"/>
      <c r="V74" s="23"/>
      <c r="W74" s="23"/>
      <c r="X74" s="23"/>
      <c r="Y74" s="23"/>
      <c r="Z74" s="23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8"/>
      <c r="R75" s="18"/>
      <c r="S75" s="62"/>
      <c r="T75" s="62"/>
      <c r="U75" s="23"/>
      <c r="V75" s="23"/>
      <c r="W75" s="23"/>
      <c r="X75" s="23"/>
      <c r="Y75" s="23"/>
      <c r="Z75" s="23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18"/>
      <c r="R76" s="18"/>
      <c r="S76" s="62"/>
      <c r="T76" s="62"/>
      <c r="U76" s="23"/>
      <c r="V76" s="23"/>
      <c r="W76" s="23"/>
      <c r="X76" s="23"/>
      <c r="Y76" s="23"/>
      <c r="Z76" s="23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18"/>
      <c r="R77" s="18"/>
      <c r="S77" s="62"/>
      <c r="T77" s="62"/>
      <c r="U77" s="23"/>
      <c r="V77" s="23"/>
      <c r="W77" s="23"/>
      <c r="X77" s="23"/>
      <c r="Y77" s="23"/>
      <c r="Z77" s="23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18"/>
      <c r="R78" s="18"/>
      <c r="S78" s="62"/>
      <c r="T78" s="62"/>
      <c r="U78" s="23"/>
      <c r="V78" s="23"/>
      <c r="W78" s="23"/>
      <c r="X78" s="23"/>
      <c r="Y78" s="23"/>
      <c r="Z78" s="23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18"/>
      <c r="R79" s="18"/>
      <c r="S79" s="62"/>
      <c r="T79" s="62"/>
      <c r="U79" s="23"/>
      <c r="V79" s="23"/>
      <c r="W79" s="23"/>
      <c r="X79" s="23"/>
      <c r="Y79" s="23"/>
      <c r="Z79" s="23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18"/>
      <c r="R80" s="18"/>
      <c r="S80" s="62"/>
      <c r="T80" s="62"/>
      <c r="U80" s="23"/>
      <c r="V80" s="23"/>
      <c r="W80" s="23"/>
      <c r="X80" s="23"/>
      <c r="Y80" s="23"/>
      <c r="Z80" s="23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18"/>
      <c r="R81" s="18"/>
      <c r="S81" s="62"/>
      <c r="T81" s="62"/>
      <c r="U81" s="23"/>
      <c r="V81" s="23"/>
      <c r="W81" s="23"/>
      <c r="X81" s="23"/>
      <c r="Y81" s="23"/>
      <c r="Z81" s="23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18"/>
      <c r="R82" s="18"/>
      <c r="S82" s="62"/>
      <c r="T82" s="62"/>
      <c r="U82" s="23"/>
      <c r="V82" s="23"/>
      <c r="W82" s="23"/>
      <c r="X82" s="23"/>
      <c r="Y82" s="23"/>
      <c r="Z82" s="23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18"/>
      <c r="R83" s="18"/>
      <c r="S83" s="62"/>
      <c r="T83" s="62"/>
      <c r="U83" s="23"/>
      <c r="V83" s="23"/>
      <c r="W83" s="23"/>
      <c r="X83" s="23"/>
      <c r="Y83" s="23"/>
      <c r="Z83" s="23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18"/>
      <c r="R84" s="18"/>
      <c r="S84" s="62"/>
      <c r="T84" s="62"/>
      <c r="U84" s="23"/>
      <c r="V84" s="23"/>
      <c r="W84" s="23"/>
      <c r="X84" s="23"/>
      <c r="Y84" s="23"/>
      <c r="Z84" s="23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18"/>
      <c r="R85" s="18"/>
      <c r="S85" s="62"/>
      <c r="T85" s="62"/>
      <c r="U85" s="23"/>
      <c r="V85" s="23"/>
      <c r="W85" s="23"/>
      <c r="X85" s="23"/>
      <c r="Y85" s="23"/>
      <c r="Z85" s="23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18"/>
      <c r="R86" s="18"/>
      <c r="S86" s="62"/>
      <c r="T86" s="62"/>
      <c r="U86" s="23"/>
      <c r="V86" s="23"/>
      <c r="W86" s="23"/>
      <c r="X86" s="23"/>
      <c r="Y86" s="23"/>
      <c r="Z86" s="23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18"/>
      <c r="R87" s="18"/>
      <c r="S87" s="62"/>
      <c r="T87" s="62"/>
      <c r="U87" s="23"/>
      <c r="V87" s="23"/>
      <c r="W87" s="23"/>
      <c r="X87" s="23"/>
      <c r="Y87" s="23"/>
      <c r="Z87" s="23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18"/>
      <c r="R88" s="18"/>
      <c r="S88" s="62"/>
      <c r="T88" s="62"/>
      <c r="U88" s="23"/>
      <c r="V88" s="23"/>
      <c r="W88" s="23"/>
      <c r="X88" s="23"/>
      <c r="Y88" s="23"/>
      <c r="Z88" s="23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18"/>
      <c r="R89" s="18"/>
      <c r="S89" s="62"/>
      <c r="T89" s="62"/>
      <c r="U89" s="23"/>
      <c r="V89" s="23"/>
      <c r="W89" s="23"/>
      <c r="X89" s="23"/>
      <c r="Y89" s="23"/>
      <c r="Z89" s="23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18"/>
      <c r="R90" s="18"/>
      <c r="S90" s="62"/>
      <c r="T90" s="62"/>
      <c r="U90" s="23"/>
      <c r="V90" s="23"/>
      <c r="W90" s="23"/>
      <c r="X90" s="23"/>
      <c r="Y90" s="23"/>
      <c r="Z90" s="23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18"/>
      <c r="R91" s="18"/>
      <c r="S91" s="62"/>
      <c r="T91" s="62"/>
      <c r="U91" s="23"/>
      <c r="V91" s="23"/>
      <c r="W91" s="23"/>
      <c r="X91" s="23"/>
      <c r="Y91" s="23"/>
      <c r="Z91" s="23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18"/>
      <c r="R92" s="18"/>
      <c r="S92" s="62"/>
      <c r="T92" s="62"/>
      <c r="U92" s="23"/>
      <c r="V92" s="23"/>
      <c r="W92" s="23"/>
      <c r="X92" s="23"/>
      <c r="Y92" s="23"/>
      <c r="Z92" s="23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18"/>
      <c r="R93" s="18"/>
      <c r="S93" s="62"/>
      <c r="T93" s="62"/>
      <c r="U93" s="23"/>
      <c r="V93" s="23"/>
      <c r="W93" s="23"/>
      <c r="X93" s="23"/>
      <c r="Y93" s="23"/>
      <c r="Z93" s="23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18"/>
      <c r="R94" s="18"/>
      <c r="S94" s="62"/>
      <c r="T94" s="62"/>
      <c r="U94" s="23"/>
      <c r="V94" s="23"/>
      <c r="W94" s="23"/>
      <c r="X94" s="23"/>
      <c r="Y94" s="23"/>
      <c r="Z94" s="23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18"/>
      <c r="R95" s="18"/>
      <c r="S95" s="62"/>
      <c r="T95" s="62"/>
      <c r="U95" s="23"/>
      <c r="V95" s="23"/>
      <c r="W95" s="23"/>
      <c r="X95" s="23"/>
      <c r="Y95" s="23"/>
      <c r="Z95" s="23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18"/>
      <c r="R96" s="18"/>
      <c r="S96" s="62"/>
      <c r="T96" s="62"/>
      <c r="U96" s="23"/>
      <c r="V96" s="23"/>
      <c r="W96" s="23"/>
      <c r="X96" s="23"/>
      <c r="Y96" s="23"/>
      <c r="Z96" s="23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18"/>
      <c r="R97" s="18"/>
      <c r="S97" s="62"/>
      <c r="T97" s="62"/>
      <c r="U97" s="23"/>
      <c r="V97" s="23"/>
      <c r="W97" s="23"/>
      <c r="X97" s="23"/>
      <c r="Y97" s="23"/>
      <c r="Z97" s="23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18"/>
      <c r="R98" s="18"/>
      <c r="S98" s="62"/>
      <c r="T98" s="62"/>
      <c r="U98" s="23"/>
      <c r="V98" s="23"/>
      <c r="W98" s="23"/>
      <c r="X98" s="23"/>
      <c r="Y98" s="23"/>
      <c r="Z98" s="23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18"/>
      <c r="R99" s="18"/>
      <c r="S99" s="62"/>
      <c r="T99" s="62"/>
      <c r="U99" s="23"/>
      <c r="V99" s="23"/>
      <c r="W99" s="23"/>
      <c r="X99" s="23"/>
      <c r="Y99" s="23"/>
      <c r="Z99" s="23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18"/>
      <c r="R100" s="18"/>
      <c r="S100" s="62"/>
      <c r="T100" s="62"/>
      <c r="U100" s="23"/>
      <c r="V100" s="23"/>
      <c r="W100" s="23"/>
      <c r="X100" s="23"/>
      <c r="Y100" s="23"/>
      <c r="Z100" s="23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18"/>
      <c r="R101" s="18"/>
      <c r="S101" s="62"/>
      <c r="T101" s="62"/>
      <c r="U101" s="23"/>
      <c r="V101" s="23"/>
      <c r="W101" s="23"/>
      <c r="X101" s="23"/>
      <c r="Y101" s="23"/>
      <c r="Z101" s="23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18"/>
      <c r="R102" s="18"/>
      <c r="S102" s="62"/>
      <c r="T102" s="62"/>
      <c r="U102" s="23"/>
      <c r="V102" s="23"/>
      <c r="W102" s="23"/>
      <c r="X102" s="23"/>
      <c r="Y102" s="23"/>
      <c r="Z102" s="23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18"/>
      <c r="R103" s="18"/>
      <c r="S103" s="62"/>
      <c r="T103" s="62"/>
      <c r="U103" s="23"/>
      <c r="V103" s="23"/>
      <c r="W103" s="23"/>
      <c r="X103" s="23"/>
      <c r="Y103" s="23"/>
      <c r="Z103" s="23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18"/>
      <c r="R104" s="18"/>
      <c r="S104" s="62"/>
      <c r="T104" s="62"/>
      <c r="U104" s="23"/>
      <c r="V104" s="23"/>
      <c r="W104" s="23"/>
      <c r="X104" s="23"/>
      <c r="Y104" s="23"/>
      <c r="Z104" s="23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18"/>
      <c r="R105" s="18"/>
      <c r="S105" s="62"/>
      <c r="T105" s="62"/>
      <c r="U105" s="23"/>
      <c r="V105" s="23"/>
      <c r="W105" s="23"/>
      <c r="X105" s="23"/>
      <c r="Y105" s="23"/>
      <c r="Z105" s="23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18"/>
      <c r="R106" s="18"/>
      <c r="S106" s="62"/>
      <c r="T106" s="62"/>
      <c r="U106" s="23"/>
      <c r="V106" s="23"/>
      <c r="W106" s="23"/>
      <c r="X106" s="23"/>
      <c r="Y106" s="23"/>
      <c r="Z106" s="23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18"/>
      <c r="R107" s="18"/>
      <c r="S107" s="62"/>
      <c r="T107" s="62"/>
      <c r="U107" s="23"/>
      <c r="V107" s="23"/>
      <c r="W107" s="23"/>
      <c r="X107" s="23"/>
      <c r="Y107" s="23"/>
      <c r="Z107" s="23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18"/>
      <c r="R108" s="18"/>
      <c r="S108" s="62"/>
      <c r="T108" s="62"/>
      <c r="U108" s="23"/>
      <c r="V108" s="23"/>
      <c r="W108" s="23"/>
      <c r="X108" s="23"/>
      <c r="Y108" s="23"/>
      <c r="Z108" s="23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18"/>
      <c r="R109" s="18"/>
      <c r="S109" s="62"/>
      <c r="T109" s="62"/>
      <c r="U109" s="23"/>
      <c r="V109" s="23"/>
      <c r="W109" s="23"/>
      <c r="X109" s="23"/>
      <c r="Y109" s="23"/>
      <c r="Z109" s="23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18"/>
      <c r="R110" s="18"/>
      <c r="S110" s="62"/>
      <c r="T110" s="62"/>
      <c r="U110" s="23"/>
      <c r="V110" s="23"/>
      <c r="W110" s="23"/>
      <c r="X110" s="23"/>
      <c r="Y110" s="23"/>
      <c r="Z110" s="23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18"/>
      <c r="R111" s="18"/>
      <c r="S111" s="62"/>
      <c r="T111" s="62"/>
      <c r="U111" s="23"/>
      <c r="V111" s="23"/>
      <c r="W111" s="23"/>
      <c r="X111" s="23"/>
      <c r="Y111" s="23"/>
      <c r="Z111" s="23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18"/>
      <c r="R112" s="18"/>
      <c r="S112" s="62"/>
      <c r="T112" s="62"/>
      <c r="U112" s="23"/>
      <c r="V112" s="23"/>
      <c r="W112" s="23"/>
      <c r="X112" s="23"/>
      <c r="Y112" s="23"/>
      <c r="Z112" s="23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18"/>
      <c r="R113" s="18"/>
      <c r="S113" s="62"/>
      <c r="T113" s="62"/>
      <c r="U113" s="23"/>
      <c r="V113" s="23"/>
      <c r="W113" s="23"/>
      <c r="X113" s="23"/>
      <c r="Y113" s="23"/>
      <c r="Z113" s="23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18"/>
      <c r="R114" s="18"/>
      <c r="S114" s="62"/>
      <c r="T114" s="62"/>
      <c r="U114" s="23"/>
      <c r="V114" s="23"/>
      <c r="W114" s="23"/>
      <c r="X114" s="23"/>
      <c r="Y114" s="23"/>
      <c r="Z114" s="23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18"/>
      <c r="R115" s="18"/>
      <c r="S115" s="62"/>
      <c r="T115" s="62"/>
      <c r="U115" s="23"/>
      <c r="V115" s="23"/>
      <c r="W115" s="23"/>
      <c r="X115" s="23"/>
      <c r="Y115" s="23"/>
      <c r="Z115" s="23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18"/>
      <c r="R116" s="18"/>
      <c r="S116" s="62"/>
      <c r="T116" s="62"/>
      <c r="U116" s="23"/>
      <c r="V116" s="23"/>
      <c r="W116" s="23"/>
      <c r="X116" s="23"/>
      <c r="Y116" s="23"/>
      <c r="Z116" s="23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18"/>
      <c r="R117" s="18"/>
      <c r="S117" s="62"/>
      <c r="T117" s="62"/>
      <c r="U117" s="23"/>
      <c r="V117" s="23"/>
      <c r="W117" s="23"/>
      <c r="X117" s="23"/>
      <c r="Y117" s="23"/>
      <c r="Z117" s="23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18"/>
      <c r="R118" s="18"/>
      <c r="S118" s="62"/>
      <c r="T118" s="62"/>
      <c r="U118" s="23"/>
      <c r="V118" s="23"/>
      <c r="W118" s="23"/>
      <c r="X118" s="23"/>
      <c r="Y118" s="23"/>
      <c r="Z118" s="23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18"/>
      <c r="R119" s="18"/>
      <c r="S119" s="62"/>
      <c r="T119" s="62"/>
      <c r="U119" s="23"/>
      <c r="V119" s="23"/>
      <c r="W119" s="23"/>
      <c r="X119" s="23"/>
      <c r="Y119" s="23"/>
      <c r="Z119" s="23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18"/>
      <c r="R120" s="18"/>
      <c r="S120" s="62"/>
      <c r="T120" s="62"/>
      <c r="U120" s="23"/>
      <c r="V120" s="23"/>
      <c r="W120" s="23"/>
      <c r="X120" s="23"/>
      <c r="Y120" s="23"/>
      <c r="Z120" s="23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18"/>
      <c r="R121" s="18"/>
      <c r="S121" s="62"/>
      <c r="T121" s="62"/>
      <c r="U121" s="23"/>
      <c r="V121" s="23"/>
      <c r="W121" s="23"/>
      <c r="X121" s="23"/>
      <c r="Y121" s="23"/>
      <c r="Z121" s="23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18"/>
      <c r="R122" s="18"/>
      <c r="S122" s="62"/>
      <c r="T122" s="62"/>
      <c r="U122" s="23"/>
      <c r="V122" s="23"/>
      <c r="W122" s="23"/>
      <c r="X122" s="23"/>
      <c r="Y122" s="23"/>
      <c r="Z122" s="23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18"/>
      <c r="R123" s="18"/>
      <c r="S123" s="62"/>
      <c r="T123" s="62"/>
      <c r="U123" s="23"/>
      <c r="V123" s="23"/>
      <c r="W123" s="23"/>
      <c r="X123" s="23"/>
      <c r="Y123" s="23"/>
      <c r="Z123" s="23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18"/>
      <c r="R124" s="18"/>
      <c r="S124" s="62"/>
      <c r="T124" s="62"/>
      <c r="U124" s="23"/>
      <c r="V124" s="23"/>
      <c r="W124" s="23"/>
      <c r="X124" s="23"/>
      <c r="Y124" s="23"/>
      <c r="Z124" s="23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18"/>
      <c r="R125" s="18"/>
      <c r="S125" s="62"/>
      <c r="T125" s="62"/>
      <c r="U125" s="23"/>
      <c r="V125" s="23"/>
      <c r="W125" s="23"/>
      <c r="X125" s="23"/>
      <c r="Y125" s="23"/>
      <c r="Z125" s="23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18"/>
      <c r="R126" s="18"/>
      <c r="S126" s="62"/>
      <c r="T126" s="62"/>
      <c r="U126" s="23"/>
      <c r="V126" s="23"/>
      <c r="W126" s="23"/>
      <c r="X126" s="23"/>
      <c r="Y126" s="23"/>
      <c r="Z126" s="23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18"/>
      <c r="R127" s="18"/>
      <c r="S127" s="62"/>
      <c r="T127" s="62"/>
      <c r="U127" s="23"/>
      <c r="V127" s="23"/>
      <c r="W127" s="23"/>
      <c r="X127" s="23"/>
      <c r="Y127" s="23"/>
      <c r="Z127" s="23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18"/>
      <c r="R128" s="18"/>
      <c r="S128" s="62"/>
      <c r="T128" s="62"/>
      <c r="U128" s="23"/>
      <c r="V128" s="23"/>
      <c r="W128" s="23"/>
      <c r="X128" s="23"/>
      <c r="Y128" s="23"/>
      <c r="Z128" s="23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18"/>
      <c r="R129" s="18"/>
      <c r="S129" s="62"/>
      <c r="T129" s="62"/>
      <c r="U129" s="23"/>
      <c r="V129" s="23"/>
      <c r="W129" s="23"/>
      <c r="X129" s="23"/>
      <c r="Y129" s="23"/>
      <c r="Z129" s="23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18"/>
      <c r="R130" s="18"/>
      <c r="S130" s="62"/>
      <c r="T130" s="62"/>
      <c r="U130" s="23"/>
      <c r="V130" s="23"/>
      <c r="W130" s="23"/>
      <c r="X130" s="23"/>
      <c r="Y130" s="23"/>
      <c r="Z130" s="23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18"/>
      <c r="R131" s="18"/>
      <c r="S131" s="62"/>
      <c r="T131" s="62"/>
      <c r="U131" s="23"/>
      <c r="V131" s="23"/>
      <c r="W131" s="23"/>
      <c r="X131" s="23"/>
      <c r="Y131" s="23"/>
      <c r="Z131" s="23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18"/>
      <c r="R132" s="18"/>
      <c r="S132" s="62"/>
      <c r="T132" s="62"/>
      <c r="U132" s="23"/>
      <c r="V132" s="23"/>
      <c r="W132" s="23"/>
      <c r="X132" s="23"/>
      <c r="Y132" s="23"/>
      <c r="Z132" s="23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18"/>
      <c r="R133" s="18"/>
      <c r="S133" s="62"/>
      <c r="T133" s="62"/>
      <c r="U133" s="23"/>
      <c r="V133" s="23"/>
      <c r="W133" s="23"/>
      <c r="X133" s="23"/>
      <c r="Y133" s="23"/>
      <c r="Z133" s="23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18"/>
      <c r="R134" s="18"/>
      <c r="S134" s="62"/>
      <c r="T134" s="62"/>
      <c r="U134" s="23"/>
      <c r="V134" s="23"/>
      <c r="W134" s="23"/>
      <c r="X134" s="23"/>
      <c r="Y134" s="23"/>
      <c r="Z134" s="23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18"/>
      <c r="R135" s="18"/>
      <c r="S135" s="62"/>
      <c r="T135" s="62"/>
      <c r="U135" s="23"/>
      <c r="V135" s="23"/>
      <c r="W135" s="23"/>
      <c r="X135" s="23"/>
      <c r="Y135" s="23"/>
      <c r="Z135" s="23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18"/>
      <c r="R136" s="18"/>
      <c r="S136" s="62"/>
      <c r="T136" s="62"/>
      <c r="U136" s="23"/>
      <c r="V136" s="23"/>
      <c r="W136" s="23"/>
      <c r="X136" s="23"/>
      <c r="Y136" s="23"/>
      <c r="Z136" s="23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18"/>
      <c r="R137" s="18"/>
      <c r="S137" s="62"/>
      <c r="T137" s="62"/>
      <c r="U137" s="23"/>
      <c r="V137" s="23"/>
      <c r="W137" s="23"/>
      <c r="X137" s="23"/>
      <c r="Y137" s="23"/>
      <c r="Z137" s="23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18"/>
      <c r="R138" s="18"/>
      <c r="S138" s="62"/>
      <c r="T138" s="62"/>
      <c r="U138" s="23"/>
      <c r="V138" s="23"/>
      <c r="W138" s="23"/>
      <c r="X138" s="23"/>
      <c r="Y138" s="23"/>
      <c r="Z138" s="23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18"/>
      <c r="R139" s="18"/>
      <c r="S139" s="62"/>
      <c r="T139" s="62"/>
      <c r="U139" s="23"/>
      <c r="V139" s="23"/>
      <c r="W139" s="23"/>
      <c r="X139" s="23"/>
      <c r="Y139" s="23"/>
      <c r="Z139" s="23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18"/>
      <c r="R140" s="18"/>
      <c r="S140" s="62"/>
      <c r="T140" s="62"/>
      <c r="U140" s="23"/>
      <c r="V140" s="23"/>
      <c r="W140" s="23"/>
      <c r="X140" s="23"/>
      <c r="Y140" s="23"/>
      <c r="Z140" s="23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18"/>
      <c r="R141" s="18"/>
      <c r="S141" s="62"/>
      <c r="T141" s="62"/>
      <c r="U141" s="23"/>
      <c r="V141" s="23"/>
      <c r="W141" s="23"/>
      <c r="X141" s="23"/>
      <c r="Y141" s="23"/>
      <c r="Z141" s="23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18"/>
      <c r="R142" s="18"/>
      <c r="S142" s="62"/>
      <c r="T142" s="62"/>
      <c r="U142" s="23"/>
      <c r="V142" s="23"/>
      <c r="W142" s="23"/>
      <c r="X142" s="23"/>
      <c r="Y142" s="23"/>
      <c r="Z142" s="23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18"/>
      <c r="R143" s="18"/>
      <c r="S143" s="62"/>
      <c r="T143" s="62"/>
      <c r="U143" s="23"/>
      <c r="V143" s="23"/>
      <c r="W143" s="23"/>
      <c r="X143" s="23"/>
      <c r="Y143" s="23"/>
      <c r="Z143" s="23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18"/>
      <c r="R144" s="18"/>
      <c r="S144" s="62"/>
      <c r="T144" s="62"/>
      <c r="U144" s="23"/>
      <c r="V144" s="23"/>
      <c r="W144" s="23"/>
      <c r="X144" s="23"/>
      <c r="Y144" s="23"/>
      <c r="Z144" s="23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18"/>
      <c r="R145" s="18"/>
      <c r="S145" s="62"/>
      <c r="T145" s="62"/>
      <c r="U145" s="23"/>
      <c r="V145" s="23"/>
      <c r="W145" s="23"/>
      <c r="X145" s="23"/>
      <c r="Y145" s="23"/>
      <c r="Z145" s="23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18"/>
      <c r="R146" s="18"/>
      <c r="S146" s="62"/>
      <c r="T146" s="62"/>
      <c r="U146" s="23"/>
      <c r="V146" s="23"/>
      <c r="W146" s="23"/>
      <c r="X146" s="23"/>
      <c r="Y146" s="23"/>
      <c r="Z146" s="23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18"/>
      <c r="R147" s="18"/>
      <c r="S147" s="62"/>
      <c r="T147" s="62"/>
      <c r="U147" s="23"/>
      <c r="V147" s="23"/>
      <c r="W147" s="23"/>
      <c r="X147" s="23"/>
      <c r="Y147" s="23"/>
      <c r="Z147" s="23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18"/>
      <c r="R148" s="18"/>
      <c r="S148" s="62"/>
      <c r="T148" s="62"/>
      <c r="U148" s="23"/>
      <c r="V148" s="23"/>
      <c r="W148" s="23"/>
      <c r="X148" s="23"/>
      <c r="Y148" s="23"/>
      <c r="Z148" s="23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18"/>
      <c r="R149" s="18"/>
      <c r="S149" s="62"/>
      <c r="T149" s="62"/>
      <c r="U149" s="23"/>
      <c r="V149" s="23"/>
      <c r="W149" s="23"/>
      <c r="X149" s="23"/>
      <c r="Y149" s="23"/>
      <c r="Z149" s="23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18"/>
      <c r="R150" s="18"/>
      <c r="S150" s="62"/>
      <c r="T150" s="62"/>
      <c r="U150" s="23"/>
      <c r="V150" s="23"/>
      <c r="W150" s="23"/>
      <c r="X150" s="23"/>
      <c r="Y150" s="23"/>
      <c r="Z150" s="23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18"/>
      <c r="R151" s="18"/>
      <c r="S151" s="62"/>
      <c r="T151" s="62"/>
      <c r="U151" s="23"/>
      <c r="V151" s="23"/>
      <c r="W151" s="23"/>
      <c r="X151" s="23"/>
      <c r="Y151" s="23"/>
      <c r="Z151" s="23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18"/>
      <c r="R152" s="18"/>
      <c r="S152" s="62"/>
      <c r="T152" s="62"/>
      <c r="U152" s="23"/>
      <c r="V152" s="23"/>
      <c r="W152" s="23"/>
      <c r="X152" s="23"/>
      <c r="Y152" s="23"/>
      <c r="Z152" s="23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18"/>
      <c r="R153" s="18"/>
      <c r="S153" s="62"/>
      <c r="T153" s="62"/>
      <c r="U153" s="23"/>
      <c r="V153" s="23"/>
      <c r="W153" s="23"/>
      <c r="X153" s="23"/>
      <c r="Y153" s="23"/>
      <c r="Z153" s="23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18"/>
      <c r="R154" s="18"/>
      <c r="S154" s="62"/>
      <c r="T154" s="62"/>
      <c r="U154" s="23"/>
      <c r="V154" s="23"/>
      <c r="W154" s="23"/>
      <c r="X154" s="23"/>
      <c r="Y154" s="23"/>
      <c r="Z154" s="23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18"/>
      <c r="R155" s="18"/>
      <c r="S155" s="62"/>
      <c r="T155" s="62"/>
      <c r="U155" s="23"/>
      <c r="V155" s="23"/>
      <c r="W155" s="23"/>
      <c r="X155" s="23"/>
      <c r="Y155" s="23"/>
      <c r="Z155" s="23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18"/>
      <c r="R156" s="18"/>
      <c r="S156" s="62"/>
      <c r="T156" s="62"/>
      <c r="U156" s="23"/>
      <c r="V156" s="23"/>
      <c r="W156" s="23"/>
      <c r="X156" s="23"/>
      <c r="Y156" s="23"/>
      <c r="Z156" s="23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18"/>
      <c r="R157" s="18"/>
      <c r="S157" s="62"/>
      <c r="T157" s="62"/>
      <c r="U157" s="23"/>
      <c r="V157" s="23"/>
      <c r="W157" s="23"/>
      <c r="X157" s="23"/>
      <c r="Y157" s="23"/>
      <c r="Z157" s="23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18"/>
      <c r="R158" s="18"/>
      <c r="S158" s="62"/>
      <c r="T158" s="62"/>
      <c r="U158" s="23"/>
      <c r="V158" s="23"/>
      <c r="W158" s="23"/>
      <c r="X158" s="23"/>
      <c r="Y158" s="23"/>
      <c r="Z158" s="23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18"/>
      <c r="R159" s="18"/>
      <c r="S159" s="62"/>
      <c r="T159" s="62"/>
      <c r="U159" s="23"/>
      <c r="V159" s="23"/>
      <c r="W159" s="23"/>
      <c r="X159" s="23"/>
      <c r="Y159" s="23"/>
      <c r="Z159" s="23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18"/>
      <c r="R160" s="18"/>
      <c r="S160" s="62"/>
      <c r="T160" s="62"/>
      <c r="U160" s="23"/>
      <c r="V160" s="23"/>
      <c r="W160" s="23"/>
      <c r="X160" s="23"/>
      <c r="Y160" s="23"/>
      <c r="Z160" s="23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18"/>
      <c r="R161" s="18"/>
      <c r="S161" s="62"/>
      <c r="T161" s="62"/>
      <c r="U161" s="23"/>
      <c r="V161" s="23"/>
      <c r="W161" s="23"/>
      <c r="X161" s="23"/>
      <c r="Y161" s="23"/>
      <c r="Z161" s="23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18"/>
      <c r="R162" s="18"/>
      <c r="S162" s="62"/>
      <c r="T162" s="62"/>
      <c r="U162" s="23"/>
      <c r="V162" s="23"/>
      <c r="W162" s="23"/>
      <c r="X162" s="23"/>
      <c r="Y162" s="23"/>
      <c r="Z162" s="23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18"/>
      <c r="R163" s="18"/>
      <c r="S163" s="62"/>
      <c r="T163" s="62"/>
      <c r="U163" s="23"/>
      <c r="V163" s="23"/>
      <c r="W163" s="23"/>
      <c r="X163" s="23"/>
      <c r="Y163" s="23"/>
      <c r="Z163" s="23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18"/>
      <c r="R164" s="18"/>
      <c r="S164" s="62"/>
      <c r="T164" s="62"/>
      <c r="U164" s="23"/>
      <c r="V164" s="23"/>
      <c r="W164" s="23"/>
      <c r="X164" s="23"/>
      <c r="Y164" s="23"/>
      <c r="Z164" s="23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18"/>
      <c r="R165" s="18"/>
      <c r="S165" s="62"/>
      <c r="T165" s="62"/>
      <c r="U165" s="23"/>
      <c r="V165" s="23"/>
      <c r="W165" s="23"/>
      <c r="X165" s="23"/>
      <c r="Y165" s="23"/>
      <c r="Z165" s="23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18"/>
      <c r="R166" s="18"/>
      <c r="S166" s="62"/>
      <c r="T166" s="62"/>
      <c r="U166" s="23"/>
      <c r="V166" s="23"/>
      <c r="W166" s="23"/>
      <c r="X166" s="23"/>
      <c r="Y166" s="23"/>
      <c r="Z166" s="23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18"/>
      <c r="R167" s="18"/>
      <c r="S167" s="62"/>
      <c r="T167" s="62"/>
      <c r="U167" s="23"/>
      <c r="V167" s="23"/>
      <c r="W167" s="23"/>
      <c r="X167" s="23"/>
      <c r="Y167" s="23"/>
      <c r="Z167" s="23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18"/>
      <c r="R168" s="18"/>
      <c r="S168" s="62"/>
      <c r="T168" s="62"/>
      <c r="U168" s="23"/>
      <c r="V168" s="23"/>
      <c r="W168" s="23"/>
      <c r="X168" s="23"/>
      <c r="Y168" s="23"/>
      <c r="Z168" s="23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18"/>
      <c r="R169" s="18"/>
      <c r="S169" s="62"/>
      <c r="T169" s="62"/>
      <c r="U169" s="23"/>
      <c r="V169" s="23"/>
      <c r="W169" s="23"/>
      <c r="X169" s="23"/>
      <c r="Y169" s="23"/>
      <c r="Z169" s="23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18"/>
      <c r="R170" s="18"/>
      <c r="S170" s="62"/>
      <c r="T170" s="62"/>
      <c r="U170" s="23"/>
      <c r="V170" s="23"/>
      <c r="W170" s="23"/>
      <c r="X170" s="23"/>
      <c r="Y170" s="23"/>
      <c r="Z170" s="23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18"/>
      <c r="R171" s="18"/>
      <c r="S171" s="62"/>
      <c r="T171" s="62"/>
      <c r="U171" s="23"/>
      <c r="V171" s="23"/>
      <c r="W171" s="23"/>
      <c r="X171" s="23"/>
      <c r="Y171" s="23"/>
      <c r="Z171" s="23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18"/>
      <c r="R172" s="18"/>
      <c r="S172" s="62"/>
      <c r="T172" s="62"/>
      <c r="U172" s="23"/>
      <c r="V172" s="23"/>
      <c r="W172" s="23"/>
      <c r="X172" s="23"/>
      <c r="Y172" s="23"/>
      <c r="Z172" s="23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18"/>
      <c r="R173" s="18"/>
      <c r="S173" s="62"/>
      <c r="T173" s="62"/>
      <c r="U173" s="23"/>
      <c r="V173" s="23"/>
      <c r="W173" s="23"/>
      <c r="X173" s="23"/>
      <c r="Y173" s="23"/>
      <c r="Z173" s="23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18"/>
      <c r="R174" s="18"/>
      <c r="S174" s="62"/>
      <c r="T174" s="62"/>
      <c r="U174" s="23"/>
      <c r="V174" s="23"/>
      <c r="W174" s="23"/>
      <c r="X174" s="23"/>
      <c r="Y174" s="23"/>
      <c r="Z174" s="23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18"/>
      <c r="R175" s="18"/>
      <c r="S175" s="62"/>
      <c r="T175" s="62"/>
      <c r="U175" s="23"/>
      <c r="V175" s="23"/>
      <c r="W175" s="23"/>
      <c r="X175" s="23"/>
      <c r="Y175" s="23"/>
      <c r="Z175" s="23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18"/>
      <c r="R176" s="18"/>
      <c r="S176" s="62"/>
      <c r="T176" s="62"/>
      <c r="U176" s="23"/>
      <c r="V176" s="23"/>
      <c r="W176" s="23"/>
      <c r="X176" s="23"/>
      <c r="Y176" s="23"/>
      <c r="Z176" s="23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18"/>
      <c r="R177" s="18"/>
      <c r="S177" s="62"/>
      <c r="T177" s="62"/>
      <c r="U177" s="23"/>
      <c r="V177" s="23"/>
      <c r="W177" s="23"/>
      <c r="X177" s="23"/>
      <c r="Y177" s="23"/>
      <c r="Z177" s="23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18"/>
      <c r="R178" s="18"/>
      <c r="S178" s="62"/>
      <c r="T178" s="62"/>
      <c r="U178" s="23"/>
      <c r="V178" s="23"/>
      <c r="W178" s="23"/>
      <c r="X178" s="23"/>
      <c r="Y178" s="23"/>
      <c r="Z178" s="23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18"/>
      <c r="R179" s="18"/>
      <c r="S179" s="62"/>
      <c r="T179" s="62"/>
      <c r="U179" s="23"/>
      <c r="V179" s="23"/>
      <c r="W179" s="23"/>
      <c r="X179" s="23"/>
      <c r="Y179" s="23"/>
      <c r="Z179" s="23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18"/>
      <c r="R180" s="18"/>
      <c r="S180" s="62"/>
      <c r="T180" s="62"/>
      <c r="U180" s="23"/>
      <c r="V180" s="23"/>
      <c r="W180" s="23"/>
      <c r="X180" s="23"/>
      <c r="Y180" s="23"/>
      <c r="Z180" s="23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18"/>
      <c r="R181" s="18"/>
      <c r="S181" s="62"/>
      <c r="T181" s="62"/>
      <c r="U181" s="23"/>
      <c r="V181" s="23"/>
      <c r="W181" s="23"/>
      <c r="X181" s="23"/>
      <c r="Y181" s="23"/>
      <c r="Z181" s="23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18"/>
      <c r="R182" s="18"/>
      <c r="S182" s="62"/>
      <c r="T182" s="62"/>
      <c r="U182" s="23"/>
      <c r="V182" s="23"/>
      <c r="W182" s="23"/>
      <c r="X182" s="23"/>
      <c r="Y182" s="23"/>
      <c r="Z182" s="23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18"/>
      <c r="R183" s="18"/>
      <c r="S183" s="62"/>
      <c r="T183" s="62"/>
      <c r="U183" s="23"/>
      <c r="V183" s="23"/>
      <c r="W183" s="23"/>
      <c r="X183" s="23"/>
      <c r="Y183" s="23"/>
      <c r="Z183" s="23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18"/>
      <c r="R184" s="18"/>
      <c r="S184" s="62"/>
      <c r="T184" s="62"/>
      <c r="U184" s="23"/>
      <c r="V184" s="23"/>
      <c r="W184" s="23"/>
      <c r="X184" s="23"/>
      <c r="Y184" s="23"/>
      <c r="Z184" s="23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18"/>
      <c r="R185" s="18"/>
      <c r="S185" s="62"/>
      <c r="T185" s="62"/>
      <c r="U185" s="23"/>
      <c r="V185" s="23"/>
      <c r="W185" s="23"/>
      <c r="X185" s="23"/>
      <c r="Y185" s="23"/>
      <c r="Z185" s="23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18"/>
      <c r="R186" s="18"/>
      <c r="S186" s="62"/>
      <c r="T186" s="62"/>
      <c r="U186" s="23"/>
      <c r="V186" s="23"/>
      <c r="W186" s="23"/>
      <c r="X186" s="23"/>
      <c r="Y186" s="23"/>
      <c r="Z186" s="23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18"/>
      <c r="R187" s="18"/>
      <c r="S187" s="62"/>
      <c r="T187" s="62"/>
      <c r="U187" s="23"/>
      <c r="V187" s="23"/>
      <c r="W187" s="23"/>
      <c r="X187" s="23"/>
      <c r="Y187" s="23"/>
      <c r="Z187" s="23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18"/>
      <c r="R188" s="18"/>
      <c r="S188" s="62"/>
      <c r="T188" s="62"/>
      <c r="U188" s="23"/>
      <c r="V188" s="23"/>
      <c r="W188" s="23"/>
      <c r="X188" s="23"/>
      <c r="Y188" s="23"/>
      <c r="Z188" s="23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18"/>
      <c r="R189" s="18"/>
      <c r="S189" s="62"/>
      <c r="T189" s="62"/>
      <c r="U189" s="23"/>
      <c r="V189" s="23"/>
      <c r="W189" s="23"/>
      <c r="X189" s="23"/>
      <c r="Y189" s="23"/>
      <c r="Z189" s="23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18"/>
      <c r="R190" s="18"/>
      <c r="S190" s="62"/>
      <c r="T190" s="62"/>
      <c r="U190" s="23"/>
      <c r="V190" s="23"/>
      <c r="W190" s="23"/>
      <c r="X190" s="23"/>
      <c r="Y190" s="23"/>
      <c r="Z190" s="23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18"/>
      <c r="R191" s="18"/>
      <c r="S191" s="62"/>
      <c r="T191" s="62"/>
      <c r="U191" s="23"/>
      <c r="V191" s="23"/>
      <c r="W191" s="23"/>
      <c r="X191" s="23"/>
      <c r="Y191" s="23"/>
      <c r="Z191" s="23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18"/>
      <c r="R192" s="18"/>
      <c r="S192" s="62"/>
      <c r="T192" s="62"/>
      <c r="U192" s="23"/>
      <c r="V192" s="23"/>
      <c r="W192" s="23"/>
      <c r="X192" s="23"/>
      <c r="Y192" s="23"/>
      <c r="Z192" s="23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18"/>
      <c r="R193" s="18"/>
      <c r="S193" s="62"/>
      <c r="T193" s="62"/>
      <c r="U193" s="23"/>
      <c r="V193" s="23"/>
      <c r="W193" s="23"/>
      <c r="X193" s="23"/>
      <c r="Y193" s="23"/>
      <c r="Z193" s="23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18"/>
      <c r="R194" s="18"/>
      <c r="S194" s="62"/>
      <c r="T194" s="62"/>
      <c r="U194" s="23"/>
      <c r="V194" s="23"/>
      <c r="W194" s="23"/>
      <c r="X194" s="23"/>
      <c r="Y194" s="23"/>
      <c r="Z194" s="23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18"/>
      <c r="R195" s="18"/>
      <c r="S195" s="62"/>
      <c r="T195" s="62"/>
      <c r="U195" s="23"/>
      <c r="V195" s="23"/>
      <c r="W195" s="23"/>
      <c r="X195" s="23"/>
      <c r="Y195" s="23"/>
      <c r="Z195" s="23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18"/>
      <c r="R196" s="18"/>
      <c r="S196" s="62"/>
      <c r="T196" s="62"/>
      <c r="U196" s="23"/>
      <c r="V196" s="23"/>
      <c r="W196" s="23"/>
      <c r="X196" s="23"/>
      <c r="Y196" s="23"/>
      <c r="Z196" s="23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18"/>
      <c r="R197" s="18"/>
      <c r="S197" s="62"/>
      <c r="T197" s="62"/>
      <c r="U197" s="23"/>
      <c r="V197" s="23"/>
      <c r="W197" s="23"/>
      <c r="X197" s="23"/>
      <c r="Y197" s="23"/>
      <c r="Z197" s="23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18"/>
      <c r="R198" s="18"/>
      <c r="S198" s="62"/>
      <c r="T198" s="62"/>
      <c r="U198" s="23"/>
      <c r="V198" s="23"/>
      <c r="W198" s="23"/>
      <c r="X198" s="23"/>
      <c r="Y198" s="23"/>
      <c r="Z198" s="23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18"/>
      <c r="R199" s="18"/>
      <c r="S199" s="62"/>
      <c r="T199" s="62"/>
      <c r="U199" s="23"/>
      <c r="V199" s="23"/>
      <c r="W199" s="23"/>
      <c r="X199" s="23"/>
      <c r="Y199" s="23"/>
      <c r="Z199" s="23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18"/>
      <c r="R200" s="18"/>
      <c r="S200" s="62"/>
      <c r="T200" s="62"/>
      <c r="U200" s="23"/>
      <c r="V200" s="23"/>
      <c r="W200" s="23"/>
      <c r="X200" s="23"/>
      <c r="Y200" s="23"/>
      <c r="Z200" s="23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18"/>
      <c r="R201" s="18"/>
      <c r="S201" s="62"/>
      <c r="T201" s="62"/>
      <c r="U201" s="23"/>
      <c r="V201" s="23"/>
      <c r="W201" s="23"/>
      <c r="X201" s="23"/>
      <c r="Y201" s="23"/>
      <c r="Z201" s="23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18"/>
      <c r="R202" s="18"/>
      <c r="S202" s="62"/>
      <c r="T202" s="62"/>
      <c r="U202" s="23"/>
      <c r="V202" s="23"/>
      <c r="W202" s="23"/>
      <c r="X202" s="23"/>
      <c r="Y202" s="23"/>
      <c r="Z202" s="23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18"/>
      <c r="R203" s="18"/>
      <c r="S203" s="62"/>
      <c r="T203" s="62"/>
      <c r="U203" s="23"/>
      <c r="V203" s="23"/>
      <c r="W203" s="23"/>
      <c r="X203" s="23"/>
      <c r="Y203" s="23"/>
      <c r="Z203" s="23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18"/>
      <c r="R204" s="18"/>
      <c r="S204" s="62"/>
      <c r="T204" s="62"/>
      <c r="U204" s="23"/>
      <c r="V204" s="23"/>
      <c r="W204" s="23"/>
      <c r="X204" s="23"/>
      <c r="Y204" s="23"/>
      <c r="Z204" s="23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18"/>
      <c r="R205" s="18"/>
      <c r="S205" s="62"/>
      <c r="T205" s="62"/>
      <c r="U205" s="23"/>
      <c r="V205" s="23"/>
      <c r="W205" s="23"/>
      <c r="X205" s="23"/>
      <c r="Y205" s="23"/>
      <c r="Z205" s="23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18"/>
      <c r="R206" s="18"/>
      <c r="S206" s="62"/>
      <c r="T206" s="62"/>
      <c r="U206" s="23"/>
      <c r="V206" s="23"/>
      <c r="W206" s="23"/>
      <c r="X206" s="23"/>
      <c r="Y206" s="23"/>
      <c r="Z206" s="23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18"/>
      <c r="R207" s="18"/>
      <c r="S207" s="62"/>
      <c r="T207" s="62"/>
      <c r="U207" s="23"/>
      <c r="V207" s="23"/>
      <c r="W207" s="23"/>
      <c r="X207" s="23"/>
      <c r="Y207" s="23"/>
      <c r="Z207" s="23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18"/>
      <c r="R208" s="18"/>
      <c r="S208" s="62"/>
      <c r="T208" s="62"/>
      <c r="U208" s="23"/>
      <c r="V208" s="23"/>
      <c r="W208" s="23"/>
      <c r="X208" s="23"/>
      <c r="Y208" s="23"/>
      <c r="Z208" s="23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18"/>
      <c r="R209" s="18"/>
      <c r="S209" s="62"/>
      <c r="T209" s="62"/>
      <c r="U209" s="23"/>
      <c r="V209" s="23"/>
      <c r="W209" s="23"/>
      <c r="X209" s="23"/>
      <c r="Y209" s="23"/>
      <c r="Z209" s="23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18"/>
      <c r="R210" s="18"/>
      <c r="S210" s="62"/>
      <c r="T210" s="62"/>
      <c r="U210" s="23"/>
      <c r="V210" s="23"/>
      <c r="W210" s="23"/>
      <c r="X210" s="23"/>
      <c r="Y210" s="23"/>
      <c r="Z210" s="23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18"/>
      <c r="R211" s="18"/>
      <c r="S211" s="62"/>
      <c r="T211" s="62"/>
      <c r="U211" s="23"/>
      <c r="V211" s="23"/>
      <c r="W211" s="23"/>
      <c r="X211" s="23"/>
      <c r="Y211" s="23"/>
      <c r="Z211" s="23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18"/>
      <c r="R212" s="18"/>
      <c r="S212" s="62"/>
      <c r="T212" s="62"/>
      <c r="U212" s="23"/>
      <c r="V212" s="23"/>
      <c r="W212" s="23"/>
      <c r="X212" s="23"/>
      <c r="Y212" s="23"/>
      <c r="Z212" s="23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18"/>
      <c r="R213" s="18"/>
      <c r="S213" s="62"/>
      <c r="T213" s="62"/>
      <c r="U213" s="23"/>
      <c r="V213" s="23"/>
      <c r="W213" s="23"/>
      <c r="X213" s="23"/>
      <c r="Y213" s="23"/>
      <c r="Z213" s="23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18"/>
      <c r="R214" s="18"/>
      <c r="S214" s="62"/>
      <c r="T214" s="62"/>
      <c r="U214" s="23"/>
      <c r="V214" s="23"/>
      <c r="W214" s="23"/>
      <c r="X214" s="23"/>
      <c r="Y214" s="23"/>
      <c r="Z214" s="23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18"/>
      <c r="R215" s="18"/>
      <c r="S215" s="62"/>
      <c r="T215" s="62"/>
      <c r="U215" s="23"/>
      <c r="V215" s="23"/>
      <c r="W215" s="23"/>
      <c r="X215" s="23"/>
      <c r="Y215" s="23"/>
      <c r="Z215" s="23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18"/>
      <c r="R216" s="18"/>
      <c r="S216" s="62"/>
      <c r="T216" s="62"/>
      <c r="U216" s="23"/>
      <c r="V216" s="23"/>
      <c r="W216" s="23"/>
      <c r="X216" s="23"/>
      <c r="Y216" s="23"/>
      <c r="Z216" s="23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18"/>
      <c r="R217" s="18"/>
      <c r="S217" s="62"/>
      <c r="T217" s="62"/>
      <c r="U217" s="23"/>
      <c r="V217" s="23"/>
      <c r="W217" s="23"/>
      <c r="X217" s="23"/>
      <c r="Y217" s="23"/>
      <c r="Z217" s="23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18"/>
      <c r="R218" s="18"/>
      <c r="S218" s="62"/>
      <c r="T218" s="62"/>
      <c r="U218" s="23"/>
      <c r="V218" s="23"/>
      <c r="W218" s="23"/>
      <c r="X218" s="23"/>
      <c r="Y218" s="23"/>
      <c r="Z218" s="23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18"/>
      <c r="R219" s="18"/>
      <c r="S219" s="62"/>
      <c r="T219" s="62"/>
      <c r="U219" s="23"/>
      <c r="V219" s="23"/>
      <c r="W219" s="23"/>
      <c r="X219" s="23"/>
      <c r="Y219" s="23"/>
      <c r="Z219" s="23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18"/>
      <c r="R220" s="18"/>
      <c r="S220" s="62"/>
      <c r="T220" s="62"/>
      <c r="U220" s="23"/>
      <c r="V220" s="23"/>
      <c r="W220" s="23"/>
      <c r="X220" s="23"/>
      <c r="Y220" s="23"/>
      <c r="Z220" s="23"/>
    </row>
    <row r="221" ht="17.25" customHeight="1">
      <c r="A221" s="18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18"/>
      <c r="R221" s="18"/>
      <c r="S221" s="62"/>
      <c r="T221" s="62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4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5" t="s">
        <v>37</v>
      </c>
      <c r="B2" s="96">
        <f>'1.IS'!K$2</f>
        <v>2024</v>
      </c>
      <c r="C2" s="97" t="str">
        <f>'1.IS'!L$2</f>
        <v>2025e</v>
      </c>
      <c r="D2" s="97" t="str">
        <f>'1.IS'!M$2</f>
        <v>2026e</v>
      </c>
      <c r="E2" s="97" t="str">
        <f>'1.IS'!N$2</f>
        <v>2027e</v>
      </c>
      <c r="F2" s="97" t="str">
        <f>'1.IS'!O$2</f>
        <v>2028e</v>
      </c>
      <c r="G2" s="97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8" t="s">
        <v>38</v>
      </c>
      <c r="B3" s="99">
        <f>$D$7*'1.IS'!K11</f>
        <v>19643.49</v>
      </c>
      <c r="C3" s="100">
        <f>IFERROR($D$7*'1.IS'!L11,"")</f>
        <v>19918.24435</v>
      </c>
      <c r="D3" s="101">
        <f>IFERROR($D$7*'1.IS'!M11,"")</f>
        <v>20196.8417</v>
      </c>
      <c r="E3" s="101">
        <f>IFERROR($D$7*'1.IS'!N11,"")</f>
        <v>20479.33581</v>
      </c>
      <c r="F3" s="101">
        <f>IFERROR($D$7*'1.IS'!O11,"")</f>
        <v>20765.78117</v>
      </c>
      <c r="G3" s="102">
        <f>IFERROR($D$7*'1.IS'!P11,"")</f>
        <v>21056.23306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3" t="s">
        <v>39</v>
      </c>
      <c r="B4" s="104">
        <f>IF($D$7&lt;&gt;"",'TIKR_Cálculos'!K26/'1.IS'!K11,"")</f>
        <v>88.3584246</v>
      </c>
      <c r="C4" s="105">
        <f>IF($D$7&lt;&gt;"",'TIKR_Cálculos'!L26/'1.IS'!L11,"")</f>
        <v>97.68633863</v>
      </c>
      <c r="D4" s="106">
        <f>IF($D$7&lt;&gt;"",'TIKR_Cálculos'!M26/'1.IS'!M11,"")</f>
        <v>106.9481247</v>
      </c>
      <c r="E4" s="106">
        <f>IF($D$7&lt;&gt;"",'TIKR_Cálculos'!N26/'1.IS'!N11,"")</f>
        <v>116.145066</v>
      </c>
      <c r="F4" s="106">
        <f>IF($D$7&lt;&gt;"",'TIKR_Cálculos'!O26/'1.IS'!O11,"")</f>
        <v>125.2784299</v>
      </c>
      <c r="G4" s="107">
        <f>IF($D$7&lt;&gt;"",'TIKR_Cálculos'!P26/'1.IS'!P11,"")</f>
        <v>134.3494688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8" t="s">
        <v>40</v>
      </c>
      <c r="B5" s="109">
        <f>'1.IS'!K13</f>
        <v>10.79042624</v>
      </c>
      <c r="C5" s="110">
        <f>'1.IS'!L13</f>
        <v>10.5467394</v>
      </c>
      <c r="D5" s="111">
        <f>'1.IS'!M13</f>
        <v>10.6092817</v>
      </c>
      <c r="E5" s="111">
        <f>'1.IS'!N13</f>
        <v>10.67219488</v>
      </c>
      <c r="F5" s="111">
        <f>'1.IS'!O13</f>
        <v>10.73548114</v>
      </c>
      <c r="G5" s="112">
        <f>'1.IS'!P13</f>
        <v>10.79914268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75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5" t="s">
        <v>41</v>
      </c>
      <c r="B7" s="116"/>
      <c r="C7" s="116"/>
      <c r="D7" s="117">
        <v>101.0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75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8"/>
      <c r="B8" s="118"/>
      <c r="C8" s="118"/>
      <c r="D8" s="11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75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20" t="s">
        <v>42</v>
      </c>
      <c r="B9" s="116"/>
      <c r="C9" s="116"/>
      <c r="D9" s="121">
        <f>IF($D$7&lt;&gt;"",IF(K17&lt;15%,F17/2,D7),"")</f>
        <v>37.79699938</v>
      </c>
      <c r="E9" s="114"/>
      <c r="F9" s="122"/>
      <c r="G9" s="123"/>
      <c r="H9" s="124"/>
      <c r="I9" s="114"/>
      <c r="J9" s="114"/>
      <c r="K9" s="114"/>
      <c r="L9" s="114"/>
      <c r="M9" s="114"/>
      <c r="N9" s="114"/>
      <c r="O9" s="114"/>
      <c r="P9" s="114"/>
      <c r="Q9" s="75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3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6" t="s">
        <v>43</v>
      </c>
      <c r="B11" s="127" t="s">
        <v>44</v>
      </c>
      <c r="C11" s="127" t="s">
        <v>45</v>
      </c>
      <c r="D11" s="128" t="s">
        <v>46</v>
      </c>
      <c r="E11" s="129"/>
      <c r="F11" s="2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30" t="s">
        <v>47</v>
      </c>
      <c r="B12" s="131">
        <f>IF($D$7&lt;&gt;"",D7/B4,"")</f>
        <v>1.143071535</v>
      </c>
      <c r="C12" s="131">
        <f>IF($D$7&lt;&gt;"",D7/C4,"")</f>
        <v>1.033921441</v>
      </c>
      <c r="D12" s="132">
        <v>1.0</v>
      </c>
      <c r="E12" s="133"/>
      <c r="F12" s="2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8" t="s">
        <v>48</v>
      </c>
      <c r="B13" s="134">
        <f>IF($D$7&lt;&gt;"",$D$7/'1.IS'!K13,"")</f>
        <v>9.36014924</v>
      </c>
      <c r="C13" s="135">
        <f>IF($D$7&lt;&gt;"",$D$7/'1.IS'!L13,"")</f>
        <v>9.57641942</v>
      </c>
      <c r="D13" s="136">
        <v>7.0</v>
      </c>
      <c r="E13" s="137"/>
      <c r="F13" s="138" t="s">
        <v>25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9"/>
      <c r="B14" s="140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6" t="s">
        <v>49</v>
      </c>
      <c r="B15" s="127" t="str">
        <f t="shared" ref="B15:F15" si="1">C2</f>
        <v>2025e</v>
      </c>
      <c r="C15" s="127" t="str">
        <f t="shared" si="1"/>
        <v>2026e</v>
      </c>
      <c r="D15" s="127" t="str">
        <f t="shared" si="1"/>
        <v>2027e</v>
      </c>
      <c r="E15" s="127" t="str">
        <f t="shared" si="1"/>
        <v>2028e</v>
      </c>
      <c r="F15" s="141" t="str">
        <f t="shared" si="1"/>
        <v>2029e</v>
      </c>
      <c r="G15" s="23"/>
      <c r="H15" s="142" t="str">
        <f>"Retorno Anualizado"&amp;CHAR(10)&amp;"valorando por..."</f>
        <v>Retorno Anualizado
valorando por...</v>
      </c>
      <c r="I15" s="143"/>
      <c r="J15" s="143"/>
      <c r="K15" s="127" t="str">
        <f>"CAGR"&amp;CHAR(10)&amp;"5 años"</f>
        <v>CAGR
5 años</v>
      </c>
      <c r="L15" s="23"/>
      <c r="M15" s="23"/>
      <c r="N15" s="23"/>
      <c r="O15" s="53"/>
      <c r="P15" s="5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3" t="s">
        <v>47</v>
      </c>
      <c r="B16" s="144">
        <f t="shared" ref="B16:F16" si="2">IF($D$7&lt;&gt;"",IFERROR($D$12*C4,""),"")</f>
        <v>97.68633863</v>
      </c>
      <c r="C16" s="144">
        <f t="shared" si="2"/>
        <v>106.9481247</v>
      </c>
      <c r="D16" s="144">
        <f t="shared" si="2"/>
        <v>116.145066</v>
      </c>
      <c r="E16" s="144">
        <f t="shared" si="2"/>
        <v>125.2784299</v>
      </c>
      <c r="F16" s="145">
        <f t="shared" si="2"/>
        <v>134.3494688</v>
      </c>
      <c r="G16" s="23"/>
      <c r="H16" s="146" t="s">
        <v>50</v>
      </c>
      <c r="I16" s="147"/>
      <c r="J16" s="147"/>
      <c r="K16" s="148">
        <f t="shared" ref="K16:K17" si="4">IFERROR((F16/$D$7)^(1/5)-1,"")</f>
        <v>0.05872438475</v>
      </c>
      <c r="L16" s="23"/>
      <c r="M16" s="23"/>
      <c r="N16" s="23"/>
      <c r="O16" s="53"/>
      <c r="P16" s="5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3" t="s">
        <v>48</v>
      </c>
      <c r="B17" s="144">
        <f t="shared" ref="B17:F17" si="3">IF($D$7&lt;&gt;"",IFERROR($D$13*C5,""),"")</f>
        <v>73.8271758</v>
      </c>
      <c r="C17" s="144">
        <f t="shared" si="3"/>
        <v>74.26497191</v>
      </c>
      <c r="D17" s="144">
        <f t="shared" si="3"/>
        <v>74.70536417</v>
      </c>
      <c r="E17" s="144">
        <f t="shared" si="3"/>
        <v>75.14836795</v>
      </c>
      <c r="F17" s="145">
        <f t="shared" si="3"/>
        <v>75.59399876</v>
      </c>
      <c r="G17" s="23"/>
      <c r="H17" s="130" t="s">
        <v>48</v>
      </c>
      <c r="I17" s="113"/>
      <c r="J17" s="113"/>
      <c r="K17" s="149">
        <f t="shared" si="4"/>
        <v>-0.05630166441</v>
      </c>
      <c r="L17" s="23"/>
      <c r="M17" s="23"/>
      <c r="N17" s="23"/>
      <c r="O17" s="53"/>
      <c r="P17" s="5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50" t="s">
        <v>51</v>
      </c>
      <c r="B18" s="151">
        <f t="shared" ref="B18:F18" si="5">IFERROR(AVERAGE(B16:B17),"")</f>
        <v>85.75675721</v>
      </c>
      <c r="C18" s="151">
        <f t="shared" si="5"/>
        <v>90.60654832</v>
      </c>
      <c r="D18" s="151">
        <f t="shared" si="5"/>
        <v>95.42521507</v>
      </c>
      <c r="E18" s="151">
        <f t="shared" si="5"/>
        <v>100.2133989</v>
      </c>
      <c r="F18" s="152">
        <f t="shared" si="5"/>
        <v>104.9717338</v>
      </c>
      <c r="G18" s="23"/>
      <c r="H18" s="153" t="s">
        <v>52</v>
      </c>
      <c r="I18" s="154"/>
      <c r="J18" s="154"/>
      <c r="K18" s="149">
        <f>IFERROR(('1.IS'!K18/D12),"")</f>
        <v>0.12212108</v>
      </c>
      <c r="L18" s="23"/>
      <c r="M18" s="23"/>
      <c r="N18" s="23"/>
      <c r="O18" s="53"/>
      <c r="P18" s="5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5" t="s">
        <v>53</v>
      </c>
      <c r="B19" s="156">
        <f t="shared" ref="B19:F19" si="6">IFERROR((B18/$D$7)-1,"")</f>
        <v>-0.1509231959</v>
      </c>
      <c r="C19" s="156">
        <f t="shared" si="6"/>
        <v>-0.1029054622</v>
      </c>
      <c r="D19" s="156">
        <f t="shared" si="6"/>
        <v>-0.05519589042</v>
      </c>
      <c r="E19" s="156">
        <f t="shared" si="6"/>
        <v>-0.007788129495</v>
      </c>
      <c r="F19" s="157">
        <f t="shared" si="6"/>
        <v>0.03932409668</v>
      </c>
      <c r="G19" s="53"/>
      <c r="H19" s="158" t="s">
        <v>51</v>
      </c>
      <c r="I19" s="155"/>
      <c r="J19" s="155"/>
      <c r="K19" s="159">
        <f>IFERROR(AVERAGE(K16:K17),"")</f>
        <v>0.00121136017</v>
      </c>
      <c r="L19" s="53"/>
      <c r="M19" s="53"/>
      <c r="N19" s="53"/>
      <c r="O19" s="53"/>
      <c r="P19" s="5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3"/>
      <c r="I20" s="53"/>
      <c r="J20" s="53"/>
      <c r="K20" s="53"/>
      <c r="L20" s="53"/>
      <c r="M20" s="53"/>
      <c r="N20" s="53"/>
      <c r="O20" s="53"/>
      <c r="P20" s="5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3"/>
      <c r="I21" s="53"/>
      <c r="J21" s="53"/>
      <c r="K21" s="53"/>
      <c r="L21" s="53"/>
      <c r="M21" s="53"/>
      <c r="N21" s="53"/>
      <c r="O21" s="53"/>
      <c r="P21" s="5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3"/>
      <c r="I22" s="53"/>
      <c r="J22" s="53"/>
      <c r="K22" s="53"/>
      <c r="L22" s="53"/>
      <c r="M22" s="53"/>
      <c r="N22" s="53"/>
      <c r="O22" s="53"/>
      <c r="P22" s="5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3"/>
      <c r="I23" s="53"/>
      <c r="J23" s="53"/>
      <c r="K23" s="53"/>
      <c r="L23" s="53"/>
      <c r="M23" s="53"/>
      <c r="N23" s="53"/>
      <c r="O23" s="53"/>
      <c r="P23" s="5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3"/>
      <c r="I24" s="53"/>
      <c r="J24" s="53"/>
      <c r="K24" s="53"/>
      <c r="L24" s="53"/>
      <c r="M24" s="53"/>
      <c r="N24" s="53"/>
      <c r="O24" s="53"/>
      <c r="P24" s="5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3"/>
      <c r="I25" s="53"/>
      <c r="J25" s="53"/>
      <c r="K25" s="53"/>
      <c r="L25" s="53"/>
      <c r="M25" s="53"/>
      <c r="N25" s="53"/>
      <c r="O25" s="53"/>
      <c r="P25" s="5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5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5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5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4"/>
      <c r="B35" s="160"/>
      <c r="C35" s="160"/>
      <c r="D35" s="160"/>
      <c r="E35" s="160"/>
      <c r="F35" s="160"/>
      <c r="G35" s="160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4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4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4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4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4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4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4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4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4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4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4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4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4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4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4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4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4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4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4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4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4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4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4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4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4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4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4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4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4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4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4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4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4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4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4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4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4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4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4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4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4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4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4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4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4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4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4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4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4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4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4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4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4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4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4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4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4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4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4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4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4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4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4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4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4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4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4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4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4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4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4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4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4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2"/>
      <c r="D1" s="62"/>
      <c r="E1" s="62"/>
      <c r="F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5" t="s">
        <v>55</v>
      </c>
      <c r="B2" s="96">
        <f>'1.IS'!B$2</f>
        <v>2015</v>
      </c>
      <c r="C2" s="96">
        <f>'1.IS'!C$2</f>
        <v>2016</v>
      </c>
      <c r="D2" s="96">
        <f>'1.IS'!D$2</f>
        <v>2017</v>
      </c>
      <c r="E2" s="96">
        <f>'1.IS'!E$2</f>
        <v>2018</v>
      </c>
      <c r="F2" s="96">
        <f>'1.IS'!F$2</f>
        <v>2019</v>
      </c>
      <c r="G2" s="96">
        <f>'1.IS'!G$2</f>
        <v>2020</v>
      </c>
      <c r="H2" s="96">
        <f>'1.IS'!H$2</f>
        <v>2021</v>
      </c>
      <c r="I2" s="96">
        <f>'1.IS'!I$2</f>
        <v>2022</v>
      </c>
      <c r="J2" s="96">
        <f>'1.IS'!J$2</f>
        <v>2023</v>
      </c>
      <c r="K2" s="96">
        <f>'1.IS'!K$2</f>
        <v>2024</v>
      </c>
      <c r="L2" s="18"/>
      <c r="M2" s="18"/>
      <c r="N2" s="161"/>
      <c r="O2" s="161"/>
      <c r="P2" s="161"/>
      <c r="Q2" s="162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3" t="s">
        <v>56</v>
      </c>
      <c r="B3" s="164"/>
      <c r="C3" s="165"/>
      <c r="D3" s="165"/>
      <c r="E3" s="165"/>
      <c r="F3" s="165"/>
      <c r="G3" s="165"/>
      <c r="H3" s="165"/>
      <c r="I3" s="165"/>
      <c r="J3" s="165"/>
      <c r="K3" s="166"/>
      <c r="L3" s="18"/>
      <c r="M3" s="18"/>
      <c r="N3" s="161"/>
      <c r="O3" s="161"/>
      <c r="P3" s="161"/>
      <c r="Q3" s="162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7" t="s">
        <v>57</v>
      </c>
      <c r="B4" s="168">
        <f>IFERROR(VLOOKUP("Stock-based compensation*",'9.TIKR_CF'!$A:$K,COLUMN(B1),FALSE)/'1.IS'!B2,"")</f>
        <v>0</v>
      </c>
      <c r="C4" s="169">
        <f>IFERROR(VLOOKUP("Stock-based compensation*",'9.TIKR_CF'!$A:$K,COLUMN(C1),FALSE)/'1.IS'!C2,"")</f>
        <v>0</v>
      </c>
      <c r="D4" s="169">
        <f>IFERROR(VLOOKUP("Stock-based compensation*",'9.TIKR_CF'!$A:$K,COLUMN(D1),FALSE)/'1.IS'!D2,"")</f>
        <v>0.05340604859</v>
      </c>
      <c r="E4" s="169">
        <f>IFERROR(VLOOKUP("Stock-based compensation*",'9.TIKR_CF'!$A:$K,COLUMN(E1),FALSE)/'1.IS'!E2,"")</f>
        <v>0.04716551041</v>
      </c>
      <c r="F4" s="169">
        <f>IFERROR(VLOOKUP("Stock-based compensation*",'9.TIKR_CF'!$A:$K,COLUMN(F1),FALSE)/'1.IS'!F2,"")</f>
        <v>0.03437840515</v>
      </c>
      <c r="G4" s="169">
        <f>IFERROR(VLOOKUP("Stock-based compensation*",'9.TIKR_CF'!$A:$K,COLUMN(G1),FALSE)/'1.IS'!G2,"")</f>
        <v>0.03425247525</v>
      </c>
      <c r="H4" s="169">
        <f>IFERROR(VLOOKUP("Stock-based compensation*",'9.TIKR_CF'!$A:$K,COLUMN(H1),FALSE)/'1.IS'!H2,"")</f>
        <v>0.04754576942</v>
      </c>
      <c r="I4" s="169">
        <f>IFERROR(VLOOKUP("Stock-based compensation*",'9.TIKR_CF'!$A:$K,COLUMN(I1),FALSE)/'1.IS'!I2,"")</f>
        <v>0.05086547972</v>
      </c>
      <c r="J4" s="169">
        <f>IFERROR(VLOOKUP("Stock-based compensation*",'9.TIKR_CF'!$A:$K,COLUMN(J1),FALSE)/'1.IS'!J2,"")</f>
        <v>0.04797825012</v>
      </c>
      <c r="K4" s="170">
        <f>IFERROR(VLOOKUP("Stock-based compensation*",'9.TIKR_CF'!$A:$K,COLUMN(K1),FALSE)/'1.IS'!K2,"")</f>
        <v>0.05491106719</v>
      </c>
      <c r="L4" s="18"/>
      <c r="M4" s="18"/>
      <c r="N4" s="161"/>
      <c r="O4" s="161"/>
      <c r="P4" s="161"/>
      <c r="Q4" s="162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1" t="s">
        <v>58</v>
      </c>
      <c r="B5" s="172">
        <f>IFERROR(VLOOKUP("Issuance of Common Stock*",'9.TIKR_CF'!$A:$K,COLUMN(B2),FALSE)/'1.IS'!B3,"")</f>
        <v>0</v>
      </c>
      <c r="C5" s="88">
        <f>IFERROR(VLOOKUP("Issuance of Common Stock*",'9.TIKR_CF'!$A:$K,COLUMN(C2),FALSE)/'1.IS'!C3,"")</f>
        <v>0</v>
      </c>
      <c r="D5" s="88">
        <f>IFERROR(VLOOKUP("Issuance of Common Stock*",'9.TIKR_CF'!$A:$K,COLUMN(D2),FALSE)/'1.IS'!D3,"")</f>
        <v>0</v>
      </c>
      <c r="E5" s="88">
        <f>IFERROR(VLOOKUP("Issuance of Common Stock*",'9.TIKR_CF'!$A:$K,COLUMN(E2),FALSE)/'1.IS'!E3,"")</f>
        <v>0</v>
      </c>
      <c r="F5" s="88">
        <f>IFERROR(VLOOKUP("Issuance of Common Stock*",'9.TIKR_CF'!$A:$K,COLUMN(F2),FALSE)/'1.IS'!F3,"")</f>
        <v>0</v>
      </c>
      <c r="G5" s="88">
        <f>IFERROR(VLOOKUP("Issuance of Common Stock*",'9.TIKR_CF'!$A:$K,COLUMN(G2),FALSE)/'1.IS'!G3,"")</f>
        <v>0</v>
      </c>
      <c r="H5" s="88">
        <f>IFERROR(VLOOKUP("Issuance of Common Stock*",'9.TIKR_CF'!$A:$K,COLUMN(H2),FALSE)/'1.IS'!H3,"")</f>
        <v>0</v>
      </c>
      <c r="I5" s="88">
        <f>IFERROR(VLOOKUP("Issuance of Common Stock*",'9.TIKR_CF'!$A:$K,COLUMN(I2),FALSE)/'1.IS'!I3,"")</f>
        <v>0</v>
      </c>
      <c r="J5" s="88">
        <f>IFERROR(VLOOKUP("Issuance of Common Stock*",'9.TIKR_CF'!$A:$K,COLUMN(J2),FALSE)/'1.IS'!J3,"")</f>
        <v>0</v>
      </c>
      <c r="K5" s="89">
        <f>IFERROR(VLOOKUP("Issuance of Common Stock*",'9.TIKR_CF'!$A:$K,COLUMN(K2),FALSE)/'1.IS'!K3,"")</f>
        <v>0</v>
      </c>
      <c r="L5" s="18"/>
      <c r="M5" s="18"/>
      <c r="N5" s="23"/>
      <c r="O5" s="62"/>
      <c r="P5" s="62"/>
      <c r="Q5" s="62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8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62"/>
      <c r="O6" s="62"/>
      <c r="P6" s="62"/>
      <c r="Q6" s="62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5" t="s">
        <v>59</v>
      </c>
      <c r="B7" s="96" t="s">
        <v>60</v>
      </c>
      <c r="C7" s="173"/>
      <c r="D7" s="173"/>
      <c r="E7" s="173"/>
      <c r="F7" s="173"/>
      <c r="G7" s="173"/>
      <c r="H7" s="173"/>
      <c r="I7" s="173"/>
      <c r="J7" s="173"/>
      <c r="K7" s="173"/>
      <c r="L7" s="18"/>
      <c r="M7" s="18"/>
      <c r="N7" s="161"/>
      <c r="O7" s="161"/>
      <c r="P7" s="161"/>
      <c r="Q7" s="162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3" t="s">
        <v>61</v>
      </c>
      <c r="B8" s="174"/>
      <c r="C8" s="169"/>
      <c r="D8" s="169"/>
      <c r="E8" s="169"/>
      <c r="F8" s="169"/>
      <c r="G8" s="169"/>
      <c r="H8" s="169"/>
      <c r="I8" s="169"/>
      <c r="J8" s="169"/>
      <c r="K8" s="169"/>
      <c r="L8" s="175"/>
      <c r="M8" s="162"/>
      <c r="N8" s="23"/>
      <c r="O8" s="62"/>
      <c r="P8" s="62"/>
      <c r="Q8" s="62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7" t="s">
        <v>62</v>
      </c>
      <c r="B9" s="176">
        <f>'TIKR_Cálculos'!L20</f>
        <v>4</v>
      </c>
      <c r="C9" s="169"/>
      <c r="D9" s="169"/>
      <c r="E9" s="169"/>
      <c r="F9" s="169"/>
      <c r="G9" s="169"/>
      <c r="H9" s="169"/>
      <c r="I9" s="169"/>
      <c r="J9" s="169"/>
      <c r="K9" s="169"/>
      <c r="L9" s="175"/>
      <c r="M9" s="162"/>
      <c r="N9" s="23"/>
      <c r="O9" s="62"/>
      <c r="P9" s="62"/>
      <c r="Q9" s="62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7" t="s">
        <v>63</v>
      </c>
      <c r="B10" s="176">
        <f>'TIKR_Cálculos'!L21</f>
        <v>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7" t="s">
        <v>64</v>
      </c>
      <c r="B11" s="176">
        <f>'TIKR_Cálculos'!L22</f>
        <v>2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1" t="s">
        <v>65</v>
      </c>
      <c r="B12" s="177">
        <f>'TIKR_Cálculos'!L23</f>
        <v>3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62"/>
      <c r="M14" s="62"/>
      <c r="N14" s="62"/>
      <c r="O14" s="62"/>
      <c r="P14" s="62"/>
      <c r="Q14" s="62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18"/>
      <c r="S16" s="18"/>
      <c r="T16" s="18"/>
      <c r="U16" s="62"/>
      <c r="V16" s="62"/>
      <c r="W16" s="62"/>
      <c r="X16" s="62"/>
      <c r="Y16" s="62"/>
      <c r="Z16" s="62"/>
    </row>
    <row r="17" ht="24.75" customHeight="1">
      <c r="A17" s="18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18"/>
      <c r="S17" s="18"/>
      <c r="T17" s="18"/>
      <c r="U17" s="62"/>
      <c r="V17" s="62"/>
      <c r="W17" s="62"/>
      <c r="X17" s="62"/>
      <c r="Y17" s="62"/>
      <c r="Z17" s="62"/>
    </row>
    <row r="18" ht="24.75" customHeight="1">
      <c r="A18" s="18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18"/>
      <c r="S18" s="18"/>
      <c r="T18" s="18"/>
      <c r="U18" s="62"/>
      <c r="V18" s="62"/>
      <c r="W18" s="62"/>
      <c r="X18" s="62"/>
      <c r="Y18" s="62"/>
      <c r="Z18" s="62"/>
    </row>
    <row r="19" ht="24.75" customHeight="1">
      <c r="A19" s="18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18"/>
      <c r="S19" s="18"/>
      <c r="T19" s="18"/>
      <c r="U19" s="62"/>
      <c r="V19" s="62"/>
      <c r="W19" s="62"/>
      <c r="X19" s="62"/>
      <c r="Y19" s="62"/>
      <c r="Z19" s="62"/>
    </row>
    <row r="20" ht="24.75" customHeight="1">
      <c r="A20" s="18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18"/>
      <c r="S20" s="18"/>
      <c r="T20" s="18"/>
      <c r="U20" s="62"/>
      <c r="V20" s="62"/>
      <c r="W20" s="62"/>
      <c r="X20" s="62"/>
      <c r="Y20" s="62"/>
      <c r="Z20" s="62"/>
    </row>
    <row r="21" ht="24.75" customHeight="1">
      <c r="A21" s="18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18"/>
      <c r="S21" s="18"/>
      <c r="T21" s="18"/>
      <c r="U21" s="62"/>
      <c r="V21" s="62"/>
      <c r="W21" s="62"/>
      <c r="X21" s="62"/>
      <c r="Y21" s="62"/>
      <c r="Z21" s="62"/>
    </row>
    <row r="22" ht="24.75" customHeight="1">
      <c r="A22" s="18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18"/>
      <c r="S22" s="18"/>
      <c r="T22" s="18"/>
      <c r="U22" s="62"/>
      <c r="V22" s="62"/>
      <c r="W22" s="62"/>
      <c r="X22" s="62"/>
      <c r="Y22" s="62"/>
      <c r="Z22" s="62"/>
    </row>
    <row r="23" ht="24.75" customHeight="1">
      <c r="A23" s="18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18"/>
      <c r="S23" s="18"/>
      <c r="T23" s="18"/>
      <c r="U23" s="62"/>
      <c r="V23" s="62"/>
      <c r="W23" s="62"/>
      <c r="X23" s="62"/>
      <c r="Y23" s="62"/>
      <c r="Z23" s="62"/>
    </row>
    <row r="24" ht="24.75" customHeight="1">
      <c r="A24" s="18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18"/>
      <c r="S24" s="18"/>
      <c r="T24" s="18"/>
      <c r="U24" s="62"/>
      <c r="V24" s="62"/>
      <c r="W24" s="62"/>
      <c r="X24" s="62"/>
      <c r="Y24" s="62"/>
      <c r="Z24" s="62"/>
    </row>
    <row r="25" ht="24.7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18"/>
      <c r="S25" s="18"/>
      <c r="T25" s="18"/>
      <c r="U25" s="62"/>
      <c r="V25" s="62"/>
      <c r="W25" s="62"/>
      <c r="X25" s="62"/>
      <c r="Y25" s="62"/>
      <c r="Z25" s="62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29"/>
      <c r="M28" s="129"/>
      <c r="N28" s="62"/>
      <c r="O28" s="62"/>
      <c r="P28" s="62"/>
      <c r="Q28" s="62"/>
      <c r="R28" s="18"/>
      <c r="S28" s="18"/>
      <c r="T28" s="18"/>
      <c r="U28" s="62"/>
      <c r="V28" s="62"/>
      <c r="W28" s="62"/>
      <c r="X28" s="62"/>
      <c r="Y28" s="62"/>
      <c r="Z28" s="62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75"/>
      <c r="M29" s="175"/>
      <c r="N29" s="62"/>
      <c r="O29" s="62"/>
      <c r="P29" s="62"/>
      <c r="Q29" s="62"/>
      <c r="R29" s="18"/>
      <c r="S29" s="18"/>
      <c r="T29" s="18"/>
      <c r="U29" s="62"/>
      <c r="V29" s="62"/>
      <c r="W29" s="62"/>
      <c r="X29" s="62"/>
      <c r="Y29" s="62"/>
      <c r="Z29" s="62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175"/>
      <c r="M30" s="175"/>
      <c r="N30" s="62"/>
      <c r="O30" s="62"/>
      <c r="P30" s="62"/>
      <c r="Q30" s="62"/>
      <c r="R30" s="18"/>
      <c r="S30" s="18"/>
      <c r="T30" s="18"/>
      <c r="U30" s="62"/>
      <c r="V30" s="62"/>
      <c r="W30" s="62"/>
      <c r="X30" s="62"/>
      <c r="Y30" s="62"/>
      <c r="Z30" s="62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175"/>
      <c r="M31" s="175"/>
      <c r="N31" s="62"/>
      <c r="O31" s="62"/>
      <c r="P31" s="62"/>
      <c r="Q31" s="62"/>
      <c r="R31" s="18"/>
      <c r="S31" s="18"/>
      <c r="T31" s="18"/>
      <c r="U31" s="62"/>
      <c r="V31" s="62"/>
      <c r="W31" s="62"/>
      <c r="X31" s="62"/>
      <c r="Y31" s="62"/>
      <c r="Z31" s="62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175"/>
      <c r="M32" s="175"/>
      <c r="N32" s="62"/>
      <c r="O32" s="62"/>
      <c r="P32" s="62"/>
      <c r="Q32" s="62"/>
      <c r="R32" s="18"/>
      <c r="S32" s="18"/>
      <c r="T32" s="18"/>
      <c r="U32" s="62"/>
      <c r="V32" s="62"/>
      <c r="W32" s="62"/>
      <c r="X32" s="62"/>
      <c r="Y32" s="62"/>
      <c r="Z32" s="62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175"/>
      <c r="M33" s="175"/>
      <c r="N33" s="62"/>
      <c r="O33" s="62"/>
      <c r="P33" s="62"/>
      <c r="Q33" s="62"/>
      <c r="R33" s="18"/>
      <c r="S33" s="18"/>
      <c r="T33" s="18"/>
      <c r="U33" s="62"/>
      <c r="V33" s="62"/>
      <c r="W33" s="62"/>
      <c r="X33" s="62"/>
      <c r="Y33" s="62"/>
      <c r="Z33" s="62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9" t="s">
        <v>66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184" t="s">
        <v>67</v>
      </c>
      <c r="B3" s="185">
        <v>4991.55</v>
      </c>
      <c r="C3" s="185">
        <v>4867.62</v>
      </c>
      <c r="D3" s="185">
        <v>4713.8</v>
      </c>
      <c r="E3" s="185">
        <v>4537.09</v>
      </c>
      <c r="F3" s="185">
        <v>4682.27</v>
      </c>
      <c r="G3" s="185">
        <v>4321.01</v>
      </c>
      <c r="H3" s="185">
        <v>4412.0</v>
      </c>
      <c r="I3" s="185">
        <v>6530.55</v>
      </c>
      <c r="J3" s="185">
        <v>6860.32</v>
      </c>
      <c r="K3" s="185">
        <v>7004.0</v>
      </c>
      <c r="L3" s="185">
        <v>7034.46</v>
      </c>
    </row>
    <row r="4">
      <c r="A4" s="184" t="s">
        <v>68</v>
      </c>
      <c r="B4" s="185">
        <v>183.33</v>
      </c>
      <c r="C4" s="185">
        <v>138.52</v>
      </c>
      <c r="D4" s="185">
        <v>229.09</v>
      </c>
      <c r="E4" s="185">
        <v>201.32</v>
      </c>
      <c r="F4" s="185">
        <v>188.84</v>
      </c>
      <c r="G4" s="185">
        <v>89.62</v>
      </c>
      <c r="H4" s="185">
        <v>89.43</v>
      </c>
      <c r="I4" s="185">
        <v>228.93</v>
      </c>
      <c r="J4" s="185">
        <v>489.62</v>
      </c>
      <c r="K4" s="185">
        <v>651.14</v>
      </c>
      <c r="L4" s="185">
        <v>668.48</v>
      </c>
    </row>
    <row r="5">
      <c r="A5" s="184" t="s">
        <v>69</v>
      </c>
      <c r="B5" s="185">
        <v>89.48</v>
      </c>
      <c r="C5" s="185">
        <v>18.59</v>
      </c>
      <c r="D5" s="185">
        <v>81.17</v>
      </c>
      <c r="E5" s="185">
        <v>47.03</v>
      </c>
      <c r="F5" s="185">
        <v>53.79</v>
      </c>
      <c r="G5" s="185">
        <v>73.3</v>
      </c>
      <c r="H5" s="185">
        <v>71.77</v>
      </c>
      <c r="I5" s="185">
        <v>215.85</v>
      </c>
      <c r="J5" s="185">
        <v>196.66</v>
      </c>
      <c r="K5" s="185">
        <v>304.02</v>
      </c>
      <c r="L5" s="185">
        <v>312.24</v>
      </c>
    </row>
    <row r="6">
      <c r="A6" s="184" t="s">
        <v>70</v>
      </c>
      <c r="B6" s="185">
        <v>23.09</v>
      </c>
      <c r="C6" s="185">
        <v>18.3</v>
      </c>
      <c r="D6" s="185">
        <v>13.43</v>
      </c>
      <c r="E6" s="185">
        <v>14.54</v>
      </c>
      <c r="F6" s="185">
        <v>12.45</v>
      </c>
      <c r="G6" s="185">
        <v>9.7</v>
      </c>
      <c r="H6" s="185">
        <v>15.73</v>
      </c>
      <c r="I6" s="185">
        <v>38.23</v>
      </c>
      <c r="J6" s="185">
        <v>33.82</v>
      </c>
      <c r="K6" s="185">
        <v>37.48</v>
      </c>
      <c r="L6" s="185">
        <v>40.42</v>
      </c>
    </row>
    <row r="7">
      <c r="A7" s="186" t="s">
        <v>71</v>
      </c>
      <c r="B7" s="187">
        <v>5287.46</v>
      </c>
      <c r="C7" s="187">
        <v>5043.03</v>
      </c>
      <c r="D7" s="187">
        <v>5037.49</v>
      </c>
      <c r="E7" s="187">
        <v>4799.98</v>
      </c>
      <c r="F7" s="187">
        <v>4937.34</v>
      </c>
      <c r="G7" s="187">
        <v>4493.63</v>
      </c>
      <c r="H7" s="187">
        <v>4588.93</v>
      </c>
      <c r="I7" s="187">
        <v>7013.55</v>
      </c>
      <c r="J7" s="187">
        <v>7580.42</v>
      </c>
      <c r="K7" s="187">
        <v>7996.64</v>
      </c>
      <c r="L7" s="187">
        <v>8055.59</v>
      </c>
    </row>
    <row r="8">
      <c r="A8" s="188" t="s">
        <v>72</v>
      </c>
      <c r="B8" s="189"/>
      <c r="C8" s="190" t="s">
        <v>73</v>
      </c>
      <c r="D8" s="190" t="s">
        <v>74</v>
      </c>
      <c r="E8" s="190" t="s">
        <v>75</v>
      </c>
      <c r="F8" s="191" t="s">
        <v>76</v>
      </c>
      <c r="G8" s="190" t="s">
        <v>77</v>
      </c>
      <c r="H8" s="191" t="s">
        <v>78</v>
      </c>
      <c r="I8" s="191" t="s">
        <v>79</v>
      </c>
      <c r="J8" s="191" t="s">
        <v>80</v>
      </c>
      <c r="K8" s="191" t="s">
        <v>81</v>
      </c>
      <c r="L8" s="192"/>
    </row>
    <row r="9">
      <c r="A9" s="184" t="s">
        <v>82</v>
      </c>
      <c r="B9" s="193">
        <v>-2365.42</v>
      </c>
      <c r="C9" s="193">
        <v>-2373.87</v>
      </c>
      <c r="D9" s="193">
        <v>-2265.05</v>
      </c>
      <c r="E9" s="193">
        <v>-2125.56</v>
      </c>
      <c r="F9" s="193">
        <v>-1964.07</v>
      </c>
      <c r="G9" s="193">
        <v>-1968.91</v>
      </c>
      <c r="H9" s="193">
        <v>-2056.95</v>
      </c>
      <c r="I9" s="193">
        <v>-3213.41</v>
      </c>
      <c r="J9" s="193">
        <v>-3237.02</v>
      </c>
      <c r="K9" s="193">
        <v>-3390.4</v>
      </c>
      <c r="L9" s="193">
        <v>-3348.78</v>
      </c>
    </row>
    <row r="10">
      <c r="A10" s="194" t="s">
        <v>83</v>
      </c>
      <c r="B10" s="195">
        <v>2922.04</v>
      </c>
      <c r="C10" s="195">
        <v>2669.17</v>
      </c>
      <c r="D10" s="195">
        <v>2772.45</v>
      </c>
      <c r="E10" s="195">
        <v>2674.42</v>
      </c>
      <c r="F10" s="195">
        <v>2973.27</v>
      </c>
      <c r="G10" s="195">
        <v>2524.72</v>
      </c>
      <c r="H10" s="195">
        <v>2531.98</v>
      </c>
      <c r="I10" s="195">
        <v>3800.14</v>
      </c>
      <c r="J10" s="195">
        <v>4343.4</v>
      </c>
      <c r="K10" s="195">
        <v>4606.25</v>
      </c>
      <c r="L10" s="195">
        <v>4706.81</v>
      </c>
    </row>
    <row r="11">
      <c r="A11" s="188" t="s">
        <v>72</v>
      </c>
      <c r="B11" s="189"/>
      <c r="C11" s="190" t="s">
        <v>84</v>
      </c>
      <c r="D11" s="191" t="s">
        <v>85</v>
      </c>
      <c r="E11" s="190" t="s">
        <v>86</v>
      </c>
      <c r="F11" s="191" t="s">
        <v>87</v>
      </c>
      <c r="G11" s="190" t="s">
        <v>88</v>
      </c>
      <c r="H11" s="191" t="s">
        <v>89</v>
      </c>
      <c r="I11" s="191" t="s">
        <v>90</v>
      </c>
      <c r="J11" s="191" t="s">
        <v>91</v>
      </c>
      <c r="K11" s="191" t="s">
        <v>92</v>
      </c>
      <c r="L11" s="192"/>
    </row>
    <row r="12">
      <c r="A12" s="188" t="s">
        <v>93</v>
      </c>
      <c r="B12" s="191" t="s">
        <v>94</v>
      </c>
      <c r="C12" s="191" t="s">
        <v>95</v>
      </c>
      <c r="D12" s="191" t="s">
        <v>96</v>
      </c>
      <c r="E12" s="191" t="s">
        <v>97</v>
      </c>
      <c r="F12" s="191" t="s">
        <v>98</v>
      </c>
      <c r="G12" s="191" t="s">
        <v>99</v>
      </c>
      <c r="H12" s="191" t="s">
        <v>100</v>
      </c>
      <c r="I12" s="191" t="s">
        <v>101</v>
      </c>
      <c r="J12" s="191" t="s">
        <v>102</v>
      </c>
      <c r="K12" s="191" t="s">
        <v>103</v>
      </c>
      <c r="L12" s="191" t="s">
        <v>104</v>
      </c>
    </row>
    <row r="13">
      <c r="A13" s="184" t="s">
        <v>105</v>
      </c>
      <c r="B13" s="193">
        <v>-381.31</v>
      </c>
      <c r="C13" s="193">
        <v>-351.01</v>
      </c>
      <c r="D13" s="193">
        <v>-348.29</v>
      </c>
      <c r="E13" s="193">
        <v>-305.23</v>
      </c>
      <c r="F13" s="193">
        <v>-267.46</v>
      </c>
      <c r="G13" s="193">
        <v>-242.16</v>
      </c>
      <c r="H13" s="193">
        <v>-317.89</v>
      </c>
      <c r="I13" s="193">
        <v>-399.53</v>
      </c>
      <c r="J13" s="193">
        <v>-464.13</v>
      </c>
      <c r="K13" s="193">
        <v>-488.92</v>
      </c>
      <c r="L13" s="193">
        <v>-482.73</v>
      </c>
    </row>
    <row r="14">
      <c r="A14" s="184" t="s">
        <v>106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</row>
    <row r="15">
      <c r="A15" s="184" t="s">
        <v>107</v>
      </c>
      <c r="B15" s="196"/>
      <c r="C15" s="185">
        <v>63.2</v>
      </c>
      <c r="D15" s="196"/>
      <c r="E15" s="196"/>
      <c r="F15" s="196"/>
      <c r="G15" s="196"/>
      <c r="H15" s="196"/>
      <c r="I15" s="196"/>
      <c r="J15" s="196"/>
      <c r="K15" s="196"/>
      <c r="L15" s="196"/>
    </row>
    <row r="16">
      <c r="A16" s="194" t="s">
        <v>108</v>
      </c>
      <c r="B16" s="197">
        <v>-381.31</v>
      </c>
      <c r="C16" s="197">
        <v>-287.81</v>
      </c>
      <c r="D16" s="197">
        <v>-348.29</v>
      </c>
      <c r="E16" s="197">
        <v>-305.23</v>
      </c>
      <c r="F16" s="197">
        <v>-267.46</v>
      </c>
      <c r="G16" s="197">
        <v>-242.16</v>
      </c>
      <c r="H16" s="197">
        <v>-317.89</v>
      </c>
      <c r="I16" s="197">
        <v>-399.53</v>
      </c>
      <c r="J16" s="197">
        <v>-464.13</v>
      </c>
      <c r="K16" s="197">
        <v>-488.92</v>
      </c>
      <c r="L16" s="197">
        <v>-482.73</v>
      </c>
    </row>
    <row r="17">
      <c r="A17" s="186" t="s">
        <v>109</v>
      </c>
      <c r="B17" s="187">
        <v>2540.73</v>
      </c>
      <c r="C17" s="187">
        <v>2381.35</v>
      </c>
      <c r="D17" s="187">
        <v>2424.15</v>
      </c>
      <c r="E17" s="187">
        <v>2369.19</v>
      </c>
      <c r="F17" s="187">
        <v>2705.81</v>
      </c>
      <c r="G17" s="187">
        <v>2282.56</v>
      </c>
      <c r="H17" s="187">
        <v>2214.1</v>
      </c>
      <c r="I17" s="187">
        <v>3400.61</v>
      </c>
      <c r="J17" s="187">
        <v>3879.27</v>
      </c>
      <c r="K17" s="187">
        <v>4117.33</v>
      </c>
      <c r="L17" s="187">
        <v>4224.08</v>
      </c>
    </row>
    <row r="18">
      <c r="A18" s="188" t="s">
        <v>72</v>
      </c>
      <c r="B18" s="189"/>
      <c r="C18" s="190" t="s">
        <v>110</v>
      </c>
      <c r="D18" s="191" t="s">
        <v>111</v>
      </c>
      <c r="E18" s="190" t="s">
        <v>112</v>
      </c>
      <c r="F18" s="191" t="s">
        <v>113</v>
      </c>
      <c r="G18" s="190" t="s">
        <v>114</v>
      </c>
      <c r="H18" s="190" t="s">
        <v>115</v>
      </c>
      <c r="I18" s="191" t="s">
        <v>116</v>
      </c>
      <c r="J18" s="191" t="s">
        <v>117</v>
      </c>
      <c r="K18" s="191" t="s">
        <v>92</v>
      </c>
      <c r="L18" s="192"/>
    </row>
    <row r="19">
      <c r="A19" s="188" t="s">
        <v>118</v>
      </c>
      <c r="B19" s="191" t="s">
        <v>119</v>
      </c>
      <c r="C19" s="191" t="s">
        <v>120</v>
      </c>
      <c r="D19" s="191" t="s">
        <v>119</v>
      </c>
      <c r="E19" s="191" t="s">
        <v>121</v>
      </c>
      <c r="F19" s="191" t="s">
        <v>122</v>
      </c>
      <c r="G19" s="191" t="s">
        <v>123</v>
      </c>
      <c r="H19" s="191" t="s">
        <v>124</v>
      </c>
      <c r="I19" s="191" t="s">
        <v>125</v>
      </c>
      <c r="J19" s="191" t="s">
        <v>126</v>
      </c>
      <c r="K19" s="191" t="s">
        <v>127</v>
      </c>
      <c r="L19" s="191" t="s">
        <v>128</v>
      </c>
    </row>
    <row r="20">
      <c r="A20" s="184" t="s">
        <v>129</v>
      </c>
      <c r="B20" s="193">
        <v>-1099.88</v>
      </c>
      <c r="C20" s="193">
        <v>-1091.86</v>
      </c>
      <c r="D20" s="193">
        <v>-1112.39</v>
      </c>
      <c r="E20" s="193">
        <v>-1174.07</v>
      </c>
      <c r="F20" s="193">
        <v>-1295.02</v>
      </c>
      <c r="G20" s="193">
        <v>-1248.23</v>
      </c>
      <c r="H20" s="193">
        <v>-1230.47</v>
      </c>
      <c r="I20" s="193">
        <v>-1591.87</v>
      </c>
      <c r="J20" s="193">
        <v>-1806.44</v>
      </c>
      <c r="K20" s="193">
        <v>-1990.73</v>
      </c>
      <c r="L20" s="193">
        <v>-2002.08</v>
      </c>
    </row>
    <row r="21" ht="15.75" customHeight="1">
      <c r="A21" s="184" t="s">
        <v>130</v>
      </c>
      <c r="B21" s="185">
        <v>1.28</v>
      </c>
      <c r="C21" s="185">
        <v>12.62</v>
      </c>
      <c r="D21" s="185">
        <v>9.2</v>
      </c>
      <c r="E21" s="185">
        <v>10.64</v>
      </c>
      <c r="F21" s="193">
        <v>-6.15</v>
      </c>
      <c r="G21" s="185">
        <v>2.46</v>
      </c>
      <c r="H21" s="185">
        <v>24.05</v>
      </c>
      <c r="I21" s="185">
        <v>117.17</v>
      </c>
      <c r="J21" s="185">
        <v>166.72</v>
      </c>
      <c r="K21" s="185">
        <v>158.96</v>
      </c>
      <c r="L21" s="185">
        <v>157.29</v>
      </c>
    </row>
    <row r="22" ht="15.75" customHeight="1">
      <c r="A22" s="184" t="s">
        <v>131</v>
      </c>
      <c r="B22" s="185">
        <v>22.6</v>
      </c>
      <c r="C22" s="196"/>
      <c r="D22" s="196"/>
      <c r="E22" s="196"/>
      <c r="F22" s="196"/>
      <c r="G22" s="196"/>
      <c r="H22" s="196"/>
      <c r="I22" s="196"/>
      <c r="J22" s="196"/>
      <c r="K22" s="196"/>
      <c r="L22" s="196"/>
    </row>
    <row r="23" ht="15.75" customHeight="1">
      <c r="A23" s="194" t="s">
        <v>132</v>
      </c>
      <c r="B23" s="195">
        <v>1464.73</v>
      </c>
      <c r="C23" s="195">
        <v>1302.11</v>
      </c>
      <c r="D23" s="195">
        <v>1320.96</v>
      </c>
      <c r="E23" s="195">
        <v>1205.76</v>
      </c>
      <c r="F23" s="195">
        <v>1404.64</v>
      </c>
      <c r="G23" s="195">
        <v>1036.8</v>
      </c>
      <c r="H23" s="195">
        <v>1007.68</v>
      </c>
      <c r="I23" s="195">
        <v>1925.91</v>
      </c>
      <c r="J23" s="195">
        <v>2239.55</v>
      </c>
      <c r="K23" s="195">
        <v>2285.56</v>
      </c>
      <c r="L23" s="195">
        <v>2379.3</v>
      </c>
    </row>
    <row r="24" ht="15.75" customHeight="1">
      <c r="A24" s="184" t="s">
        <v>133</v>
      </c>
      <c r="B24" s="193">
        <v>-97.61</v>
      </c>
      <c r="C24" s="193">
        <v>-89.39</v>
      </c>
      <c r="D24" s="193">
        <v>-14.61</v>
      </c>
      <c r="E24" s="196"/>
      <c r="F24" s="196"/>
      <c r="G24" s="196"/>
      <c r="H24" s="193">
        <v>-334.97</v>
      </c>
      <c r="I24" s="193">
        <v>-33.29</v>
      </c>
      <c r="J24" s="196"/>
      <c r="K24" s="196"/>
      <c r="L24" s="196"/>
    </row>
    <row r="25" ht="15.75" customHeight="1">
      <c r="A25" s="184" t="s">
        <v>134</v>
      </c>
      <c r="B25" s="196"/>
      <c r="C25" s="196"/>
      <c r="D25" s="196"/>
      <c r="E25" s="196"/>
      <c r="F25" s="196"/>
      <c r="G25" s="193">
        <v>-58.09</v>
      </c>
      <c r="H25" s="196"/>
      <c r="I25" s="196"/>
      <c r="J25" s="196"/>
      <c r="K25" s="196"/>
      <c r="L25" s="196"/>
    </row>
    <row r="26" ht="15.75" customHeight="1">
      <c r="A26" s="184" t="s">
        <v>135</v>
      </c>
      <c r="B26" s="196"/>
      <c r="C26" s="196"/>
      <c r="D26" s="196"/>
      <c r="E26" s="196"/>
      <c r="F26" s="196"/>
      <c r="G26" s="193">
        <v>-143.51</v>
      </c>
      <c r="H26" s="185">
        <v>2.3</v>
      </c>
      <c r="I26" s="193">
        <v>-17.68</v>
      </c>
      <c r="J26" s="185">
        <v>2.33</v>
      </c>
      <c r="K26" s="185">
        <v>5.24</v>
      </c>
      <c r="L26" s="193">
        <v>-9.68</v>
      </c>
    </row>
    <row r="27" ht="15.75" customHeight="1">
      <c r="A27" s="184" t="s">
        <v>136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</row>
    <row r="28" ht="15.75" customHeight="1">
      <c r="A28" s="184" t="s">
        <v>137</v>
      </c>
      <c r="B28" s="193">
        <v>-16.34</v>
      </c>
      <c r="C28" s="193">
        <v>-81.61</v>
      </c>
      <c r="D28" s="193">
        <v>-61.29</v>
      </c>
      <c r="E28" s="193">
        <v>-44.19</v>
      </c>
      <c r="F28" s="193">
        <v>-70.15</v>
      </c>
      <c r="G28" s="193">
        <v>-1028.89</v>
      </c>
      <c r="H28" s="193">
        <v>-128.41</v>
      </c>
      <c r="I28" s="193">
        <v>-96.59</v>
      </c>
      <c r="J28" s="193">
        <v>-86.86</v>
      </c>
      <c r="K28" s="193">
        <v>-49.77</v>
      </c>
      <c r="L28" s="193">
        <v>-50.34</v>
      </c>
    </row>
    <row r="29" ht="15.75" customHeight="1">
      <c r="A29" s="184" t="s">
        <v>138</v>
      </c>
      <c r="B29" s="185">
        <v>16.2</v>
      </c>
      <c r="C29" s="185">
        <v>54.2</v>
      </c>
      <c r="D29" s="196"/>
      <c r="E29" s="196"/>
      <c r="F29" s="196"/>
      <c r="G29" s="196"/>
      <c r="H29" s="196"/>
      <c r="I29" s="196"/>
      <c r="J29" s="185">
        <v>1254.0</v>
      </c>
      <c r="K29" s="185">
        <v>172.0</v>
      </c>
      <c r="L29" s="185">
        <v>172.0</v>
      </c>
    </row>
    <row r="30" ht="15.75" customHeight="1">
      <c r="A30" s="184" t="s">
        <v>139</v>
      </c>
      <c r="B30" s="196"/>
      <c r="C30" s="185">
        <v>27.7</v>
      </c>
      <c r="D30" s="196"/>
      <c r="E30" s="196"/>
      <c r="F30" s="196"/>
      <c r="G30" s="193">
        <v>-118.46</v>
      </c>
      <c r="H30" s="185">
        <v>625.36</v>
      </c>
      <c r="I30" s="193">
        <v>-2663.61</v>
      </c>
      <c r="J30" s="185">
        <v>29.88</v>
      </c>
      <c r="K30" s="185">
        <v>9.3</v>
      </c>
      <c r="L30" s="193">
        <v>-13.44</v>
      </c>
    </row>
    <row r="31" ht="15.75" customHeight="1">
      <c r="A31" s="194" t="s">
        <v>140</v>
      </c>
      <c r="B31" s="195">
        <v>1366.98</v>
      </c>
      <c r="C31" s="195">
        <v>1213.01</v>
      </c>
      <c r="D31" s="195">
        <v>1245.07</v>
      </c>
      <c r="E31" s="195">
        <v>1161.58</v>
      </c>
      <c r="F31" s="195">
        <v>1334.49</v>
      </c>
      <c r="G31" s="197">
        <v>-312.15</v>
      </c>
      <c r="H31" s="195">
        <v>1171.97</v>
      </c>
      <c r="I31" s="197">
        <v>-885.26</v>
      </c>
      <c r="J31" s="195">
        <v>3438.9</v>
      </c>
      <c r="K31" s="195">
        <v>2422.33</v>
      </c>
      <c r="L31" s="195">
        <v>2477.84</v>
      </c>
    </row>
    <row r="32" ht="15.75" customHeight="1">
      <c r="A32" s="184" t="s">
        <v>141</v>
      </c>
      <c r="B32" s="193">
        <v>-189.81</v>
      </c>
      <c r="C32" s="193">
        <v>-173.5</v>
      </c>
      <c r="D32" s="193">
        <v>-164.72</v>
      </c>
      <c r="E32" s="193">
        <v>-144.08</v>
      </c>
      <c r="F32" s="193">
        <v>-167.71</v>
      </c>
      <c r="G32" s="185">
        <v>17.23</v>
      </c>
      <c r="H32" s="193">
        <v>-162.54</v>
      </c>
      <c r="I32" s="185">
        <v>164.1</v>
      </c>
      <c r="J32" s="193">
        <v>-291.06</v>
      </c>
      <c r="K32" s="193">
        <v>-323.7</v>
      </c>
      <c r="L32" s="193">
        <v>-340.57</v>
      </c>
    </row>
    <row r="33" ht="15.75" customHeight="1">
      <c r="A33" s="194" t="s">
        <v>142</v>
      </c>
      <c r="B33" s="195">
        <v>1177.17</v>
      </c>
      <c r="C33" s="195">
        <v>1039.52</v>
      </c>
      <c r="D33" s="195">
        <v>1080.35</v>
      </c>
      <c r="E33" s="195">
        <v>1017.5</v>
      </c>
      <c r="F33" s="195">
        <v>1166.78</v>
      </c>
      <c r="G33" s="197">
        <v>-294.92</v>
      </c>
      <c r="H33" s="195">
        <v>1009.43</v>
      </c>
      <c r="I33" s="197">
        <v>-721.16</v>
      </c>
      <c r="J33" s="195">
        <v>3147.85</v>
      </c>
      <c r="K33" s="195">
        <v>2098.63</v>
      </c>
      <c r="L33" s="195">
        <v>2137.28</v>
      </c>
    </row>
    <row r="34" ht="15.75" customHeight="1">
      <c r="A34" s="184" t="s">
        <v>143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</row>
    <row r="35" ht="15.75" customHeight="1">
      <c r="A35" s="194" t="s">
        <v>144</v>
      </c>
      <c r="B35" s="195">
        <v>1177.17</v>
      </c>
      <c r="C35" s="195">
        <v>1039.52</v>
      </c>
      <c r="D35" s="195">
        <v>1080.35</v>
      </c>
      <c r="E35" s="195">
        <v>1017.5</v>
      </c>
      <c r="F35" s="195">
        <v>1166.78</v>
      </c>
      <c r="G35" s="197">
        <v>-294.92</v>
      </c>
      <c r="H35" s="195">
        <v>1009.43</v>
      </c>
      <c r="I35" s="197">
        <v>-721.16</v>
      </c>
      <c r="J35" s="195">
        <v>3147.85</v>
      </c>
      <c r="K35" s="195">
        <v>2098.63</v>
      </c>
      <c r="L35" s="195">
        <v>2137.28</v>
      </c>
    </row>
    <row r="36" ht="15.75" customHeight="1">
      <c r="A36" s="184" t="s">
        <v>145</v>
      </c>
      <c r="B36" s="185">
        <v>1.56</v>
      </c>
      <c r="C36" s="185">
        <v>7.11</v>
      </c>
      <c r="D36" s="193">
        <v>-4.2</v>
      </c>
      <c r="E36" s="193">
        <v>-1.87</v>
      </c>
      <c r="F36" s="193">
        <v>-21.08</v>
      </c>
      <c r="G36" s="193">
        <v>-3.64</v>
      </c>
      <c r="H36" s="193">
        <v>-8.92</v>
      </c>
      <c r="I36" s="193">
        <v>-4.88</v>
      </c>
      <c r="J36" s="193">
        <v>-11.75</v>
      </c>
      <c r="K36" s="185">
        <v>0.01</v>
      </c>
      <c r="L36" s="185">
        <v>0.0</v>
      </c>
    </row>
    <row r="37" ht="15.75" customHeight="1">
      <c r="A37" s="186" t="s">
        <v>26</v>
      </c>
      <c r="B37" s="187">
        <v>1178.73</v>
      </c>
      <c r="C37" s="187">
        <v>1046.63</v>
      </c>
      <c r="D37" s="187">
        <v>1076.15</v>
      </c>
      <c r="E37" s="187">
        <v>1015.63</v>
      </c>
      <c r="F37" s="187">
        <v>1145.69</v>
      </c>
      <c r="G37" s="198">
        <v>-298.57</v>
      </c>
      <c r="H37" s="187">
        <v>1000.51</v>
      </c>
      <c r="I37" s="198">
        <v>-726.04</v>
      </c>
      <c r="J37" s="187">
        <v>3136.09</v>
      </c>
      <c r="K37" s="187">
        <v>2098.63</v>
      </c>
      <c r="L37" s="187">
        <v>2137.28</v>
      </c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</row>
    <row r="38" ht="15.75" customHeight="1">
      <c r="A38" s="186" t="s">
        <v>146</v>
      </c>
      <c r="B38" s="187">
        <v>1178.73</v>
      </c>
      <c r="C38" s="187">
        <v>1046.63</v>
      </c>
      <c r="D38" s="187">
        <v>1076.15</v>
      </c>
      <c r="E38" s="187">
        <v>1015.63</v>
      </c>
      <c r="F38" s="187">
        <v>1145.69</v>
      </c>
      <c r="G38" s="198">
        <v>-298.57</v>
      </c>
      <c r="H38" s="187">
        <v>1000.51</v>
      </c>
      <c r="I38" s="198">
        <v>-726.04</v>
      </c>
      <c r="J38" s="187">
        <v>3136.09</v>
      </c>
      <c r="K38" s="187">
        <v>2098.63</v>
      </c>
      <c r="L38" s="187">
        <v>2137.28</v>
      </c>
    </row>
    <row r="39" ht="15.75" customHeight="1">
      <c r="A39" s="188" t="s">
        <v>147</v>
      </c>
      <c r="B39" s="191" t="s">
        <v>148</v>
      </c>
      <c r="C39" s="191" t="s">
        <v>149</v>
      </c>
      <c r="D39" s="191" t="s">
        <v>150</v>
      </c>
      <c r="E39" s="191" t="s">
        <v>151</v>
      </c>
      <c r="F39" s="191" t="s">
        <v>152</v>
      </c>
      <c r="G39" s="190" t="s">
        <v>153</v>
      </c>
      <c r="H39" s="191" t="s">
        <v>154</v>
      </c>
      <c r="I39" s="190" t="s">
        <v>155</v>
      </c>
      <c r="J39" s="191" t="s">
        <v>156</v>
      </c>
      <c r="K39" s="191" t="s">
        <v>157</v>
      </c>
      <c r="L39" s="191" t="s">
        <v>158</v>
      </c>
    </row>
    <row r="40" ht="15.75" customHeight="1">
      <c r="A40" s="186" t="s">
        <v>159</v>
      </c>
      <c r="B40" s="187">
        <v>1178.73</v>
      </c>
      <c r="C40" s="187">
        <v>1046.63</v>
      </c>
      <c r="D40" s="187">
        <v>1076.15</v>
      </c>
      <c r="E40" s="187">
        <v>1015.63</v>
      </c>
      <c r="F40" s="187">
        <v>1145.69</v>
      </c>
      <c r="G40" s="198">
        <v>-298.57</v>
      </c>
      <c r="H40" s="187">
        <v>1000.51</v>
      </c>
      <c r="I40" s="198">
        <v>-726.04</v>
      </c>
      <c r="J40" s="187">
        <v>3136.09</v>
      </c>
      <c r="K40" s="187">
        <v>2098.63</v>
      </c>
      <c r="L40" s="187">
        <v>2137.28</v>
      </c>
    </row>
    <row r="41" ht="15.75" customHeight="1">
      <c r="A41" s="188" t="s">
        <v>160</v>
      </c>
      <c r="B41" s="191" t="s">
        <v>148</v>
      </c>
      <c r="C41" s="191" t="s">
        <v>149</v>
      </c>
      <c r="D41" s="191" t="s">
        <v>150</v>
      </c>
      <c r="E41" s="191" t="s">
        <v>151</v>
      </c>
      <c r="F41" s="191" t="s">
        <v>152</v>
      </c>
      <c r="G41" s="190" t="s">
        <v>153</v>
      </c>
      <c r="H41" s="191" t="s">
        <v>154</v>
      </c>
      <c r="I41" s="190" t="s">
        <v>155</v>
      </c>
      <c r="J41" s="191" t="s">
        <v>156</v>
      </c>
      <c r="K41" s="191" t="s">
        <v>157</v>
      </c>
      <c r="L41" s="191" t="s">
        <v>158</v>
      </c>
    </row>
    <row r="42" ht="15.75" customHeight="1">
      <c r="A42" s="188" t="s">
        <v>161</v>
      </c>
      <c r="B42" s="200">
        <v>0.58</v>
      </c>
      <c r="C42" s="200">
        <v>0.64</v>
      </c>
      <c r="D42" s="200">
        <v>0.85</v>
      </c>
      <c r="E42" s="200">
        <v>0.89</v>
      </c>
      <c r="F42" s="200">
        <v>1.01</v>
      </c>
      <c r="G42" s="200">
        <v>0.73</v>
      </c>
      <c r="H42" s="200">
        <v>0.81</v>
      </c>
      <c r="I42" s="200">
        <v>0.03</v>
      </c>
      <c r="J42" s="200">
        <v>1.1</v>
      </c>
      <c r="K42" s="200">
        <v>1.33</v>
      </c>
      <c r="L42" s="200">
        <v>1.33</v>
      </c>
    </row>
    <row r="43" ht="15.75" customHeight="1">
      <c r="A43" s="184" t="s">
        <v>162</v>
      </c>
      <c r="B43" s="185">
        <v>5.72</v>
      </c>
      <c r="C43" s="185">
        <v>5.52</v>
      </c>
      <c r="D43" s="185">
        <v>6.43</v>
      </c>
      <c r="E43" s="185">
        <v>6.83</v>
      </c>
      <c r="F43" s="185">
        <v>8.43</v>
      </c>
      <c r="G43" s="193">
        <v>-2.34</v>
      </c>
      <c r="H43" s="185">
        <v>6.71</v>
      </c>
      <c r="I43" s="193">
        <v>-3.02</v>
      </c>
      <c r="J43" s="185">
        <v>13.78</v>
      </c>
      <c r="K43" s="185">
        <v>10.79</v>
      </c>
      <c r="L43" s="185">
        <v>11.21</v>
      </c>
    </row>
    <row r="44" ht="15.75" customHeight="1">
      <c r="A44" s="201" t="s">
        <v>72</v>
      </c>
      <c r="B44" s="202"/>
      <c r="C44" s="203" t="s">
        <v>86</v>
      </c>
      <c r="D44" s="204" t="s">
        <v>163</v>
      </c>
      <c r="E44" s="204" t="s">
        <v>164</v>
      </c>
      <c r="F44" s="204" t="s">
        <v>165</v>
      </c>
      <c r="G44" s="203" t="s">
        <v>166</v>
      </c>
      <c r="H44" s="204" t="s">
        <v>167</v>
      </c>
      <c r="I44" s="203" t="s">
        <v>168</v>
      </c>
      <c r="J44" s="204" t="s">
        <v>169</v>
      </c>
      <c r="K44" s="203" t="s">
        <v>170</v>
      </c>
      <c r="L44" s="205"/>
    </row>
    <row r="45" ht="15.75" customHeight="1">
      <c r="A45" s="184" t="s">
        <v>171</v>
      </c>
      <c r="B45" s="185">
        <v>206.22</v>
      </c>
      <c r="C45" s="185">
        <v>189.68</v>
      </c>
      <c r="D45" s="185">
        <v>167.29</v>
      </c>
      <c r="E45" s="185">
        <v>148.71</v>
      </c>
      <c r="F45" s="185">
        <v>135.9</v>
      </c>
      <c r="G45" s="185">
        <v>127.74</v>
      </c>
      <c r="H45" s="185">
        <v>149.01</v>
      </c>
      <c r="I45" s="185">
        <v>240.49</v>
      </c>
      <c r="J45" s="185">
        <v>227.66</v>
      </c>
      <c r="K45" s="185">
        <v>194.49</v>
      </c>
      <c r="L45" s="185">
        <v>190.62</v>
      </c>
    </row>
    <row r="46" ht="15.75" customHeight="1">
      <c r="A46" s="201" t="s">
        <v>72</v>
      </c>
      <c r="B46" s="202"/>
      <c r="C46" s="203" t="s">
        <v>172</v>
      </c>
      <c r="D46" s="203" t="s">
        <v>173</v>
      </c>
      <c r="E46" s="203" t="s">
        <v>174</v>
      </c>
      <c r="F46" s="203" t="s">
        <v>175</v>
      </c>
      <c r="G46" s="203" t="s">
        <v>176</v>
      </c>
      <c r="H46" s="204" t="s">
        <v>177</v>
      </c>
      <c r="I46" s="204" t="s">
        <v>178</v>
      </c>
      <c r="J46" s="203" t="s">
        <v>179</v>
      </c>
      <c r="K46" s="203" t="s">
        <v>180</v>
      </c>
      <c r="L46" s="205"/>
    </row>
    <row r="47" ht="15.75" customHeight="1">
      <c r="A47" s="184" t="s">
        <v>181</v>
      </c>
      <c r="B47" s="185">
        <v>203.85</v>
      </c>
      <c r="C47" s="185">
        <v>185.51</v>
      </c>
      <c r="D47" s="185">
        <v>161.06</v>
      </c>
      <c r="E47" s="185">
        <v>145.16</v>
      </c>
      <c r="F47" s="185">
        <v>134.57</v>
      </c>
      <c r="G47" s="185">
        <v>127.74</v>
      </c>
      <c r="H47" s="185">
        <v>146.42</v>
      </c>
      <c r="I47" s="185">
        <v>240.49</v>
      </c>
      <c r="J47" s="185">
        <v>224.22</v>
      </c>
      <c r="K47" s="185">
        <v>189.83</v>
      </c>
      <c r="L47" s="185">
        <v>185.77</v>
      </c>
    </row>
    <row r="48" ht="15.75" customHeight="1">
      <c r="A48" s="201" t="s">
        <v>72</v>
      </c>
      <c r="B48" s="202"/>
      <c r="C48" s="203" t="s">
        <v>77</v>
      </c>
      <c r="D48" s="203" t="s">
        <v>182</v>
      </c>
      <c r="E48" s="203" t="s">
        <v>183</v>
      </c>
      <c r="F48" s="203" t="s">
        <v>184</v>
      </c>
      <c r="G48" s="203" t="s">
        <v>185</v>
      </c>
      <c r="H48" s="204" t="s">
        <v>186</v>
      </c>
      <c r="I48" s="204" t="s">
        <v>187</v>
      </c>
      <c r="J48" s="203" t="s">
        <v>188</v>
      </c>
      <c r="K48" s="203" t="s">
        <v>189</v>
      </c>
      <c r="L48" s="205"/>
    </row>
    <row r="49" ht="15.75" customHeight="1">
      <c r="A49" s="184" t="s">
        <v>190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85">
        <v>1.02</v>
      </c>
      <c r="L49" s="185">
        <v>1.04</v>
      </c>
    </row>
    <row r="50" ht="15.75" customHeight="1">
      <c r="A50" s="201" t="s">
        <v>72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</row>
    <row r="51" ht="15.75" customHeight="1">
      <c r="A51" s="184" t="s">
        <v>191</v>
      </c>
      <c r="B51" s="196"/>
      <c r="C51" s="196"/>
      <c r="D51" s="196"/>
      <c r="E51" s="196"/>
      <c r="F51" s="196"/>
      <c r="G51" s="196"/>
      <c r="H51" s="196"/>
      <c r="I51" s="196"/>
      <c r="J51" s="196"/>
      <c r="K51" s="185" t="s">
        <v>192</v>
      </c>
      <c r="L51" s="185" t="s">
        <v>193</v>
      </c>
    </row>
    <row r="52" ht="15.75" customHeight="1">
      <c r="A52" s="184" t="s">
        <v>194</v>
      </c>
      <c r="B52" s="185">
        <v>5.78</v>
      </c>
      <c r="C52" s="185">
        <v>5.64</v>
      </c>
      <c r="D52" s="185">
        <v>6.68</v>
      </c>
      <c r="E52" s="185">
        <v>7.0</v>
      </c>
      <c r="F52" s="185">
        <v>8.51</v>
      </c>
      <c r="G52" s="193">
        <v>-2.34</v>
      </c>
      <c r="H52" s="185">
        <v>6.83</v>
      </c>
      <c r="I52" s="193">
        <v>-3.02</v>
      </c>
      <c r="J52" s="185">
        <v>13.99</v>
      </c>
      <c r="K52" s="185">
        <v>11.06</v>
      </c>
      <c r="L52" s="185">
        <v>11.51</v>
      </c>
    </row>
    <row r="53" ht="15.75" customHeight="1">
      <c r="A53" s="184" t="s">
        <v>195</v>
      </c>
      <c r="B53" s="185">
        <v>2574.43</v>
      </c>
      <c r="C53" s="185">
        <v>2413.25</v>
      </c>
      <c r="D53" s="185">
        <v>2445.35</v>
      </c>
      <c r="E53" s="185">
        <v>2390.39</v>
      </c>
      <c r="F53" s="185">
        <v>2727.01</v>
      </c>
      <c r="G53" s="185">
        <v>3927.93</v>
      </c>
      <c r="H53" s="185">
        <v>3952.02</v>
      </c>
      <c r="I53" s="185">
        <v>5790.42</v>
      </c>
      <c r="J53" s="185">
        <v>3913.1</v>
      </c>
      <c r="K53" s="185">
        <v>4149.15</v>
      </c>
      <c r="L53" s="185">
        <v>4255.82</v>
      </c>
    </row>
    <row r="54" ht="15.75" customHeight="1">
      <c r="A54" s="201" t="s">
        <v>72</v>
      </c>
      <c r="B54" s="202"/>
      <c r="C54" s="203" t="s">
        <v>110</v>
      </c>
      <c r="D54" s="204" t="s">
        <v>196</v>
      </c>
      <c r="E54" s="203" t="s">
        <v>197</v>
      </c>
      <c r="F54" s="204" t="s">
        <v>117</v>
      </c>
      <c r="G54" s="204" t="s">
        <v>198</v>
      </c>
      <c r="H54" s="204" t="s">
        <v>199</v>
      </c>
      <c r="I54" s="204" t="s">
        <v>200</v>
      </c>
      <c r="J54" s="203" t="s">
        <v>201</v>
      </c>
      <c r="K54" s="204" t="s">
        <v>202</v>
      </c>
      <c r="L54" s="205"/>
    </row>
    <row r="55" ht="15.75" customHeight="1">
      <c r="A55" s="184" t="s">
        <v>203</v>
      </c>
      <c r="B55" s="185">
        <v>2597.47</v>
      </c>
      <c r="C55" s="185">
        <v>2433.09</v>
      </c>
      <c r="D55" s="196"/>
      <c r="E55" s="196"/>
      <c r="F55" s="196"/>
      <c r="G55" s="196"/>
      <c r="H55" s="185">
        <v>4000.02</v>
      </c>
      <c r="I55" s="185">
        <v>6014.42</v>
      </c>
      <c r="J55" s="185">
        <v>4091.1</v>
      </c>
      <c r="K55" s="185">
        <v>4310.15</v>
      </c>
      <c r="L55" s="196"/>
    </row>
    <row r="56" ht="15.75" customHeight="1">
      <c r="A56" s="184" t="s">
        <v>24</v>
      </c>
      <c r="B56" s="185" t="s">
        <v>204</v>
      </c>
      <c r="C56" s="185" t="s">
        <v>91</v>
      </c>
      <c r="D56" s="185" t="s">
        <v>205</v>
      </c>
      <c r="E56" s="185" t="s">
        <v>206</v>
      </c>
      <c r="F56" s="185" t="s">
        <v>207</v>
      </c>
      <c r="G56" s="185" t="s">
        <v>81</v>
      </c>
      <c r="H56" s="185" t="s">
        <v>204</v>
      </c>
      <c r="I56" s="185" t="s">
        <v>208</v>
      </c>
      <c r="J56" s="185" t="s">
        <v>209</v>
      </c>
      <c r="K56" s="185" t="s">
        <v>210</v>
      </c>
      <c r="L56" s="185" t="s">
        <v>211</v>
      </c>
    </row>
    <row r="57" ht="15.75" customHeight="1">
      <c r="A57" s="188" t="s">
        <v>212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184" t="s">
        <v>213</v>
      </c>
      <c r="B58" s="207"/>
      <c r="C58" s="207"/>
      <c r="D58" s="207"/>
      <c r="E58" s="207"/>
      <c r="F58" s="207"/>
      <c r="G58" s="207"/>
      <c r="H58" s="207"/>
      <c r="I58" s="207"/>
      <c r="J58" s="207"/>
      <c r="K58" s="196"/>
      <c r="L58" s="196"/>
    </row>
    <row r="59" ht="15.75" customHeight="1">
      <c r="A59" s="184" t="s">
        <v>214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ht="15.75" customHeight="1">
      <c r="A60" s="184" t="s">
        <v>215</v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</row>
    <row r="61" ht="15.75" customHeight="1">
      <c r="A61" s="208" t="s">
        <v>216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08" t="s">
        <v>217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A63" s="209" t="s">
        <v>218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A64" s="209" t="s">
        <v>219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8"/>
    <hyperlink r:id="rId2" ref="B11"/>
    <hyperlink r:id="rId3" ref="B18"/>
    <hyperlink r:id="rId4" ref="B44"/>
    <hyperlink r:id="rId5" ref="B46"/>
    <hyperlink r:id="rId6" ref="B48"/>
    <hyperlink r:id="rId7" ref="B54"/>
    <hyperlink r:id="rId8" ref="A63"/>
    <hyperlink r:id="rId9" ref="A64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9" t="s">
        <v>220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>
      <c r="A3" s="184" t="s">
        <v>221</v>
      </c>
      <c r="B3" s="210">
        <v>2403.1</v>
      </c>
      <c r="C3" s="210">
        <v>2035.45</v>
      </c>
      <c r="D3" s="210">
        <v>1659.67</v>
      </c>
      <c r="E3" s="210">
        <v>1204.02</v>
      </c>
      <c r="F3" s="210">
        <v>1121.4</v>
      </c>
      <c r="G3" s="210">
        <v>1248.77</v>
      </c>
      <c r="H3" s="210">
        <v>1728.79</v>
      </c>
      <c r="I3" s="210">
        <v>1597.15</v>
      </c>
      <c r="J3" s="210">
        <v>1627.18</v>
      </c>
      <c r="K3" s="210">
        <v>1209.23</v>
      </c>
      <c r="L3" s="210">
        <v>1056.55</v>
      </c>
    </row>
    <row r="4">
      <c r="A4" s="184" t="s">
        <v>222</v>
      </c>
      <c r="B4" s="185">
        <v>18.97</v>
      </c>
      <c r="C4" s="185">
        <v>37.19</v>
      </c>
      <c r="D4" s="185">
        <v>48.9</v>
      </c>
      <c r="E4" s="185">
        <v>69.11</v>
      </c>
      <c r="F4" s="185">
        <v>11.66</v>
      </c>
      <c r="G4" s="185">
        <v>3.3</v>
      </c>
      <c r="H4" s="185">
        <v>16.91</v>
      </c>
      <c r="I4" s="185">
        <v>211.99</v>
      </c>
      <c r="J4" s="185">
        <v>130.61</v>
      </c>
      <c r="K4" s="185">
        <v>81.77</v>
      </c>
      <c r="L4" s="185">
        <v>46.98</v>
      </c>
    </row>
    <row r="5">
      <c r="A5" s="186" t="s">
        <v>223</v>
      </c>
      <c r="B5" s="187">
        <v>2422.06</v>
      </c>
      <c r="C5" s="187">
        <v>2072.63</v>
      </c>
      <c r="D5" s="187">
        <v>1708.57</v>
      </c>
      <c r="E5" s="187">
        <v>1273.12</v>
      </c>
      <c r="F5" s="187">
        <v>1133.06</v>
      </c>
      <c r="G5" s="187">
        <v>1252.08</v>
      </c>
      <c r="H5" s="187">
        <v>1745.7</v>
      </c>
      <c r="I5" s="187">
        <v>1809.14</v>
      </c>
      <c r="J5" s="187">
        <v>1757.8</v>
      </c>
      <c r="K5" s="187">
        <v>1291.0</v>
      </c>
      <c r="L5" s="187">
        <v>1103.52</v>
      </c>
    </row>
    <row r="6">
      <c r="A6" s="184" t="s">
        <v>224</v>
      </c>
      <c r="B6" s="185">
        <v>661.11</v>
      </c>
      <c r="C6" s="185">
        <v>932.0</v>
      </c>
      <c r="D6" s="185">
        <v>1176.22</v>
      </c>
      <c r="E6" s="185">
        <v>1123.46</v>
      </c>
      <c r="F6" s="185">
        <v>1206.93</v>
      </c>
      <c r="G6" s="185">
        <v>1174.67</v>
      </c>
      <c r="H6" s="185">
        <v>2562.93</v>
      </c>
      <c r="I6" s="185">
        <v>2204.03</v>
      </c>
      <c r="J6" s="185">
        <v>2020.64</v>
      </c>
      <c r="K6" s="185">
        <v>1868.69</v>
      </c>
      <c r="L6" s="185">
        <v>1858.75</v>
      </c>
    </row>
    <row r="7">
      <c r="A7" s="184" t="s">
        <v>225</v>
      </c>
      <c r="B7" s="185">
        <v>174.84</v>
      </c>
      <c r="C7" s="185">
        <v>188.76</v>
      </c>
      <c r="D7" s="185">
        <v>351.93</v>
      </c>
      <c r="E7" s="185">
        <v>220.29</v>
      </c>
      <c r="F7" s="185">
        <v>358.66</v>
      </c>
      <c r="G7" s="185">
        <v>172.49</v>
      </c>
      <c r="H7" s="185">
        <v>510.52</v>
      </c>
      <c r="I7" s="185">
        <v>461.09</v>
      </c>
      <c r="J7" s="185">
        <v>493.03</v>
      </c>
      <c r="K7" s="185">
        <v>583.31</v>
      </c>
      <c r="L7" s="196"/>
    </row>
    <row r="8">
      <c r="A8" s="184" t="s">
        <v>226</v>
      </c>
      <c r="B8" s="185">
        <v>116.2</v>
      </c>
      <c r="C8" s="185">
        <v>23.36</v>
      </c>
      <c r="D8" s="185">
        <v>22.5</v>
      </c>
      <c r="E8" s="185">
        <v>58.99</v>
      </c>
      <c r="F8" s="185">
        <v>38.75</v>
      </c>
      <c r="G8" s="185">
        <v>529.17</v>
      </c>
      <c r="H8" s="185">
        <v>1020.26</v>
      </c>
      <c r="I8" s="185">
        <v>837.58</v>
      </c>
      <c r="J8" s="185">
        <v>1318.57</v>
      </c>
      <c r="K8" s="185">
        <v>997.63</v>
      </c>
      <c r="L8" s="185">
        <v>985.16</v>
      </c>
    </row>
    <row r="9">
      <c r="A9" s="186" t="s">
        <v>227</v>
      </c>
      <c r="B9" s="187">
        <v>952.14</v>
      </c>
      <c r="C9" s="187">
        <v>1144.11</v>
      </c>
      <c r="D9" s="187">
        <v>1550.64</v>
      </c>
      <c r="E9" s="187">
        <v>1402.74</v>
      </c>
      <c r="F9" s="187">
        <v>1604.33</v>
      </c>
      <c r="G9" s="187">
        <v>1876.33</v>
      </c>
      <c r="H9" s="187">
        <v>4093.71</v>
      </c>
      <c r="I9" s="187">
        <v>3502.7</v>
      </c>
      <c r="J9" s="187">
        <v>3832.24</v>
      </c>
      <c r="K9" s="187">
        <v>3449.63</v>
      </c>
      <c r="L9" s="187">
        <v>2843.91</v>
      </c>
    </row>
    <row r="10">
      <c r="A10" s="184" t="s">
        <v>228</v>
      </c>
      <c r="B10" s="185">
        <v>260.27</v>
      </c>
      <c r="C10" s="185">
        <v>52.67</v>
      </c>
      <c r="D10" s="185">
        <v>38.97</v>
      </c>
      <c r="E10" s="185">
        <v>30.97</v>
      </c>
      <c r="F10" s="196"/>
      <c r="G10" s="196"/>
      <c r="H10" s="185">
        <v>48.58</v>
      </c>
      <c r="I10" s="185">
        <v>55.87</v>
      </c>
      <c r="J10" s="185">
        <v>85.67</v>
      </c>
      <c r="K10" s="185">
        <v>90.92</v>
      </c>
      <c r="L10" s="185">
        <v>109.63</v>
      </c>
    </row>
    <row r="11">
      <c r="A11" s="184" t="s">
        <v>229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</row>
    <row r="12">
      <c r="A12" s="184" t="s">
        <v>230</v>
      </c>
      <c r="B12" s="185">
        <v>419.45</v>
      </c>
      <c r="C12" s="185">
        <v>329.18</v>
      </c>
      <c r="D12" s="185">
        <v>364.46</v>
      </c>
      <c r="E12" s="185">
        <v>211.02</v>
      </c>
      <c r="F12" s="185">
        <v>178.95</v>
      </c>
      <c r="G12" s="185">
        <v>246.52</v>
      </c>
      <c r="H12" s="185">
        <v>185.96</v>
      </c>
      <c r="I12" s="185">
        <v>159.62</v>
      </c>
      <c r="J12" s="185">
        <v>198.29</v>
      </c>
      <c r="K12" s="185">
        <v>192.36</v>
      </c>
      <c r="L12" s="185">
        <v>212.75</v>
      </c>
    </row>
    <row r="13">
      <c r="A13" s="184" t="s">
        <v>231</v>
      </c>
      <c r="B13" s="185">
        <v>71.06</v>
      </c>
      <c r="C13" s="185">
        <v>107.39</v>
      </c>
      <c r="D13" s="185">
        <v>630.79</v>
      </c>
      <c r="E13" s="185">
        <v>184.13</v>
      </c>
      <c r="F13" s="185">
        <v>336.59</v>
      </c>
      <c r="G13" s="196"/>
      <c r="H13" s="185">
        <v>304.36</v>
      </c>
      <c r="I13" s="185">
        <v>292.81</v>
      </c>
      <c r="J13" s="185">
        <v>296.7</v>
      </c>
      <c r="K13" s="185">
        <v>466.17</v>
      </c>
      <c r="L13" s="185">
        <v>524.59</v>
      </c>
    </row>
    <row r="14">
      <c r="A14" s="186" t="s">
        <v>232</v>
      </c>
      <c r="B14" s="187">
        <v>4124.98</v>
      </c>
      <c r="C14" s="187">
        <v>3705.99</v>
      </c>
      <c r="D14" s="187">
        <v>4293.43</v>
      </c>
      <c r="E14" s="187">
        <v>3101.98</v>
      </c>
      <c r="F14" s="187">
        <v>3252.93</v>
      </c>
      <c r="G14" s="187">
        <v>3374.92</v>
      </c>
      <c r="H14" s="187">
        <v>6378.32</v>
      </c>
      <c r="I14" s="187">
        <v>5820.14</v>
      </c>
      <c r="J14" s="187">
        <v>6170.68</v>
      </c>
      <c r="K14" s="187">
        <v>5490.07</v>
      </c>
      <c r="L14" s="187">
        <v>4794.41</v>
      </c>
    </row>
    <row r="15">
      <c r="A15" s="186" t="s">
        <v>233</v>
      </c>
      <c r="B15" s="187">
        <v>20.85</v>
      </c>
      <c r="C15" s="187">
        <v>36.43</v>
      </c>
      <c r="D15" s="187">
        <v>31.11</v>
      </c>
      <c r="E15" s="187">
        <v>29.15</v>
      </c>
      <c r="F15" s="187">
        <v>69.69</v>
      </c>
      <c r="G15" s="187">
        <v>63.12</v>
      </c>
      <c r="H15" s="187">
        <v>95.81</v>
      </c>
      <c r="I15" s="187">
        <v>81.95</v>
      </c>
      <c r="J15" s="187">
        <v>57.01</v>
      </c>
      <c r="K15" s="187">
        <v>45.97</v>
      </c>
      <c r="L15" s="187">
        <v>43.69</v>
      </c>
    </row>
    <row r="16">
      <c r="A16" s="184" t="s">
        <v>234</v>
      </c>
      <c r="B16" s="185">
        <v>114.71</v>
      </c>
      <c r="C16" s="185">
        <v>118.78</v>
      </c>
      <c r="D16" s="185">
        <v>122.95</v>
      </c>
      <c r="E16" s="185">
        <v>132.11</v>
      </c>
      <c r="F16" s="185">
        <v>123.28</v>
      </c>
      <c r="G16" s="185">
        <v>138.07</v>
      </c>
      <c r="H16" s="185">
        <v>750.34</v>
      </c>
      <c r="I16" s="185">
        <v>873.74</v>
      </c>
      <c r="J16" s="185">
        <v>1058.57</v>
      </c>
      <c r="K16" s="185">
        <v>1205.65</v>
      </c>
      <c r="L16" s="185">
        <v>1250.22</v>
      </c>
    </row>
    <row r="17">
      <c r="A17" s="184" t="s">
        <v>235</v>
      </c>
      <c r="B17" s="185">
        <v>58.09</v>
      </c>
      <c r="C17" s="185">
        <v>58.09</v>
      </c>
      <c r="D17" s="185">
        <v>58.09</v>
      </c>
      <c r="E17" s="185">
        <v>58.09</v>
      </c>
      <c r="F17" s="185">
        <v>58.09</v>
      </c>
      <c r="G17" s="196"/>
      <c r="H17" s="196"/>
      <c r="I17" s="196"/>
      <c r="J17" s="196"/>
      <c r="K17" s="196"/>
      <c r="L17" s="196"/>
    </row>
    <row r="18">
      <c r="A18" s="184" t="s">
        <v>236</v>
      </c>
      <c r="B18" s="185">
        <v>3704.23</v>
      </c>
      <c r="C18" s="185">
        <v>2684.06</v>
      </c>
      <c r="D18" s="185">
        <v>2012.96</v>
      </c>
      <c r="E18" s="185">
        <v>1635.63</v>
      </c>
      <c r="F18" s="185">
        <v>1298.52</v>
      </c>
      <c r="G18" s="185">
        <v>1051.58</v>
      </c>
      <c r="H18" s="185">
        <v>4811.82</v>
      </c>
      <c r="I18" s="185">
        <v>3713.35</v>
      </c>
      <c r="J18" s="185">
        <v>3045.19</v>
      </c>
      <c r="K18" s="185">
        <v>2403.32</v>
      </c>
      <c r="L18" s="185">
        <v>2263.22</v>
      </c>
    </row>
    <row r="19">
      <c r="A19" s="184" t="s">
        <v>237</v>
      </c>
      <c r="B19" s="185">
        <v>161.19</v>
      </c>
      <c r="C19" s="185">
        <v>215.45</v>
      </c>
      <c r="D19" s="185">
        <v>151.23</v>
      </c>
      <c r="E19" s="185">
        <v>138.28</v>
      </c>
      <c r="F19" s="185">
        <v>95.08</v>
      </c>
      <c r="G19" s="185">
        <v>131.53</v>
      </c>
      <c r="H19" s="185">
        <v>121.57</v>
      </c>
      <c r="I19" s="185">
        <v>210.33</v>
      </c>
      <c r="J19" s="185">
        <v>275.76</v>
      </c>
      <c r="K19" s="185">
        <v>261.0</v>
      </c>
      <c r="L19" s="185">
        <v>262.75</v>
      </c>
    </row>
    <row r="20">
      <c r="A20" s="184" t="s">
        <v>238</v>
      </c>
      <c r="B20" s="185">
        <v>45.52</v>
      </c>
      <c r="C20" s="185">
        <v>33.7</v>
      </c>
      <c r="D20" s="185">
        <v>43.24</v>
      </c>
      <c r="E20" s="185">
        <v>36.81</v>
      </c>
      <c r="F20" s="185">
        <v>26.39</v>
      </c>
      <c r="G20" s="185">
        <v>20.72</v>
      </c>
      <c r="H20" s="196"/>
      <c r="I20" s="196"/>
      <c r="J20" s="196"/>
      <c r="K20" s="196"/>
      <c r="L20" s="196"/>
    </row>
    <row r="21" ht="15.75" customHeight="1">
      <c r="A21" s="184" t="s">
        <v>239</v>
      </c>
      <c r="B21" s="185">
        <v>35519.92</v>
      </c>
      <c r="C21" s="185">
        <v>34767.95</v>
      </c>
      <c r="D21" s="185">
        <v>35327.13</v>
      </c>
      <c r="E21" s="185">
        <v>38076.86</v>
      </c>
      <c r="F21" s="185">
        <v>38825.26</v>
      </c>
      <c r="G21" s="185">
        <v>37268.11</v>
      </c>
      <c r="H21" s="185">
        <v>62411.9</v>
      </c>
      <c r="I21" s="185">
        <v>59027.41</v>
      </c>
      <c r="J21" s="185">
        <v>60667.35</v>
      </c>
      <c r="K21" s="185">
        <v>62035.97</v>
      </c>
      <c r="L21" s="185">
        <v>63941.19</v>
      </c>
    </row>
    <row r="22" ht="15.75" customHeight="1">
      <c r="A22" s="194" t="s">
        <v>240</v>
      </c>
      <c r="B22" s="195">
        <v>43749.5</v>
      </c>
      <c r="C22" s="195">
        <v>41620.45</v>
      </c>
      <c r="D22" s="195">
        <v>42040.14</v>
      </c>
      <c r="E22" s="195">
        <v>43208.92</v>
      </c>
      <c r="F22" s="195">
        <v>43749.24</v>
      </c>
      <c r="G22" s="195">
        <v>42048.04</v>
      </c>
      <c r="H22" s="195">
        <v>74569.77</v>
      </c>
      <c r="I22" s="195">
        <v>69726.92</v>
      </c>
      <c r="J22" s="195">
        <v>71274.56</v>
      </c>
      <c r="K22" s="195">
        <v>71441.98</v>
      </c>
      <c r="L22" s="195">
        <v>72555.47</v>
      </c>
    </row>
    <row r="23" ht="15.75" customHeight="1">
      <c r="A23" s="184" t="s">
        <v>241</v>
      </c>
      <c r="B23" s="185">
        <v>417.89</v>
      </c>
      <c r="C23" s="185">
        <v>330.44</v>
      </c>
      <c r="D23" s="185">
        <v>307.39</v>
      </c>
      <c r="E23" s="185">
        <v>296.52</v>
      </c>
      <c r="F23" s="185">
        <v>239.09</v>
      </c>
      <c r="G23" s="185">
        <v>222.2</v>
      </c>
      <c r="H23" s="185">
        <v>850.22</v>
      </c>
      <c r="I23" s="185">
        <v>475.17</v>
      </c>
      <c r="J23" s="185">
        <v>444.04</v>
      </c>
      <c r="K23" s="185">
        <v>465.67</v>
      </c>
      <c r="L23" s="185">
        <v>478.64</v>
      </c>
    </row>
    <row r="24" ht="15.75" customHeight="1">
      <c r="A24" s="184" t="s">
        <v>242</v>
      </c>
      <c r="B24" s="185">
        <v>3496.53</v>
      </c>
      <c r="C24" s="185">
        <v>3037.78</v>
      </c>
      <c r="D24" s="185">
        <v>2716.66</v>
      </c>
      <c r="E24" s="185">
        <v>2500.05</v>
      </c>
      <c r="F24" s="185">
        <v>2445.53</v>
      </c>
      <c r="G24" s="185">
        <v>2020.97</v>
      </c>
      <c r="H24" s="185">
        <v>3253.03</v>
      </c>
      <c r="I24" s="185">
        <v>2840.11</v>
      </c>
      <c r="J24" s="185">
        <v>3212.3</v>
      </c>
      <c r="K24" s="185">
        <v>3735.45</v>
      </c>
      <c r="L24" s="185">
        <v>3758.71</v>
      </c>
    </row>
    <row r="25" ht="15.75" customHeight="1">
      <c r="A25" s="184" t="s">
        <v>243</v>
      </c>
      <c r="B25" s="185">
        <v>0.02</v>
      </c>
      <c r="C25" s="196"/>
      <c r="D25" s="196"/>
      <c r="E25" s="185">
        <v>29.32</v>
      </c>
      <c r="F25" s="185">
        <v>97.07</v>
      </c>
      <c r="G25" s="185">
        <v>167.3</v>
      </c>
      <c r="H25" s="185">
        <v>71.2</v>
      </c>
      <c r="I25" s="196"/>
      <c r="J25" s="185">
        <v>80.84</v>
      </c>
      <c r="K25" s="185">
        <v>15.44</v>
      </c>
      <c r="L25" s="185">
        <v>54.67</v>
      </c>
    </row>
    <row r="26" ht="15.75" customHeight="1">
      <c r="A26" s="184" t="s">
        <v>244</v>
      </c>
      <c r="B26" s="196"/>
      <c r="C26" s="196"/>
      <c r="D26" s="196"/>
      <c r="E26" s="185">
        <v>2.36</v>
      </c>
      <c r="F26" s="196"/>
      <c r="G26" s="196"/>
      <c r="H26" s="196"/>
      <c r="I26" s="196"/>
      <c r="J26" s="196"/>
      <c r="K26" s="185">
        <v>28.52</v>
      </c>
      <c r="L26" s="185">
        <v>8.9</v>
      </c>
    </row>
    <row r="27" ht="15.75" customHeight="1">
      <c r="A27" s="184" t="s">
        <v>245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</row>
    <row r="28" ht="15.75" customHeight="1">
      <c r="A28" s="186" t="s">
        <v>246</v>
      </c>
      <c r="B28" s="187">
        <v>3914.45</v>
      </c>
      <c r="C28" s="187">
        <v>3368.22</v>
      </c>
      <c r="D28" s="187">
        <v>3024.06</v>
      </c>
      <c r="E28" s="187">
        <v>2828.26</v>
      </c>
      <c r="F28" s="187">
        <v>2781.68</v>
      </c>
      <c r="G28" s="187">
        <v>2410.48</v>
      </c>
      <c r="H28" s="187">
        <v>4174.44</v>
      </c>
      <c r="I28" s="187">
        <v>3315.28</v>
      </c>
      <c r="J28" s="187">
        <v>3737.18</v>
      </c>
      <c r="K28" s="187">
        <v>4245.08</v>
      </c>
      <c r="L28" s="187">
        <v>4300.92</v>
      </c>
    </row>
    <row r="29" ht="15.75" customHeight="1">
      <c r="A29" s="184" t="s">
        <v>247</v>
      </c>
      <c r="B29" s="185">
        <v>29641.86</v>
      </c>
      <c r="C29" s="185">
        <v>27717.0</v>
      </c>
      <c r="D29" s="185">
        <v>28420.74</v>
      </c>
      <c r="E29" s="185">
        <v>29388.8</v>
      </c>
      <c r="F29" s="185">
        <v>29349.93</v>
      </c>
      <c r="G29" s="185">
        <v>28631.38</v>
      </c>
      <c r="H29" s="185">
        <v>50064.18</v>
      </c>
      <c r="I29" s="185">
        <v>46395.96</v>
      </c>
      <c r="J29" s="185">
        <v>46343.9</v>
      </c>
      <c r="K29" s="185">
        <v>45158.75</v>
      </c>
      <c r="L29" s="185">
        <v>46187.37</v>
      </c>
    </row>
    <row r="30" ht="15.75" customHeight="1">
      <c r="A30" s="184" t="s">
        <v>248</v>
      </c>
      <c r="B30" s="196"/>
      <c r="C30" s="196"/>
      <c r="D30" s="196"/>
      <c r="E30" s="185">
        <v>116.43</v>
      </c>
      <c r="F30" s="185">
        <v>187.34</v>
      </c>
      <c r="G30" s="185">
        <v>160.12</v>
      </c>
      <c r="H30" s="185">
        <v>314.1</v>
      </c>
      <c r="I30" s="185">
        <v>272.22</v>
      </c>
      <c r="J30" s="185">
        <v>232.08</v>
      </c>
      <c r="K30" s="185">
        <v>163.02</v>
      </c>
      <c r="L30" s="185">
        <v>41.58</v>
      </c>
    </row>
    <row r="31" ht="15.75" customHeight="1">
      <c r="A31" s="184" t="s">
        <v>249</v>
      </c>
      <c r="B31" s="185">
        <v>463.17</v>
      </c>
      <c r="C31" s="185">
        <v>463.09</v>
      </c>
      <c r="D31" s="185">
        <v>452.85</v>
      </c>
      <c r="E31" s="185">
        <v>421.54</v>
      </c>
      <c r="F31" s="185">
        <v>389.96</v>
      </c>
      <c r="G31" s="185">
        <v>399.82</v>
      </c>
      <c r="H31" s="185">
        <v>510.72</v>
      </c>
      <c r="I31" s="185">
        <v>547.66</v>
      </c>
      <c r="J31" s="185">
        <v>827.53</v>
      </c>
      <c r="K31" s="185">
        <v>829.84</v>
      </c>
      <c r="L31" s="185">
        <v>831.37</v>
      </c>
    </row>
    <row r="32" ht="15.75" customHeight="1">
      <c r="A32" s="184" t="s">
        <v>250</v>
      </c>
      <c r="B32" s="185">
        <v>365.38</v>
      </c>
      <c r="C32" s="185">
        <v>578.98</v>
      </c>
      <c r="D32" s="185">
        <v>673.95</v>
      </c>
      <c r="E32" s="185">
        <v>804.6</v>
      </c>
      <c r="F32" s="185">
        <v>910.34</v>
      </c>
      <c r="G32" s="185">
        <v>913.43</v>
      </c>
      <c r="H32" s="185">
        <v>2085.23</v>
      </c>
      <c r="I32" s="185">
        <v>2194.1</v>
      </c>
      <c r="J32" s="185">
        <v>2526.12</v>
      </c>
      <c r="K32" s="185">
        <v>2767.87</v>
      </c>
      <c r="L32" s="185">
        <v>2857.59</v>
      </c>
    </row>
    <row r="33" ht="15.75" customHeight="1">
      <c r="A33" s="184" t="s">
        <v>251</v>
      </c>
      <c r="B33" s="185">
        <v>938.83</v>
      </c>
      <c r="C33" s="185">
        <v>910.9</v>
      </c>
      <c r="D33" s="185">
        <v>829.74</v>
      </c>
      <c r="E33" s="185">
        <v>768.68</v>
      </c>
      <c r="F33" s="185">
        <v>747.79</v>
      </c>
      <c r="G33" s="185">
        <v>600.32</v>
      </c>
      <c r="H33" s="185">
        <v>773.75</v>
      </c>
      <c r="I33" s="185">
        <v>806.66</v>
      </c>
      <c r="J33" s="185">
        <v>1018.7</v>
      </c>
      <c r="K33" s="185">
        <v>1092.59</v>
      </c>
      <c r="L33" s="185">
        <v>1144.34</v>
      </c>
    </row>
    <row r="34" ht="15.75" customHeight="1">
      <c r="A34" s="194" t="s">
        <v>252</v>
      </c>
      <c r="B34" s="195">
        <v>35323.69</v>
      </c>
      <c r="C34" s="195">
        <v>33038.19</v>
      </c>
      <c r="D34" s="195">
        <v>33401.33</v>
      </c>
      <c r="E34" s="195">
        <v>34328.3</v>
      </c>
      <c r="F34" s="195">
        <v>34367.04</v>
      </c>
      <c r="G34" s="195">
        <v>33115.55</v>
      </c>
      <c r="H34" s="195">
        <v>57922.41</v>
      </c>
      <c r="I34" s="195">
        <v>53531.87</v>
      </c>
      <c r="J34" s="195">
        <v>54685.51</v>
      </c>
      <c r="K34" s="195">
        <v>54257.14</v>
      </c>
      <c r="L34" s="195">
        <v>55363.18</v>
      </c>
    </row>
    <row r="35" ht="15.75" customHeight="1">
      <c r="A35" s="184" t="s">
        <v>253</v>
      </c>
      <c r="B35" s="185">
        <v>2.46</v>
      </c>
      <c r="C35" s="185">
        <v>2.28</v>
      </c>
      <c r="D35" s="185">
        <v>2.06</v>
      </c>
      <c r="E35" s="185">
        <v>1.87</v>
      </c>
      <c r="F35" s="185">
        <v>1.75</v>
      </c>
      <c r="G35" s="185">
        <v>1.72</v>
      </c>
      <c r="H35" s="185">
        <v>3.02</v>
      </c>
      <c r="I35" s="185">
        <v>3.02</v>
      </c>
      <c r="J35" s="185">
        <v>2.68</v>
      </c>
      <c r="K35" s="185">
        <v>2.56</v>
      </c>
      <c r="L35" s="185">
        <v>2.47</v>
      </c>
    </row>
    <row r="36" ht="15.75" customHeight="1">
      <c r="A36" s="184" t="s">
        <v>254</v>
      </c>
      <c r="B36" s="185">
        <v>5026.99</v>
      </c>
      <c r="C36" s="185">
        <v>4505.02</v>
      </c>
      <c r="D36" s="185">
        <v>3714.56</v>
      </c>
      <c r="E36" s="185">
        <v>2712.42</v>
      </c>
      <c r="F36" s="185">
        <v>2209.46</v>
      </c>
      <c r="G36" s="185">
        <v>2078.13</v>
      </c>
      <c r="H36" s="185">
        <v>8522.69</v>
      </c>
      <c r="I36" s="185">
        <v>8586.03</v>
      </c>
      <c r="J36" s="185">
        <v>6594.56</v>
      </c>
      <c r="K36" s="185">
        <v>5809.28</v>
      </c>
      <c r="L36" s="185">
        <v>5264.6</v>
      </c>
    </row>
    <row r="37" ht="15.75" customHeight="1">
      <c r="A37" s="184" t="s">
        <v>255</v>
      </c>
      <c r="B37" s="185">
        <v>3472.13</v>
      </c>
      <c r="C37" s="185">
        <v>4509.01</v>
      </c>
      <c r="D37" s="185">
        <v>5580.26</v>
      </c>
      <c r="E37" s="185">
        <v>6591.67</v>
      </c>
      <c r="F37" s="185">
        <v>7734.61</v>
      </c>
      <c r="G37" s="185">
        <v>7399.7</v>
      </c>
      <c r="H37" s="185">
        <v>8410.26</v>
      </c>
      <c r="I37" s="185">
        <v>7674.92</v>
      </c>
      <c r="J37" s="185">
        <v>10802.6</v>
      </c>
      <c r="K37" s="185">
        <v>12755.76</v>
      </c>
      <c r="L37" s="185">
        <v>13351.26</v>
      </c>
    </row>
    <row r="38" ht="15.75" customHeight="1">
      <c r="A38" s="184" t="s">
        <v>256</v>
      </c>
      <c r="B38" s="193">
        <v>-146.31</v>
      </c>
      <c r="C38" s="193">
        <v>-490.09</v>
      </c>
      <c r="D38" s="193">
        <v>-731.44</v>
      </c>
      <c r="E38" s="193">
        <v>-476.09</v>
      </c>
      <c r="F38" s="193">
        <v>-537.34</v>
      </c>
      <c r="G38" s="193">
        <v>-459.99</v>
      </c>
      <c r="H38" s="193">
        <v>-285.9</v>
      </c>
      <c r="I38" s="193">
        <v>-254.7</v>
      </c>
      <c r="J38" s="193">
        <v>-819.31</v>
      </c>
      <c r="K38" s="193">
        <v>-1425.65</v>
      </c>
      <c r="L38" s="193">
        <v>-1410.66</v>
      </c>
    </row>
    <row r="39" ht="15.75" customHeight="1">
      <c r="A39" s="184" t="s">
        <v>257</v>
      </c>
      <c r="B39" s="193">
        <v>-6.31</v>
      </c>
      <c r="C39" s="193">
        <v>-1.77</v>
      </c>
      <c r="D39" s="185">
        <v>14.27</v>
      </c>
      <c r="E39" s="193">
        <v>-1.82</v>
      </c>
      <c r="F39" s="193">
        <v>-93.59</v>
      </c>
      <c r="G39" s="193">
        <v>-155.09</v>
      </c>
      <c r="H39" s="193">
        <v>-79.34</v>
      </c>
      <c r="I39" s="185">
        <v>108.23</v>
      </c>
      <c r="J39" s="185">
        <v>8.3</v>
      </c>
      <c r="K39" s="185">
        <v>42.68</v>
      </c>
      <c r="L39" s="193">
        <v>-15.58</v>
      </c>
    </row>
    <row r="40" ht="15.75" customHeight="1">
      <c r="A40" s="186" t="s">
        <v>258</v>
      </c>
      <c r="B40" s="187">
        <v>8348.96</v>
      </c>
      <c r="C40" s="187">
        <v>8524.45</v>
      </c>
      <c r="D40" s="187">
        <v>8579.71</v>
      </c>
      <c r="E40" s="187">
        <v>8828.05</v>
      </c>
      <c r="F40" s="187">
        <v>9314.9</v>
      </c>
      <c r="G40" s="187">
        <v>8864.47</v>
      </c>
      <c r="H40" s="187">
        <v>16570.74</v>
      </c>
      <c r="I40" s="187">
        <v>16117.51</v>
      </c>
      <c r="J40" s="187">
        <v>16588.83</v>
      </c>
      <c r="K40" s="187">
        <v>17184.62</v>
      </c>
      <c r="L40" s="187">
        <v>17192.09</v>
      </c>
    </row>
    <row r="41" ht="15.75" customHeight="1">
      <c r="A41" s="184" t="s">
        <v>145</v>
      </c>
      <c r="B41" s="185">
        <v>76.85</v>
      </c>
      <c r="C41" s="185">
        <v>57.82</v>
      </c>
      <c r="D41" s="185">
        <v>59.1</v>
      </c>
      <c r="E41" s="185">
        <v>52.57</v>
      </c>
      <c r="F41" s="185">
        <v>67.31</v>
      </c>
      <c r="G41" s="185">
        <v>68.02</v>
      </c>
      <c r="H41" s="185">
        <v>76.62</v>
      </c>
      <c r="I41" s="185">
        <v>77.54</v>
      </c>
      <c r="J41" s="185">
        <v>0.22</v>
      </c>
      <c r="K41" s="185">
        <v>0.21</v>
      </c>
      <c r="L41" s="185">
        <v>0.21</v>
      </c>
    </row>
    <row r="42" ht="15.75" customHeight="1">
      <c r="A42" s="194" t="s">
        <v>259</v>
      </c>
      <c r="B42" s="195">
        <v>8425.81</v>
      </c>
      <c r="C42" s="195">
        <v>8582.26</v>
      </c>
      <c r="D42" s="195">
        <v>8638.81</v>
      </c>
      <c r="E42" s="195">
        <v>8880.61</v>
      </c>
      <c r="F42" s="195">
        <v>9382.21</v>
      </c>
      <c r="G42" s="195">
        <v>8932.49</v>
      </c>
      <c r="H42" s="195">
        <v>16647.36</v>
      </c>
      <c r="I42" s="195">
        <v>16195.05</v>
      </c>
      <c r="J42" s="195">
        <v>16589.05</v>
      </c>
      <c r="K42" s="195">
        <v>17184.83</v>
      </c>
      <c r="L42" s="195">
        <v>17192.3</v>
      </c>
    </row>
    <row r="43" ht="15.75" customHeight="1">
      <c r="A43" s="194" t="s">
        <v>260</v>
      </c>
      <c r="B43" s="195">
        <v>43749.5</v>
      </c>
      <c r="C43" s="195">
        <v>41620.45</v>
      </c>
      <c r="D43" s="195">
        <v>42040.14</v>
      </c>
      <c r="E43" s="195">
        <v>43208.92</v>
      </c>
      <c r="F43" s="195">
        <v>43749.24</v>
      </c>
      <c r="G43" s="195">
        <v>42048.04</v>
      </c>
      <c r="H43" s="195">
        <v>74569.77</v>
      </c>
      <c r="I43" s="195">
        <v>69726.92</v>
      </c>
      <c r="J43" s="195">
        <v>71274.56</v>
      </c>
      <c r="K43" s="195">
        <v>71441.98</v>
      </c>
      <c r="L43" s="195">
        <v>72555.47</v>
      </c>
    </row>
    <row r="44" ht="15.75" customHeight="1">
      <c r="A44" s="188" t="s">
        <v>161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200">
        <v>694.01</v>
      </c>
    </row>
    <row r="45" ht="15.75" customHeight="1">
      <c r="A45" s="184" t="s">
        <v>261</v>
      </c>
      <c r="B45" s="196"/>
      <c r="C45" s="185">
        <v>172.82</v>
      </c>
      <c r="D45" s="196"/>
      <c r="E45" s="196"/>
      <c r="F45" s="196"/>
      <c r="G45" s="196"/>
      <c r="H45" s="196"/>
      <c r="I45" s="196"/>
      <c r="J45" s="196"/>
      <c r="K45" s="196"/>
      <c r="L45" s="185">
        <v>176.57</v>
      </c>
    </row>
    <row r="46" ht="15.75" customHeight="1">
      <c r="A46" s="184" t="s">
        <v>262</v>
      </c>
      <c r="B46" s="185">
        <v>42.31</v>
      </c>
      <c r="C46" s="185">
        <v>49.33</v>
      </c>
      <c r="D46" s="185">
        <v>57.2</v>
      </c>
      <c r="E46" s="185">
        <v>62.95</v>
      </c>
      <c r="F46" s="185">
        <v>72.08</v>
      </c>
      <c r="G46" s="185">
        <v>69.34</v>
      </c>
      <c r="H46" s="185">
        <v>69.17</v>
      </c>
      <c r="I46" s="185">
        <v>66.85</v>
      </c>
      <c r="J46" s="185">
        <v>83.81</v>
      </c>
      <c r="K46" s="185">
        <v>94.57</v>
      </c>
      <c r="L46" s="185">
        <v>97.37</v>
      </c>
    </row>
    <row r="47" ht="15.75" customHeight="1">
      <c r="A47" s="184" t="s">
        <v>263</v>
      </c>
      <c r="B47" s="185">
        <v>4586.64</v>
      </c>
      <c r="C47" s="185">
        <v>5782.29</v>
      </c>
      <c r="D47" s="185">
        <v>6508.66</v>
      </c>
      <c r="E47" s="185">
        <v>7134.33</v>
      </c>
      <c r="F47" s="185">
        <v>7958.28</v>
      </c>
      <c r="G47" s="185">
        <v>7812.89</v>
      </c>
      <c r="H47" s="185">
        <v>11758.93</v>
      </c>
      <c r="I47" s="185">
        <v>12404.16</v>
      </c>
      <c r="J47" s="185">
        <v>13543.65</v>
      </c>
      <c r="K47" s="185">
        <v>14781.3</v>
      </c>
      <c r="L47" s="185">
        <v>14928.87</v>
      </c>
    </row>
    <row r="48" ht="15.75" customHeight="1">
      <c r="A48" s="184" t="s">
        <v>264</v>
      </c>
      <c r="B48" s="185">
        <v>23.25</v>
      </c>
      <c r="C48" s="185">
        <v>33.46</v>
      </c>
      <c r="D48" s="185">
        <v>43.4</v>
      </c>
      <c r="E48" s="185">
        <v>50.87</v>
      </c>
      <c r="F48" s="185">
        <v>61.58</v>
      </c>
      <c r="G48" s="185">
        <v>61.11</v>
      </c>
      <c r="H48" s="185">
        <v>49.08</v>
      </c>
      <c r="I48" s="185">
        <v>51.45</v>
      </c>
      <c r="J48" s="185">
        <v>68.43</v>
      </c>
      <c r="K48" s="185">
        <v>81.35</v>
      </c>
      <c r="L48" s="185">
        <v>84.55</v>
      </c>
    </row>
    <row r="49" ht="15.75" customHeight="1">
      <c r="A49" s="184" t="s">
        <v>265</v>
      </c>
      <c r="B49" s="185">
        <v>29641.88</v>
      </c>
      <c r="C49" s="185">
        <v>27717.0</v>
      </c>
      <c r="D49" s="185">
        <v>28420.74</v>
      </c>
      <c r="E49" s="185">
        <v>29536.91</v>
      </c>
      <c r="F49" s="185">
        <v>29634.34</v>
      </c>
      <c r="G49" s="185">
        <v>28958.81</v>
      </c>
      <c r="H49" s="185">
        <v>50449.47</v>
      </c>
      <c r="I49" s="185">
        <v>46668.18</v>
      </c>
      <c r="J49" s="185">
        <v>46656.83</v>
      </c>
      <c r="K49" s="185">
        <v>45365.73</v>
      </c>
      <c r="L49" s="185">
        <v>46292.53</v>
      </c>
    </row>
    <row r="50" ht="15.75" customHeight="1">
      <c r="A50" s="184" t="s">
        <v>266</v>
      </c>
      <c r="B50" s="185">
        <v>27219.82</v>
      </c>
      <c r="C50" s="185">
        <v>25644.37</v>
      </c>
      <c r="D50" s="185">
        <v>26712.17</v>
      </c>
      <c r="E50" s="185">
        <v>28263.79</v>
      </c>
      <c r="F50" s="185">
        <v>28501.28</v>
      </c>
      <c r="G50" s="185">
        <v>27706.73</v>
      </c>
      <c r="H50" s="185">
        <v>48703.77</v>
      </c>
      <c r="I50" s="185">
        <v>44859.04</v>
      </c>
      <c r="J50" s="185">
        <v>44899.03</v>
      </c>
      <c r="K50" s="185">
        <v>44074.73</v>
      </c>
      <c r="L50" s="185">
        <v>45189.0</v>
      </c>
    </row>
    <row r="51" ht="15.75" customHeight="1">
      <c r="A51" s="184" t="s">
        <v>267</v>
      </c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</row>
    <row r="52" ht="15.75" customHeight="1">
      <c r="A52" s="184" t="s">
        <v>268</v>
      </c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</row>
    <row r="53" ht="15.75" customHeight="1">
      <c r="A53" s="184" t="s">
        <v>269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196"/>
    </row>
    <row r="54" ht="15.75" customHeight="1">
      <c r="A54" s="208" t="s">
        <v>216</v>
      </c>
      <c r="B54" s="212"/>
      <c r="C54" s="212"/>
      <c r="D54" s="212"/>
      <c r="E54" s="213"/>
      <c r="F54" s="212"/>
      <c r="G54" s="212"/>
      <c r="H54" s="212"/>
      <c r="I54" s="212"/>
      <c r="J54" s="212"/>
      <c r="K54" s="212"/>
      <c r="L54" s="212"/>
    </row>
    <row r="55" ht="15.75" customHeight="1">
      <c r="A55" s="208" t="s">
        <v>217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</row>
    <row r="56" ht="15.75" customHeight="1">
      <c r="A56" s="209" t="s">
        <v>270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ht="15.75" customHeight="1">
      <c r="A57" s="209" t="s">
        <v>271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214" t="s">
        <v>272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ht="15.75" customHeight="1">
      <c r="A59" s="214" t="s">
        <v>273</v>
      </c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ht="15.75" customHeight="1"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ht="15.75" customHeight="1"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</row>
    <row r="62" ht="15.75" customHeight="1"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</row>
    <row r="64" ht="15.75" customHeight="1"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</row>
    <row r="65" ht="15.75" customHeight="1"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1"/>
    <hyperlink r:id="rId2" ref="C51"/>
    <hyperlink r:id="rId3" ref="D51"/>
    <hyperlink r:id="rId4" ref="E51"/>
    <hyperlink r:id="rId5" ref="F51"/>
    <hyperlink r:id="rId6" ref="G51"/>
    <hyperlink r:id="rId7" ref="H51"/>
    <hyperlink r:id="rId8" ref="I51"/>
    <hyperlink r:id="rId9" ref="J51"/>
    <hyperlink r:id="rId10" ref="K51"/>
    <hyperlink r:id="rId11" ref="L51"/>
    <hyperlink r:id="rId12" ref="B52"/>
    <hyperlink r:id="rId13" ref="C52"/>
    <hyperlink r:id="rId14" ref="D52"/>
    <hyperlink r:id="rId15" ref="E52"/>
    <hyperlink r:id="rId16" ref="F52"/>
    <hyperlink r:id="rId17" ref="G52"/>
    <hyperlink r:id="rId18" ref="H52"/>
    <hyperlink r:id="rId19" ref="I52"/>
    <hyperlink r:id="rId20" ref="J52"/>
    <hyperlink r:id="rId21" ref="K52"/>
    <hyperlink r:id="rId22" ref="L52"/>
    <hyperlink r:id="rId23" ref="B53"/>
    <hyperlink r:id="rId24" ref="C53"/>
    <hyperlink r:id="rId25" ref="D53"/>
    <hyperlink r:id="rId26" ref="E53"/>
    <hyperlink r:id="rId27" ref="F53"/>
    <hyperlink r:id="rId28" ref="G53"/>
    <hyperlink r:id="rId29" ref="H53"/>
    <hyperlink r:id="rId30" ref="I53"/>
    <hyperlink r:id="rId31" ref="J53"/>
    <hyperlink r:id="rId32" ref="K53"/>
    <hyperlink r:id="rId33" ref="B54"/>
    <hyperlink r:id="rId34" ref="C54"/>
    <hyperlink r:id="rId35" ref="D54"/>
    <hyperlink r:id="rId36" ref="F54"/>
    <hyperlink r:id="rId37" ref="G54"/>
    <hyperlink r:id="rId38" ref="H54"/>
    <hyperlink r:id="rId39" ref="I54"/>
    <hyperlink r:id="rId40" ref="J54"/>
    <hyperlink r:id="rId41" ref="K54"/>
    <hyperlink r:id="rId42" ref="L54"/>
    <hyperlink r:id="rId43" ref="B55"/>
    <hyperlink r:id="rId44" ref="C55"/>
    <hyperlink r:id="rId45" ref="D55"/>
    <hyperlink r:id="rId46" ref="E55"/>
    <hyperlink r:id="rId47" ref="F55"/>
    <hyperlink r:id="rId48" ref="G55"/>
    <hyperlink r:id="rId49" ref="H55"/>
    <hyperlink r:id="rId50" ref="I55"/>
    <hyperlink r:id="rId51" ref="J55"/>
    <hyperlink r:id="rId52" ref="K55"/>
    <hyperlink r:id="rId53" ref="L55"/>
    <hyperlink r:id="rId54" ref="A56"/>
    <hyperlink r:id="rId55" ref="A57"/>
    <hyperlink r:id="rId56" ref="A58"/>
    <hyperlink r:id="rId57" ref="A59"/>
  </hyperlinks>
  <printOptions/>
  <pageMargins bottom="0.75" footer="0.0" header="0.0" left="0.7" right="0.7" top="0.75"/>
  <pageSetup paperSize="9" orientation="portrait"/>
  <drawing r:id="rId5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9" t="s">
        <v>274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>
      <c r="A3" s="215" t="s">
        <v>26</v>
      </c>
      <c r="B3" s="216">
        <v>1178.73</v>
      </c>
      <c r="C3" s="216">
        <v>1046.63</v>
      </c>
      <c r="D3" s="216">
        <v>1076.15</v>
      </c>
      <c r="E3" s="216">
        <v>1015.63</v>
      </c>
      <c r="F3" s="216">
        <v>1145.69</v>
      </c>
      <c r="G3" s="217">
        <v>-298.57</v>
      </c>
      <c r="H3" s="216">
        <v>1000.51</v>
      </c>
      <c r="I3" s="217">
        <v>-726.04</v>
      </c>
      <c r="J3" s="216">
        <v>3136.09</v>
      </c>
      <c r="K3" s="216">
        <v>2098.63</v>
      </c>
      <c r="L3" s="216">
        <v>2137.28</v>
      </c>
    </row>
    <row r="4">
      <c r="A4" s="184" t="s">
        <v>275</v>
      </c>
      <c r="B4" s="196"/>
      <c r="C4" s="196"/>
      <c r="D4" s="196"/>
      <c r="E4" s="196"/>
      <c r="F4" s="196"/>
      <c r="G4" s="185">
        <v>1624.17</v>
      </c>
      <c r="H4" s="185">
        <v>1716.93</v>
      </c>
      <c r="I4" s="185">
        <v>2368.81</v>
      </c>
      <c r="J4" s="185">
        <v>12.83</v>
      </c>
      <c r="K4" s="185">
        <v>10.82</v>
      </c>
      <c r="L4" s="185">
        <v>10.74</v>
      </c>
    </row>
    <row r="5">
      <c r="A5" s="184" t="s">
        <v>276</v>
      </c>
      <c r="B5" s="185">
        <v>33.7</v>
      </c>
      <c r="C5" s="185">
        <v>31.9</v>
      </c>
      <c r="D5" s="185">
        <v>21.2</v>
      </c>
      <c r="E5" s="185">
        <v>21.2</v>
      </c>
      <c r="F5" s="185">
        <v>21.2</v>
      </c>
      <c r="G5" s="185">
        <v>21.2</v>
      </c>
      <c r="H5" s="185">
        <v>21.0</v>
      </c>
      <c r="I5" s="185">
        <v>21.0</v>
      </c>
      <c r="J5" s="185">
        <v>21.0</v>
      </c>
      <c r="K5" s="185">
        <v>21.0</v>
      </c>
      <c r="L5" s="185">
        <v>21.0</v>
      </c>
    </row>
    <row r="6">
      <c r="A6" s="186" t="s">
        <v>277</v>
      </c>
      <c r="B6" s="187">
        <v>33.7</v>
      </c>
      <c r="C6" s="187">
        <v>31.9</v>
      </c>
      <c r="D6" s="187">
        <v>21.2</v>
      </c>
      <c r="E6" s="187">
        <v>21.2</v>
      </c>
      <c r="F6" s="187">
        <v>21.2</v>
      </c>
      <c r="G6" s="187">
        <v>1645.37</v>
      </c>
      <c r="H6" s="187">
        <v>1737.93</v>
      </c>
      <c r="I6" s="187">
        <v>2389.81</v>
      </c>
      <c r="J6" s="187">
        <v>33.83</v>
      </c>
      <c r="K6" s="187">
        <v>31.82</v>
      </c>
      <c r="L6" s="187">
        <v>31.74</v>
      </c>
    </row>
    <row r="7">
      <c r="A7" s="184" t="s">
        <v>278</v>
      </c>
      <c r="B7" s="185">
        <v>1877.93</v>
      </c>
      <c r="C7" s="185">
        <v>1835.04</v>
      </c>
      <c r="D7" s="185">
        <v>1785.15</v>
      </c>
      <c r="E7" s="185">
        <v>1734.37</v>
      </c>
      <c r="F7" s="185">
        <v>1734.57</v>
      </c>
      <c r="G7" s="185">
        <v>64.97</v>
      </c>
      <c r="H7" s="185">
        <v>113.98</v>
      </c>
      <c r="I7" s="185">
        <v>338.03</v>
      </c>
      <c r="J7" s="185">
        <v>2699.75</v>
      </c>
      <c r="K7" s="185">
        <v>2771.87</v>
      </c>
      <c r="L7" s="185">
        <v>2786.76</v>
      </c>
    </row>
    <row r="8">
      <c r="A8" s="184" t="s">
        <v>279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</row>
    <row r="9">
      <c r="A9" s="184" t="s">
        <v>280</v>
      </c>
      <c r="B9" s="193">
        <v>-183.33</v>
      </c>
      <c r="C9" s="193">
        <v>-138.52</v>
      </c>
      <c r="D9" s="193">
        <v>-229.09</v>
      </c>
      <c r="E9" s="193">
        <v>-201.32</v>
      </c>
      <c r="F9" s="193">
        <v>-188.84</v>
      </c>
      <c r="G9" s="193">
        <v>-89.62</v>
      </c>
      <c r="H9" s="193">
        <v>-89.43</v>
      </c>
      <c r="I9" s="193">
        <v>-228.93</v>
      </c>
      <c r="J9" s="193">
        <v>-489.62</v>
      </c>
      <c r="K9" s="193">
        <v>-651.14</v>
      </c>
      <c r="L9" s="193">
        <v>-668.48</v>
      </c>
    </row>
    <row r="10">
      <c r="A10" s="184" t="s">
        <v>281</v>
      </c>
      <c r="B10" s="196"/>
      <c r="C10" s="196"/>
      <c r="D10" s="196"/>
      <c r="E10" s="196"/>
      <c r="F10" s="196"/>
      <c r="G10" s="185">
        <v>143.51</v>
      </c>
      <c r="H10" s="193">
        <v>-2.3</v>
      </c>
      <c r="I10" s="185">
        <v>17.68</v>
      </c>
      <c r="J10" s="193">
        <v>-2.33</v>
      </c>
      <c r="K10" s="193">
        <v>-5.24</v>
      </c>
      <c r="L10" s="185">
        <v>9.68</v>
      </c>
    </row>
    <row r="11">
      <c r="A11" s="184" t="s">
        <v>282</v>
      </c>
      <c r="B11" s="185">
        <v>694.29</v>
      </c>
      <c r="C11" s="185">
        <v>767.31</v>
      </c>
      <c r="D11" s="185">
        <v>601.06</v>
      </c>
      <c r="E11" s="185">
        <v>331.31</v>
      </c>
      <c r="F11" s="185">
        <v>314.9</v>
      </c>
      <c r="G11" s="185">
        <v>1220.0</v>
      </c>
      <c r="H11" s="185">
        <v>267.19</v>
      </c>
      <c r="I11" s="185">
        <v>486.44</v>
      </c>
      <c r="J11" s="185">
        <v>415.09</v>
      </c>
      <c r="K11" s="185">
        <v>392.7</v>
      </c>
      <c r="L11" s="185">
        <v>360.01</v>
      </c>
    </row>
    <row r="12">
      <c r="A12" s="184" t="s">
        <v>283</v>
      </c>
      <c r="B12" s="196"/>
      <c r="C12" s="196"/>
      <c r="D12" s="196"/>
      <c r="E12" s="196"/>
      <c r="F12" s="185">
        <v>98.37</v>
      </c>
      <c r="G12" s="185">
        <v>68.13</v>
      </c>
      <c r="H12" s="185">
        <v>124.33</v>
      </c>
      <c r="I12" s="185">
        <v>630.43</v>
      </c>
      <c r="J12" s="185">
        <v>407.2</v>
      </c>
      <c r="K12" s="185">
        <v>367.17</v>
      </c>
      <c r="L12" s="185">
        <v>334.24</v>
      </c>
    </row>
    <row r="13">
      <c r="A13" s="184" t="s">
        <v>284</v>
      </c>
      <c r="B13" s="196"/>
      <c r="C13" s="196"/>
      <c r="D13" s="185">
        <v>107.72</v>
      </c>
      <c r="E13" s="210">
        <v>95.18</v>
      </c>
      <c r="F13" s="185">
        <v>69.41</v>
      </c>
      <c r="G13" s="210">
        <v>69.19</v>
      </c>
      <c r="H13" s="185">
        <v>96.09</v>
      </c>
      <c r="I13" s="185">
        <v>102.85</v>
      </c>
      <c r="J13" s="185">
        <v>97.06</v>
      </c>
      <c r="K13" s="185">
        <v>111.14</v>
      </c>
      <c r="L13" s="185">
        <v>113.02</v>
      </c>
    </row>
    <row r="14">
      <c r="A14" s="184" t="s">
        <v>285</v>
      </c>
      <c r="B14" s="218"/>
      <c r="C14" s="196"/>
      <c r="D14" s="218"/>
      <c r="E14" s="196"/>
      <c r="F14" s="196"/>
      <c r="G14" s="218"/>
      <c r="H14" s="196"/>
      <c r="I14" s="196"/>
      <c r="J14" s="196"/>
      <c r="K14" s="196"/>
      <c r="L14" s="196"/>
    </row>
    <row r="15">
      <c r="A15" s="184" t="s">
        <v>286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</row>
    <row r="16">
      <c r="A16" s="184" t="s">
        <v>287</v>
      </c>
      <c r="B16" s="193">
        <v>-411.67</v>
      </c>
      <c r="C16" s="193">
        <v>-426.19</v>
      </c>
      <c r="D16" s="193">
        <v>-286.69</v>
      </c>
      <c r="E16" s="193">
        <v>-160.77</v>
      </c>
      <c r="F16" s="193">
        <v>-7.25</v>
      </c>
      <c r="G16" s="193">
        <v>-37.92</v>
      </c>
      <c r="H16" s="193">
        <v>-29.71</v>
      </c>
      <c r="I16" s="185">
        <v>2550.18</v>
      </c>
      <c r="J16" s="193">
        <v>-1184.38</v>
      </c>
      <c r="K16" s="185">
        <v>71.15</v>
      </c>
      <c r="L16" s="185">
        <v>103.34</v>
      </c>
    </row>
    <row r="17">
      <c r="A17" s="184" t="s">
        <v>288</v>
      </c>
      <c r="B17" s="185">
        <v>48.47</v>
      </c>
      <c r="C17" s="185">
        <v>40.07</v>
      </c>
      <c r="D17" s="193">
        <v>-10.57</v>
      </c>
      <c r="E17" s="185">
        <v>19.84</v>
      </c>
      <c r="F17" s="193">
        <v>-8.75</v>
      </c>
      <c r="G17" s="193">
        <v>-128.19</v>
      </c>
      <c r="H17" s="185">
        <v>232.12</v>
      </c>
      <c r="I17" s="185">
        <v>39.16</v>
      </c>
      <c r="J17" s="185">
        <v>56.44</v>
      </c>
      <c r="K17" s="185">
        <v>5.85</v>
      </c>
      <c r="L17" s="193">
        <v>-5.7</v>
      </c>
    </row>
    <row r="18">
      <c r="A18" s="184" t="s">
        <v>289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</row>
    <row r="19">
      <c r="A19" s="184" t="s">
        <v>290</v>
      </c>
      <c r="B19" s="185">
        <v>33.5</v>
      </c>
      <c r="C19" s="193">
        <v>-32.18</v>
      </c>
      <c r="D19" s="185">
        <v>19.98</v>
      </c>
      <c r="E19" s="193">
        <v>-24.86</v>
      </c>
      <c r="F19" s="185">
        <v>0.03</v>
      </c>
      <c r="G19" s="193">
        <v>-126.18</v>
      </c>
      <c r="H19" s="185">
        <v>130.33</v>
      </c>
      <c r="I19" s="193">
        <v>-542.02</v>
      </c>
      <c r="J19" s="185">
        <v>220.76</v>
      </c>
      <c r="K19" s="185">
        <v>1.55</v>
      </c>
      <c r="L19" s="193">
        <v>-68.06</v>
      </c>
    </row>
    <row r="20">
      <c r="A20" s="184" t="s">
        <v>291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</row>
    <row r="21" ht="15.75" customHeight="1">
      <c r="A21" s="184" t="s">
        <v>292</v>
      </c>
      <c r="B21" s="185">
        <v>88.42</v>
      </c>
      <c r="C21" s="185">
        <v>257.19</v>
      </c>
      <c r="D21" s="185">
        <v>55.31</v>
      </c>
      <c r="E21" s="185">
        <v>9.8</v>
      </c>
      <c r="F21" s="193">
        <v>-73.65</v>
      </c>
      <c r="G21" s="193">
        <v>-400.32</v>
      </c>
      <c r="H21" s="185">
        <v>112.79</v>
      </c>
      <c r="I21" s="185">
        <v>113.37</v>
      </c>
      <c r="J21" s="193">
        <v>-128.46</v>
      </c>
      <c r="K21" s="185">
        <v>241.14</v>
      </c>
      <c r="L21" s="185">
        <v>262.19</v>
      </c>
    </row>
    <row r="22" ht="15.75" customHeight="1">
      <c r="A22" s="194" t="s">
        <v>293</v>
      </c>
      <c r="B22" s="195">
        <v>3360.04</v>
      </c>
      <c r="C22" s="195">
        <v>3381.23</v>
      </c>
      <c r="D22" s="195">
        <v>3140.22</v>
      </c>
      <c r="E22" s="195">
        <v>2840.37</v>
      </c>
      <c r="F22" s="195">
        <v>3105.68</v>
      </c>
      <c r="G22" s="195">
        <v>2130.38</v>
      </c>
      <c r="H22" s="195">
        <v>3693.82</v>
      </c>
      <c r="I22" s="195">
        <v>5170.96</v>
      </c>
      <c r="J22" s="195">
        <v>5261.44</v>
      </c>
      <c r="K22" s="195">
        <v>5436.64</v>
      </c>
      <c r="L22" s="195">
        <v>5396.01</v>
      </c>
    </row>
    <row r="23" ht="15.75" customHeight="1">
      <c r="A23" s="201" t="s">
        <v>294</v>
      </c>
      <c r="B23" s="204">
        <v>170.39</v>
      </c>
      <c r="C23" s="204">
        <v>265.07</v>
      </c>
      <c r="D23" s="204">
        <v>64.72</v>
      </c>
      <c r="E23" s="204">
        <v>4.78</v>
      </c>
      <c r="F23" s="203">
        <v>-82.37</v>
      </c>
      <c r="G23" s="203">
        <v>-654.68</v>
      </c>
      <c r="H23" s="204">
        <v>475.24</v>
      </c>
      <c r="I23" s="203">
        <v>-389.48</v>
      </c>
      <c r="J23" s="204">
        <v>148.74</v>
      </c>
      <c r="K23" s="204">
        <v>248.54</v>
      </c>
      <c r="L23" s="204">
        <v>188.43</v>
      </c>
    </row>
    <row r="24" ht="15.75" customHeight="1">
      <c r="A24" s="184" t="s">
        <v>295</v>
      </c>
      <c r="B24" s="193">
        <v>-3563.66</v>
      </c>
      <c r="C24" s="193">
        <v>-3840.15</v>
      </c>
      <c r="D24" s="193">
        <v>-5225.26</v>
      </c>
      <c r="E24" s="193">
        <v>-5948.41</v>
      </c>
      <c r="F24" s="193">
        <v>-4728.49</v>
      </c>
      <c r="G24" s="193">
        <v>-1183.73</v>
      </c>
      <c r="H24" s="193">
        <v>-1789.78</v>
      </c>
      <c r="I24" s="193">
        <v>-3871.57</v>
      </c>
      <c r="J24" s="193">
        <v>-6232.39</v>
      </c>
      <c r="K24" s="193">
        <v>-6616.36</v>
      </c>
      <c r="L24" s="193">
        <v>-7485.71</v>
      </c>
    </row>
    <row r="25" ht="15.75" customHeight="1">
      <c r="A25" s="184" t="s">
        <v>296</v>
      </c>
      <c r="B25" s="185">
        <v>1568.24</v>
      </c>
      <c r="C25" s="185">
        <v>2366.24</v>
      </c>
      <c r="D25" s="185">
        <v>1779.32</v>
      </c>
      <c r="E25" s="185">
        <v>1822.6</v>
      </c>
      <c r="F25" s="185">
        <v>1773.77</v>
      </c>
      <c r="G25" s="185">
        <v>471.44</v>
      </c>
      <c r="H25" s="185">
        <v>796.61</v>
      </c>
      <c r="I25" s="185">
        <v>1635.78</v>
      </c>
      <c r="J25" s="185">
        <v>2121.51</v>
      </c>
      <c r="K25" s="185">
        <v>2674.97</v>
      </c>
      <c r="L25" s="185">
        <v>2426.89</v>
      </c>
    </row>
    <row r="26" ht="15.75" customHeight="1">
      <c r="A26" s="184" t="s">
        <v>297</v>
      </c>
      <c r="B26" s="196"/>
      <c r="C26" s="196"/>
      <c r="D26" s="196"/>
      <c r="E26" s="196"/>
      <c r="F26" s="196"/>
      <c r="G26" s="196"/>
      <c r="H26" s="193">
        <v>-22493.2</v>
      </c>
      <c r="I26" s="196"/>
      <c r="J26" s="196"/>
      <c r="K26" s="196"/>
      <c r="L26" s="196"/>
    </row>
    <row r="27" ht="15.75" customHeight="1">
      <c r="A27" s="184" t="s">
        <v>298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</row>
    <row r="28" ht="15.75" customHeight="1">
      <c r="A28" s="184" t="s">
        <v>299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</row>
    <row r="29" ht="15.75" customHeight="1">
      <c r="A29" s="184" t="s">
        <v>300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</row>
    <row r="30" ht="15.75" customHeight="1">
      <c r="A30" s="184" t="s">
        <v>301</v>
      </c>
      <c r="B30" s="185">
        <v>54.98</v>
      </c>
      <c r="C30" s="185">
        <v>74.21</v>
      </c>
      <c r="D30" s="185">
        <v>91.92</v>
      </c>
      <c r="E30" s="185">
        <v>94.7</v>
      </c>
      <c r="F30" s="196"/>
      <c r="G30" s="196"/>
      <c r="H30" s="185">
        <v>32.02</v>
      </c>
      <c r="I30" s="185">
        <v>52.68</v>
      </c>
      <c r="J30" s="193">
        <v>-300.33</v>
      </c>
      <c r="K30" s="185">
        <v>72.46</v>
      </c>
      <c r="L30" s="185">
        <v>52.3</v>
      </c>
    </row>
    <row r="31" ht="15.75" customHeight="1">
      <c r="A31" s="184" t="s">
        <v>302</v>
      </c>
      <c r="B31" s="185">
        <v>224.54</v>
      </c>
      <c r="C31" s="193">
        <v>-21.68</v>
      </c>
      <c r="D31" s="193">
        <v>-38.1</v>
      </c>
      <c r="E31" s="193">
        <v>-21.51</v>
      </c>
      <c r="F31" s="193">
        <v>-0.02</v>
      </c>
      <c r="G31" s="196"/>
      <c r="H31" s="193">
        <v>-4.59</v>
      </c>
      <c r="I31" s="185">
        <v>22.61</v>
      </c>
      <c r="J31" s="185">
        <v>1228.24</v>
      </c>
      <c r="K31" s="185">
        <v>144.72</v>
      </c>
      <c r="L31" s="185">
        <v>118.88</v>
      </c>
    </row>
    <row r="32" ht="15.75" customHeight="1">
      <c r="A32" s="194" t="s">
        <v>303</v>
      </c>
      <c r="B32" s="197">
        <v>-1715.91</v>
      </c>
      <c r="C32" s="197">
        <v>-1421.38</v>
      </c>
      <c r="D32" s="197">
        <v>-3392.12</v>
      </c>
      <c r="E32" s="197">
        <v>-4052.61</v>
      </c>
      <c r="F32" s="197">
        <v>-2954.74</v>
      </c>
      <c r="G32" s="197">
        <v>-712.29</v>
      </c>
      <c r="H32" s="197">
        <v>-23458.94</v>
      </c>
      <c r="I32" s="197">
        <v>-2160.5</v>
      </c>
      <c r="J32" s="197">
        <v>-3182.97</v>
      </c>
      <c r="K32" s="197">
        <v>-3724.21</v>
      </c>
      <c r="L32" s="197">
        <v>-4887.64</v>
      </c>
    </row>
    <row r="33" ht="15.75" customHeight="1">
      <c r="A33" s="184" t="s">
        <v>304</v>
      </c>
      <c r="B33" s="185">
        <v>3913.84</v>
      </c>
      <c r="C33" s="185">
        <v>3642.17</v>
      </c>
      <c r="D33" s="185">
        <v>5596.4</v>
      </c>
      <c r="E33" s="185">
        <v>5589.83</v>
      </c>
      <c r="F33" s="185">
        <v>6539.31</v>
      </c>
      <c r="G33" s="185">
        <v>10946.33</v>
      </c>
      <c r="H33" s="185">
        <v>26496.66</v>
      </c>
      <c r="I33" s="185">
        <v>468.0</v>
      </c>
      <c r="J33" s="185">
        <v>6550.99</v>
      </c>
      <c r="K33" s="185">
        <v>7641.38</v>
      </c>
      <c r="L33" s="185">
        <v>8071.85</v>
      </c>
    </row>
    <row r="34" ht="15.75" customHeight="1">
      <c r="A34" s="184" t="s">
        <v>305</v>
      </c>
      <c r="B34" s="193">
        <v>-4043.74</v>
      </c>
      <c r="C34" s="193">
        <v>-5213.72</v>
      </c>
      <c r="D34" s="193">
        <v>-4695.45</v>
      </c>
      <c r="E34" s="193">
        <v>-4360.52</v>
      </c>
      <c r="F34" s="193">
        <v>-6504.83</v>
      </c>
      <c r="G34" s="193">
        <v>-11560.02</v>
      </c>
      <c r="H34" s="193">
        <v>-5973.51</v>
      </c>
      <c r="I34" s="193">
        <v>-4230.08</v>
      </c>
      <c r="J34" s="193">
        <v>-6568.37</v>
      </c>
      <c r="K34" s="193">
        <v>-8799.95</v>
      </c>
      <c r="L34" s="193">
        <v>-7592.84</v>
      </c>
    </row>
    <row r="35" ht="15.75" customHeight="1">
      <c r="A35" s="184" t="s">
        <v>306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</row>
    <row r="36" ht="15.75" customHeight="1">
      <c r="A36" s="184" t="s">
        <v>307</v>
      </c>
      <c r="B36" s="193">
        <v>-793.95</v>
      </c>
      <c r="C36" s="193">
        <v>-1021.12</v>
      </c>
      <c r="D36" s="193">
        <v>-1138.78</v>
      </c>
      <c r="E36" s="193">
        <v>-834.4</v>
      </c>
      <c r="F36" s="193">
        <v>-639.94</v>
      </c>
      <c r="G36" s="193">
        <v>-127.78</v>
      </c>
      <c r="H36" s="193">
        <v>-76.22</v>
      </c>
      <c r="I36" s="193">
        <v>-17.42</v>
      </c>
      <c r="J36" s="193">
        <v>-2637.59</v>
      </c>
      <c r="K36" s="193">
        <v>-1520.32</v>
      </c>
      <c r="L36" s="193">
        <v>-1734.69</v>
      </c>
    </row>
    <row r="37" ht="15.75" customHeight="1">
      <c r="A37" s="184" t="s">
        <v>308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3">
        <v>-139.99</v>
      </c>
      <c r="L37" s="193">
        <v>-145.59</v>
      </c>
    </row>
    <row r="38" ht="15.75" customHeight="1">
      <c r="A38" s="184" t="s">
        <v>309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3">
        <v>-139.99</v>
      </c>
      <c r="L38" s="193">
        <v>-145.59</v>
      </c>
    </row>
    <row r="39" ht="15.75" customHeight="1">
      <c r="A39" s="184" t="s">
        <v>310</v>
      </c>
      <c r="B39" s="185">
        <v>195.56</v>
      </c>
      <c r="C39" s="185">
        <v>175.51</v>
      </c>
      <c r="D39" s="185">
        <v>150.27</v>
      </c>
      <c r="E39" s="185">
        <v>205.5</v>
      </c>
      <c r="F39" s="185">
        <v>340.46</v>
      </c>
      <c r="G39" s="193">
        <v>-483.87</v>
      </c>
      <c r="H39" s="193">
        <v>-263.13</v>
      </c>
      <c r="I39" s="185">
        <v>618.69</v>
      </c>
      <c r="J39" s="185">
        <v>643.25</v>
      </c>
      <c r="K39" s="185">
        <v>686.37</v>
      </c>
      <c r="L39" s="185">
        <v>675.96</v>
      </c>
    </row>
    <row r="40" ht="15.75" customHeight="1">
      <c r="A40" s="194" t="s">
        <v>311</v>
      </c>
      <c r="B40" s="197">
        <v>-728.29</v>
      </c>
      <c r="C40" s="197">
        <v>-2417.17</v>
      </c>
      <c r="D40" s="197">
        <v>-87.57</v>
      </c>
      <c r="E40" s="195">
        <v>600.41</v>
      </c>
      <c r="F40" s="197">
        <v>-265.01</v>
      </c>
      <c r="G40" s="197">
        <v>-1225.33</v>
      </c>
      <c r="H40" s="195">
        <v>20183.8</v>
      </c>
      <c r="I40" s="197">
        <v>-3160.82</v>
      </c>
      <c r="J40" s="197">
        <v>-2011.72</v>
      </c>
      <c r="K40" s="197">
        <v>-2132.51</v>
      </c>
      <c r="L40" s="197">
        <v>-725.32</v>
      </c>
    </row>
    <row r="41" ht="15.75" customHeight="1">
      <c r="A41" s="184" t="s">
        <v>312</v>
      </c>
      <c r="B41" s="193">
        <v>-3.12</v>
      </c>
      <c r="C41" s="193">
        <v>-0.61</v>
      </c>
      <c r="D41" s="193">
        <v>-1.03</v>
      </c>
      <c r="E41" s="185">
        <v>2.74</v>
      </c>
      <c r="F41" s="193">
        <v>-0.62</v>
      </c>
      <c r="G41" s="185">
        <v>2.18</v>
      </c>
      <c r="H41" s="185">
        <v>0.78</v>
      </c>
      <c r="I41" s="193">
        <v>-7.63</v>
      </c>
      <c r="J41" s="185">
        <v>1.95</v>
      </c>
      <c r="K41" s="193">
        <v>-3.81</v>
      </c>
      <c r="L41" s="185">
        <v>0.74</v>
      </c>
    </row>
    <row r="42" ht="15.75" customHeight="1">
      <c r="A42" s="194" t="s">
        <v>313</v>
      </c>
      <c r="B42" s="195">
        <v>912.73</v>
      </c>
      <c r="C42" s="197">
        <v>-457.92</v>
      </c>
      <c r="D42" s="197">
        <v>-340.5</v>
      </c>
      <c r="E42" s="197">
        <v>-609.09</v>
      </c>
      <c r="F42" s="197">
        <v>-114.69</v>
      </c>
      <c r="G42" s="195">
        <v>194.94</v>
      </c>
      <c r="H42" s="195">
        <v>419.46</v>
      </c>
      <c r="I42" s="197">
        <v>-157.98</v>
      </c>
      <c r="J42" s="195">
        <v>68.7</v>
      </c>
      <c r="K42" s="197">
        <v>-423.88</v>
      </c>
      <c r="L42" s="197">
        <v>-216.2</v>
      </c>
    </row>
    <row r="43" ht="15.75" customHeight="1">
      <c r="A43" s="188" t="s">
        <v>161</v>
      </c>
      <c r="B43" s="219" t="s">
        <v>314</v>
      </c>
      <c r="C43" s="219" t="s">
        <v>315</v>
      </c>
      <c r="D43" s="219" t="s">
        <v>207</v>
      </c>
      <c r="E43" s="219" t="s">
        <v>316</v>
      </c>
      <c r="F43" s="219" t="s">
        <v>317</v>
      </c>
      <c r="G43" s="219" t="s">
        <v>318</v>
      </c>
      <c r="H43" s="219" t="s">
        <v>319</v>
      </c>
      <c r="I43" s="220" t="s">
        <v>320</v>
      </c>
      <c r="J43" s="219" t="s">
        <v>321</v>
      </c>
      <c r="K43" s="219" t="s">
        <v>322</v>
      </c>
      <c r="L43" s="219" t="s">
        <v>322</v>
      </c>
    </row>
    <row r="44" ht="15.75" customHeight="1">
      <c r="A44" s="186" t="s">
        <v>323</v>
      </c>
      <c r="B44" s="198">
        <v>-203.62</v>
      </c>
      <c r="C44" s="198">
        <v>-458.92</v>
      </c>
      <c r="D44" s="198">
        <v>-2085.04</v>
      </c>
      <c r="E44" s="198">
        <v>-3108.04</v>
      </c>
      <c r="F44" s="198">
        <v>-1622.81</v>
      </c>
      <c r="G44" s="187">
        <v>946.66</v>
      </c>
      <c r="H44" s="187">
        <v>1904.04</v>
      </c>
      <c r="I44" s="187">
        <v>1299.39</v>
      </c>
      <c r="J44" s="198">
        <v>-970.95</v>
      </c>
      <c r="K44" s="198">
        <v>-1179.72</v>
      </c>
      <c r="L44" s="198">
        <v>-2089.7</v>
      </c>
    </row>
    <row r="45" ht="15.75" customHeight="1">
      <c r="A45" s="188" t="s">
        <v>72</v>
      </c>
      <c r="B45" s="189"/>
      <c r="C45" s="221" t="s">
        <v>324</v>
      </c>
      <c r="D45" s="191" t="s">
        <v>325</v>
      </c>
      <c r="E45" s="191" t="s">
        <v>326</v>
      </c>
      <c r="F45" s="221" t="s">
        <v>327</v>
      </c>
      <c r="G45" s="191" t="s">
        <v>328</v>
      </c>
      <c r="H45" s="191" t="s">
        <v>329</v>
      </c>
      <c r="I45" s="190" t="s">
        <v>330</v>
      </c>
      <c r="J45" s="190" t="s">
        <v>331</v>
      </c>
      <c r="K45" s="191" t="s">
        <v>332</v>
      </c>
      <c r="L45" s="192"/>
    </row>
    <row r="46" ht="15.75" customHeight="1">
      <c r="A46" s="188" t="s">
        <v>333</v>
      </c>
      <c r="B46" s="190" t="s">
        <v>334</v>
      </c>
      <c r="C46" s="190" t="s">
        <v>335</v>
      </c>
      <c r="D46" s="190" t="s">
        <v>336</v>
      </c>
      <c r="E46" s="190" t="s">
        <v>337</v>
      </c>
      <c r="F46" s="190" t="s">
        <v>338</v>
      </c>
      <c r="G46" s="191" t="s">
        <v>339</v>
      </c>
      <c r="H46" s="191" t="s">
        <v>340</v>
      </c>
      <c r="I46" s="191" t="s">
        <v>208</v>
      </c>
      <c r="J46" s="190" t="s">
        <v>341</v>
      </c>
      <c r="K46" s="190" t="s">
        <v>342</v>
      </c>
      <c r="L46" s="190" t="s">
        <v>343</v>
      </c>
    </row>
    <row r="47" ht="15.75" customHeight="1">
      <c r="A47" s="184" t="s">
        <v>344</v>
      </c>
      <c r="B47" s="185">
        <v>1490.37</v>
      </c>
      <c r="C47" s="185">
        <v>2822.55</v>
      </c>
      <c r="D47" s="185">
        <v>2364.63</v>
      </c>
      <c r="E47" s="185">
        <v>2024.13</v>
      </c>
      <c r="F47" s="185">
        <v>1415.04</v>
      </c>
      <c r="G47" s="185">
        <v>1300.35</v>
      </c>
      <c r="H47" s="185">
        <v>1495.29</v>
      </c>
      <c r="I47" s="185">
        <v>1914.75</v>
      </c>
      <c r="J47" s="185">
        <v>1756.77</v>
      </c>
      <c r="K47" s="185">
        <v>1825.47</v>
      </c>
      <c r="L47" s="185">
        <v>1401.58</v>
      </c>
    </row>
    <row r="48" ht="15.75" customHeight="1">
      <c r="A48" s="184" t="s">
        <v>345</v>
      </c>
      <c r="B48" s="185">
        <v>2403.1</v>
      </c>
      <c r="C48" s="185">
        <v>2364.63</v>
      </c>
      <c r="D48" s="185">
        <v>2024.13</v>
      </c>
      <c r="E48" s="185">
        <v>1415.04</v>
      </c>
      <c r="F48" s="185">
        <v>1300.35</v>
      </c>
      <c r="G48" s="185">
        <v>1495.29</v>
      </c>
      <c r="H48" s="185">
        <v>1914.75</v>
      </c>
      <c r="I48" s="185">
        <v>1756.77</v>
      </c>
      <c r="J48" s="185">
        <v>1825.47</v>
      </c>
      <c r="K48" s="185">
        <v>1401.58</v>
      </c>
      <c r="L48" s="185">
        <v>1269.29</v>
      </c>
    </row>
    <row r="49" ht="15.75" customHeight="1">
      <c r="A49" s="184" t="s">
        <v>346</v>
      </c>
      <c r="B49" s="185">
        <v>1409.86</v>
      </c>
      <c r="C49" s="185">
        <v>1339.1</v>
      </c>
      <c r="D49" s="185">
        <v>1231.54</v>
      </c>
      <c r="E49" s="185">
        <v>1228.79</v>
      </c>
      <c r="F49" s="185">
        <v>1270.53</v>
      </c>
      <c r="G49" s="185">
        <v>1196.47</v>
      </c>
      <c r="H49" s="185">
        <v>1109.95</v>
      </c>
      <c r="I49" s="185">
        <v>1565.16</v>
      </c>
      <c r="J49" s="185">
        <v>1650.32</v>
      </c>
      <c r="K49" s="185">
        <v>1806.21</v>
      </c>
      <c r="L49" s="185">
        <v>1900.35</v>
      </c>
    </row>
    <row r="50" ht="15.75" customHeight="1">
      <c r="A50" s="184" t="s">
        <v>347</v>
      </c>
      <c r="B50" s="185">
        <v>20.18</v>
      </c>
      <c r="C50" s="185">
        <v>61.83</v>
      </c>
      <c r="D50" s="185">
        <v>18.96</v>
      </c>
      <c r="E50" s="185">
        <v>0.68</v>
      </c>
      <c r="F50" s="185">
        <v>2.35</v>
      </c>
      <c r="G50" s="193">
        <v>-3.86</v>
      </c>
      <c r="H50" s="185">
        <v>4.93</v>
      </c>
      <c r="I50" s="193">
        <v>-0.57</v>
      </c>
      <c r="J50" s="185">
        <v>23.22</v>
      </c>
      <c r="K50" s="185">
        <v>34.03</v>
      </c>
      <c r="L50" s="185">
        <v>34.67</v>
      </c>
    </row>
    <row r="51" ht="15.75" customHeight="1">
      <c r="A51" s="184" t="s">
        <v>348</v>
      </c>
      <c r="B51" s="193">
        <v>-1.0</v>
      </c>
      <c r="C51" s="193">
        <v>-2.47</v>
      </c>
      <c r="D51" s="193">
        <v>-12.95</v>
      </c>
      <c r="E51" s="193">
        <v>-21.41</v>
      </c>
      <c r="F51" s="193">
        <v>-12.06</v>
      </c>
      <c r="G51" s="185">
        <v>7.41</v>
      </c>
      <c r="H51" s="185">
        <v>13.0</v>
      </c>
      <c r="I51" s="185">
        <v>5.4</v>
      </c>
      <c r="J51" s="193">
        <v>-4.33</v>
      </c>
      <c r="K51" s="193">
        <v>-6.21</v>
      </c>
      <c r="L51" s="193">
        <v>-11.25</v>
      </c>
    </row>
    <row r="52" ht="15.75" customHeight="1">
      <c r="A52" s="208" t="s">
        <v>216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208" t="s">
        <v>217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</row>
    <row r="54" ht="15.75" customHeight="1">
      <c r="A54" s="209" t="s">
        <v>349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</row>
    <row r="55" ht="15.75" customHeight="1">
      <c r="A55" s="209" t="s">
        <v>350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</row>
    <row r="56" ht="15.75" customHeight="1">
      <c r="A56" s="199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ht="15.75" customHeight="1">
      <c r="A57" s="199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199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ht="15.75" customHeight="1">
      <c r="A59" s="199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ht="15.75" customHeight="1">
      <c r="A60" s="199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ht="15.75" customHeight="1">
      <c r="A61" s="19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9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A63" s="199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</row>
    <row r="64" ht="15.75" customHeight="1">
      <c r="A64" s="199"/>
      <c r="B64" s="11"/>
      <c r="C64" s="11"/>
      <c r="D64" s="11"/>
      <c r="E64" s="11"/>
      <c r="F64" s="11"/>
      <c r="G64" s="11"/>
      <c r="H64" s="11"/>
      <c r="I64" s="11"/>
      <c r="J64" s="11"/>
      <c r="K64" s="206"/>
      <c r="L64" s="206"/>
    </row>
    <row r="65" ht="15.75" customHeight="1">
      <c r="A65" s="199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</row>
    <row r="66" ht="15.75" customHeight="1">
      <c r="A66" s="19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9"/>
      <c r="B68" s="11"/>
      <c r="C68" s="11"/>
      <c r="D68" s="11"/>
      <c r="E68" s="11"/>
      <c r="F68" s="11"/>
      <c r="G68" s="11"/>
      <c r="H68" s="11"/>
      <c r="I68" s="11"/>
      <c r="J68" s="11"/>
      <c r="K68" s="206"/>
      <c r="L68" s="206"/>
    </row>
    <row r="69" ht="15.75" customHeight="1">
      <c r="A69" s="199"/>
      <c r="B69" s="11"/>
      <c r="C69" s="11"/>
      <c r="D69" s="11"/>
      <c r="E69" s="11"/>
      <c r="F69" s="11"/>
      <c r="G69" s="11"/>
      <c r="H69" s="11"/>
      <c r="I69" s="11"/>
      <c r="J69" s="11"/>
      <c r="K69" s="206"/>
      <c r="L69" s="206"/>
    </row>
    <row r="70" ht="15.75" customHeight="1">
      <c r="A70" s="199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</row>
    <row r="71" ht="15.75" customHeight="1">
      <c r="A71" s="19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5"/>
    <hyperlink r:id="rId2" ref="A54"/>
    <hyperlink r:id="rId3" ref="A55"/>
  </hyperlinks>
  <printOptions/>
  <pageMargins bottom="0.75" footer="0.0" header="0.0" left="0.7" right="0.7" top="0.75"/>
  <pageSetup paperSize="9" orientation="portrait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7"/>
      <c r="D1" s="77"/>
      <c r="E1" s="77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5" t="s">
        <v>351</v>
      </c>
      <c r="C2" s="95" t="s">
        <v>352</v>
      </c>
      <c r="D2" s="95" t="s">
        <v>353</v>
      </c>
      <c r="E2" s="95" t="s">
        <v>354</v>
      </c>
      <c r="F2" s="222"/>
      <c r="G2" s="222"/>
      <c r="H2" s="222"/>
      <c r="I2" s="222"/>
      <c r="J2" s="222"/>
      <c r="K2" s="222"/>
      <c r="L2" s="222"/>
      <c r="M2" s="223"/>
      <c r="N2" s="223"/>
      <c r="O2" s="224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25" t="s">
        <v>195</v>
      </c>
      <c r="C3" s="226" t="s">
        <v>355</v>
      </c>
      <c r="D3" s="226" t="s">
        <v>356</v>
      </c>
      <c r="E3" s="226" t="s">
        <v>357</v>
      </c>
      <c r="F3" s="227"/>
      <c r="G3" s="227"/>
      <c r="H3" s="227"/>
      <c r="I3" s="227"/>
      <c r="J3" s="227"/>
      <c r="K3" s="227"/>
      <c r="L3" s="227"/>
      <c r="M3" s="227"/>
      <c r="N3" s="227"/>
      <c r="O3" s="77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28" t="s">
        <v>358</v>
      </c>
      <c r="C4" s="229" t="s">
        <v>359</v>
      </c>
      <c r="D4" s="229" t="s">
        <v>360</v>
      </c>
      <c r="E4" s="229" t="s">
        <v>361</v>
      </c>
      <c r="F4" s="227"/>
      <c r="G4" s="227"/>
      <c r="H4" s="227"/>
      <c r="I4" s="227"/>
      <c r="J4" s="227"/>
      <c r="K4" s="227"/>
      <c r="L4" s="227"/>
      <c r="M4" s="227"/>
      <c r="N4" s="227"/>
      <c r="O4" s="77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25" t="s">
        <v>362</v>
      </c>
      <c r="C5" s="226" t="s">
        <v>363</v>
      </c>
      <c r="D5" s="226" t="s">
        <v>364</v>
      </c>
      <c r="E5" s="226" t="s">
        <v>365</v>
      </c>
      <c r="F5" s="227"/>
      <c r="G5" s="227"/>
      <c r="H5" s="227"/>
      <c r="I5" s="227"/>
      <c r="J5" s="227"/>
      <c r="K5" s="227"/>
      <c r="L5" s="227"/>
      <c r="M5" s="227"/>
      <c r="N5" s="227"/>
      <c r="O5" s="77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28" t="s">
        <v>26</v>
      </c>
      <c r="C6" s="229" t="s">
        <v>366</v>
      </c>
      <c r="D6" s="229" t="s">
        <v>367</v>
      </c>
      <c r="E6" s="229"/>
      <c r="F6" s="227"/>
      <c r="G6" s="227"/>
      <c r="H6" s="227"/>
      <c r="I6" s="227"/>
      <c r="J6" s="227"/>
      <c r="K6" s="227"/>
      <c r="L6" s="227"/>
      <c r="M6" s="227"/>
      <c r="N6" s="227"/>
      <c r="O6" s="77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25" t="s">
        <v>40</v>
      </c>
      <c r="C7" s="230" t="s">
        <v>368</v>
      </c>
      <c r="D7" s="226"/>
      <c r="E7" s="226"/>
      <c r="F7" s="227"/>
      <c r="G7" s="227"/>
      <c r="H7" s="227"/>
      <c r="I7" s="227"/>
      <c r="J7" s="227"/>
      <c r="K7" s="227"/>
      <c r="L7" s="227"/>
      <c r="M7" s="227"/>
      <c r="N7" s="227"/>
      <c r="O7" s="77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27"/>
      <c r="G8" s="227"/>
      <c r="H8" s="227"/>
      <c r="I8" s="227"/>
      <c r="J8" s="227"/>
      <c r="K8" s="227"/>
      <c r="L8" s="227"/>
      <c r="M8" s="227"/>
      <c r="N8" s="227"/>
      <c r="O8" s="77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1" t="s">
        <v>36</v>
      </c>
      <c r="C9" s="95" t="s">
        <v>352</v>
      </c>
      <c r="D9" s="95" t="s">
        <v>353</v>
      </c>
      <c r="E9" s="95" t="s">
        <v>354</v>
      </c>
      <c r="F9" s="227"/>
      <c r="G9" s="227"/>
      <c r="H9" s="227"/>
      <c r="I9" s="227"/>
      <c r="J9" s="227"/>
      <c r="K9" s="227"/>
      <c r="L9" s="227"/>
      <c r="M9" s="227"/>
      <c r="N9" s="227"/>
      <c r="O9" s="77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25" t="s">
        <v>369</v>
      </c>
      <c r="C10" s="226" t="s">
        <v>370</v>
      </c>
      <c r="D10" s="230"/>
      <c r="E10" s="231"/>
      <c r="F10" s="227"/>
      <c r="G10" s="227"/>
      <c r="H10" s="227"/>
      <c r="I10" s="227"/>
      <c r="J10" s="227"/>
      <c r="K10" s="227"/>
      <c r="L10" s="227"/>
      <c r="M10" s="227"/>
      <c r="N10" s="227"/>
      <c r="O10" s="77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28" t="s">
        <v>371</v>
      </c>
      <c r="C11" s="232" t="s">
        <v>372</v>
      </c>
      <c r="D11" s="232"/>
      <c r="E11" s="233"/>
      <c r="F11" s="227"/>
      <c r="G11" s="227"/>
      <c r="H11" s="227"/>
      <c r="I11" s="227"/>
      <c r="J11" s="227"/>
      <c r="K11" s="227"/>
      <c r="L11" s="227"/>
      <c r="M11" s="227"/>
      <c r="N11" s="227"/>
      <c r="O11" s="77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25" t="s">
        <v>373</v>
      </c>
      <c r="C12" s="226" t="s">
        <v>374</v>
      </c>
      <c r="D12" s="226" t="s">
        <v>375</v>
      </c>
      <c r="E12" s="234"/>
      <c r="F12" s="227"/>
      <c r="G12" s="227"/>
      <c r="H12" s="227"/>
      <c r="I12" s="227"/>
      <c r="J12" s="227"/>
      <c r="K12" s="227"/>
      <c r="L12" s="227"/>
      <c r="M12" s="227"/>
      <c r="N12" s="227"/>
      <c r="O12" s="77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28" t="s">
        <v>376</v>
      </c>
      <c r="C13" s="232" t="s">
        <v>377</v>
      </c>
      <c r="D13" s="232"/>
      <c r="E13" s="233"/>
      <c r="F13" s="227"/>
      <c r="G13" s="227"/>
      <c r="H13" s="227"/>
      <c r="I13" s="227"/>
      <c r="J13" s="227"/>
      <c r="K13" s="227"/>
      <c r="L13" s="227"/>
      <c r="M13" s="227"/>
      <c r="N13" s="227"/>
      <c r="O13" s="77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25" t="s">
        <v>378</v>
      </c>
      <c r="C14" s="230" t="s">
        <v>379</v>
      </c>
      <c r="D14" s="230"/>
      <c r="E14" s="231"/>
      <c r="F14" s="227"/>
      <c r="G14" s="227"/>
      <c r="H14" s="227"/>
      <c r="I14" s="227"/>
      <c r="J14" s="227"/>
      <c r="K14" s="227"/>
      <c r="L14" s="227"/>
      <c r="M14" s="227"/>
      <c r="N14" s="227"/>
      <c r="O14" s="77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28" t="s">
        <v>380</v>
      </c>
      <c r="C15" s="232" t="s">
        <v>381</v>
      </c>
      <c r="D15" s="232"/>
      <c r="E15" s="233"/>
      <c r="F15" s="227"/>
      <c r="G15" s="227"/>
      <c r="H15" s="227"/>
      <c r="I15" s="227"/>
      <c r="J15" s="227"/>
      <c r="K15" s="227"/>
      <c r="L15" s="227"/>
      <c r="M15" s="227"/>
      <c r="N15" s="227"/>
      <c r="O15" s="77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25" t="s">
        <v>48</v>
      </c>
      <c r="C16" s="230" t="s">
        <v>382</v>
      </c>
      <c r="D16" s="230" t="s">
        <v>383</v>
      </c>
      <c r="E16" s="231"/>
      <c r="F16" s="227"/>
      <c r="G16" s="227"/>
      <c r="H16" s="227"/>
      <c r="I16" s="227"/>
      <c r="J16" s="227"/>
      <c r="K16" s="227"/>
      <c r="L16" s="227"/>
      <c r="M16" s="227"/>
      <c r="N16" s="227"/>
      <c r="O16" s="77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35"/>
      <c r="G17" s="235"/>
      <c r="H17" s="235"/>
      <c r="I17" s="235"/>
      <c r="J17" s="235"/>
      <c r="K17" s="235"/>
      <c r="L17" s="235"/>
      <c r="M17" s="235"/>
      <c r="N17" s="235"/>
      <c r="O17" s="236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1" t="s">
        <v>384</v>
      </c>
      <c r="C18" s="95" t="s">
        <v>352</v>
      </c>
      <c r="D18" s="95" t="s">
        <v>353</v>
      </c>
      <c r="E18" s="95" t="s">
        <v>354</v>
      </c>
      <c r="F18" s="237"/>
      <c r="G18" s="237"/>
      <c r="H18" s="237"/>
      <c r="I18" s="237"/>
      <c r="J18" s="237"/>
      <c r="K18" s="237"/>
      <c r="L18" s="237"/>
      <c r="M18" s="237"/>
      <c r="N18" s="237"/>
      <c r="O18" s="236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25" t="s">
        <v>195</v>
      </c>
      <c r="C19" s="230" t="s">
        <v>385</v>
      </c>
      <c r="D19" s="230"/>
      <c r="E19" s="231"/>
      <c r="F19" s="227"/>
      <c r="G19" s="227"/>
      <c r="H19" s="227"/>
      <c r="I19" s="227"/>
      <c r="J19" s="227"/>
      <c r="K19" s="227"/>
      <c r="L19" s="227"/>
      <c r="M19" s="227"/>
      <c r="N19" s="227"/>
      <c r="O19" s="236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28" t="s">
        <v>358</v>
      </c>
      <c r="C20" s="232" t="s">
        <v>386</v>
      </c>
      <c r="D20" s="232"/>
      <c r="E20" s="233"/>
      <c r="F20" s="227"/>
      <c r="G20" s="227"/>
      <c r="H20" s="227"/>
      <c r="I20" s="227"/>
      <c r="J20" s="227"/>
      <c r="K20" s="227"/>
      <c r="L20" s="227"/>
      <c r="M20" s="227"/>
      <c r="N20" s="227"/>
      <c r="O20" s="236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25" t="s">
        <v>387</v>
      </c>
      <c r="C21" s="230" t="s">
        <v>388</v>
      </c>
      <c r="D21" s="230"/>
      <c r="E21" s="231"/>
      <c r="F21" s="227"/>
      <c r="G21" s="227"/>
      <c r="H21" s="227"/>
      <c r="I21" s="227"/>
      <c r="J21" s="227"/>
      <c r="K21" s="227"/>
      <c r="L21" s="227"/>
      <c r="M21" s="227"/>
      <c r="N21" s="227"/>
      <c r="O21" s="236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28" t="s">
        <v>389</v>
      </c>
      <c r="C22" s="232" t="s">
        <v>390</v>
      </c>
      <c r="D22" s="232"/>
      <c r="E22" s="233"/>
      <c r="F22" s="227"/>
      <c r="G22" s="227"/>
      <c r="H22" s="227"/>
      <c r="I22" s="227"/>
      <c r="J22" s="227"/>
      <c r="K22" s="227"/>
      <c r="L22" s="227"/>
      <c r="M22" s="227"/>
      <c r="N22" s="227"/>
      <c r="O22" s="236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25"/>
      <c r="C23" s="230"/>
      <c r="D23" s="230"/>
      <c r="E23" s="231"/>
      <c r="F23" s="227"/>
      <c r="G23" s="227"/>
      <c r="H23" s="227"/>
      <c r="I23" s="227"/>
      <c r="J23" s="227"/>
      <c r="K23" s="227"/>
      <c r="L23" s="227"/>
      <c r="M23" s="227"/>
      <c r="N23" s="227"/>
      <c r="O23" s="236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1" t="s">
        <v>391</v>
      </c>
      <c r="C24" s="95" t="s">
        <v>352</v>
      </c>
      <c r="D24" s="95" t="s">
        <v>353</v>
      </c>
      <c r="E24" s="95" t="s">
        <v>354</v>
      </c>
      <c r="F24" s="223"/>
      <c r="G24" s="223"/>
      <c r="H24" s="223"/>
      <c r="I24" s="223"/>
      <c r="J24" s="223"/>
      <c r="K24" s="223"/>
      <c r="L24" s="223"/>
      <c r="M24" s="223"/>
      <c r="N24" s="223"/>
      <c r="O24" s="77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25" t="s">
        <v>392</v>
      </c>
      <c r="C25" s="238" t="s">
        <v>393</v>
      </c>
      <c r="D25" s="238" t="s">
        <v>394</v>
      </c>
      <c r="E25" s="239"/>
      <c r="F25" s="240"/>
      <c r="G25" s="143"/>
      <c r="H25" s="143"/>
      <c r="I25" s="241"/>
      <c r="J25" s="241"/>
      <c r="K25" s="241"/>
      <c r="L25" s="241"/>
      <c r="M25" s="241"/>
      <c r="N25" s="241"/>
      <c r="O25" s="236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28" t="s">
        <v>33</v>
      </c>
      <c r="C26" s="242" t="s">
        <v>395</v>
      </c>
      <c r="D26" s="242"/>
      <c r="E26" s="243"/>
      <c r="F26" s="240"/>
      <c r="G26" s="143"/>
      <c r="H26" s="143"/>
      <c r="I26" s="241"/>
      <c r="J26" s="241"/>
      <c r="K26" s="241"/>
      <c r="L26" s="241"/>
      <c r="M26" s="241"/>
      <c r="N26" s="241"/>
      <c r="O26" s="236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25" t="s">
        <v>31</v>
      </c>
      <c r="C27" s="238" t="s">
        <v>396</v>
      </c>
      <c r="D27" s="244"/>
      <c r="E27" s="239"/>
      <c r="F27" s="240"/>
      <c r="G27" s="143"/>
      <c r="H27" s="143"/>
      <c r="I27" s="241"/>
      <c r="J27" s="241"/>
      <c r="K27" s="241"/>
      <c r="L27" s="241"/>
      <c r="M27" s="241"/>
      <c r="N27" s="241"/>
      <c r="O27" s="224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25"/>
      <c r="C28" s="238"/>
      <c r="D28" s="244"/>
      <c r="E28" s="239"/>
      <c r="F28" s="236"/>
      <c r="G28" s="236"/>
      <c r="H28" s="236"/>
      <c r="I28" s="241"/>
      <c r="J28" s="241"/>
      <c r="K28" s="241"/>
      <c r="L28" s="241"/>
      <c r="M28" s="241"/>
      <c r="N28" s="241"/>
      <c r="O28" s="224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1" t="s">
        <v>389</v>
      </c>
      <c r="C29" s="95" t="s">
        <v>352</v>
      </c>
      <c r="D29" s="95" t="s">
        <v>353</v>
      </c>
      <c r="E29" s="95" t="s">
        <v>354</v>
      </c>
      <c r="F29" s="240"/>
      <c r="G29" s="143"/>
      <c r="H29" s="143"/>
      <c r="I29" s="241"/>
      <c r="J29" s="241"/>
      <c r="K29" s="241"/>
      <c r="L29" s="241"/>
      <c r="M29" s="241"/>
      <c r="N29" s="241"/>
      <c r="O29" s="224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25" t="s">
        <v>397</v>
      </c>
      <c r="C30" s="226" t="s">
        <v>398</v>
      </c>
      <c r="D30" s="239" t="s">
        <v>399</v>
      </c>
      <c r="E30" s="239" t="s">
        <v>400</v>
      </c>
      <c r="F30" s="223"/>
      <c r="G30" s="223"/>
      <c r="H30" s="223"/>
      <c r="I30" s="223"/>
      <c r="J30" s="223"/>
      <c r="K30" s="223"/>
      <c r="L30" s="223"/>
      <c r="M30" s="223"/>
      <c r="N30" s="223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28" t="s">
        <v>401</v>
      </c>
      <c r="C31" s="229" t="s">
        <v>402</v>
      </c>
      <c r="D31" s="242" t="s">
        <v>403</v>
      </c>
      <c r="E31" s="243" t="s">
        <v>404</v>
      </c>
      <c r="F31" s="223"/>
      <c r="G31" s="223"/>
      <c r="H31" s="223"/>
      <c r="I31" s="223"/>
      <c r="J31" s="223"/>
      <c r="K31" s="223"/>
      <c r="L31" s="223"/>
      <c r="M31" s="223"/>
      <c r="N31" s="223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25" t="s">
        <v>405</v>
      </c>
      <c r="C32" s="226" t="s">
        <v>406</v>
      </c>
      <c r="D32" s="226" t="s">
        <v>407</v>
      </c>
      <c r="E32" s="239"/>
      <c r="F32" s="223"/>
      <c r="G32" s="223"/>
      <c r="H32" s="223"/>
      <c r="I32" s="223"/>
      <c r="J32" s="223"/>
      <c r="K32" s="223"/>
      <c r="L32" s="223"/>
      <c r="M32" s="223"/>
      <c r="N32" s="223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28" t="s">
        <v>389</v>
      </c>
      <c r="C33" s="229" t="s">
        <v>408</v>
      </c>
      <c r="D33" s="243"/>
      <c r="E33" s="243"/>
      <c r="F33" s="223"/>
      <c r="G33" s="223"/>
      <c r="H33" s="223"/>
      <c r="I33" s="223"/>
      <c r="J33" s="223"/>
      <c r="K33" s="223"/>
      <c r="L33" s="223"/>
      <c r="M33" s="223"/>
      <c r="N33" s="223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45"/>
      <c r="C34" s="113"/>
      <c r="D34" s="113"/>
      <c r="E34" s="11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45"/>
      <c r="C35" s="113"/>
      <c r="D35" s="113"/>
      <c r="E35" s="113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46"/>
      <c r="C36" s="113"/>
      <c r="D36" s="113"/>
      <c r="E36" s="1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46"/>
      <c r="C37" s="113"/>
      <c r="D37" s="113"/>
      <c r="E37" s="11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46"/>
      <c r="C38" s="113"/>
      <c r="D38" s="113"/>
      <c r="E38" s="1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46"/>
      <c r="C39" s="113"/>
      <c r="D39" s="113"/>
      <c r="E39" s="113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46"/>
      <c r="C40" s="113"/>
      <c r="D40" s="113"/>
      <c r="E40" s="11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46"/>
      <c r="C41" s="113"/>
      <c r="D41" s="113"/>
      <c r="E41" s="113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46"/>
      <c r="C42" s="113"/>
      <c r="D42" s="113"/>
      <c r="E42" s="11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46"/>
      <c r="C43" s="113"/>
      <c r="D43" s="113"/>
      <c r="E43" s="11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46"/>
      <c r="C44" s="113"/>
      <c r="D44" s="113"/>
      <c r="E44" s="1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46"/>
      <c r="C45" s="113"/>
      <c r="D45" s="113"/>
      <c r="E45" s="113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46"/>
      <c r="C46" s="113"/>
      <c r="D46" s="113"/>
      <c r="E46" s="11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46"/>
      <c r="C47" s="113"/>
      <c r="D47" s="113"/>
      <c r="E47" s="11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46"/>
      <c r="C48" s="113"/>
      <c r="D48" s="113"/>
      <c r="E48" s="113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46"/>
      <c r="C49" s="113"/>
      <c r="D49" s="113"/>
      <c r="E49" s="113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46"/>
      <c r="C50" s="113"/>
      <c r="D50" s="113"/>
      <c r="E50" s="11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46"/>
      <c r="C51" s="113"/>
      <c r="D51" s="113"/>
      <c r="E51" s="11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46"/>
      <c r="C52" s="113"/>
      <c r="D52" s="113"/>
      <c r="E52" s="11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46"/>
      <c r="C53" s="113"/>
      <c r="D53" s="113"/>
      <c r="E53" s="113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46"/>
      <c r="C54" s="113"/>
      <c r="D54" s="113"/>
      <c r="E54" s="113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47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47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47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47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47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47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47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47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47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47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5"/>
      <c r="D65" s="75"/>
      <c r="E65" s="7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5"/>
      <c r="D66" s="75"/>
      <c r="E66" s="75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5"/>
      <c r="D67" s="75"/>
      <c r="E67" s="75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5"/>
      <c r="D68" s="75"/>
      <c r="E68" s="75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5"/>
      <c r="D69" s="75"/>
      <c r="E69" s="75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5"/>
      <c r="D70" s="75"/>
      <c r="E70" s="75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5"/>
      <c r="D71" s="75"/>
      <c r="E71" s="75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5"/>
      <c r="D72" s="75"/>
      <c r="E72" s="75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5"/>
      <c r="D73" s="75"/>
      <c r="E73" s="75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5"/>
      <c r="D74" s="75"/>
      <c r="E74" s="75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5"/>
      <c r="D75" s="75"/>
      <c r="E75" s="75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5"/>
      <c r="D76" s="75"/>
      <c r="E76" s="75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5"/>
      <c r="D77" s="75"/>
      <c r="E77" s="75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5"/>
      <c r="D78" s="75"/>
      <c r="E78" s="75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5"/>
      <c r="D79" s="75"/>
      <c r="E79" s="75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5"/>
      <c r="D80" s="75"/>
      <c r="E80" s="75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5"/>
      <c r="D81" s="75"/>
      <c r="E81" s="75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5"/>
      <c r="D82" s="75"/>
      <c r="E82" s="75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5"/>
      <c r="D83" s="75"/>
      <c r="E83" s="75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5"/>
      <c r="D84" s="75"/>
      <c r="E84" s="75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5"/>
      <c r="D85" s="75"/>
      <c r="E85" s="75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5"/>
      <c r="D86" s="75"/>
      <c r="E86" s="75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5"/>
      <c r="D87" s="75"/>
      <c r="E87" s="75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5"/>
      <c r="D88" s="75"/>
      <c r="E88" s="75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5"/>
      <c r="D89" s="75"/>
      <c r="E89" s="75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5"/>
      <c r="D90" s="75"/>
      <c r="E90" s="75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5"/>
      <c r="D91" s="75"/>
      <c r="E91" s="75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5"/>
      <c r="D92" s="75"/>
      <c r="E92" s="75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5"/>
      <c r="D93" s="75"/>
      <c r="E93" s="75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5"/>
      <c r="D94" s="75"/>
      <c r="E94" s="75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5"/>
      <c r="D95" s="75"/>
      <c r="E95" s="75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5"/>
      <c r="D96" s="75"/>
      <c r="E96" s="75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5"/>
      <c r="D97" s="75"/>
      <c r="E97" s="75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5"/>
      <c r="D98" s="75"/>
      <c r="E98" s="75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5"/>
      <c r="D99" s="75"/>
      <c r="E99" s="75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5"/>
      <c r="D100" s="75"/>
      <c r="E100" s="75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5"/>
      <c r="D101" s="75"/>
      <c r="E101" s="75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5"/>
      <c r="D102" s="75"/>
      <c r="E102" s="75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5"/>
      <c r="D103" s="75"/>
      <c r="E103" s="75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5"/>
      <c r="D104" s="75"/>
      <c r="E104" s="75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5"/>
      <c r="D105" s="75"/>
      <c r="E105" s="75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5"/>
      <c r="D106" s="75"/>
      <c r="E106" s="75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5"/>
      <c r="D107" s="75"/>
      <c r="E107" s="75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5"/>
      <c r="D108" s="75"/>
      <c r="E108" s="75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5"/>
      <c r="D109" s="75"/>
      <c r="E109" s="75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5"/>
      <c r="D110" s="75"/>
      <c r="E110" s="75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5"/>
      <c r="D111" s="75"/>
      <c r="E111" s="75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5"/>
      <c r="D112" s="75"/>
      <c r="E112" s="75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5"/>
      <c r="D113" s="75"/>
      <c r="E113" s="75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5"/>
      <c r="D114" s="75"/>
      <c r="E114" s="75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5"/>
      <c r="D115" s="75"/>
      <c r="E115" s="75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5"/>
      <c r="D116" s="75"/>
      <c r="E116" s="75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5"/>
      <c r="D117" s="75"/>
      <c r="E117" s="75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5"/>
      <c r="D118" s="75"/>
      <c r="E118" s="75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5"/>
      <c r="D119" s="75"/>
      <c r="E119" s="75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5"/>
      <c r="D120" s="75"/>
      <c r="E120" s="75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5"/>
      <c r="D121" s="75"/>
      <c r="E121" s="75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5"/>
      <c r="D122" s="75"/>
      <c r="E122" s="75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5"/>
      <c r="D123" s="75"/>
      <c r="E123" s="75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5"/>
      <c r="D124" s="75"/>
      <c r="E124" s="75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5"/>
      <c r="D125" s="75"/>
      <c r="E125" s="75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5"/>
      <c r="D126" s="75"/>
      <c r="E126" s="75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5"/>
      <c r="D127" s="75"/>
      <c r="E127" s="75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5"/>
      <c r="D128" s="75"/>
      <c r="E128" s="75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5"/>
      <c r="D129" s="75"/>
      <c r="E129" s="75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5"/>
      <c r="D130" s="75"/>
      <c r="E130" s="75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5"/>
      <c r="D131" s="75"/>
      <c r="E131" s="75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5"/>
      <c r="D132" s="75"/>
      <c r="E132" s="75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5"/>
      <c r="D133" s="75"/>
      <c r="E133" s="75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5"/>
      <c r="D134" s="75"/>
      <c r="E134" s="75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5"/>
      <c r="D135" s="75"/>
      <c r="E135" s="75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5"/>
      <c r="D136" s="75"/>
      <c r="E136" s="75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5"/>
      <c r="D137" s="75"/>
      <c r="E137" s="75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5"/>
      <c r="D138" s="75"/>
      <c r="E138" s="75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5"/>
      <c r="D139" s="75"/>
      <c r="E139" s="75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5"/>
      <c r="D140" s="75"/>
      <c r="E140" s="75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5"/>
      <c r="D141" s="75"/>
      <c r="E141" s="75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5"/>
      <c r="D142" s="75"/>
      <c r="E142" s="75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5"/>
      <c r="D143" s="75"/>
      <c r="E143" s="75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5"/>
      <c r="D144" s="75"/>
      <c r="E144" s="75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5"/>
      <c r="D145" s="75"/>
      <c r="E145" s="75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5"/>
      <c r="D146" s="75"/>
      <c r="E146" s="75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5"/>
      <c r="D147" s="75"/>
      <c r="E147" s="75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5"/>
      <c r="D148" s="75"/>
      <c r="E148" s="75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5"/>
      <c r="D149" s="75"/>
      <c r="E149" s="75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5"/>
      <c r="D150" s="75"/>
      <c r="E150" s="75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5"/>
      <c r="D151" s="75"/>
      <c r="E151" s="75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5"/>
      <c r="D152" s="75"/>
      <c r="E152" s="75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5"/>
      <c r="D153" s="75"/>
      <c r="E153" s="75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5"/>
      <c r="D154" s="75"/>
      <c r="E154" s="75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5"/>
      <c r="D155" s="75"/>
      <c r="E155" s="75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5"/>
      <c r="D156" s="75"/>
      <c r="E156" s="75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5"/>
      <c r="D157" s="75"/>
      <c r="E157" s="75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5"/>
      <c r="D158" s="75"/>
      <c r="E158" s="75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5"/>
      <c r="D159" s="75"/>
      <c r="E159" s="75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5"/>
      <c r="D160" s="75"/>
      <c r="E160" s="75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5"/>
      <c r="D161" s="75"/>
      <c r="E161" s="75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5"/>
      <c r="D162" s="75"/>
      <c r="E162" s="75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5"/>
      <c r="D163" s="75"/>
      <c r="E163" s="75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5"/>
      <c r="D164" s="75"/>
      <c r="E164" s="75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5"/>
      <c r="D165" s="75"/>
      <c r="E165" s="75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5"/>
      <c r="D166" s="75"/>
      <c r="E166" s="75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5"/>
      <c r="D167" s="75"/>
      <c r="E167" s="75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5"/>
      <c r="D168" s="75"/>
      <c r="E168" s="75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5"/>
      <c r="D169" s="75"/>
      <c r="E169" s="75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5"/>
      <c r="D170" s="75"/>
      <c r="E170" s="75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5"/>
      <c r="D171" s="75"/>
      <c r="E171" s="75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5"/>
      <c r="D172" s="75"/>
      <c r="E172" s="75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5"/>
      <c r="D173" s="75"/>
      <c r="E173" s="75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5"/>
      <c r="D174" s="75"/>
      <c r="E174" s="75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5"/>
      <c r="D175" s="75"/>
      <c r="E175" s="75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5"/>
      <c r="D176" s="75"/>
      <c r="E176" s="75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5"/>
      <c r="D177" s="75"/>
      <c r="E177" s="75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5"/>
      <c r="D178" s="75"/>
      <c r="E178" s="75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5"/>
      <c r="D179" s="75"/>
      <c r="E179" s="75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5"/>
      <c r="D180" s="75"/>
      <c r="E180" s="75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5"/>
      <c r="D181" s="75"/>
      <c r="E181" s="75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5"/>
      <c r="D182" s="75"/>
      <c r="E182" s="75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5"/>
      <c r="D183" s="75"/>
      <c r="E183" s="75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5"/>
      <c r="D184" s="75"/>
      <c r="E184" s="75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5"/>
      <c r="D185" s="75"/>
      <c r="E185" s="75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5"/>
      <c r="D186" s="75"/>
      <c r="E186" s="75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5"/>
      <c r="D187" s="75"/>
      <c r="E187" s="75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5"/>
      <c r="D188" s="75"/>
      <c r="E188" s="75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5"/>
      <c r="D189" s="75"/>
      <c r="E189" s="75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5"/>
      <c r="D190" s="75"/>
      <c r="E190" s="75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5"/>
      <c r="D191" s="75"/>
      <c r="E191" s="75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5"/>
      <c r="D192" s="75"/>
      <c r="E192" s="75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5"/>
      <c r="D193" s="75"/>
      <c r="E193" s="75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5"/>
      <c r="D194" s="75"/>
      <c r="E194" s="75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5"/>
      <c r="D195" s="75"/>
      <c r="E195" s="75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5"/>
      <c r="D196" s="75"/>
      <c r="E196" s="75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5"/>
      <c r="D197" s="75"/>
      <c r="E197" s="75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5"/>
      <c r="D198" s="75"/>
      <c r="E198" s="75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5"/>
      <c r="D199" s="75"/>
      <c r="E199" s="75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5"/>
      <c r="D200" s="75"/>
      <c r="E200" s="75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5"/>
      <c r="D201" s="75"/>
      <c r="E201" s="75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5"/>
      <c r="D202" s="75"/>
      <c r="E202" s="75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5"/>
      <c r="D203" s="75"/>
      <c r="E203" s="75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5"/>
      <c r="D204" s="75"/>
      <c r="E204" s="75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5"/>
      <c r="D205" s="75"/>
      <c r="E205" s="75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5"/>
      <c r="D206" s="75"/>
      <c r="E206" s="75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5"/>
      <c r="D207" s="75"/>
      <c r="E207" s="75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5"/>
      <c r="D208" s="75"/>
      <c r="E208" s="75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5"/>
      <c r="D209" s="75"/>
      <c r="E209" s="75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5"/>
      <c r="D210" s="75"/>
      <c r="E210" s="75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5"/>
      <c r="D211" s="75"/>
      <c r="E211" s="75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5"/>
      <c r="D212" s="75"/>
      <c r="E212" s="75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5"/>
      <c r="D213" s="75"/>
      <c r="E213" s="75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5"/>
      <c r="D214" s="75"/>
      <c r="E214" s="75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5"/>
      <c r="D215" s="75"/>
      <c r="E215" s="75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5"/>
      <c r="D216" s="75"/>
      <c r="E216" s="75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5"/>
      <c r="D217" s="75"/>
      <c r="E217" s="75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5"/>
      <c r="D218" s="75"/>
      <c r="E218" s="75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5"/>
      <c r="D219" s="75"/>
      <c r="E219" s="75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5"/>
      <c r="D220" s="75"/>
      <c r="E220" s="75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5"/>
      <c r="D221" s="75"/>
      <c r="E221" s="75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5"/>
      <c r="D222" s="75"/>
      <c r="E222" s="75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5"/>
      <c r="D223" s="75"/>
      <c r="E223" s="75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5"/>
      <c r="D224" s="75"/>
      <c r="E224" s="75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5"/>
      <c r="D225" s="75"/>
      <c r="E225" s="75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5"/>
      <c r="D226" s="75"/>
      <c r="E226" s="75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5"/>
      <c r="D227" s="75"/>
      <c r="E227" s="75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5"/>
      <c r="D228" s="75"/>
      <c r="E228" s="75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5"/>
      <c r="D229" s="75"/>
      <c r="E229" s="75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5"/>
      <c r="D230" s="75"/>
      <c r="E230" s="75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5"/>
      <c r="D231" s="75"/>
      <c r="E231" s="75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5"/>
      <c r="D232" s="75"/>
      <c r="E232" s="75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5"/>
      <c r="D233" s="75"/>
      <c r="E233" s="75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</row>
    <row r="2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</row>
    <row r="3">
      <c r="A3" s="249" t="s">
        <v>36</v>
      </c>
      <c r="B3" s="250" t="str">
        <f>'1.IS'!L2</f>
        <v>2025e</v>
      </c>
      <c r="C3" s="250" t="str">
        <f>'1.IS'!M2</f>
        <v>2026e</v>
      </c>
      <c r="D3" s="250" t="str">
        <f>'1.IS'!N2</f>
        <v>2027e</v>
      </c>
      <c r="E3" s="250" t="str">
        <f>'1.IS'!O2</f>
        <v>2028e</v>
      </c>
      <c r="F3" s="250" t="str">
        <f>'1.IS'!P2</f>
        <v>2029e</v>
      </c>
      <c r="G3" s="251"/>
      <c r="H3" s="251"/>
      <c r="I3" s="251"/>
      <c r="J3" s="251"/>
      <c r="K3" s="251"/>
      <c r="L3" s="248"/>
    </row>
    <row r="4">
      <c r="A4" s="94" t="s">
        <v>409</v>
      </c>
      <c r="B4" s="252">
        <f>'4.Valoración'!$D$7</f>
        <v>101</v>
      </c>
      <c r="C4" s="252">
        <f>'4.Valoración'!$D$7</f>
        <v>101</v>
      </c>
      <c r="D4" s="252">
        <f>'4.Valoración'!$D$7</f>
        <v>101</v>
      </c>
      <c r="E4" s="252">
        <f>'4.Valoración'!$D$7</f>
        <v>101</v>
      </c>
      <c r="F4" s="252">
        <f>'4.Valoración'!$D$7</f>
        <v>101</v>
      </c>
      <c r="G4" s="248"/>
      <c r="H4" s="248"/>
      <c r="I4" s="248"/>
      <c r="J4" s="248"/>
      <c r="K4" s="248"/>
      <c r="L4" s="248"/>
    </row>
    <row r="5"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</row>
    <row r="6">
      <c r="B6" s="253"/>
      <c r="C6" s="248"/>
      <c r="D6" s="248"/>
      <c r="E6" s="248"/>
      <c r="F6" s="248"/>
      <c r="G6" s="248"/>
      <c r="H6" s="248"/>
      <c r="I6" s="248"/>
      <c r="J6" s="248"/>
      <c r="K6" s="248"/>
      <c r="L6" s="248"/>
    </row>
    <row r="7">
      <c r="A7" s="249" t="s">
        <v>410</v>
      </c>
      <c r="B7" s="250">
        <f>'1.IS'!B2</f>
        <v>2015</v>
      </c>
      <c r="C7" s="250">
        <f>'1.IS'!C2</f>
        <v>2016</v>
      </c>
      <c r="D7" s="250">
        <f>'1.IS'!D2</f>
        <v>2017</v>
      </c>
      <c r="E7" s="250">
        <f>'1.IS'!E2</f>
        <v>2018</v>
      </c>
      <c r="F7" s="250">
        <f>'1.IS'!F2</f>
        <v>2019</v>
      </c>
      <c r="G7" s="250">
        <f>'1.IS'!G2</f>
        <v>2020</v>
      </c>
      <c r="H7" s="250">
        <f>'1.IS'!H2</f>
        <v>2021</v>
      </c>
      <c r="I7" s="250">
        <f>'1.IS'!I2</f>
        <v>2022</v>
      </c>
      <c r="J7" s="250">
        <f>'1.IS'!J2</f>
        <v>2023</v>
      </c>
      <c r="K7" s="250">
        <f>'1.IS'!K2</f>
        <v>2024</v>
      </c>
      <c r="L7" s="254" t="s">
        <v>411</v>
      </c>
    </row>
    <row r="8">
      <c r="A8" s="1" t="s">
        <v>412</v>
      </c>
      <c r="B8" s="248">
        <f>IFERROR(ABS(VLOOKUP("Common &amp; Preferred Stock Dividends Paid*",'9.TIKR_CF'!$A:$K,COLUMN(B8),FALSE)),"0")</f>
        <v>0</v>
      </c>
      <c r="C8" s="248">
        <f>IFERROR(ABS(VLOOKUP("Common &amp; Preferred Stock Dividends Paid*",'9.TIKR_CF'!$A:$K,COLUMN(C8),FALSE)),"0")</f>
        <v>0</v>
      </c>
      <c r="D8" s="248">
        <f>IFERROR(ABS(VLOOKUP("Common &amp; Preferred Stock Dividends Paid*",'9.TIKR_CF'!$A:$K,COLUMN(D8),FALSE)),"0")</f>
        <v>0</v>
      </c>
      <c r="E8" s="248">
        <f>IFERROR(ABS(VLOOKUP("Common &amp; Preferred Stock Dividends Paid*",'9.TIKR_CF'!$A:$K,COLUMN(E8),FALSE)),"0")</f>
        <v>0</v>
      </c>
      <c r="F8" s="248">
        <f>IFERROR(ABS(VLOOKUP("Common &amp; Preferred Stock Dividends Paid*",'9.TIKR_CF'!$A:$K,COLUMN(F8),FALSE)),"0")</f>
        <v>0</v>
      </c>
      <c r="G8" s="248">
        <f>IFERROR(ABS(VLOOKUP("Common &amp; Preferred Stock Dividends Paid*",'9.TIKR_CF'!$A:$K,COLUMN(G8),FALSE)),"0")</f>
        <v>0</v>
      </c>
      <c r="H8" s="248">
        <f>IFERROR(ABS(VLOOKUP("Common &amp; Preferred Stock Dividends Paid*",'9.TIKR_CF'!$A:$K,COLUMN(H8),FALSE)),"0")</f>
        <v>0</v>
      </c>
      <c r="I8" s="248">
        <f>IFERROR(ABS(VLOOKUP("Common &amp; Preferred Stock Dividends Paid*",'9.TIKR_CF'!$A:$K,COLUMN(I8),FALSE)),"0")</f>
        <v>0</v>
      </c>
      <c r="J8" s="248">
        <f>IFERROR(ABS(VLOOKUP("Common &amp; Preferred Stock Dividends Paid*",'9.TIKR_CF'!$A:$K,COLUMN(J8),FALSE)),"0")</f>
        <v>0</v>
      </c>
      <c r="K8" s="248">
        <f>IFERROR(ABS(VLOOKUP("Common &amp; Preferred Stock Dividends Paid*",'9.TIKR_CF'!$A:$K,COLUMN(K8),FALSE)),"0")</f>
        <v>139.99</v>
      </c>
      <c r="L8" s="255">
        <f t="shared" ref="L8:L11" si="1">SUM(B8:K8)</f>
        <v>139.99</v>
      </c>
    </row>
    <row r="9">
      <c r="A9" s="1" t="s">
        <v>413</v>
      </c>
      <c r="B9" s="248">
        <f>IFERROR(ABS(VLOOKUP("Repurchase of Common Stock*",'9.TIKR_CF'!$A:$K,COLUMN(B9),FALSE)),"0")</f>
        <v>793.95</v>
      </c>
      <c r="C9" s="248">
        <f>IFERROR(ABS(VLOOKUP("Repurchase of Common Stock*",'9.TIKR_CF'!$A:$K,COLUMN(C9),FALSE)),"0")</f>
        <v>1021.12</v>
      </c>
      <c r="D9" s="248">
        <f>IFERROR(ABS(VLOOKUP("Repurchase of Common Stock*",'9.TIKR_CF'!$A:$K,COLUMN(D9),FALSE)),"0")</f>
        <v>1138.78</v>
      </c>
      <c r="E9" s="248">
        <f>IFERROR(ABS(VLOOKUP("Repurchase of Common Stock*",'9.TIKR_CF'!$A:$K,COLUMN(E9),FALSE)),"0")</f>
        <v>834.4</v>
      </c>
      <c r="F9" s="248">
        <f>IFERROR(ABS(VLOOKUP("Repurchase of Common Stock*",'9.TIKR_CF'!$A:$K,COLUMN(F9),FALSE)),"0")</f>
        <v>639.94</v>
      </c>
      <c r="G9" s="248">
        <f>IFERROR(ABS(VLOOKUP("Repurchase of Common Stock*",'9.TIKR_CF'!$A:$K,COLUMN(G9),FALSE)),"0")</f>
        <v>127.78</v>
      </c>
      <c r="H9" s="248">
        <f>IFERROR(ABS(VLOOKUP("Repurchase of Common Stock*",'9.TIKR_CF'!$A:$K,COLUMN(H9),FALSE)),"0")</f>
        <v>76.22</v>
      </c>
      <c r="I9" s="248">
        <f>IFERROR(ABS(VLOOKUP("Repurchase of Common Stock*",'9.TIKR_CF'!$A:$K,COLUMN(I9),FALSE)),"0")</f>
        <v>17.42</v>
      </c>
      <c r="J9" s="248">
        <f>IFERROR(ABS(VLOOKUP("Repurchase of Common Stock*",'9.TIKR_CF'!$A:$K,COLUMN(J9),FALSE)),"0")</f>
        <v>2637.59</v>
      </c>
      <c r="K9" s="248">
        <f>IFERROR(ABS(VLOOKUP("Repurchase of Common Stock*",'9.TIKR_CF'!$A:$K,COLUMN(K9),FALSE)),"0")</f>
        <v>1520.32</v>
      </c>
      <c r="L9" s="255">
        <f t="shared" si="1"/>
        <v>8807.52</v>
      </c>
    </row>
    <row r="10">
      <c r="A10" s="1" t="s">
        <v>414</v>
      </c>
      <c r="B10" s="256">
        <f>ABS(IFERROR(VLOOKUP("Cash Acquisitions*",'9.TIKR_CF'!$A:$K,COLUMN(B10),FALSE),"0"))</f>
        <v>0</v>
      </c>
      <c r="C10" s="256">
        <f>ABS(IFERROR(VLOOKUP("Cash Acquisitions*",'9.TIKR_CF'!$A:$K,COLUMN(C10),FALSE),"0"))</f>
        <v>0</v>
      </c>
      <c r="D10" s="256">
        <f>ABS(IFERROR(VLOOKUP("Cash Acquisitions*",'9.TIKR_CF'!$A:$K,COLUMN(D10),FALSE),"0"))</f>
        <v>0</v>
      </c>
      <c r="E10" s="256">
        <f>ABS(IFERROR(VLOOKUP("Cash Acquisitions*",'9.TIKR_CF'!$A:$K,COLUMN(E10),FALSE),"0"))</f>
        <v>0</v>
      </c>
      <c r="F10" s="256">
        <f>ABS(IFERROR(VLOOKUP("Cash Acquisitions*",'9.TIKR_CF'!$A:$K,COLUMN(F10),FALSE),"0"))</f>
        <v>0</v>
      </c>
      <c r="G10" s="256">
        <f>ABS(IFERROR(VLOOKUP("Cash Acquisitions*",'9.TIKR_CF'!$A:$K,COLUMN(G10),FALSE),"0"))</f>
        <v>0</v>
      </c>
      <c r="H10" s="256">
        <f>ABS(IFERROR(VLOOKUP("Cash Acquisitions*",'9.TIKR_CF'!$A:$K,COLUMN(H10),FALSE),"0"))</f>
        <v>22493.2</v>
      </c>
      <c r="I10" s="256">
        <f>ABS(IFERROR(VLOOKUP("Cash Acquisitions*",'9.TIKR_CF'!$A:$K,COLUMN(I10),FALSE),"0"))</f>
        <v>0</v>
      </c>
      <c r="J10" s="256">
        <f>ABS(IFERROR(VLOOKUP("Cash Acquisitions*",'9.TIKR_CF'!$A:$K,COLUMN(J10),FALSE),"0"))</f>
        <v>0</v>
      </c>
      <c r="K10" s="256">
        <f>ABS(IFERROR(VLOOKUP("Cash Acquisitions*",'9.TIKR_CF'!$A:$K,COLUMN(K10),FALSE),"0"))</f>
        <v>0</v>
      </c>
      <c r="L10" s="255">
        <f t="shared" si="1"/>
        <v>22493.2</v>
      </c>
    </row>
    <row r="11">
      <c r="A11" s="1" t="s">
        <v>415</v>
      </c>
      <c r="B11" s="248">
        <f>IFERROR(ABS(VLOOKUP("Total Debt Repaid*",'9.TIKR_CF'!$A:$K,COLUMN(B11),FALSE))-VLOOKUP("Total Debt Issued*",'9.TIKR_CF'!$A:$K,COLUMN(B11),FALSE),0)</f>
        <v>129.9</v>
      </c>
      <c r="C11" s="248">
        <f>IFERROR(ABS(VLOOKUP("Total Debt Repaid*",'9.TIKR_CF'!$A:$K,COLUMN(C11),FALSE))-VLOOKUP("Total Debt Issued*",'9.TIKR_CF'!$A:$K,COLUMN(C11),FALSE),0)</f>
        <v>1571.55</v>
      </c>
      <c r="D11" s="248">
        <f>IFERROR(ABS(VLOOKUP("Total Debt Repaid*",'9.TIKR_CF'!$A:$K,COLUMN(D11),FALSE))-VLOOKUP("Total Debt Issued*",'9.TIKR_CF'!$A:$K,COLUMN(D11),FALSE),0)</f>
        <v>-900.95</v>
      </c>
      <c r="E11" s="248">
        <f>IFERROR(ABS(VLOOKUP("Total Debt Repaid*",'9.TIKR_CF'!$A:$K,COLUMN(E11),FALSE))-VLOOKUP("Total Debt Issued*",'9.TIKR_CF'!$A:$K,COLUMN(E11),FALSE),0)</f>
        <v>-1229.31</v>
      </c>
      <c r="F11" s="248">
        <f>IFERROR(ABS(VLOOKUP("Total Debt Repaid*",'9.TIKR_CF'!$A:$K,COLUMN(F11),FALSE))-VLOOKUP("Total Debt Issued*",'9.TIKR_CF'!$A:$K,COLUMN(F11),FALSE),0)</f>
        <v>-34.48</v>
      </c>
      <c r="G11" s="248">
        <f>IFERROR(ABS(VLOOKUP("Total Debt Repaid*",'9.TIKR_CF'!$A:$K,COLUMN(G11),FALSE))-VLOOKUP("Total Debt Issued*",'9.TIKR_CF'!$A:$K,COLUMN(G11),FALSE),0)</f>
        <v>613.69</v>
      </c>
      <c r="H11" s="248">
        <f>IFERROR(ABS(VLOOKUP("Total Debt Repaid*",'9.TIKR_CF'!$A:$K,COLUMN(H11),FALSE))-VLOOKUP("Total Debt Issued*",'9.TIKR_CF'!$A:$K,COLUMN(H11),FALSE),0)</f>
        <v>-20523.15</v>
      </c>
      <c r="I11" s="248">
        <f>IFERROR(ABS(VLOOKUP("Total Debt Repaid*",'9.TIKR_CF'!$A:$K,COLUMN(I11),FALSE))-VLOOKUP("Total Debt Issued*",'9.TIKR_CF'!$A:$K,COLUMN(I11),FALSE),0)</f>
        <v>3762.08</v>
      </c>
      <c r="J11" s="248">
        <f>IFERROR(ABS(VLOOKUP("Total Debt Repaid*",'9.TIKR_CF'!$A:$K,COLUMN(J11),FALSE))-VLOOKUP("Total Debt Issued*",'9.TIKR_CF'!$A:$K,COLUMN(J11),FALSE),0)</f>
        <v>17.38</v>
      </c>
      <c r="K11" s="248">
        <f>IFERROR(ABS(VLOOKUP("Total Debt Repaid*",'9.TIKR_CF'!$A:$K,COLUMN(K11),FALSE))-VLOOKUP("Total Debt Issued*",'9.TIKR_CF'!$A:$K,COLUMN(K11),FALSE),0)</f>
        <v>1158.57</v>
      </c>
      <c r="L11" s="255">
        <f t="shared" si="1"/>
        <v>-15434.72</v>
      </c>
    </row>
    <row r="12"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</row>
    <row r="13">
      <c r="A13" s="182" t="s">
        <v>416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</row>
    <row r="14">
      <c r="A14" s="249"/>
      <c r="B14" s="250">
        <f>'1.IS'!C$2</f>
        <v>2016</v>
      </c>
      <c r="C14" s="250">
        <f>'1.IS'!D$2</f>
        <v>2017</v>
      </c>
      <c r="D14" s="250">
        <f>'1.IS'!E$2</f>
        <v>2018</v>
      </c>
      <c r="E14" s="250">
        <f>'1.IS'!F$2</f>
        <v>2019</v>
      </c>
      <c r="F14" s="250">
        <f>'1.IS'!G$2</f>
        <v>2020</v>
      </c>
      <c r="G14" s="250">
        <f>'1.IS'!H$2</f>
        <v>2021</v>
      </c>
      <c r="H14" s="250">
        <f>'1.IS'!I$2</f>
        <v>2022</v>
      </c>
      <c r="I14" s="250">
        <f>'1.IS'!J$2</f>
        <v>2023</v>
      </c>
      <c r="J14" s="250">
        <f>'1.IS'!K$2</f>
        <v>2024</v>
      </c>
      <c r="K14" s="250"/>
      <c r="L14" s="257"/>
    </row>
    <row r="15">
      <c r="A15" s="9" t="s">
        <v>417</v>
      </c>
      <c r="B15" s="258">
        <f>'1.IS'!C4</f>
        <v>-0.0462282457</v>
      </c>
      <c r="C15" s="258">
        <f>'1.IS'!D4</f>
        <v>-0.001098545914</v>
      </c>
      <c r="D15" s="258">
        <f>'1.IS'!E4</f>
        <v>-0.04714848069</v>
      </c>
      <c r="E15" s="258">
        <f>'1.IS'!F4</f>
        <v>0.0286167859</v>
      </c>
      <c r="F15" s="258">
        <f>'1.IS'!G4</f>
        <v>-0.08986822864</v>
      </c>
      <c r="G15" s="258">
        <f>'1.IS'!H4</f>
        <v>0.02120779859</v>
      </c>
      <c r="H15" s="258">
        <f>'1.IS'!I4</f>
        <v>0.528362821</v>
      </c>
      <c r="I15" s="258">
        <f>'1.IS'!J4</f>
        <v>0.08082497451</v>
      </c>
      <c r="J15" s="258">
        <f>'1.IS'!K4</f>
        <v>0.05490724788</v>
      </c>
      <c r="K15" s="248"/>
      <c r="L15" s="258"/>
    </row>
    <row r="16">
      <c r="A16" s="9" t="s">
        <v>40</v>
      </c>
      <c r="B16" s="258"/>
      <c r="C16" s="258"/>
      <c r="D16" s="258"/>
      <c r="E16" s="258"/>
      <c r="F16" s="258"/>
      <c r="G16" s="258"/>
      <c r="H16" s="258"/>
      <c r="I16" s="258"/>
      <c r="J16" s="258"/>
      <c r="K16" s="248"/>
      <c r="L16" s="258"/>
    </row>
    <row r="17">
      <c r="A17" s="14"/>
      <c r="B17" s="259"/>
      <c r="C17" s="259"/>
      <c r="D17" s="259"/>
      <c r="E17" s="259"/>
      <c r="F17" s="259"/>
      <c r="G17" s="259"/>
      <c r="H17" s="259"/>
      <c r="I17" s="259"/>
      <c r="J17" s="248"/>
      <c r="K17" s="248"/>
      <c r="L17" s="248"/>
    </row>
    <row r="18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</row>
    <row r="19">
      <c r="A19" s="249" t="s">
        <v>418</v>
      </c>
      <c r="B19" s="257">
        <f>'1.IS'!B2</f>
        <v>2015</v>
      </c>
      <c r="C19" s="257">
        <f>'1.IS'!C2</f>
        <v>2016</v>
      </c>
      <c r="D19" s="257">
        <f>'1.IS'!D2</f>
        <v>2017</v>
      </c>
      <c r="E19" s="257">
        <f>'1.IS'!E2</f>
        <v>2018</v>
      </c>
      <c r="F19" s="257">
        <f>'1.IS'!F2</f>
        <v>2019</v>
      </c>
      <c r="G19" s="257">
        <f>'1.IS'!G2</f>
        <v>2020</v>
      </c>
      <c r="H19" s="257">
        <f>'1.IS'!H2</f>
        <v>2021</v>
      </c>
      <c r="I19" s="257">
        <f>'1.IS'!I2</f>
        <v>2022</v>
      </c>
      <c r="J19" s="257">
        <f>'1.IS'!J2</f>
        <v>2023</v>
      </c>
      <c r="K19" s="257">
        <f>'1.IS'!K2</f>
        <v>2024</v>
      </c>
      <c r="L19" s="254" t="s">
        <v>60</v>
      </c>
    </row>
    <row r="20">
      <c r="A20" s="9" t="s">
        <v>419</v>
      </c>
      <c r="B20" s="248"/>
      <c r="C20" s="248">
        <f>IF('1.IS'!C4&lt;0,1,0)</f>
        <v>1</v>
      </c>
      <c r="D20" s="248">
        <f>IF('1.IS'!D4&lt;0,1,0)</f>
        <v>1</v>
      </c>
      <c r="E20" s="248">
        <f>IF('1.IS'!E4&lt;0,1,0)</f>
        <v>1</v>
      </c>
      <c r="F20" s="248">
        <f>IF('1.IS'!F4&lt;0,1,0)</f>
        <v>0</v>
      </c>
      <c r="G20" s="248">
        <f>IF('1.IS'!G4&lt;0,1,0)</f>
        <v>1</v>
      </c>
      <c r="H20" s="248">
        <f>IF('1.IS'!H4&lt;0,1,0)</f>
        <v>0</v>
      </c>
      <c r="I20" s="248">
        <f>IF('1.IS'!I4&lt;0,1,0)</f>
        <v>0</v>
      </c>
      <c r="J20" s="248">
        <f>IF('1.IS'!J4&lt;0,1,0)</f>
        <v>0</v>
      </c>
      <c r="K20" s="248">
        <f>IF('1.IS'!K4&lt;0,1,0)</f>
        <v>0</v>
      </c>
      <c r="L20" s="260">
        <f t="shared" ref="L20:L23" si="2">SUM(B20:K20)</f>
        <v>4</v>
      </c>
    </row>
    <row r="21" ht="15.75" customHeight="1">
      <c r="A21" s="9" t="s">
        <v>420</v>
      </c>
      <c r="B21" s="248"/>
      <c r="C21" s="248">
        <f>IF('1.IS'!C6&lt;'1.IS'!B6,1,0)</f>
        <v>1</v>
      </c>
      <c r="D21" s="248">
        <f>IF('1.IS'!D6&lt;'1.IS'!C6,1,0)</f>
        <v>0</v>
      </c>
      <c r="E21" s="248">
        <f>IF('1.IS'!E6&lt;'1.IS'!D6,1,0)</f>
        <v>1</v>
      </c>
      <c r="F21" s="248">
        <f>IF('1.IS'!F6&lt;'1.IS'!E6,1,0)</f>
        <v>0</v>
      </c>
      <c r="G21" s="248">
        <f>IF('1.IS'!G6&lt;'1.IS'!F6,1,0)</f>
        <v>1</v>
      </c>
      <c r="H21" s="248">
        <f>IF('1.IS'!H6&lt;'1.IS'!G6,1,0)</f>
        <v>0</v>
      </c>
      <c r="I21" s="248">
        <f>IF('1.IS'!I6&lt;'1.IS'!H6,1,0)</f>
        <v>1</v>
      </c>
      <c r="J21" s="248">
        <f>IF('1.IS'!J6&lt;'1.IS'!I6,1,0)</f>
        <v>0</v>
      </c>
      <c r="K21" s="248">
        <f>IF('1.IS'!K6&lt;'1.IS'!J6,1,0)</f>
        <v>1</v>
      </c>
      <c r="L21" s="260">
        <f t="shared" si="2"/>
        <v>5</v>
      </c>
    </row>
    <row r="22" ht="15.75" customHeight="1">
      <c r="A22" s="9" t="s">
        <v>64</v>
      </c>
      <c r="B22" s="248">
        <f>IF('1.IS'!B9&lt;0,1,0)</f>
        <v>0</v>
      </c>
      <c r="C22" s="248">
        <f>IF('1.IS'!C9&lt;0,1,0)</f>
        <v>0</v>
      </c>
      <c r="D22" s="248">
        <f>IF('1.IS'!D9&lt;0,1,0)</f>
        <v>0</v>
      </c>
      <c r="E22" s="248">
        <f>IF('1.IS'!E9&lt;0,1,0)</f>
        <v>0</v>
      </c>
      <c r="F22" s="248">
        <f>IF('1.IS'!F9&lt;0,1,0)</f>
        <v>0</v>
      </c>
      <c r="G22" s="248">
        <f>IF('1.IS'!G9&lt;0,1,0)</f>
        <v>1</v>
      </c>
      <c r="H22" s="248">
        <f>IF('1.IS'!H9&lt;0,1,0)</f>
        <v>0</v>
      </c>
      <c r="I22" s="248">
        <f>IF('1.IS'!I9&lt;0,1,0)</f>
        <v>1</v>
      </c>
      <c r="J22" s="248">
        <f>IF('1.IS'!J9&lt;0,1,0)</f>
        <v>0</v>
      </c>
      <c r="K22" s="248">
        <f>IF('1.IS'!K9&lt;0,1,0)</f>
        <v>0</v>
      </c>
      <c r="L22" s="260">
        <f t="shared" si="2"/>
        <v>2</v>
      </c>
    </row>
    <row r="23" ht="15.75" customHeight="1">
      <c r="A23" s="9" t="s">
        <v>65</v>
      </c>
      <c r="B23" s="248">
        <f>IF('1.IS'!B18&lt;10%,1,0)</f>
        <v>0</v>
      </c>
      <c r="C23" s="248">
        <f>IF('1.IS'!C18&lt;10%,1,0)</f>
        <v>0</v>
      </c>
      <c r="D23" s="248">
        <f>IF('1.IS'!D18&lt;10%,1,0)</f>
        <v>0</v>
      </c>
      <c r="E23" s="248">
        <f>IF('1.IS'!E18&lt;10%,1,0)</f>
        <v>0</v>
      </c>
      <c r="F23" s="248">
        <f>IF('1.IS'!F18&lt;10%,1,0)</f>
        <v>0</v>
      </c>
      <c r="G23" s="248">
        <f>IF('1.IS'!G18&lt;10%,1,0)</f>
        <v>1</v>
      </c>
      <c r="H23" s="248">
        <f>IF('1.IS'!H18&lt;10%,1,0)</f>
        <v>1</v>
      </c>
      <c r="I23" s="248">
        <f>IF('1.IS'!I18&lt;10%,1,0)</f>
        <v>1</v>
      </c>
      <c r="J23" s="248">
        <f>IF('1.IS'!J18&lt;10%,1,0)</f>
        <v>0</v>
      </c>
      <c r="K23" s="248">
        <f>IF('1.IS'!K18&lt;10%,1,0)</f>
        <v>0</v>
      </c>
      <c r="L23" s="260">
        <f t="shared" si="2"/>
        <v>3</v>
      </c>
    </row>
    <row r="24" ht="15.75" customHeight="1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</row>
    <row r="25" ht="15.75" customHeight="1">
      <c r="A25" s="249" t="s">
        <v>36</v>
      </c>
      <c r="B25" s="257">
        <f>'1.IS'!B2</f>
        <v>2015</v>
      </c>
      <c r="C25" s="257">
        <f>'1.IS'!C2</f>
        <v>2016</v>
      </c>
      <c r="D25" s="257">
        <f>'1.IS'!D2</f>
        <v>2017</v>
      </c>
      <c r="E25" s="257">
        <f>'1.IS'!E2</f>
        <v>2018</v>
      </c>
      <c r="F25" s="257">
        <f>'1.IS'!F2</f>
        <v>2019</v>
      </c>
      <c r="G25" s="257">
        <f>'1.IS'!G2</f>
        <v>2020</v>
      </c>
      <c r="H25" s="257">
        <f>'1.IS'!H2</f>
        <v>2021</v>
      </c>
      <c r="I25" s="257">
        <f>'1.IS'!I2</f>
        <v>2022</v>
      </c>
      <c r="J25" s="257">
        <f>'1.IS'!J2</f>
        <v>2023</v>
      </c>
      <c r="K25" s="257">
        <f>'1.IS'!K2</f>
        <v>2024</v>
      </c>
      <c r="L25" s="257" t="str">
        <f>'1.IS'!L2</f>
        <v>2025e</v>
      </c>
      <c r="M25" s="257" t="str">
        <f>'1.IS'!M2</f>
        <v>2026e</v>
      </c>
      <c r="N25" s="257" t="str">
        <f>'1.IS'!N2</f>
        <v>2027e</v>
      </c>
      <c r="O25" s="257" t="str">
        <f>'1.IS'!O2</f>
        <v>2028e</v>
      </c>
      <c r="P25" s="257" t="str">
        <f>'1.IS'!P2</f>
        <v>2029e</v>
      </c>
    </row>
    <row r="26" ht="15.75" customHeight="1">
      <c r="A26" s="9" t="s">
        <v>421</v>
      </c>
      <c r="B26" s="261">
        <f>VLOOKUP("Total Equity*",'8.TIKR_BS'!$A:$K,COLUMN(B2),FALSE)</f>
        <v>8425.81</v>
      </c>
      <c r="C26" s="261">
        <f>VLOOKUP("Total Equity*",'8.TIKR_BS'!$A:$K,COLUMN(C2),FALSE)</f>
        <v>8582.26</v>
      </c>
      <c r="D26" s="261">
        <f>VLOOKUP("Total Equity*",'8.TIKR_BS'!$A:$K,COLUMN(D2),FALSE)</f>
        <v>8638.81</v>
      </c>
      <c r="E26" s="261">
        <f>VLOOKUP("Total Equity*",'8.TIKR_BS'!$A:$K,COLUMN(E2),FALSE)</f>
        <v>8880.61</v>
      </c>
      <c r="F26" s="261">
        <f>VLOOKUP("Total Equity*",'8.TIKR_BS'!$A:$K,COLUMN(F2),FALSE)</f>
        <v>9382.21</v>
      </c>
      <c r="G26" s="261">
        <f>VLOOKUP("Total Equity*",'8.TIKR_BS'!$A:$K,COLUMN(G2),FALSE)</f>
        <v>8932.49</v>
      </c>
      <c r="H26" s="261">
        <f>VLOOKUP("Total Equity*",'8.TIKR_BS'!$A:$K,COLUMN(H2),FALSE)</f>
        <v>16647.36</v>
      </c>
      <c r="I26" s="261">
        <f>VLOOKUP("Total Equity*",'8.TIKR_BS'!$A:$K,COLUMN(I2),FALSE)</f>
        <v>16195.05</v>
      </c>
      <c r="J26" s="261">
        <f>VLOOKUP("Total Equity*",'8.TIKR_BS'!$A:$K,COLUMN(J2),FALSE)</f>
        <v>16589.05</v>
      </c>
      <c r="K26" s="261">
        <f>VLOOKUP("Total Equity*",'8.TIKR_BS'!$A:$K,COLUMN(K2),FALSE)</f>
        <v>17184.83</v>
      </c>
      <c r="L26" s="261">
        <f>K26+'1.IS'!L9</f>
        <v>19264.75606</v>
      </c>
      <c r="M26" s="261">
        <f>L26+'1.IS'!M9</f>
        <v>21386.28065</v>
      </c>
      <c r="N26" s="261">
        <f>M26+'1.IS'!N9</f>
        <v>23550.23573</v>
      </c>
      <c r="O26" s="261">
        <f>N26+'1.IS'!O9</f>
        <v>25757.4699</v>
      </c>
      <c r="P26" s="261">
        <f>O26+'1.IS'!P9</f>
        <v>28008.84877</v>
      </c>
    </row>
    <row r="27" ht="15.75" customHeight="1"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</row>
    <row r="28" ht="15.75" customHeight="1">
      <c r="A28" s="249" t="s">
        <v>34</v>
      </c>
      <c r="B28" s="257">
        <f>'1.IS'!B2</f>
        <v>2015</v>
      </c>
      <c r="C28" s="257">
        <f>'1.IS'!C2</f>
        <v>2016</v>
      </c>
      <c r="D28" s="257">
        <f>'1.IS'!D2</f>
        <v>2017</v>
      </c>
      <c r="E28" s="257">
        <f>'1.IS'!E2</f>
        <v>2018</v>
      </c>
      <c r="F28" s="257">
        <f>'1.IS'!F2</f>
        <v>2019</v>
      </c>
      <c r="G28" s="257">
        <f>'1.IS'!G2</f>
        <v>2020</v>
      </c>
      <c r="H28" s="257">
        <f>'1.IS'!H2</f>
        <v>2021</v>
      </c>
      <c r="I28" s="257">
        <f>'1.IS'!I2</f>
        <v>2022</v>
      </c>
      <c r="J28" s="257">
        <f>'1.IS'!J2</f>
        <v>2023</v>
      </c>
      <c r="K28" s="257">
        <f>'1.IS'!K2</f>
        <v>2024</v>
      </c>
      <c r="L28" s="248"/>
    </row>
    <row r="29" ht="15.75" customHeight="1">
      <c r="A29" s="9" t="s">
        <v>35</v>
      </c>
      <c r="B29" s="262">
        <f>VLOOKUP("Total Liabilities*",'8.TIKR_BS'!$A:$K,COLUMN(B2),FALSE)/B26</f>
        <v>4.192319789</v>
      </c>
      <c r="C29" s="262">
        <f>VLOOKUP("Total Liabilities*",'8.TIKR_BS'!$A:$K,COLUMN(C2),FALSE)/C26</f>
        <v>3.8495909</v>
      </c>
      <c r="D29" s="262">
        <f>VLOOKUP("Total Liabilities*",'8.TIKR_BS'!$A:$K,COLUMN(D2),FALSE)/D26</f>
        <v>3.866427205</v>
      </c>
      <c r="E29" s="262">
        <f>VLOOKUP("Total Liabilities*",'8.TIKR_BS'!$A:$K,COLUMN(E2),FALSE)/E26</f>
        <v>3.865534012</v>
      </c>
      <c r="F29" s="262">
        <f>VLOOKUP("Total Liabilities*",'8.TIKR_BS'!$A:$K,COLUMN(F2),FALSE)/F26</f>
        <v>3.663000508</v>
      </c>
      <c r="G29" s="262">
        <f>VLOOKUP("Total Liabilities*",'8.TIKR_BS'!$A:$K,COLUMN(G2),FALSE)/G26</f>
        <v>3.707314534</v>
      </c>
      <c r="H29" s="262">
        <f>VLOOKUP("Total Liabilities*",'8.TIKR_BS'!$A:$K,COLUMN(H2),FALSE)/H26</f>
        <v>3.479375108</v>
      </c>
      <c r="I29" s="262">
        <f>VLOOKUP("Total Liabilities*",'8.TIKR_BS'!$A:$K,COLUMN(I2),FALSE)/I26</f>
        <v>3.305446417</v>
      </c>
      <c r="J29" s="262">
        <f>VLOOKUP("Total Liabilities*",'8.TIKR_BS'!$A:$K,COLUMN(J2),FALSE)/J26</f>
        <v>3.296482318</v>
      </c>
      <c r="K29" s="262">
        <f>VLOOKUP("Total Liabilities*",'8.TIKR_BS'!$A:$K,COLUMN(K2),FALSE)/K26</f>
        <v>3.157269522</v>
      </c>
      <c r="L29" s="248"/>
    </row>
    <row r="30" ht="15.75" customHeight="1"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</row>
    <row r="31" ht="15.75" customHeight="1"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</row>
    <row r="32" ht="15.75" customHeight="1"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</row>
    <row r="33" ht="15.75" customHeight="1"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</row>
    <row r="34" ht="15.75" customHeight="1"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</row>
    <row r="35" ht="15.75" customHeight="1"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ht="15.75" customHeight="1"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</row>
    <row r="37" ht="15.75" customHeight="1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</row>
    <row r="38" ht="15.75" customHeight="1"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</row>
    <row r="39" ht="15.75" customHeight="1"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</row>
    <row r="40" ht="15.75" customHeight="1"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</row>
    <row r="41" ht="15.75" customHeight="1"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</row>
    <row r="42" ht="15.75" customHeight="1"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</row>
    <row r="43" ht="15.75" customHeight="1"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</row>
    <row r="44" ht="15.75" customHeight="1"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</row>
    <row r="45" ht="15.75" customHeight="1"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</row>
    <row r="46" ht="15.75" customHeight="1"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</row>
    <row r="47" ht="15.75" customHeight="1"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</row>
    <row r="48" ht="15.75" customHeight="1"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</row>
    <row r="49" ht="15.75" customHeight="1"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</row>
    <row r="50" ht="15.75" customHeight="1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</row>
    <row r="51" ht="15.75" customHeight="1"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</row>
    <row r="52" ht="15.75" customHeight="1"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</row>
    <row r="53" ht="15.75" customHeight="1"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</row>
    <row r="54" ht="15.75" customHeight="1"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</row>
    <row r="55" ht="15.75" customHeight="1"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</row>
    <row r="56" ht="15.75" customHeight="1"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</row>
    <row r="57" ht="15.75" customHeight="1"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</row>
    <row r="58" ht="15.75" customHeight="1"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</row>
    <row r="59" ht="15.75" customHeight="1"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</row>
    <row r="60" ht="15.75" customHeight="1"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</row>
    <row r="61" ht="15.75" customHeight="1"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</row>
    <row r="62" ht="15.75" customHeight="1"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</row>
    <row r="63" ht="15.75" customHeight="1"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</row>
    <row r="64" ht="15.75" customHeight="1"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</row>
    <row r="65" ht="15.75" customHeight="1"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</row>
    <row r="66" ht="15.75" customHeight="1"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</row>
    <row r="67" ht="15.75" customHeight="1"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</row>
    <row r="68" ht="15.75" customHeight="1"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</row>
    <row r="69" ht="15.75" customHeight="1"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</row>
    <row r="70" ht="15.75" customHeight="1"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</row>
    <row r="71" ht="15.75" customHeight="1"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</row>
    <row r="72" ht="15.75" customHeight="1"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</row>
    <row r="73" ht="15.75" customHeight="1"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</row>
    <row r="74" ht="15.75" customHeight="1"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</row>
    <row r="75" ht="15.75" customHeight="1"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</row>
    <row r="76" ht="15.75" customHeight="1"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</row>
    <row r="77" ht="15.75" customHeight="1"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</row>
    <row r="78" ht="15.75" customHeight="1"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</row>
    <row r="79" ht="15.75" customHeight="1"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</row>
    <row r="80" ht="15.75" customHeight="1"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</row>
    <row r="81" ht="15.75" customHeight="1"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</row>
    <row r="82" ht="15.75" customHeight="1"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</row>
    <row r="83" ht="15.75" customHeight="1"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</row>
    <row r="84" ht="15.75" customHeight="1"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</row>
    <row r="85" ht="15.75" customHeight="1"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</row>
    <row r="86" ht="15.75" customHeight="1"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</row>
    <row r="87" ht="15.75" customHeight="1"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</row>
    <row r="88" ht="15.75" customHeight="1"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</row>
    <row r="89" ht="15.75" customHeight="1"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</row>
    <row r="90" ht="15.75" customHeight="1"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</row>
    <row r="91" ht="15.75" customHeight="1"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</row>
    <row r="92" ht="15.75" customHeight="1"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</row>
    <row r="93" ht="15.75" customHeight="1"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</row>
    <row r="94" ht="15.75" customHeight="1"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</row>
    <row r="95" ht="15.75" customHeight="1"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</row>
    <row r="96" ht="15.75" customHeight="1"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</row>
    <row r="97" ht="15.75" customHeight="1"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</row>
    <row r="98" ht="15.75" customHeight="1"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</row>
    <row r="99" ht="15.75" customHeight="1"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</row>
    <row r="100" ht="15.75" customHeight="1"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</row>
    <row r="101" ht="15.75" customHeight="1"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</row>
    <row r="102" ht="15.75" customHeight="1"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</row>
    <row r="103" ht="15.75" customHeight="1"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</row>
    <row r="104" ht="15.75" customHeight="1"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</row>
    <row r="105" ht="15.75" customHeight="1"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</row>
    <row r="106" ht="15.75" customHeight="1"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</row>
    <row r="107" ht="15.75" customHeight="1"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</row>
    <row r="108" ht="15.75" customHeight="1"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</row>
    <row r="109" ht="15.75" customHeight="1"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</row>
    <row r="110" ht="15.75" customHeight="1"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</row>
    <row r="111" ht="15.75" customHeight="1"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</row>
    <row r="112" ht="15.75" customHeight="1"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</row>
    <row r="113" ht="15.75" customHeight="1"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</row>
    <row r="114" ht="15.75" customHeight="1"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</row>
    <row r="115" ht="15.75" customHeight="1"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</row>
    <row r="116" ht="15.75" customHeight="1"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</row>
    <row r="117" ht="15.75" customHeight="1"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</row>
    <row r="118" ht="15.75" customHeight="1"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</row>
    <row r="119" ht="15.75" customHeight="1"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</row>
    <row r="120" ht="15.75" customHeight="1"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</row>
    <row r="121" ht="15.75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</row>
    <row r="122" ht="15.75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</row>
    <row r="123" ht="15.75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</row>
    <row r="124" ht="15.75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</row>
    <row r="125" ht="15.75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</row>
    <row r="126" ht="15.75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</row>
    <row r="127" ht="15.75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</row>
    <row r="128" ht="15.75" customHeight="1"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</row>
    <row r="129" ht="15.75" customHeight="1"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</row>
    <row r="130" ht="15.75" customHeight="1"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</row>
    <row r="131" ht="15.75" customHeight="1"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</row>
    <row r="132" ht="15.75" customHeight="1"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</row>
    <row r="133" ht="15.75" customHeight="1"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</row>
    <row r="134" ht="15.75" customHeight="1"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</row>
    <row r="135" ht="15.75" customHeight="1"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</row>
    <row r="136" ht="15.75" customHeight="1"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</row>
    <row r="137" ht="15.75" customHeight="1"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</row>
    <row r="138" ht="15.75" customHeight="1"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</row>
    <row r="139" ht="15.75" customHeight="1"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</row>
    <row r="140" ht="15.75" customHeight="1"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</row>
    <row r="141" ht="15.75" customHeight="1"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</row>
    <row r="142" ht="15.75" customHeight="1"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</row>
    <row r="143" ht="15.75" customHeight="1"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</row>
    <row r="144" ht="15.75" customHeight="1"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</row>
    <row r="145" ht="15.75" customHeight="1"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</row>
    <row r="146" ht="15.75" customHeight="1"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</row>
    <row r="147" ht="15.75" customHeight="1"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</row>
    <row r="148" ht="15.75" customHeight="1"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</row>
    <row r="149" ht="15.75" customHeight="1"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</row>
    <row r="150" ht="15.75" customHeight="1"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</row>
    <row r="151" ht="15.75" customHeight="1"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</row>
    <row r="152" ht="15.75" customHeight="1"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</row>
    <row r="153" ht="15.75" customHeight="1"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</row>
    <row r="154" ht="15.75" customHeight="1"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</row>
    <row r="155" ht="15.75" customHeight="1"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</row>
    <row r="156" ht="15.75" customHeight="1"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</row>
    <row r="157" ht="15.75" customHeight="1"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</row>
    <row r="158" ht="15.75" customHeight="1"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</row>
    <row r="159" ht="15.75" customHeight="1"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</row>
    <row r="160" ht="15.75" customHeight="1">
      <c r="B160" s="248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</row>
    <row r="161" ht="15.75" customHeight="1"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</row>
    <row r="162" ht="15.75" customHeight="1">
      <c r="B162" s="248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</row>
    <row r="163" ht="15.75" customHeight="1"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</row>
    <row r="164" ht="15.75" customHeight="1"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</row>
    <row r="165" ht="15.75" customHeight="1"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</row>
    <row r="166" ht="15.75" customHeight="1"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</row>
    <row r="167" ht="15.75" customHeight="1"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</row>
    <row r="168" ht="15.75" customHeight="1"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</row>
    <row r="169" ht="15.75" customHeight="1"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</row>
    <row r="170" ht="15.75" customHeight="1">
      <c r="B170" s="248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</row>
    <row r="171" ht="15.75" customHeight="1">
      <c r="B171" s="248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</row>
    <row r="172" ht="15.75" customHeight="1"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</row>
    <row r="173" ht="15.75" customHeight="1"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</row>
    <row r="174" ht="15.75" customHeight="1"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</row>
    <row r="175" ht="15.75" customHeight="1">
      <c r="B175" s="248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</row>
    <row r="176" ht="15.75" customHeight="1"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</row>
    <row r="177" ht="15.75" customHeight="1"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</row>
    <row r="178" ht="15.75" customHeight="1"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</row>
    <row r="179" ht="15.75" customHeight="1"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</row>
    <row r="180" ht="15.75" customHeight="1"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</row>
    <row r="181" ht="15.75" customHeight="1"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</row>
    <row r="182" ht="15.75" customHeight="1"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</row>
    <row r="183" ht="15.75" customHeight="1"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</row>
    <row r="184" ht="15.75" customHeight="1">
      <c r="B184" s="248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</row>
    <row r="185" ht="15.75" customHeight="1">
      <c r="B185" s="248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</row>
    <row r="186" ht="15.75" customHeight="1"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</row>
    <row r="187" ht="15.75" customHeight="1">
      <c r="B187" s="248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</row>
    <row r="188" ht="15.75" customHeight="1"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</row>
    <row r="189" ht="15.75" customHeight="1">
      <c r="B189" s="248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</row>
    <row r="190" ht="15.75" customHeight="1"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</row>
    <row r="191" ht="15.75" customHeight="1"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</row>
    <row r="192" ht="15.75" customHeight="1">
      <c r="B192" s="248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</row>
    <row r="193" ht="15.75" customHeight="1">
      <c r="B193" s="248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</row>
    <row r="194" ht="15.75" customHeight="1"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</row>
    <row r="195" ht="15.75" customHeight="1"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</row>
    <row r="196" ht="15.75" customHeight="1"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</row>
    <row r="197" ht="15.75" customHeight="1">
      <c r="B197" s="248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</row>
    <row r="198" ht="15.75" customHeight="1"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</row>
    <row r="199" ht="15.75" customHeight="1"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</row>
    <row r="200" ht="15.75" customHeight="1"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</row>
    <row r="201" ht="15.75" customHeight="1"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</row>
    <row r="202" ht="15.75" customHeight="1"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</row>
    <row r="203" ht="15.75" customHeight="1">
      <c r="B203" s="248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</row>
    <row r="204" ht="15.75" customHeight="1">
      <c r="B204" s="248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</row>
    <row r="205" ht="15.75" customHeight="1"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</row>
    <row r="206" ht="15.75" customHeight="1"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</row>
    <row r="207" ht="15.75" customHeight="1"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</row>
    <row r="208" ht="15.75" customHeight="1"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</row>
    <row r="209" ht="15.75" customHeight="1">
      <c r="B209" s="248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</row>
    <row r="210" ht="15.75" customHeight="1">
      <c r="B210" s="248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</row>
    <row r="211" ht="15.75" customHeight="1"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</row>
    <row r="212" ht="15.75" customHeight="1"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</row>
    <row r="213" ht="15.75" customHeight="1"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</row>
    <row r="214" ht="15.75" customHeight="1"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</row>
    <row r="215" ht="15.75" customHeight="1"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</row>
    <row r="216" ht="15.75" customHeight="1"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</row>
    <row r="217" ht="15.75" customHeight="1">
      <c r="B217" s="248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</row>
    <row r="218" ht="15.75" customHeight="1"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</row>
    <row r="219" ht="15.75" customHeight="1"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</row>
    <row r="220" ht="15.75" customHeight="1"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</row>
    <row r="221" ht="15.75" customHeight="1">
      <c r="B221" s="248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</row>
    <row r="222" ht="15.75" customHeight="1">
      <c r="B222" s="248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</row>
    <row r="223" ht="15.75" customHeight="1">
      <c r="B223" s="248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</row>
    <row r="224" ht="15.75" customHeight="1"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</row>
    <row r="225" ht="15.75" customHeight="1"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</row>
    <row r="226" ht="15.75" customHeight="1"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</row>
    <row r="227" ht="15.75" customHeight="1"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</row>
    <row r="228" ht="15.75" customHeight="1"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</row>
    <row r="229" ht="15.75" customHeight="1"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