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extLst>
    <ext uri="GoogleSheetsCustomDataVersion2">
      <go:sheetsCustomData xmlns:go="http://customooxmlschemas.google.com/" r:id="rId16" roundtripDataChecksum="a4GZ80Jr6rB117bLjxE9KqWFoHnQJr9lKjSwhib5S8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3">
      <text>
        <t xml:space="preserve">======
ID#AAABnuZ_FRQ
Autor    (2025-07-23 07:56:46)
En positivo, es un ingreso</t>
      </text>
    </comment>
    <comment authorId="0" ref="A8">
      <text>
        <t xml:space="preserve">======
ID#AAABnuZ_FRU
    (2025-07-23 07:56:46)
La obtenemos de los flujos de caja operativos (Cash flows from operations)
Se introduce en negativo, es un gasto contable</t>
      </text>
    </comment>
    <comment authorId="0" ref="R6">
      <text>
        <t xml:space="preserve">======
ID#AAABnuZ_FRE
Autor    (2025-07-23 07:56:46)
Si es negativo, implica que la empresa ha recomprado más acciones de las que emite</t>
      </text>
    </comment>
    <comment authorId="0" ref="A5">
      <text>
        <t xml:space="preserve">======
ID#AAABnuZ_FQ8
    (2025-07-23 07:56:46)
Earnings Before Interests, Taxes, Depreciation &amp; Amortization
Forma rápida de calcularlo: EBIT + D&amp;A* 
* La D&amp;A debemos obtenerla en los Cash Flows from Operations</t>
      </text>
    </comment>
    <comment authorId="0" ref="A20">
      <text>
        <t xml:space="preserve">======
ID#AAABnuZ_FQk
    (2025-07-23 07:56:46)
Net Income = Net Income to the company = Net income to common shareholders = Profit after taxes = Beneficio neto = beneficio después de impuestos = resultado neto</t>
      </text>
    </comment>
    <comment authorId="0" ref="A18">
      <text>
        <t xml:space="preserve">======
ID#AAABnuZ-Qg8
Autor    (2025-07-23 07:56:46)
Consolidated Net Income = Beneficio Neto Consolidado (antes de descontar intereses minoritarios)</t>
      </text>
    </comment>
    <comment authorId="0" ref="A3">
      <text>
        <t xml:space="preserve">======
ID#AAABnuZ-Qgc
    (2025-07-23 07:56:46)
Sales = Revenue = Net Revenue = Ventas =  Ventas Netas = Cifra de negocio</t>
      </text>
    </comment>
    <comment authorId="0" ref="A17">
      <text>
        <t xml:space="preserve">======
ID#AAABnuZ-QgQ
    (2025-07-23 07:56:46)
Effective Tax Rate = Tasa impositiva efectiva = Impuesto sobre beneficio = Impuesto de sociedades</t>
      </text>
    </comment>
    <comment authorId="0" ref="A16">
      <text>
        <t xml:space="preserve">======
ID#AAABnuZ-Qf8
    (2025-07-23 07:56:46)
Introducir en negativo si es un ingreso (devolución de impuestos)
Taxes Paid = Tax Expense = Impuesto sobre beneficio</t>
      </text>
    </comment>
    <comment authorId="0" ref="A21">
      <text>
        <t xml:space="preserve">======
ID#AAABnuZ-QgE
Autor    (2025-07-23 07:56:46)
Margen de beneficio neto</t>
      </text>
    </comment>
    <comment authorId="0" ref="A12">
      <text>
        <t xml:space="preserve">======
ID#AAABnuZ-Qf4
Autor    (2025-07-23 07:56:46)
Se introduce en negativo, es un gasto</t>
      </text>
    </comment>
    <comment authorId="0" ref="A14">
      <text>
        <t xml:space="preserve">======
ID#AAABnuY0ywg
IDC    (2025-07-23 07:56:46)
Total Interest Expense = Interest Expense + Interest Income
Número Negativo = gasto // Positivo = ingreso</t>
      </text>
    </comment>
    <comment authorId="0" ref="A23">
      <text>
        <t xml:space="preserve">======
ID#AAABnuY0ywU
    (2025-07-23 07:56:46)
EPS = Earnings Per Share = Net income per share = Beneficio por acción = Beneficio neto por acción</t>
      </text>
    </comment>
    <comment authorId="0" ref="A15">
      <text>
        <t xml:space="preserve">======
ID#AAABnuQ10wc
    (2025-07-23 07:56:46)
Earnings Before Taxes = Pretax Income = Bneficio antes de impuestos (BAI)</t>
      </text>
    </comment>
    <comment authorId="0" ref="A9">
      <text>
        <t xml:space="preserve">======
ID#AAABnuQ10v4
    (2025-07-23 07:56:46)
Earnings Before Interests and Taxes
Puede aparecer como: Beneficio operativo, operating income, operating profit, income from operations...</t>
      </text>
    </comment>
    <comment authorId="0" ref="A25">
      <text>
        <t xml:space="preserve">======
ID#AAABnuQ10vw
    (2025-07-23 07:56:46)
Número total de acciones diluidas</t>
      </text>
    </comment>
  </commentList>
  <extLst>
    <ext uri="GoogleSheetsCustomDataVersion2">
      <go:sheetsCustomData xmlns:go="http://customooxmlschemas.google.com/" r:id="rId1" roundtripDataSignature="AMtx7mj4sGRQRmVQ0kHKAAL19FJGzPVLX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
      <text>
        <t xml:space="preserve">======
ID#AAABnuZ_FRI
    (2025-07-23 07:56:46)
Receivables, customer accounts, cuentas a cobrar</t>
      </text>
    </comment>
    <comment authorId="0" ref="A9">
      <text>
        <t xml:space="preserve">======
ID#AAABnuZ_FRM
    (2025-07-23 07:56:46)
Payables, supplier accounts, cuentas a pagar</t>
      </text>
    </comment>
    <comment authorId="0" ref="A29">
      <text>
        <t xml:space="preserve">======
ID#AAABnuZ_FQw
IDC    (2025-07-23 07:56:46)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10">
      <text>
        <t xml:space="preserve">======
ID#AAABnuZ_FQg
Autor    (2025-07-23 07:56:46)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A13">
      <text>
        <t xml:space="preserve">======
ID#AAABnuZ-QhA
    (2025-07-23 07:56:46)
Por defecto obtiene los valores de "Minority Interests" desde la hoja "1. Income Statement". 
SE PUEDE CAMBIAR
Si es un ingreso, va en POSITIVO</t>
      </text>
    </comment>
    <comment authorId="0" ref="A14">
      <text>
        <t xml:space="preserve">======
ID#AAABnuZ-Qg0
IDC    (2025-07-23 07:56:46)
FCF = EBITDA - Intereses - Impuestos - CapEx Mantenimiento - Cambios en Working Capital</t>
      </text>
    </comment>
    <comment authorId="0" ref="A7">
      <text>
        <t xml:space="preserve">======
ID#AAABnuZ-Qgs
    (2025-07-23 07:56:46)
Inventarios</t>
      </text>
    </comment>
    <comment authorId="0" ref="A19">
      <text>
        <t xml:space="preserve">======
ID#AAABnuZ-Qgk
IDC    (2025-07-23 07:56:46)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t>
      </text>
    </comment>
    <comment authorId="0" ref="A28">
      <text>
        <t xml:space="preserve">======
ID#AAABnuZ-QgA
IDC    (2025-07-23 07:56:46)
Crecimiento orgánico</t>
      </text>
    </comment>
    <comment authorId="0" ref="A4">
      <text>
        <t xml:space="preserve">======
ID#AAABnuY0ywQ
Si la compañlía no detalla cuando gasta en capex mantenimiento podemos    (2025-07-23 07:56:46)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33">
      <text>
        <t xml:space="preserve">======
ID#AAABnuY0ywI
Autor    (2025-07-23 07:56:46)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 authorId="0" ref="B12">
      <text>
        <t xml:space="preserve">======
ID#AAABnuQ10wg
    (2025-07-23 07:56:46)
No se pueden calcular las variaciones de WC ya que no hay datos del año fiscal anterior</t>
      </text>
    </comment>
    <comment authorId="0" ref="A25">
      <text>
        <t xml:space="preserve">======
ID#AAABnuQ10wQ
IDC    (2025-07-23 07:56:46)
"Cash conversion"</t>
      </text>
    </comment>
    <comment authorId="0" ref="A30">
      <text>
        <t xml:space="preserve">======
ID#AAABnuQ10v8
IDC    (2025-07-23 07:56:46)
Equivale al Payout ratio, pero en lugar de dividir los dividendos entre el Net Income, lo dividimos entre el FCF, que es MUCHO más exacto</t>
      </text>
    </comment>
  </commentList>
  <extLst>
    <ext uri="GoogleSheetsCustomDataVersion2">
      <go:sheetsCustomData xmlns:go="http://customooxmlschemas.google.com/" r:id="rId1" roundtripDataSignature="AMtx7mjatIIoUj6xSWNUms+C9CeGMMTnk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1">
      <text>
        <t xml:space="preserve">======
ID#AAABnuZ_FRY
Incluye    (2025-07-23 07:56:46)
(-) Marketable securities
(+) Deuda financiera total
(+) Operating Leases
(+) Equity</t>
      </text>
    </comment>
    <comment authorId="0" ref="A10">
      <text>
        <t xml:space="preserve">======
ID#AAABnuZ_FQs
    (2025-07-23 07:56:46)
Shareholder's Equity = Shareholder's Investment = Equity attributable to the owners of the company = Patrimonio Neto = Fondos Propios = Valor Contable</t>
      </text>
    </comment>
    <comment authorId="0" ref="A9">
      <text>
        <t xml:space="preserve">======
ID#AAABnuZ-Qgg
    (2025-07-23 07:56:46)
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6">
      <text>
        <t xml:space="preserve">======
ID#AAABnuZ-QgM
IDC    (2025-07-23 07:56:46)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 authorId="0" ref="A6">
      <text>
        <t xml:space="preserve">======
ID#AAABnuZ-QgI
    (2025-07-23 07:56:46)
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4">
      <text>
        <t xml:space="preserve">======
ID#AAABnuY0ywk
    (2025-07-23 07:56:46)
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8">
      <text>
        <t xml:space="preserve">======
ID#AAABnuY0ywc
    (2025-07-23 07:56:46)
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7">
      <text>
        <t xml:space="preserve">======
ID#AAABnuY0ywM
    (2025-07-23 07:56:46)
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5">
      <text>
        <t xml:space="preserve">======
ID#AAABnuQ10wE
    (2025-07-23 07:56:46)
Solo los incluimos si aparecen dentro de "Current Assets", también pueden aparecer como "Short-term investments" o similar</t>
      </text>
    </comment>
  </commentList>
  <extLst>
    <ext uri="GoogleSheetsCustomDataVersion2">
      <go:sheetsCustomData xmlns:go="http://customooxmlschemas.google.com/" r:id="rId1" roundtripDataSignature="AMtx7mj4uEgB4als05e/Vzl95U1FCfv+pA=="/>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
ID#AAABnuZ-Qg4
Autor    (2025-07-23 07:56:46)
Si es caja neta, va en NEGATIVO</t>
      </text>
    </comment>
    <comment authorId="0" ref="B14">
      <text>
        <t xml:space="preserve">======
ID#AAABnuZ-Qgw
    (2025-07-23 07:56:46)
Last Twelve Months - Últimos 12 meses
Estos múltiplos se calculan con los datos financieros del último año fiscal disponible</t>
      </text>
    </comment>
    <comment authorId="0" ref="C14">
      <text>
        <t xml:space="preserve">======
ID#AAABnuY0yws
    (2025-07-23 07:56:46)
Se calculan con las estimaciones del primer año disponible</t>
      </text>
    </comment>
    <comment authorId="0" ref="H20">
      <text>
        <t xml:space="preserve">======
ID#AAABnuY0ywo
IDC    (2025-07-23 07:56:46)
CAGR = Compounded Annual Growth Rate
Es decir, el porcentaje de retorno anualizado esperado para la inversión</t>
      </text>
    </comment>
  </commentList>
  <extLst>
    <ext uri="GoogleSheetsCustomDataVersion2">
      <go:sheetsCustomData xmlns:go="http://customooxmlschemas.google.com/" r:id="rId1" roundtripDataSignature="AMtx7mhb6EX7vbLKMss9+fuZhLxmZ0LERw=="/>
    </ext>
  </extL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
ID#AAABnuZ_FRA
IDC    (2025-07-23 07:56:46)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
ID#AAABnuZ_FQo
Autor    (2025-07-23 07:56:46)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14">
      <text>
        <t xml:space="preserve">======
ID#AAABnuZ-Qgo
IDC    (2025-07-23 07:56:46)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5">
      <text>
        <t xml:space="preserve">======
ID#AAABnuZ-QgU
Autor    (2025-07-23 07:56:46)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
ID#AAABnuQ10wM
Autor    (2025-07-23 07:56:46)
Corresponde a pagos en acciones Y amplilaciones de capital</t>
      </text>
    </comment>
    <comment authorId="0" ref="A15">
      <text>
        <t xml:space="preserve">======
ID#AAABnuQ10v0
IDC    (2025-07-23 07:56:46)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extLst>
    <ext uri="GoogleSheetsCustomDataVersion2">
      <go:sheetsCustomData xmlns:go="http://customooxmlschemas.google.com/" r:id="rId1" roundtripDataSignature="AMtx7miG3BNYzoMMIBoHNYI7Lh12Or23nQ=="/>
    </ext>
  </extL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0">
      <text>
        <t xml:space="preserve">======
ID#AAABnuZ_FQ0
    (2025-07-23 07:56:46)
Si el resultado es negativo, implica que la compañía tiene caja neta (más caja que deuda)</t>
      </text>
    </comment>
    <comment authorId="0" ref="D25">
      <text>
        <t xml:space="preserve">======
ID#AAABnuZ_FQc
    (2025-07-23 07:56:46)
Deuda financiera total = Short Term Debt + Long Term Debt
Los operating leases también incluimos tanto a Corto Plazo como a Largo Plazo, en los casos que aparezcan detallados en el balance</t>
      </text>
    </comment>
    <comment authorId="0" ref="C12">
      <text>
        <t xml:space="preserve">======
ID#AAABnuY0ywY
    (2025-07-23 07:56:46)
En caso de existir acciones preferentes y/o intereses minoritarios, también hay que incluir la valoración a mercado de estas partidas y sumárselas al EV</t>
      </text>
    </comment>
    <comment authorId="0" ref="C10">
      <text>
        <t xml:space="preserve">======
ID#AAABnuQ10wY
    (2025-07-23 07:56:46)
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D3">
      <text>
        <t xml:space="preserve">======
ID#AAABnuQ10wU
Ojo, hay que incluir TODOS los gastos de ventas y operativos del negocio    (2025-07-23 07:56:46)
- Costes de ventas (Cost of sales o Costs of goods sold)
- Operating Costs (incluyendo SG&amp;A, R&amp;D y todos los gastos operativos que correspondan)</t>
      </text>
    </comment>
    <comment authorId="0" ref="D12">
      <text>
        <t xml:space="preserve">======
ID#AAABnuQ10wI
    (2025-07-23 07:56:46)
Solo para empresas con posición de caja neta (Caja &gt; Deuda financiera neta)
La caja neta REDUCE el EV de la empresa</t>
      </text>
    </comment>
    <comment authorId="0" ref="C25">
      <text>
        <t xml:space="preserve">======
ID#AAABnuQ10wA
    (2025-07-23 07:56:46)
T = Tax Rate = Effective Tax Rate</t>
      </text>
    </comment>
  </commentList>
  <extLst>
    <ext uri="GoogleSheetsCustomDataVersion2">
      <go:sheetsCustomData xmlns:go="http://customooxmlschemas.google.com/" r:id="rId1" roundtripDataSignature="AMtx7mhjbvxr/STlu1fUtgaLl2Gndw/nzg=="/>
    </ext>
  </extL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
ID#AAABnuZ_FQ4
Autor    (2025-07-23 07:56:46)
Sumatorio de TODA la deuda financiera: Corto Plazo + Largo Plazo</t>
      </text>
    </comment>
    <comment authorId="0" ref="A44">
      <text>
        <t xml:space="preserve">======
ID#AAABnuZ-QgY
Autor    (2025-07-23 07:56:46)
Número positivo = repago neto de deuda
Número negativo = emisión neta de deuda</t>
      </text>
    </comment>
  </commentList>
  <extLst>
    <ext uri="GoogleSheetsCustomDataVersion2">
      <go:sheetsCustomData xmlns:go="http://customooxmlschemas.google.com/" r:id="rId1" roundtripDataSignature="AMtx7mh6waoykxwiz4ZVLiLBsX4Sn8RvhA=="/>
    </ext>
  </extLst>
</comments>
</file>

<file path=xl/sharedStrings.xml><?xml version="1.0" encoding="utf-8"?>
<sst xmlns="http://schemas.openxmlformats.org/spreadsheetml/2006/main" count="644" uniqueCount="507">
  <si>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</si>
  <si>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</si>
  <si>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</si>
  <si>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</si>
  <si>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</si>
  <si>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</si>
  <si>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</si>
  <si>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</si>
  <si>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</si>
  <si>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</si>
  <si>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</si>
  <si>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</si>
  <si>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</si>
  <si>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</si>
  <si>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</si>
  <si>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</si>
  <si>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</si>
  <si>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</si>
  <si>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</si>
  <si>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</si>
  <si>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</si>
  <si>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</si>
  <si>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</si>
  <si>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</si>
  <si>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</si>
  <si>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</si>
  <si>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</si>
  <si>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</si>
  <si>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</si>
  <si>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</si>
  <si>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</si>
  <si>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</si>
  <si>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</si>
  <si>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</si>
  <si>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</si>
  <si>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</si>
  <si>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</si>
  <si>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</si>
  <si>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</si>
  <si>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</si>
  <si>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</si>
  <si>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</si>
  <si>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</si>
  <si>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</si>
  <si>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</si>
  <si>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</si>
  <si>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</si>
  <si>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</si>
  <si>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</si>
  <si>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</si>
  <si>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</si>
  <si>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</si>
  <si>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</si>
  <si>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</si>
  <si>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</si>
  <si>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</si>
  <si>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</si>
  <si>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</si>
  <si>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</si>
  <si>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</si>
  <si>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</si>
  <si>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</si>
  <si>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</si>
  <si>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</si>
  <si>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</si>
  <si>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</si>
  <si>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</si>
  <si>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</si>
  <si>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</si>
  <si>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</si>
  <si>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</si>
  <si>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</si>
  <si>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</si>
  <si>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</si>
  <si>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</si>
  <si>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</si>
  <si>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</si>
  <si>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</si>
  <si>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</si>
  <si>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</si>
  <si>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</si>
  <si>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</si>
  <si>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</si>
  <si>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</si>
  <si>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</si>
  <si>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</si>
  <si>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</si>
  <si>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</si>
  <si>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</si>
  <si>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</si>
  <si>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</si>
  <si>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</si>
  <si>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</si>
  <si>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</si>
  <si>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</si>
  <si>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</si>
  <si>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</si>
  <si>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</si>
  <si>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</si>
  <si>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</si>
  <si>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</si>
  <si>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</si>
  <si>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</si>
  <si>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</si>
  <si>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</si>
  <si>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</si>
  <si>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</si>
  <si>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</si>
  <si>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</si>
  <si>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</si>
  <si>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</si>
  <si>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</si>
  <si>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</si>
  <si>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</si>
  <si>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</si>
  <si>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</si>
  <si>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</si>
  <si>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</si>
  <si>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</si>
  <si>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</si>
  <si>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</si>
  <si>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</si>
  <si>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</si>
  <si>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</si>
  <si>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</si>
  <si>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</si>
  <si>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</si>
  <si>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</si>
  <si>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</si>
  <si>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</si>
  <si>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(1,0 %)</t>
  </si>
  <si>
    <t>1,9 %</t>
  </si>
  <si>
    <t>(5,1 %)</t>
  </si>
  <si>
    <t>2,0 %</t>
  </si>
  <si>
    <t>(2,4 %)</t>
  </si>
  <si>
    <t>3,4 %</t>
  </si>
  <si>
    <t>14,5 %</t>
  </si>
  <si>
    <t>(0,8 %)</t>
  </si>
  <si>
    <t>Cost of Goods Sold</t>
  </si>
  <si>
    <t>Gross Profit</t>
  </si>
  <si>
    <t>0,1 %</t>
  </si>
  <si>
    <t>3,3 %</t>
  </si>
  <si>
    <t>(4,1 %)</t>
  </si>
  <si>
    <t>2,7 %</t>
  </si>
  <si>
    <t>(3,7 %)</t>
  </si>
  <si>
    <t>0,7 %</t>
  </si>
  <si>
    <t>8,9 %</t>
  </si>
  <si>
    <t>4,2 %</t>
  </si>
  <si>
    <t>141,4 %</t>
  </si>
  <si>
    <t>% Gross Margins</t>
  </si>
  <si>
    <t>42,2 %</t>
  </si>
  <si>
    <t>42,7 %</t>
  </si>
  <si>
    <t>43,2 %</t>
  </si>
  <si>
    <t>43,7 %</t>
  </si>
  <si>
    <t>44,0 %</t>
  </si>
  <si>
    <t>43,5 %</t>
  </si>
  <si>
    <t>42,3 %</t>
  </si>
  <si>
    <t>40,2 %</t>
  </si>
  <si>
    <t>100,0 %</t>
  </si>
  <si>
    <t>Selling General &amp; Admin Expenses</t>
  </si>
  <si>
    <t>R&amp;D Expenses</t>
  </si>
  <si>
    <t>Other Operating Expenses</t>
  </si>
  <si>
    <t>Total Operating Expenses</t>
  </si>
  <si>
    <t>Operating Income</t>
  </si>
  <si>
    <t>22,0 %</t>
  </si>
  <si>
    <t>6,3 %</t>
  </si>
  <si>
    <t>(5,6 %)</t>
  </si>
  <si>
    <t>3,0 %</t>
  </si>
  <si>
    <t>(0,0 %)</t>
  </si>
  <si>
    <t>4,5 %</t>
  </si>
  <si>
    <t>11,7 %</t>
  </si>
  <si>
    <t>% Operating Margins</t>
  </si>
  <si>
    <t>13,9 %</t>
  </si>
  <si>
    <t>14,6 %</t>
  </si>
  <si>
    <t>17,5 %</t>
  </si>
  <si>
    <t>18,3 %</t>
  </si>
  <si>
    <t>19,1 %</t>
  </si>
  <si>
    <t>18,4 %</t>
  </si>
  <si>
    <t>16,0 %</t>
  </si>
  <si>
    <t>16,9 %</t>
  </si>
  <si>
    <t>18,5 %</t>
  </si>
  <si>
    <t>Interest And Investment Income</t>
  </si>
  <si>
    <t>Income (Loss) On Equity Invest.</t>
  </si>
  <si>
    <t>Currency Exchange Gains (Loss)</t>
  </si>
  <si>
    <t>Other Non Operating Income (Expenses)</t>
  </si>
  <si>
    <t>EBT Excl. Unusual Items</t>
  </si>
  <si>
    <t>Merger &amp; Restructuring Charges</t>
  </si>
  <si>
    <t>Impairment of Goodwill</t>
  </si>
  <si>
    <t>Gain (Loss) On Sale Of Investments</t>
  </si>
  <si>
    <t>Gain (Loss) On Sale Of Assets</t>
  </si>
  <si>
    <t>Asset Writedown</t>
  </si>
  <si>
    <t>Legal Settlements</t>
  </si>
  <si>
    <t>Other Unusual Items</t>
  </si>
  <si>
    <t>EBT Incl. Unusual Items</t>
  </si>
  <si>
    <t>Income Tax Expense</t>
  </si>
  <si>
    <t>Earnings From Continuing Operations</t>
  </si>
  <si>
    <t>Earnings Of Discontinued Operations</t>
  </si>
  <si>
    <t>Net Income to Company</t>
  </si>
  <si>
    <t>Minority Interest</t>
  </si>
  <si>
    <t>Preferred Dividend and Other Adjustments</t>
  </si>
  <si>
    <t>Net Income to Common Incl Extra Items</t>
  </si>
  <si>
    <t>% Net Income to Common Incl Extra Items Margins</t>
  </si>
  <si>
    <t>9,2 %</t>
  </si>
  <si>
    <t>9,8 %</t>
  </si>
  <si>
    <t>11,2 %</t>
  </si>
  <si>
    <t>10,8 %</t>
  </si>
  <si>
    <t>11,0 %</t>
  </si>
  <si>
    <t>11,5 %</t>
  </si>
  <si>
    <t>12,7 %</t>
  </si>
  <si>
    <t>10,9 %</t>
  </si>
  <si>
    <t>9,5 %</t>
  </si>
  <si>
    <t>Net Income to Common Excl. Extra Items</t>
  </si>
  <si>
    <t>% Net Income to Common Excl. Extra Items Margins</t>
  </si>
  <si>
    <t>Supplementary Data:</t>
  </si>
  <si>
    <t>Diluted EPS Excl Extra Items</t>
  </si>
  <si>
    <t>5,8 %</t>
  </si>
  <si>
    <t>17,6 %</t>
  </si>
  <si>
    <t>62,6 %</t>
  </si>
  <si>
    <t>(38,5 %)</t>
  </si>
  <si>
    <t>(0,9 %)</t>
  </si>
  <si>
    <t>9,4 %</t>
  </si>
  <si>
    <t>28,9 %</t>
  </si>
  <si>
    <t>(14,4 %)</t>
  </si>
  <si>
    <t>(10,5 %)</t>
  </si>
  <si>
    <t>Weighted Average Diluted Shares Outstanding</t>
  </si>
  <si>
    <t>(0,1 %)</t>
  </si>
  <si>
    <t>(1,4 %)</t>
  </si>
  <si>
    <t>(4,2 %)</t>
  </si>
  <si>
    <t>(2,5 %)</t>
  </si>
  <si>
    <t>(1,9 %)</t>
  </si>
  <si>
    <t>(1,1 %)</t>
  </si>
  <si>
    <t>Weighted Average Basic Shares Outstanding</t>
  </si>
  <si>
    <t>0,0 %</t>
  </si>
  <si>
    <t>(2,0 %)</t>
  </si>
  <si>
    <t>(1,3 %)</t>
  </si>
  <si>
    <t>Dividends Per Share</t>
  </si>
  <si>
    <t>5,1 %</t>
  </si>
  <si>
    <t>12,3 %</t>
  </si>
  <si>
    <t>(2,1 %)</t>
  </si>
  <si>
    <t>5,2 %</t>
  </si>
  <si>
    <t>(4,0 %)</t>
  </si>
  <si>
    <t>2,5 %</t>
  </si>
  <si>
    <t>4,7 %</t>
  </si>
  <si>
    <t>Special Dividends Per Share</t>
  </si>
  <si>
    <t>Payout Ratio %</t>
  </si>
  <si>
    <t>67,9 %</t>
  </si>
  <si>
    <t>69,6 %</t>
  </si>
  <si>
    <t>65,0 %</t>
  </si>
  <si>
    <t>43,4 %</t>
  </si>
  <si>
    <t>74,8 %</t>
  </si>
  <si>
    <t>76,7 %</t>
  </si>
  <si>
    <t>74,1 %</t>
  </si>
  <si>
    <t>56,6 %</t>
  </si>
  <si>
    <t>67,3 %</t>
  </si>
  <si>
    <t>75,2 %</t>
  </si>
  <si>
    <t>Basic EPS</t>
  </si>
  <si>
    <t>4,6 %</t>
  </si>
  <si>
    <t>19,3 %</t>
  </si>
  <si>
    <t>3,6 %</t>
  </si>
  <si>
    <t>4,8 %</t>
  </si>
  <si>
    <t>(4,3 %)</t>
  </si>
  <si>
    <t>(6,0 %)</t>
  </si>
  <si>
    <t>16,4 %</t>
  </si>
  <si>
    <t>EBITDAR</t>
  </si>
  <si>
    <t>R&amp;D Expense</t>
  </si>
  <si>
    <t>Selling and Marketing Expense</t>
  </si>
  <si>
    <t>General and Administrative Expense</t>
  </si>
  <si>
    <t>Effective Tax Rate %</t>
  </si>
  <si>
    <t>27,2 %</t>
  </si>
  <si>
    <t>25,7 %</t>
  </si>
  <si>
    <t>20,6 %</t>
  </si>
  <si>
    <t>20,8 %</t>
  </si>
  <si>
    <t>27,3 %</t>
  </si>
  <si>
    <t>24,0 %</t>
  </si>
  <si>
    <t>22,6 %</t>
  </si>
  <si>
    <t>20,0 %</t>
  </si>
  <si>
    <t>23,5 %</t>
  </si>
  <si>
    <t>28,2 %</t>
  </si>
  <si>
    <t>Price Factors:</t>
  </si>
  <si>
    <t>Market Cap</t>
  </si>
  <si>
    <t>Price Close</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</si>
  <si>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</si>
  <si>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</si>
  <si>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</si>
  <si>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</si>
  <si>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</si>
  <si>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</si>
  <si>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</si>
  <si>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</si>
  <si>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Trading Asset Securities</t>
  </si>
  <si>
    <t>Total Cash And Short Term Investments</t>
  </si>
  <si>
    <t>Accounts Receivable</t>
  </si>
  <si>
    <t>Other Receivables</t>
  </si>
  <si>
    <t>Notes Receivable</t>
  </si>
  <si>
    <t>Total Receivables</t>
  </si>
  <si>
    <t>Inventory</t>
  </si>
  <si>
    <t>Prepaid Expenses</t>
  </si>
  <si>
    <t>Deferred Tax Assets Current</t>
  </si>
  <si>
    <t>Other Current Assets</t>
  </si>
  <si>
    <t>Total Current Assets</t>
  </si>
  <si>
    <t>Gross Property Plant And Equipment</t>
  </si>
  <si>
    <t>Accumulated Depreciation</t>
  </si>
  <si>
    <t>Net Property Plant And Equipment</t>
  </si>
  <si>
    <t>Long-term Investments</t>
  </si>
  <si>
    <t>Goodwill</t>
  </si>
  <si>
    <t>Other Intangibles</t>
  </si>
  <si>
    <t>Accounts Receivable Long-Term</t>
  </si>
  <si>
    <t>Loans Receivable Long-Term</t>
  </si>
  <si>
    <t>Deferred Tax Assets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</si>
  <si>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</si>
  <si>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</si>
  <si>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</si>
  <si>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</si>
  <si>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</si>
  <si>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</si>
  <si>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</si>
  <si>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</si>
  <si>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Other Current Liabilities</t>
  </si>
  <si>
    <t>Total Current Liabilities</t>
  </si>
  <si>
    <t>Long-Term Debt</t>
  </si>
  <si>
    <t>Capital Leases</t>
  </si>
  <si>
    <t>Pension &amp; Other Post Retirement Benefits</t>
  </si>
  <si>
    <t>Deferred Tax Liability Non Current</t>
  </si>
  <si>
    <t>Other Non Current Liabilities</t>
  </si>
  <si>
    <t>Total Liabilities</t>
  </si>
  <si>
    <t>Preferred Stock Redeemable</t>
  </si>
  <si>
    <t>Preferred Stock Non Redeemable</t>
  </si>
  <si>
    <t>Preferred Stock Convertible</t>
  </si>
  <si>
    <t>Total Preferred Equity</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</si>
  <si>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</si>
  <si>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</si>
  <si>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</si>
  <si>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</si>
  <si>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</si>
  <si>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</si>
  <si>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</si>
  <si>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</si>
  <si>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</si>
  <si>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</si>
  <si>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</si>
  <si>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</si>
  <si>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</si>
  <si>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</si>
  <si>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</si>
  <si>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Equity Method Investments</t>
  </si>
  <si>
    <t>Land</t>
  </si>
  <si>
    <t>Buildings</t>
  </si>
  <si>
    <t>Construction In Progress</t>
  </si>
  <si>
    <t>Full Time Employees</t>
  </si>
  <si>
    <r>
      <rPr>
        <rFont val="Roboto, sans-serif"/>
        <b/>
        <color rgb="FF1155CC"/>
        <u/>
      </rPr>
      <t>Terms</t>
    </r>
  </si>
  <si>
    <r>
      <rPr>
        <rFont val="Roboto, sans-serif"/>
        <b/>
        <color rgb="FF1155CC"/>
        <u/>
      </rPr>
      <t>Privacy</t>
    </r>
  </si>
  <si>
    <t>Cash Flow Statement | TIKR.com</t>
  </si>
  <si>
    <t>Amortization of Goodwill and Intangible Assets</t>
  </si>
  <si>
    <t>Total Depreciation &amp; Amortization</t>
  </si>
  <si>
    <t>Amortization of Deferred Charges</t>
  </si>
  <si>
    <t>(Gain) Loss From Sale Of Asset</t>
  </si>
  <si>
    <t>Asset Writedown &amp; Restructuring Costs</t>
  </si>
  <si>
    <t>(Income) Loss On Equity Investments</t>
  </si>
  <si>
    <t>Stock-Based Compensation</t>
  </si>
  <si>
    <t>Net Cash From Discontinued Operations</t>
  </si>
  <si>
    <t>Other Operating Activities</t>
  </si>
  <si>
    <t>Change In Accounts Receivable</t>
  </si>
  <si>
    <t>Change In Inventories</t>
  </si>
  <si>
    <t>Change In Accounts Payable</t>
  </si>
  <si>
    <t>Cash from Operations</t>
  </si>
  <si>
    <t>Memo: Change in Net Working Capital</t>
  </si>
  <si>
    <t>Capital Expenditure</t>
  </si>
  <si>
    <t>Sale of Property, Plant, and Equipment</t>
  </si>
  <si>
    <t>Cash Acquisitions</t>
  </si>
  <si>
    <t>Divestitures</t>
  </si>
  <si>
    <t>Sale (Purchase) of Intangible assets</t>
  </si>
  <si>
    <t>Investment in Marketable and Equity Securities</t>
  </si>
  <si>
    <t>Other Investing Activities</t>
  </si>
  <si>
    <t>Cash from Investing</t>
  </si>
  <si>
    <t>Total Debt Issued</t>
  </si>
  <si>
    <t>Total Debt Repaid</t>
  </si>
  <si>
    <t>Issuance of Common Stock</t>
  </si>
  <si>
    <t>Repurchase of Common Stock</t>
  </si>
  <si>
    <t>Common Dividends Paid</t>
  </si>
  <si>
    <t>Preferred Dividends Paid</t>
  </si>
  <si>
    <t>Common &amp; Preferred Stock Dividends Paid</t>
  </si>
  <si>
    <t>Special Dividend Paid</t>
  </si>
  <si>
    <t>Other Financing Activities</t>
  </si>
  <si>
    <t>Cash from Financing</t>
  </si>
  <si>
    <t>Foreign Exchange Rate Adjustments</t>
  </si>
  <si>
    <t>Free Cash Flow</t>
  </si>
  <si>
    <t>21,5 %</t>
  </si>
  <si>
    <t>13,4 %</t>
  </si>
  <si>
    <t>(16,2 %)</t>
  </si>
  <si>
    <t>(15,1 %)</t>
  </si>
  <si>
    <t>36,0 %</t>
  </si>
  <si>
    <t>(1,8 %)</t>
  </si>
  <si>
    <t>% Free Cash Flow Margins</t>
  </si>
  <si>
    <t>10,3 %</t>
  </si>
  <si>
    <t>9,9 %</t>
  </si>
  <si>
    <t>11,9 %</t>
  </si>
  <si>
    <t>13,1 %</t>
  </si>
  <si>
    <t>16,2 %</t>
  </si>
  <si>
    <t>9,7 %</t>
  </si>
  <si>
    <t>13,3 %</t>
  </si>
  <si>
    <t>12,8 %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</si>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</sst>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43">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sz val="12.0"/>
      <color rgb="FF366092"/>
      <name val="Arial"/>
    </font>
    <font>
      <b/>
      <sz val="12.0"/>
      <color rgb="FF1F497D"/>
      <name val="Arial"/>
    </font>
    <font/>
    <font>
      <sz val="12.0"/>
      <color rgb="FF1F497D"/>
      <name val="Arial"/>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F44336"/>
      <name val="Roboto"/>
    </font>
    <font>
      <b/>
      <i/>
      <sz val="11.0"/>
      <color rgb="FFE1E4EA"/>
      <name val="Roboto"/>
    </font>
    <font>
      <b/>
      <i/>
      <sz val="11.0"/>
      <color rgb="FF000000"/>
      <name val="Roboto"/>
    </font>
    <font>
      <sz val="11.0"/>
      <color rgb="FFF44336"/>
      <name val="Roboto"/>
    </font>
    <font>
      <sz val="11.0"/>
      <color rgb="FF000000"/>
      <name val="Roboto"/>
    </font>
    <font>
      <b/>
      <sz val="11.0"/>
      <color rgb="FFF44336"/>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b/>
      <color rgb="FFE1E4EA"/>
      <name val="Roboto"/>
    </font>
    <font>
      <b/>
      <u/>
      <color rgb="FFE1E4EA"/>
      <name val="Roboto"/>
    </font>
    <font>
      <b/>
      <sz val="11.0"/>
      <color rgb="FF000000"/>
      <name val="Roboto"/>
    </font>
    <font>
      <u/>
      <sz val="11.0"/>
      <color rgb="FF0000FF"/>
      <name val="Roboto"/>
    </font>
    <font>
      <u/>
      <sz val="11.0"/>
      <color rgb="FF0000FF"/>
      <name val="Roboto"/>
    </font>
    <font>
      <b/>
      <i/>
      <sz val="12.0"/>
      <color theme="1"/>
      <name val="Ebrima"/>
    </font>
  </fonts>
  <fills count="14">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CFE2F3"/>
        <bgColor rgb="FFCFE2F3"/>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26">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vertical="center"/>
    </xf>
    <xf borderId="9" fillId="3" fontId="10" numFmtId="164" xfId="0" applyAlignment="1" applyBorder="1" applyFont="1" applyNumberFormat="1">
      <alignment horizontal="center"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7" fillId="3" fontId="12"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3" numFmtId="165" xfId="0" applyAlignment="1" applyBorder="1" applyFont="1" applyNumberFormat="1">
      <alignment horizontal="center" vertical="center"/>
    </xf>
    <xf borderId="2" fillId="3" fontId="13" numFmtId="165" xfId="0" applyAlignment="1" applyBorder="1" applyFont="1" applyNumberFormat="1">
      <alignment horizontal="center" vertical="center"/>
    </xf>
    <xf borderId="6" fillId="3" fontId="13"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12"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8" fillId="3" fontId="11" numFmtId="164" xfId="0" applyAlignment="1" applyBorder="1" applyFont="1" applyNumberFormat="1">
      <alignment horizontal="center"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1"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164"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18" fillId="0" fontId="8" numFmtId="9" xfId="0" applyAlignment="1" applyBorder="1" applyFont="1" applyNumberFormat="1">
      <alignment horizontal="center" vertical="center"/>
    </xf>
    <xf borderId="5" fillId="3" fontId="4" numFmtId="164" xfId="0" applyAlignment="1" applyBorder="1" applyFont="1" applyNumberFormat="1">
      <alignment horizontal="center" vertical="center"/>
    </xf>
    <xf borderId="14" fillId="0" fontId="4" numFmtId="164"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1" numFmtId="169" xfId="0" applyAlignment="1" applyBorder="1" applyFill="1" applyFont="1" applyNumberFormat="1">
      <alignment horizontal="center"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4" numFmtId="0" xfId="0" applyBorder="1" applyFont="1"/>
    <xf borderId="42" fillId="5" fontId="10"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0" fillId="7" fontId="15" numFmtId="165" xfId="0" applyAlignment="1" applyFill="1" applyFont="1" applyNumberFormat="1">
      <alignment horizontal="left" vertical="center"/>
    </xf>
    <xf borderId="2" fillId="7" fontId="4" numFmtId="10" xfId="0" applyAlignment="1" applyBorder="1" applyFont="1" applyNumberFormat="1">
      <alignment horizontal="center" vertical="center"/>
    </xf>
    <xf borderId="0" fillId="0" fontId="3" numFmtId="10" xfId="0" applyAlignment="1" applyFont="1" applyNumberFormat="1">
      <alignment horizontal="center" vertical="center"/>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0"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1" numFmtId="170" xfId="0" applyAlignment="1" applyBorder="1" applyFont="1" applyNumberFormat="1">
      <alignment horizontal="center" vertical="center"/>
    </xf>
    <xf borderId="0" fillId="0" fontId="16"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4"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164" xfId="0" applyAlignment="1" applyBorder="1" applyFont="1" applyNumberFormat="1">
      <alignment horizontal="center" vertical="center"/>
    </xf>
    <xf borderId="2" fillId="8" fontId="17" numFmtId="0" xfId="0" applyAlignment="1" applyBorder="1" applyFill="1" applyFont="1">
      <alignment horizontal="left" vertical="center"/>
    </xf>
    <xf borderId="2" fillId="8" fontId="17" numFmtId="4" xfId="0" applyAlignment="1" applyBorder="1" applyFont="1" applyNumberFormat="1">
      <alignment horizontal="center" vertical="center"/>
    </xf>
    <xf borderId="49" fillId="8" fontId="18" numFmtId="4" xfId="0" applyAlignment="1" applyBorder="1" applyFont="1" applyNumberFormat="1">
      <alignment horizontal="center" vertical="center"/>
    </xf>
    <xf borderId="15" fillId="8" fontId="17" numFmtId="0" xfId="0" applyAlignment="1" applyBorder="1" applyFont="1">
      <alignment horizontal="left" vertical="center"/>
    </xf>
    <xf borderId="34" fillId="0" fontId="17" numFmtId="9" xfId="0" applyAlignment="1" applyBorder="1" applyFont="1" applyNumberFormat="1">
      <alignment horizontal="center" vertical="center"/>
    </xf>
    <xf borderId="15" fillId="8" fontId="17" numFmtId="9" xfId="0" applyAlignment="1" applyBorder="1" applyFont="1" applyNumberFormat="1">
      <alignment horizontal="center" vertical="center"/>
    </xf>
    <xf borderId="55" fillId="8" fontId="18" numFmtId="9" xfId="0" applyAlignment="1" applyBorder="1" applyFont="1" applyNumberFormat="1">
      <alignment horizontal="center" vertical="center"/>
    </xf>
    <xf borderId="56" fillId="9"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4"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7"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10" fontId="19" numFmtId="0" xfId="0" applyAlignment="1" applyFill="1" applyFont="1">
      <alignment horizontal="left" shrinkToFit="0" wrapText="0"/>
    </xf>
    <xf borderId="0" fillId="10" fontId="19" numFmtId="171" xfId="0" applyAlignment="1" applyFont="1" applyNumberFormat="1">
      <alignment horizontal="right" shrinkToFit="0" wrapText="0"/>
    </xf>
    <xf borderId="0" fillId="10" fontId="19" numFmtId="0" xfId="0" applyAlignment="1" applyFont="1">
      <alignment horizontal="right" shrinkToFit="0" wrapText="0"/>
    </xf>
    <xf borderId="0" fillId="0" fontId="20" numFmtId="0" xfId="0" applyFont="1"/>
    <xf borderId="0" fillId="0" fontId="20" numFmtId="172" xfId="0" applyAlignment="1" applyFont="1" applyNumberFormat="1">
      <alignment horizontal="center"/>
    </xf>
    <xf borderId="0" fillId="11" fontId="21" numFmtId="0" xfId="0" applyAlignment="1" applyFill="1" applyFont="1">
      <alignment horizontal="left" shrinkToFit="0" wrapText="0"/>
    </xf>
    <xf borderId="0" fillId="11" fontId="22" numFmtId="4" xfId="0" applyAlignment="1" applyFont="1" applyNumberFormat="1">
      <alignment horizontal="right" shrinkToFit="0" wrapText="0"/>
    </xf>
    <xf borderId="0" fillId="11" fontId="19" numFmtId="0" xfId="0" applyAlignment="1" applyFont="1">
      <alignment horizontal="left" shrinkToFit="0" wrapText="0"/>
    </xf>
    <xf borderId="0" fillId="11" fontId="23" numFmtId="4" xfId="0" applyAlignment="1" applyFont="1" applyNumberFormat="1">
      <alignment horizontal="right" shrinkToFit="0" wrapText="0"/>
    </xf>
    <xf borderId="0" fillId="11" fontId="24" numFmtId="0" xfId="0" applyAlignment="1" applyFont="1">
      <alignment horizontal="left" shrinkToFit="0" wrapText="0"/>
    </xf>
    <xf borderId="0" fillId="0" fontId="25" numFmtId="4" xfId="0" applyAlignment="1" applyFont="1" applyNumberFormat="1">
      <alignment horizontal="right" shrinkToFit="0" wrapText="0"/>
    </xf>
    <xf borderId="0" fillId="11" fontId="26" numFmtId="4" xfId="0" applyAlignment="1" applyFont="1" applyNumberFormat="1">
      <alignment horizontal="right" shrinkToFit="0" wrapText="0"/>
    </xf>
    <xf borderId="0" fillId="11" fontId="27" numFmtId="4" xfId="0" applyAlignment="1" applyFont="1" applyNumberFormat="1">
      <alignment horizontal="right" shrinkToFit="0" wrapText="0"/>
    </xf>
    <xf borderId="0" fillId="11" fontId="28" numFmtId="4" xfId="0" applyAlignment="1" applyFont="1" applyNumberFormat="1">
      <alignment horizontal="right" shrinkToFit="0" wrapText="0"/>
    </xf>
    <xf borderId="0" fillId="11" fontId="29" numFmtId="4" xfId="0" applyAlignment="1" applyFont="1" applyNumberFormat="1">
      <alignment horizontal="right" shrinkToFit="0" wrapText="0"/>
    </xf>
    <xf borderId="0" fillId="11" fontId="30" numFmtId="4" xfId="0" applyAlignment="1" applyFont="1" applyNumberFormat="1">
      <alignment horizontal="right" shrinkToFit="0" wrapText="0"/>
    </xf>
    <xf borderId="61" fillId="11" fontId="19" numFmtId="0" xfId="0" applyAlignment="1" applyBorder="1" applyFont="1">
      <alignment horizontal="left" shrinkToFit="0" wrapText="0"/>
    </xf>
    <xf borderId="61" fillId="11" fontId="23" numFmtId="4" xfId="0" applyAlignment="1" applyBorder="1" applyFont="1" applyNumberFormat="1">
      <alignment horizontal="right" shrinkToFit="0" wrapText="0"/>
    </xf>
    <xf borderId="61" fillId="11" fontId="31" numFmtId="4" xfId="0" applyAlignment="1" applyBorder="1" applyFont="1" applyNumberFormat="1">
      <alignment horizontal="right" shrinkToFit="0" wrapText="0"/>
    </xf>
    <xf borderId="0" fillId="11" fontId="30" numFmtId="0" xfId="0" applyAlignment="1" applyFont="1">
      <alignment horizontal="right" shrinkToFit="0" wrapText="0"/>
    </xf>
    <xf borderId="0" fillId="0" fontId="6" numFmtId="4" xfId="0" applyAlignment="1" applyFont="1" applyNumberFormat="1">
      <alignment horizontal="center"/>
    </xf>
    <xf borderId="0" fillId="11" fontId="32" numFmtId="0" xfId="0" applyAlignment="1" applyFont="1">
      <alignment horizontal="left" shrinkToFit="0" wrapText="0"/>
    </xf>
    <xf borderId="0" fillId="0" fontId="33" numFmtId="4" xfId="0" applyAlignment="1" applyFont="1" applyNumberFormat="1">
      <alignment horizontal="right" shrinkToFit="0" wrapText="0"/>
    </xf>
    <xf borderId="0" fillId="11" fontId="34" numFmtId="4" xfId="0" applyAlignment="1" applyFont="1" applyNumberFormat="1">
      <alignment horizontal="right" shrinkToFit="0" wrapText="0"/>
    </xf>
    <xf borderId="0" fillId="11" fontId="35" numFmtId="4" xfId="0" applyAlignment="1" applyFont="1" applyNumberFormat="1">
      <alignment horizontal="right" shrinkToFit="0" wrapText="0"/>
    </xf>
    <xf borderId="0" fillId="11" fontId="36" numFmtId="4" xfId="0" applyAlignment="1" applyFont="1" applyNumberFormat="1">
      <alignment horizontal="right" shrinkToFit="0" wrapText="0"/>
    </xf>
    <xf borderId="0" fillId="12" fontId="37" numFmtId="0" xfId="0" applyAlignment="1" applyFill="1" applyFont="1">
      <alignment shrinkToFit="0" wrapText="1"/>
    </xf>
    <xf borderId="0" fillId="12" fontId="38" numFmtId="0" xfId="0" applyAlignment="1" applyFont="1">
      <alignment shrinkToFit="0" wrapText="1"/>
    </xf>
    <xf borderId="0" fillId="11" fontId="22" numFmtId="0" xfId="0" applyAlignment="1" applyFont="1">
      <alignment horizontal="right" shrinkToFit="0" wrapText="0"/>
    </xf>
    <xf borderId="0" fillId="11" fontId="39" numFmtId="4" xfId="0" applyAlignment="1" applyFont="1" applyNumberFormat="1">
      <alignment horizontal="right" shrinkToFit="0" wrapText="0"/>
    </xf>
    <xf borderId="0" fillId="0" fontId="40" numFmtId="4" xfId="0" applyAlignment="1" applyFont="1" applyNumberFormat="1">
      <alignment horizontal="right" shrinkToFit="0" wrapText="0"/>
    </xf>
    <xf borderId="0" fillId="0" fontId="41" numFmtId="0" xfId="0" applyAlignment="1" applyFont="1">
      <alignment horizontal="right" shrinkToFit="0" wrapText="0"/>
    </xf>
    <xf borderId="0" fillId="11" fontId="23" numFmtId="0" xfId="0" applyAlignment="1" applyFont="1">
      <alignment horizontal="right" shrinkToFit="0" wrapText="0"/>
    </xf>
    <xf borderId="0" fillId="11" fontId="29" numFmtId="0" xfId="0" applyAlignment="1" applyFont="1">
      <alignment horizontal="right" shrinkToFit="0" wrapText="0"/>
    </xf>
    <xf borderId="0" fillId="0" fontId="6" numFmtId="0" xfId="0" applyFont="1"/>
    <xf borderId="2" fillId="3" fontId="16"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6"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6"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6" numFmtId="2" xfId="0" applyAlignment="1" applyBorder="1" applyFont="1" applyNumberFormat="1">
      <alignment horizontal="center" shrinkToFit="0" vertical="center" wrapText="1"/>
    </xf>
    <xf borderId="2" fillId="3" fontId="16" numFmtId="0" xfId="0" applyAlignment="1" applyBorder="1" applyFont="1">
      <alignment horizontal="left" vertical="center"/>
    </xf>
    <xf borderId="2" fillId="3" fontId="16"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6" numFmtId="0" xfId="0" applyAlignment="1" applyBorder="1" applyFont="1">
      <alignment horizontal="left" vertical="center"/>
    </xf>
    <xf borderId="2" fillId="3" fontId="42"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8" fontId="20" numFmtId="0" xfId="0" applyBorder="1" applyFont="1"/>
    <xf borderId="2" fillId="8" fontId="20"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20" numFmtId="3" xfId="0" applyAlignment="1" applyFont="1" applyNumberFormat="1">
      <alignment horizontal="right"/>
    </xf>
    <xf borderId="62" fillId="0" fontId="6" numFmtId="1" xfId="0" applyAlignment="1" applyBorder="1" applyFont="1" applyNumberFormat="1">
      <alignment horizontal="right"/>
    </xf>
    <xf borderId="0" fillId="0" fontId="20" numFmtId="1" xfId="0" applyAlignment="1" applyFont="1" applyNumberFormat="1">
      <alignment horizontal="right"/>
    </xf>
    <xf borderId="0" fillId="0" fontId="6" numFmtId="4" xfId="0" applyAlignment="1" applyFont="1" applyNumberFormat="1">
      <alignment horizontal="right"/>
    </xf>
    <xf borderId="2" fillId="8" fontId="20" numFmtId="0" xfId="0" applyAlignment="1" applyBorder="1" applyFont="1">
      <alignment horizontal="right"/>
    </xf>
    <xf borderId="0" fillId="0" fontId="6" numFmtId="9" xfId="0" applyAlignment="1" applyFont="1" applyNumberFormat="1">
      <alignment horizontal="right"/>
    </xf>
    <xf borderId="2" fillId="13" fontId="20" numFmtId="1" xfId="0" applyAlignment="1" applyBorder="1" applyFill="1" applyFont="1" applyNumberFormat="1">
      <alignment horizontal="right"/>
    </xf>
    <xf borderId="2" fillId="13" fontId="6" numFmtId="3" xfId="0" applyAlignment="1" applyBorder="1" applyFont="1" applyNumberFormat="1">
      <alignment horizontal="right"/>
    </xf>
    <xf borderId="2" fillId="13" fontId="20"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20"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3"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399176803"/>
        <c:axId val="887064382"/>
      </c:barChart>
      <c:catAx>
        <c:axId val="39917680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87064382"/>
      </c:catAx>
      <c:valAx>
        <c:axId val="88706438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99176803"/>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strRef>
              <c:f>'TIKR_Cálculos'!$A$65</c:f>
            </c:strRef>
          </c:tx>
          <c:spPr>
            <a:solidFill>
              <a:schemeClr val="accent1"/>
            </a:solidFill>
            <a:ln cmpd="sng">
              <a:solidFill>
                <a:srgbClr val="000000"/>
              </a:solidFill>
            </a:ln>
          </c:spPr>
          <c:cat>
            <c:strRef>
              <c:f>'TIKR_Cálculos'!$B$64:$K$64</c:f>
            </c:strRef>
          </c:cat>
          <c:val>
            <c:numRef>
              <c:f>'TIKR_Cálculos'!$B$65:$K$65</c:f>
              <c:numCache/>
            </c:numRef>
          </c:val>
        </c:ser>
        <c:ser>
          <c:idx val="1"/>
          <c:order val="1"/>
          <c:tx>
            <c:strRef>
              <c:f>'TIKR_Cálculos'!$A$66</c:f>
            </c:strRef>
          </c:tx>
          <c:spPr>
            <a:solidFill>
              <a:schemeClr val="accent2"/>
            </a:solidFill>
            <a:ln cmpd="sng">
              <a:solidFill>
                <a:srgbClr val="000000"/>
              </a:solidFill>
            </a:ln>
          </c:spPr>
          <c:cat>
            <c:strRef>
              <c:f>'TIKR_Cálculos'!$B$64:$K$64</c:f>
            </c:strRef>
          </c:cat>
          <c:val>
            <c:numRef>
              <c:f>'TIKR_Cálculos'!$B$66:$K$66</c:f>
              <c:numCache/>
            </c:numRef>
          </c:val>
        </c:ser>
        <c:ser>
          <c:idx val="2"/>
          <c:order val="2"/>
          <c:tx>
            <c:strRef>
              <c:f>'TIKR_Cálculos'!$A$67</c:f>
            </c:strRef>
          </c:tx>
          <c:spPr>
            <a:solidFill>
              <a:schemeClr val="accent3"/>
            </a:solidFill>
            <a:ln cmpd="sng">
              <a:solidFill>
                <a:srgbClr val="000000"/>
              </a:solidFill>
            </a:ln>
          </c:spPr>
          <c:cat>
            <c:strRef>
              <c:f>'TIKR_Cálculos'!$B$64:$K$64</c:f>
            </c:strRef>
          </c:cat>
          <c:val>
            <c:numRef>
              <c:f>'TIKR_Cálculos'!$B$67:$K$67</c:f>
              <c:numCache/>
            </c:numRef>
          </c:val>
        </c:ser>
        <c:ser>
          <c:idx val="3"/>
          <c:order val="3"/>
          <c:tx>
            <c:strRef>
              <c:f>'TIKR_Cálculos'!$A$68</c:f>
            </c:strRef>
          </c:tx>
          <c:spPr>
            <a:solidFill>
              <a:schemeClr val="accent4"/>
            </a:solidFill>
            <a:ln cmpd="sng">
              <a:solidFill>
                <a:srgbClr val="000000"/>
              </a:solidFill>
            </a:ln>
          </c:spPr>
          <c:cat>
            <c:strRef>
              <c:f>'TIKR_Cálculos'!$B$64:$K$64</c:f>
            </c:strRef>
          </c:cat>
          <c:val>
            <c:numRef>
              <c:f>'TIKR_Cálculos'!$B$68:$K$68</c:f>
              <c:numCache/>
            </c:numRef>
          </c:val>
        </c:ser>
        <c:ser>
          <c:idx val="4"/>
          <c:order val="4"/>
          <c:tx>
            <c:strRef>
              <c:f>'TIKR_Cálculos'!$A$69</c:f>
            </c:strRef>
          </c:tx>
          <c:spPr>
            <a:solidFill>
              <a:schemeClr val="accent5"/>
            </a:solidFill>
            <a:ln cmpd="sng">
              <a:solidFill>
                <a:srgbClr val="000000"/>
              </a:solidFill>
            </a:ln>
          </c:spPr>
          <c:cat>
            <c:strRef>
              <c:f>'TIKR_Cálculos'!$B$64:$K$64</c:f>
            </c:strRef>
          </c:cat>
          <c:val>
            <c:numRef>
              <c:f>'TIKR_Cálculos'!$B$69:$K$69</c:f>
              <c:numCache/>
            </c:numRef>
          </c:val>
        </c:ser>
        <c:overlap val="100"/>
        <c:axId val="1922237272"/>
        <c:axId val="1317797482"/>
      </c:barChart>
      <c:catAx>
        <c:axId val="19222372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17797482"/>
      </c:catAx>
      <c:valAx>
        <c:axId val="1317797482"/>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922237272"/>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strRef>
              <c:f>'2.FCF'!$A$28</c:f>
            </c:strRef>
          </c:tx>
          <c:spPr>
            <a:solidFill>
              <a:schemeClr val="accent1"/>
            </a:solidFill>
            <a:ln cmpd="sng">
              <a:solidFill>
                <a:srgbClr val="000000"/>
              </a:solidFill>
            </a:ln>
          </c:spPr>
          <c:cat>
            <c:strRef>
              <c:f>'2.FCF'!$B$27:$K$27</c:f>
            </c:strRef>
          </c:cat>
          <c:val>
            <c:numRef>
              <c:f>'2.FCF'!$B$28:$K$28</c:f>
              <c:numCache/>
            </c:numRef>
          </c:val>
        </c:ser>
        <c:ser>
          <c:idx val="1"/>
          <c:order val="1"/>
          <c:tx>
            <c:strRef>
              <c:f>'2.FCF'!$A$30</c:f>
            </c:strRef>
          </c:tx>
          <c:spPr>
            <a:solidFill>
              <a:schemeClr val="accent2"/>
            </a:solidFill>
            <a:ln cmpd="sng">
              <a:solidFill>
                <a:srgbClr val="000000"/>
              </a:solidFill>
            </a:ln>
          </c:spPr>
          <c:cat>
            <c:strRef>
              <c:f>'2.FCF'!$B$27:$K$27</c:f>
            </c:strRef>
          </c:cat>
          <c:val>
            <c:numRef>
              <c:f>'2.FCF'!$B$30:$K$30</c:f>
              <c:numCache/>
            </c:numRef>
          </c:val>
        </c:ser>
        <c:ser>
          <c:idx val="2"/>
          <c:order val="2"/>
          <c:tx>
            <c:strRef>
              <c:f>'2.FCF'!$A$31</c:f>
            </c:strRef>
          </c:tx>
          <c:spPr>
            <a:solidFill>
              <a:schemeClr val="accent3"/>
            </a:solidFill>
            <a:ln cmpd="sng">
              <a:solidFill>
                <a:srgbClr val="000000"/>
              </a:solidFill>
            </a:ln>
          </c:spPr>
          <c:cat>
            <c:strRef>
              <c:f>'2.FCF'!$B$27:$K$27</c:f>
            </c:strRef>
          </c:cat>
          <c:val>
            <c:numRef>
              <c:f>'2.FCF'!$B$31:$K$31</c:f>
              <c:numCache/>
            </c:numRef>
          </c:val>
        </c:ser>
        <c:ser>
          <c:idx val="3"/>
          <c:order val="3"/>
          <c:tx>
            <c:strRef>
              <c:f>'2.FCF'!$A$29</c:f>
            </c:strRef>
          </c:tx>
          <c:spPr>
            <a:solidFill>
              <a:schemeClr val="accent4"/>
            </a:solidFill>
            <a:ln cmpd="sng">
              <a:solidFill>
                <a:srgbClr val="000000"/>
              </a:solidFill>
            </a:ln>
          </c:spPr>
          <c:cat>
            <c:strRef>
              <c:f>'2.FCF'!$B$27:$K$27</c:f>
            </c:strRef>
          </c:cat>
          <c:val>
            <c:numRef>
              <c:f>'2.FCF'!$B$29:$K$29</c:f>
              <c:numCache/>
            </c:numRef>
          </c:val>
        </c:ser>
        <c:overlap val="100"/>
        <c:axId val="423400592"/>
        <c:axId val="880031700"/>
      </c:barChart>
      <c:catAx>
        <c:axId val="4234005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80031700"/>
      </c:catAx>
      <c:valAx>
        <c:axId val="88003170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423400592"/>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4050" y="3218025"/>
            <a:chExt cx="723900" cy="1123950"/>
          </a:xfrm>
        </xdr:grpSpPr>
        <xdr:sp>
          <xdr:nvSpPr>
            <xdr:cNvPr id="4" name="Shape 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984050" y="3218025"/>
              <a:ext cx="723900" cy="1123950"/>
              <a:chOff x="4984050" y="3218025"/>
              <a:chExt cx="723900" cy="1123950"/>
            </a:xfrm>
          </xdr:grpSpPr>
          <xdr:sp>
            <xdr:nvSpPr>
              <xdr:cNvPr id="6" name="Shape 6"/>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4984050" y="3218025"/>
                <a:ext cx="723900" cy="1123950"/>
                <a:chOff x="4984050" y="3218025"/>
                <a:chExt cx="723900" cy="1123950"/>
              </a:xfrm>
            </xdr:grpSpPr>
            <xdr:sp>
              <xdr:nvSpPr>
                <xdr:cNvPr id="8" name="Shape 8"/>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4984050" y="3218025"/>
                  <a:ext cx="723900" cy="1123950"/>
                  <a:chOff x="4984050" y="3218025"/>
                  <a:chExt cx="723900" cy="1123950"/>
                </a:xfrm>
              </xdr:grpSpPr>
              <xdr:sp>
                <xdr:nvSpPr>
                  <xdr:cNvPr id="10" name="Shape 10"/>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4984050" y="3218025"/>
                    <a:ext cx="723900" cy="1123950"/>
                    <a:chOff x="4984050" y="3218025"/>
                    <a:chExt cx="723900" cy="1123950"/>
                  </a:xfrm>
                </xdr:grpSpPr>
                <xdr:sp>
                  <xdr:nvSpPr>
                    <xdr:cNvPr id="12" name="Shape 12"/>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4984050" y="3218025"/>
                      <a:ext cx="723900" cy="1123950"/>
                      <a:chOff x="4984050" y="3218025"/>
                      <a:chExt cx="723900" cy="1123950"/>
                    </a:xfrm>
                  </xdr:grpSpPr>
                  <xdr:sp>
                    <xdr:nvSpPr>
                      <xdr:cNvPr id="14" name="Shape 14"/>
                      <xdr:cNvSpPr/>
                    </xdr:nvSpPr>
                    <xdr:spPr>
                      <a:xfrm>
                        <a:off x="4984050" y="3218025"/>
                        <a:ext cx="7239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4984050" y="3218025"/>
                        <a:ext cx="723900" cy="1123950"/>
                        <a:chOff x="4988813" y="3222788"/>
                        <a:chExt cx="714375" cy="1114425"/>
                      </a:xfrm>
                    </xdr:grpSpPr>
                    <xdr:sp>
                      <xdr:nvSpPr>
                        <xdr:cNvPr id="16" name="Shape 16"/>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7" name="Shape 17"/>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18" name="Shape 18"/>
          <xdr:cNvGrpSpPr/>
        </xdr:nvGrpSpPr>
        <xdr:grpSpPr>
          <a:xfrm>
            <a:off x="4984050" y="2270288"/>
            <a:ext cx="723900" cy="3019425"/>
            <a:chOff x="4984050" y="2270288"/>
            <a:chExt cx="723900" cy="3019425"/>
          </a:xfrm>
        </xdr:grpSpPr>
        <xdr:sp>
          <xdr:nvSpPr>
            <xdr:cNvPr id="4" name="Shape 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19" name="Shape 19"/>
            <xdr:cNvGrpSpPr/>
          </xdr:nvGrpSpPr>
          <xdr:grpSpPr>
            <a:xfrm>
              <a:off x="4984050" y="2270288"/>
              <a:ext cx="723900" cy="3019425"/>
              <a:chOff x="4984050" y="2270288"/>
              <a:chExt cx="723900" cy="3019425"/>
            </a:xfrm>
          </xdr:grpSpPr>
          <xdr:sp>
            <xdr:nvSpPr>
              <xdr:cNvPr id="20" name="Shape 20"/>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1" name="Shape 21"/>
              <xdr:cNvGrpSpPr/>
            </xdr:nvGrpSpPr>
            <xdr:grpSpPr>
              <a:xfrm>
                <a:off x="4984050" y="2270288"/>
                <a:ext cx="723900" cy="3019425"/>
                <a:chOff x="4984050" y="2270288"/>
                <a:chExt cx="723900" cy="3019425"/>
              </a:xfrm>
            </xdr:grpSpPr>
            <xdr:sp>
              <xdr:nvSpPr>
                <xdr:cNvPr id="22" name="Shape 22"/>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3" name="Shape 23"/>
                <xdr:cNvGrpSpPr/>
              </xdr:nvGrpSpPr>
              <xdr:grpSpPr>
                <a:xfrm>
                  <a:off x="4984050" y="2270288"/>
                  <a:ext cx="723900" cy="3019425"/>
                  <a:chOff x="4984050" y="2270288"/>
                  <a:chExt cx="723900" cy="3019425"/>
                </a:xfrm>
              </xdr:grpSpPr>
              <xdr:sp>
                <xdr:nvSpPr>
                  <xdr:cNvPr id="24" name="Shape 24"/>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4984050" y="2270288"/>
                    <a:ext cx="723900" cy="3019425"/>
                    <a:chOff x="4984050" y="2270288"/>
                    <a:chExt cx="723900" cy="3019425"/>
                  </a:xfrm>
                </xdr:grpSpPr>
                <xdr:sp>
                  <xdr:nvSpPr>
                    <xdr:cNvPr id="26" name="Shape 26"/>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7" name="Shape 27"/>
                    <xdr:cNvGrpSpPr/>
                  </xdr:nvGrpSpPr>
                  <xdr:grpSpPr>
                    <a:xfrm>
                      <a:off x="4984050" y="2270288"/>
                      <a:ext cx="723900" cy="3019425"/>
                      <a:chOff x="4984050" y="2270288"/>
                      <a:chExt cx="723900" cy="3019425"/>
                    </a:xfrm>
                  </xdr:grpSpPr>
                  <xdr:sp>
                    <xdr:nvSpPr>
                      <xdr:cNvPr id="28" name="Shape 28"/>
                      <xdr:cNvSpPr/>
                    </xdr:nvSpPr>
                    <xdr:spPr>
                      <a:xfrm>
                        <a:off x="4984050" y="2270288"/>
                        <a:ext cx="72390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9" name="Shape 29"/>
                      <xdr:cNvGrpSpPr/>
                    </xdr:nvGrpSpPr>
                    <xdr:grpSpPr>
                      <a:xfrm>
                        <a:off x="4984050" y="2270288"/>
                        <a:ext cx="723900" cy="3019425"/>
                        <a:chOff x="4984050" y="2275050"/>
                        <a:chExt cx="723900" cy="3009900"/>
                      </a:xfrm>
                    </xdr:grpSpPr>
                    <xdr:sp>
                      <xdr:nvSpPr>
                        <xdr:cNvPr id="30" name="Shape 30"/>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31" name="Shape 31"/>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32" name="Shape 32"/>
          <xdr:cNvGrpSpPr/>
        </xdr:nvGrpSpPr>
        <xdr:grpSpPr>
          <a:xfrm>
            <a:off x="4984050" y="2013113"/>
            <a:ext cx="723900" cy="3533775"/>
            <a:chOff x="4984050" y="2013113"/>
            <a:chExt cx="723900" cy="3533775"/>
          </a:xfrm>
        </xdr:grpSpPr>
        <xdr:sp>
          <xdr:nvSpPr>
            <xdr:cNvPr id="4" name="Shape 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33" name="Shape 33"/>
            <xdr:cNvGrpSpPr/>
          </xdr:nvGrpSpPr>
          <xdr:grpSpPr>
            <a:xfrm>
              <a:off x="4984050" y="2013113"/>
              <a:ext cx="723900" cy="3533775"/>
              <a:chOff x="4984050" y="2013113"/>
              <a:chExt cx="723900" cy="3533775"/>
            </a:xfrm>
          </xdr:grpSpPr>
          <xdr:sp>
            <xdr:nvSpPr>
              <xdr:cNvPr id="34" name="Shape 34"/>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5" name="Shape 35"/>
              <xdr:cNvGrpSpPr/>
            </xdr:nvGrpSpPr>
            <xdr:grpSpPr>
              <a:xfrm>
                <a:off x="4984050" y="2013113"/>
                <a:ext cx="723900" cy="3533775"/>
                <a:chOff x="4984050" y="2013113"/>
                <a:chExt cx="723900" cy="3533775"/>
              </a:xfrm>
            </xdr:grpSpPr>
            <xdr:sp>
              <xdr:nvSpPr>
                <xdr:cNvPr id="36" name="Shape 36"/>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7" name="Shape 37"/>
                <xdr:cNvGrpSpPr/>
              </xdr:nvGrpSpPr>
              <xdr:grpSpPr>
                <a:xfrm>
                  <a:off x="4984050" y="2013113"/>
                  <a:ext cx="723900" cy="3533775"/>
                  <a:chOff x="4984050" y="2013113"/>
                  <a:chExt cx="723900" cy="3533775"/>
                </a:xfrm>
              </xdr:grpSpPr>
              <xdr:sp>
                <xdr:nvSpPr>
                  <xdr:cNvPr id="38" name="Shape 38"/>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9" name="Shape 39"/>
                  <xdr:cNvGrpSpPr/>
                </xdr:nvGrpSpPr>
                <xdr:grpSpPr>
                  <a:xfrm>
                    <a:off x="4984050" y="2013113"/>
                    <a:ext cx="723900" cy="3533775"/>
                    <a:chOff x="4984050" y="2013113"/>
                    <a:chExt cx="723900" cy="3533775"/>
                  </a:xfrm>
                </xdr:grpSpPr>
                <xdr:sp>
                  <xdr:nvSpPr>
                    <xdr:cNvPr id="40" name="Shape 40"/>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1" name="Shape 41"/>
                    <xdr:cNvGrpSpPr/>
                  </xdr:nvGrpSpPr>
                  <xdr:grpSpPr>
                    <a:xfrm>
                      <a:off x="4984050" y="2013113"/>
                      <a:ext cx="723900" cy="3533775"/>
                      <a:chOff x="4984050" y="2013113"/>
                      <a:chExt cx="723900" cy="3533775"/>
                    </a:xfrm>
                  </xdr:grpSpPr>
                  <xdr:sp>
                    <xdr:nvSpPr>
                      <xdr:cNvPr id="42" name="Shape 42"/>
                      <xdr:cNvSpPr/>
                    </xdr:nvSpPr>
                    <xdr:spPr>
                      <a:xfrm>
                        <a:off x="4984050" y="2013113"/>
                        <a:ext cx="723900" cy="35337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3" name="Shape 43"/>
                      <xdr:cNvGrpSpPr/>
                    </xdr:nvGrpSpPr>
                    <xdr:grpSpPr>
                      <a:xfrm>
                        <a:off x="4984050" y="2013113"/>
                        <a:ext cx="723900" cy="3533775"/>
                        <a:chOff x="4984050" y="2017875"/>
                        <a:chExt cx="723900" cy="3524250"/>
                      </a:xfrm>
                    </xdr:grpSpPr>
                    <xdr:sp>
                      <xdr:nvSpPr>
                        <xdr:cNvPr id="44" name="Shape 44"/>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45" name="Shape 45"/>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46" name="Shape 46"/>
          <xdr:cNvGrpSpPr/>
        </xdr:nvGrpSpPr>
        <xdr:grpSpPr>
          <a:xfrm>
            <a:off x="4984050" y="3403763"/>
            <a:ext cx="723900" cy="752475"/>
            <a:chOff x="4984050" y="3403763"/>
            <a:chExt cx="723900" cy="752475"/>
          </a:xfrm>
        </xdr:grpSpPr>
        <xdr:sp>
          <xdr:nvSpPr>
            <xdr:cNvPr id="4" name="Shape 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47" name="Shape 47"/>
            <xdr:cNvGrpSpPr/>
          </xdr:nvGrpSpPr>
          <xdr:grpSpPr>
            <a:xfrm>
              <a:off x="4984050" y="3403763"/>
              <a:ext cx="723900" cy="752475"/>
              <a:chOff x="4984050" y="3403763"/>
              <a:chExt cx="723900" cy="752475"/>
            </a:xfrm>
          </xdr:grpSpPr>
          <xdr:sp>
            <xdr:nvSpPr>
              <xdr:cNvPr id="48" name="Shape 48"/>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49" name="Shape 49"/>
              <xdr:cNvGrpSpPr/>
            </xdr:nvGrpSpPr>
            <xdr:grpSpPr>
              <a:xfrm>
                <a:off x="4984050" y="3403763"/>
                <a:ext cx="723900" cy="752475"/>
                <a:chOff x="4984050" y="3403763"/>
                <a:chExt cx="723900" cy="752475"/>
              </a:xfrm>
            </xdr:grpSpPr>
            <xdr:sp>
              <xdr:nvSpPr>
                <xdr:cNvPr id="50" name="Shape 50"/>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1" name="Shape 51"/>
                <xdr:cNvGrpSpPr/>
              </xdr:nvGrpSpPr>
              <xdr:grpSpPr>
                <a:xfrm>
                  <a:off x="4984050" y="3403763"/>
                  <a:ext cx="723900" cy="752475"/>
                  <a:chOff x="4984050" y="3403763"/>
                  <a:chExt cx="723900" cy="752475"/>
                </a:xfrm>
              </xdr:grpSpPr>
              <xdr:sp>
                <xdr:nvSpPr>
                  <xdr:cNvPr id="52" name="Shape 52"/>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3" name="Shape 53"/>
                  <xdr:cNvGrpSpPr/>
                </xdr:nvGrpSpPr>
                <xdr:grpSpPr>
                  <a:xfrm>
                    <a:off x="4984050" y="3403763"/>
                    <a:ext cx="723900" cy="752475"/>
                    <a:chOff x="4984050" y="3403763"/>
                    <a:chExt cx="723900" cy="752475"/>
                  </a:xfrm>
                </xdr:grpSpPr>
                <xdr:sp>
                  <xdr:nvSpPr>
                    <xdr:cNvPr id="54" name="Shape 54"/>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5" name="Shape 55"/>
                    <xdr:cNvGrpSpPr/>
                  </xdr:nvGrpSpPr>
                  <xdr:grpSpPr>
                    <a:xfrm>
                      <a:off x="4984050" y="3403763"/>
                      <a:ext cx="723900" cy="752475"/>
                      <a:chOff x="4984050" y="3403763"/>
                      <a:chExt cx="723900" cy="752475"/>
                    </a:xfrm>
                  </xdr:grpSpPr>
                  <xdr:sp>
                    <xdr:nvSpPr>
                      <xdr:cNvPr id="56" name="Shape 56"/>
                      <xdr:cNvSpPr/>
                    </xdr:nvSpPr>
                    <xdr:spPr>
                      <a:xfrm>
                        <a:off x="4984050" y="3403763"/>
                        <a:ext cx="723900" cy="7524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57" name="Shape 57"/>
                      <xdr:cNvGrpSpPr/>
                    </xdr:nvGrpSpPr>
                    <xdr:grpSpPr>
                      <a:xfrm>
                        <a:off x="4984050" y="3403763"/>
                        <a:ext cx="723900" cy="752475"/>
                        <a:chOff x="4988813" y="3408525"/>
                        <a:chExt cx="714375" cy="742950"/>
                      </a:xfrm>
                    </xdr:grpSpPr>
                    <xdr:sp>
                      <xdr:nvSpPr>
                        <xdr:cNvPr id="58" name="Shape 58"/>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59" name="Shape 59"/>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60" name="Shape 60"/>
          <xdr:cNvGrpSpPr/>
        </xdr:nvGrpSpPr>
        <xdr:grpSpPr>
          <a:xfrm>
            <a:off x="4817363" y="2265525"/>
            <a:ext cx="1057275" cy="3028950"/>
            <a:chOff x="4817363" y="2265525"/>
            <a:chExt cx="1057275" cy="3028950"/>
          </a:xfrm>
        </xdr:grpSpPr>
        <xdr:sp>
          <xdr:nvSpPr>
            <xdr:cNvPr id="4" name="Shape 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61" name="Shape 61"/>
            <xdr:cNvGrpSpPr/>
          </xdr:nvGrpSpPr>
          <xdr:grpSpPr>
            <a:xfrm>
              <a:off x="4817363" y="2265525"/>
              <a:ext cx="1057275" cy="3028950"/>
              <a:chOff x="4817363" y="2265525"/>
              <a:chExt cx="1057275" cy="3028950"/>
            </a:xfrm>
          </xdr:grpSpPr>
          <xdr:sp>
            <xdr:nvSpPr>
              <xdr:cNvPr id="62" name="Shape 62"/>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3" name="Shape 63"/>
              <xdr:cNvGrpSpPr/>
            </xdr:nvGrpSpPr>
            <xdr:grpSpPr>
              <a:xfrm>
                <a:off x="4817363" y="2265525"/>
                <a:ext cx="1057275" cy="3028950"/>
                <a:chOff x="4817363" y="2265525"/>
                <a:chExt cx="1057275" cy="3028950"/>
              </a:xfrm>
            </xdr:grpSpPr>
            <xdr:sp>
              <xdr:nvSpPr>
                <xdr:cNvPr id="64" name="Shape 64"/>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5" name="Shape 65"/>
                <xdr:cNvGrpSpPr/>
              </xdr:nvGrpSpPr>
              <xdr:grpSpPr>
                <a:xfrm>
                  <a:off x="4817363" y="2265525"/>
                  <a:ext cx="1057275" cy="3028950"/>
                  <a:chOff x="4817363" y="2265525"/>
                  <a:chExt cx="1057275" cy="3028950"/>
                </a:xfrm>
              </xdr:grpSpPr>
              <xdr:sp>
                <xdr:nvSpPr>
                  <xdr:cNvPr id="66" name="Shape 66"/>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7" name="Shape 67"/>
                  <xdr:cNvGrpSpPr/>
                </xdr:nvGrpSpPr>
                <xdr:grpSpPr>
                  <a:xfrm>
                    <a:off x="4817363" y="2265525"/>
                    <a:ext cx="1057275" cy="3028950"/>
                    <a:chOff x="4817363" y="2265525"/>
                    <a:chExt cx="1057275" cy="3028950"/>
                  </a:xfrm>
                </xdr:grpSpPr>
                <xdr:sp>
                  <xdr:nvSpPr>
                    <xdr:cNvPr id="68" name="Shape 68"/>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69" name="Shape 69"/>
                    <xdr:cNvGrpSpPr/>
                  </xdr:nvGrpSpPr>
                  <xdr:grpSpPr>
                    <a:xfrm>
                      <a:off x="4817363" y="2265525"/>
                      <a:ext cx="1057275" cy="3028950"/>
                      <a:chOff x="4817363" y="2265525"/>
                      <a:chExt cx="1057275" cy="3028950"/>
                    </a:xfrm>
                  </xdr:grpSpPr>
                  <xdr:sp>
                    <xdr:nvSpPr>
                      <xdr:cNvPr id="70" name="Shape 70"/>
                      <xdr:cNvSpPr/>
                    </xdr:nvSpPr>
                    <xdr:spPr>
                      <a:xfrm>
                        <a:off x="4817363" y="2265525"/>
                        <a:ext cx="1057275" cy="3028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1" name="Shape 71"/>
                      <xdr:cNvGrpSpPr/>
                    </xdr:nvGrpSpPr>
                    <xdr:grpSpPr>
                      <a:xfrm>
                        <a:off x="4817363" y="2265525"/>
                        <a:ext cx="1057275" cy="3028950"/>
                        <a:chOff x="4822125" y="2270288"/>
                        <a:chExt cx="1047750" cy="3019425"/>
                      </a:xfrm>
                    </xdr:grpSpPr>
                    <xdr:sp>
                      <xdr:nvSpPr>
                        <xdr:cNvPr id="72" name="Shape 72"/>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73" name="Shape 7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74" name="Shape 74"/>
          <xdr:cNvGrpSpPr/>
        </xdr:nvGrpSpPr>
        <xdr:grpSpPr>
          <a:xfrm>
            <a:off x="4569713" y="3075150"/>
            <a:ext cx="1552575" cy="1409700"/>
            <a:chOff x="4569713" y="3075150"/>
            <a:chExt cx="1552575" cy="1409700"/>
          </a:xfrm>
        </xdr:grpSpPr>
        <xdr:sp>
          <xdr:nvSpPr>
            <xdr:cNvPr id="4" name="Shape 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75" name="Shape 75"/>
            <xdr:cNvGrpSpPr/>
          </xdr:nvGrpSpPr>
          <xdr:grpSpPr>
            <a:xfrm>
              <a:off x="4569713" y="3075150"/>
              <a:ext cx="1552575" cy="1409700"/>
              <a:chOff x="4569713" y="3075150"/>
              <a:chExt cx="1552575" cy="1409700"/>
            </a:xfrm>
          </xdr:grpSpPr>
          <xdr:sp>
            <xdr:nvSpPr>
              <xdr:cNvPr id="76" name="Shape 76"/>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7" name="Shape 77"/>
              <xdr:cNvGrpSpPr/>
            </xdr:nvGrpSpPr>
            <xdr:grpSpPr>
              <a:xfrm>
                <a:off x="4569713" y="3075150"/>
                <a:ext cx="1552575" cy="1409700"/>
                <a:chOff x="4569713" y="3075150"/>
                <a:chExt cx="1552575" cy="1409700"/>
              </a:xfrm>
            </xdr:grpSpPr>
            <xdr:sp>
              <xdr:nvSpPr>
                <xdr:cNvPr id="78" name="Shape 78"/>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9" name="Shape 79"/>
                <xdr:cNvGrpSpPr/>
              </xdr:nvGrpSpPr>
              <xdr:grpSpPr>
                <a:xfrm>
                  <a:off x="4569713" y="3075150"/>
                  <a:ext cx="1552575" cy="1409700"/>
                  <a:chOff x="4569713" y="3075150"/>
                  <a:chExt cx="1552575" cy="1409700"/>
                </a:xfrm>
              </xdr:grpSpPr>
              <xdr:sp>
                <xdr:nvSpPr>
                  <xdr:cNvPr id="80" name="Shape 80"/>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1" name="Shape 81"/>
                  <xdr:cNvGrpSpPr/>
                </xdr:nvGrpSpPr>
                <xdr:grpSpPr>
                  <a:xfrm>
                    <a:off x="4569713" y="3075150"/>
                    <a:ext cx="1552575" cy="1409700"/>
                    <a:chOff x="4569713" y="3075150"/>
                    <a:chExt cx="1552575" cy="1409700"/>
                  </a:xfrm>
                </xdr:grpSpPr>
                <xdr:sp>
                  <xdr:nvSpPr>
                    <xdr:cNvPr id="82" name="Shape 82"/>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3" name="Shape 83"/>
                    <xdr:cNvGrpSpPr/>
                  </xdr:nvGrpSpPr>
                  <xdr:grpSpPr>
                    <a:xfrm>
                      <a:off x="4569713" y="3075150"/>
                      <a:ext cx="1552575" cy="1409700"/>
                      <a:chOff x="4569713" y="3075150"/>
                      <a:chExt cx="1552575" cy="1409700"/>
                    </a:xfrm>
                  </xdr:grpSpPr>
                  <xdr:sp>
                    <xdr:nvSpPr>
                      <xdr:cNvPr id="84" name="Shape 84"/>
                      <xdr:cNvSpPr/>
                    </xdr:nvSpPr>
                    <xdr:spPr>
                      <a:xfrm>
                        <a:off x="4569713" y="3075150"/>
                        <a:ext cx="1552575" cy="14097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85" name="Shape 85"/>
                      <xdr:cNvGrpSpPr/>
                    </xdr:nvGrpSpPr>
                    <xdr:grpSpPr>
                      <a:xfrm>
                        <a:off x="4569713" y="3075150"/>
                        <a:ext cx="1552575" cy="1409700"/>
                        <a:chOff x="4574475" y="3079913"/>
                        <a:chExt cx="1543050" cy="1400175"/>
                      </a:xfrm>
                    </xdr:grpSpPr>
                    <xdr:sp>
                      <xdr:nvSpPr>
                        <xdr:cNvPr id="86" name="Shape 86"/>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87" name="Shape 87"/>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88" name="Shape 88"/>
          <xdr:cNvGrpSpPr/>
        </xdr:nvGrpSpPr>
        <xdr:grpSpPr>
          <a:xfrm>
            <a:off x="4569713" y="3760950"/>
            <a:ext cx="1552575" cy="38100"/>
            <a:chOff x="4569713" y="3760950"/>
            <a:chExt cx="1552575" cy="38100"/>
          </a:xfrm>
        </xdr:grpSpPr>
        <xdr:sp>
          <xdr:nvSpPr>
            <xdr:cNvPr id="4" name="Shape 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89" name="Shape 89"/>
            <xdr:cNvGrpSpPr/>
          </xdr:nvGrpSpPr>
          <xdr:grpSpPr>
            <a:xfrm>
              <a:off x="4569713" y="3760950"/>
              <a:ext cx="1552575" cy="38100"/>
              <a:chOff x="4569713" y="3760950"/>
              <a:chExt cx="1552575" cy="38100"/>
            </a:xfrm>
          </xdr:grpSpPr>
          <xdr:sp>
            <xdr:nvSpPr>
              <xdr:cNvPr id="90" name="Shape 90"/>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1" name="Shape 91"/>
              <xdr:cNvGrpSpPr/>
            </xdr:nvGrpSpPr>
            <xdr:grpSpPr>
              <a:xfrm>
                <a:off x="4569713" y="3760950"/>
                <a:ext cx="1552575" cy="38100"/>
                <a:chOff x="4569713" y="3760950"/>
                <a:chExt cx="1552575" cy="38100"/>
              </a:xfrm>
            </xdr:grpSpPr>
            <xdr:sp>
              <xdr:nvSpPr>
                <xdr:cNvPr id="92" name="Shape 92"/>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3" name="Shape 93"/>
                <xdr:cNvGrpSpPr/>
              </xdr:nvGrpSpPr>
              <xdr:grpSpPr>
                <a:xfrm>
                  <a:off x="4569713" y="3760950"/>
                  <a:ext cx="1552575" cy="38100"/>
                  <a:chOff x="4569713" y="3760950"/>
                  <a:chExt cx="1552575" cy="38100"/>
                </a:xfrm>
              </xdr:grpSpPr>
              <xdr:sp>
                <xdr:nvSpPr>
                  <xdr:cNvPr id="94" name="Shape 94"/>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5" name="Shape 95"/>
                  <xdr:cNvGrpSpPr/>
                </xdr:nvGrpSpPr>
                <xdr:grpSpPr>
                  <a:xfrm>
                    <a:off x="4569713" y="3760950"/>
                    <a:ext cx="1552575" cy="38100"/>
                    <a:chOff x="4569713" y="3760950"/>
                    <a:chExt cx="1552575" cy="38100"/>
                  </a:xfrm>
                </xdr:grpSpPr>
                <xdr:sp>
                  <xdr:nvSpPr>
                    <xdr:cNvPr id="96" name="Shape 96"/>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7" name="Shape 97"/>
                    <xdr:cNvGrpSpPr/>
                  </xdr:nvGrpSpPr>
                  <xdr:grpSpPr>
                    <a:xfrm>
                      <a:off x="4569713" y="3760950"/>
                      <a:ext cx="1552575" cy="38100"/>
                      <a:chOff x="4569713" y="3760950"/>
                      <a:chExt cx="1552575" cy="38100"/>
                    </a:xfrm>
                  </xdr:grpSpPr>
                  <xdr:sp>
                    <xdr:nvSpPr>
                      <xdr:cNvPr id="98" name="Shape 98"/>
                      <xdr:cNvSpPr/>
                    </xdr:nvSpPr>
                    <xdr:spPr>
                      <a:xfrm>
                        <a:off x="4569713" y="3760950"/>
                        <a:ext cx="1552575" cy="38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9" name="Shape 99"/>
                      <xdr:cNvGrpSpPr/>
                    </xdr:nvGrpSpPr>
                    <xdr:grpSpPr>
                      <a:xfrm>
                        <a:off x="4569713" y="3760950"/>
                        <a:ext cx="1552575" cy="38100"/>
                        <a:chOff x="4569713" y="3775238"/>
                        <a:chExt cx="1552575" cy="9525"/>
                      </a:xfrm>
                    </xdr:grpSpPr>
                    <xdr:sp>
                      <xdr:nvSpPr>
                        <xdr:cNvPr id="100" name="Shape 100"/>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101" name="Shape 101"/>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grpSp>
            </xdr:grpSp>
          </xdr:grpSp>
        </xdr:grp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9525</xdr:rowOff>
    </xdr:from>
    <xdr:ext cx="5467350" cy="3200400"/>
    <xdr:graphicFrame>
      <xdr:nvGraphicFramePr>
        <xdr:cNvPr id="33894956"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552450</xdr:colOff>
      <xdr:row>15</xdr:row>
      <xdr:rowOff>76200</xdr:rowOff>
    </xdr:from>
    <xdr:ext cx="5524500" cy="3629025"/>
    <xdr:graphicFrame>
      <xdr:nvGraphicFramePr>
        <xdr:cNvPr id="2012944319"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695325</xdr:colOff>
      <xdr:row>31</xdr:row>
      <xdr:rowOff>228600</xdr:rowOff>
    </xdr:from>
    <xdr:ext cx="5524500" cy="3190875"/>
    <xdr:graphicFrame>
      <xdr:nvGraphicFramePr>
        <xdr:cNvPr id="942933123"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app.tikr.com/account/subs?ref=4v1it1" TargetMode="External"/><Relationship Id="rId42" Type="http://schemas.openxmlformats.org/officeDocument/2006/relationships/hyperlink" Target="https://app.tikr.com/account/subs?ref=4v1it1" TargetMode="External"/><Relationship Id="rId41" Type="http://schemas.openxmlformats.org/officeDocument/2006/relationships/hyperlink" Target="https://app.tikr.com/account/subs?ref=4v1it1" TargetMode="External"/><Relationship Id="rId44" Type="http://schemas.openxmlformats.org/officeDocument/2006/relationships/hyperlink" Target="https://app.tikr.com/account/subs?ref=4v1it1" TargetMode="External"/><Relationship Id="rId43" Type="http://schemas.openxmlformats.org/officeDocument/2006/relationships/hyperlink" Target="https://app.tikr.com/account/subs?ref=4v1it1" TargetMode="External"/><Relationship Id="rId46" Type="http://schemas.openxmlformats.org/officeDocument/2006/relationships/hyperlink" Target="https://app.tikr.com/account/subs?ref=4v1it1" TargetMode="External"/><Relationship Id="rId45"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48" Type="http://schemas.openxmlformats.org/officeDocument/2006/relationships/hyperlink" Target="https://app.tikr.com/account/subs?ref=4v1it1" TargetMode="External"/><Relationship Id="rId47" Type="http://schemas.openxmlformats.org/officeDocument/2006/relationships/hyperlink" Target="https://app.tikr.com/account/subs?ref=4v1it1" TargetMode="External"/><Relationship Id="rId4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account/subs?ref=4v1it1" TargetMode="External"/><Relationship Id="rId30" Type="http://schemas.openxmlformats.org/officeDocument/2006/relationships/hyperlink" Target="https://app.tikr.com/account/subs?ref=4v1it1" TargetMode="External"/><Relationship Id="rId33" Type="http://schemas.openxmlformats.org/officeDocument/2006/relationships/hyperlink" Target="https://app.tikr.com/account/subs?ref=4v1it1" TargetMode="External"/><Relationship Id="rId32" Type="http://schemas.openxmlformats.org/officeDocument/2006/relationships/hyperlink" Target="https://app.tikr.com/account/subs?ref=4v1it1" TargetMode="External"/><Relationship Id="rId35" Type="http://schemas.openxmlformats.org/officeDocument/2006/relationships/hyperlink" Target="https://app.tikr.com/account/subs?ref=4v1it1" TargetMode="External"/><Relationship Id="rId34" Type="http://schemas.openxmlformats.org/officeDocument/2006/relationships/hyperlink" Target="https://app.tikr.com/account/subs?ref=4v1it1" TargetMode="External"/><Relationship Id="rId37" Type="http://schemas.openxmlformats.org/officeDocument/2006/relationships/hyperlink" Target="https://app.tikr.com/account/subs?ref=4v1it1" TargetMode="External"/><Relationship Id="rId36" Type="http://schemas.openxmlformats.org/officeDocument/2006/relationships/hyperlink" Target="https://app.tikr.com/account/subs?ref=4v1it1" TargetMode="External"/><Relationship Id="rId39" Type="http://schemas.openxmlformats.org/officeDocument/2006/relationships/hyperlink" Target="https://app.tikr.com/account/subs?ref=4v1it1" TargetMode="External"/><Relationship Id="rId38" Type="http://schemas.openxmlformats.org/officeDocument/2006/relationships/hyperlink" Target="https://app.tikr.com/account/subs?ref=4v1it1" TargetMode="External"/><Relationship Id="rId20"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51" Type="http://schemas.openxmlformats.org/officeDocument/2006/relationships/drawing" Target="../drawings/drawing9.xml"/><Relationship Id="rId50" Type="http://schemas.openxmlformats.org/officeDocument/2006/relationships/hyperlink" Target="https://app.tikr.com/privacypolicy" TargetMode="External"/><Relationship Id="rId11" Type="http://schemas.openxmlformats.org/officeDocument/2006/relationships/hyperlink" Target="https://app.tikr.com/account/subs?ref=4v1it1" TargetMode="External"/><Relationship Id="rId10" Type="http://schemas.openxmlformats.org/officeDocument/2006/relationships/hyperlink" Target="https://app.tikr.com/account/subs?ref=4v1it1" TargetMode="External"/><Relationship Id="rId13"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40" t="s">
        <v>351</v>
      </c>
      <c r="B1" s="241">
        <v>42369.0</v>
      </c>
      <c r="C1" s="241">
        <v>42735.0</v>
      </c>
      <c r="D1" s="241">
        <v>43101.0</v>
      </c>
      <c r="E1" s="241">
        <v>43465.0</v>
      </c>
      <c r="F1" s="241">
        <v>43830.0</v>
      </c>
      <c r="G1" s="241">
        <v>44196.0</v>
      </c>
      <c r="H1" s="241">
        <v>44561.0</v>
      </c>
      <c r="I1" s="241">
        <v>44926.0</v>
      </c>
      <c r="J1" s="241">
        <v>45291.0</v>
      </c>
      <c r="K1" s="241">
        <v>45657.0</v>
      </c>
      <c r="L1" s="242" t="s">
        <v>96</v>
      </c>
    </row>
    <row r="2">
      <c r="A2" s="243"/>
      <c r="B2" s="244"/>
      <c r="C2" s="244"/>
      <c r="D2" s="244"/>
      <c r="E2" s="244"/>
      <c r="F2" s="244"/>
      <c r="G2" s="244"/>
      <c r="H2" s="244"/>
      <c r="I2" s="244"/>
      <c r="J2" s="244"/>
      <c r="K2" s="244"/>
      <c r="L2" s="244"/>
    </row>
    <row r="3">
      <c r="A3" s="247" t="s">
        <v>36</v>
      </c>
      <c r="B3" s="272">
        <v>4909.0</v>
      </c>
      <c r="C3" s="272">
        <v>5184.0</v>
      </c>
      <c r="D3" s="272">
        <v>6023.0</v>
      </c>
      <c r="E3" s="272">
        <v>9369.0</v>
      </c>
      <c r="F3" s="272">
        <v>5625.0</v>
      </c>
      <c r="G3" s="272">
        <v>5581.0</v>
      </c>
      <c r="H3" s="272">
        <v>6049.0</v>
      </c>
      <c r="I3" s="272">
        <v>7642.0</v>
      </c>
      <c r="J3" s="272">
        <v>6487.0</v>
      </c>
      <c r="K3" s="272">
        <v>5744.0</v>
      </c>
      <c r="L3" s="272">
        <v>5744.0</v>
      </c>
    </row>
    <row r="4">
      <c r="A4" s="245" t="s">
        <v>24</v>
      </c>
      <c r="B4" s="246">
        <v>1097.0</v>
      </c>
      <c r="C4" s="246">
        <v>1154.0</v>
      </c>
      <c r="D4" s="246">
        <v>2025.0</v>
      </c>
      <c r="E4" s="246">
        <v>2008.0</v>
      </c>
      <c r="F4" s="246">
        <v>1964.0</v>
      </c>
      <c r="G4" s="246">
        <v>2018.0</v>
      </c>
      <c r="H4" s="246">
        <v>1746.0</v>
      </c>
      <c r="I4" s="246">
        <v>1270.0</v>
      </c>
      <c r="J4" s="246">
        <v>1350.0</v>
      </c>
      <c r="K4" s="246">
        <v>1624.0</v>
      </c>
      <c r="L4" s="246">
        <v>1624.0</v>
      </c>
    </row>
    <row r="5">
      <c r="A5" s="245" t="s">
        <v>352</v>
      </c>
      <c r="B5" s="246">
        <v>273.0</v>
      </c>
      <c r="C5" s="246">
        <v>310.0</v>
      </c>
      <c r="D5" s="255"/>
      <c r="E5" s="255"/>
      <c r="F5" s="255"/>
      <c r="G5" s="255"/>
      <c r="H5" s="255"/>
      <c r="I5" s="246">
        <v>239.0</v>
      </c>
      <c r="J5" s="246">
        <v>41.0</v>
      </c>
      <c r="K5" s="255"/>
      <c r="L5" s="255"/>
    </row>
    <row r="6">
      <c r="A6" s="247" t="s">
        <v>353</v>
      </c>
      <c r="B6" s="248">
        <v>1370.0</v>
      </c>
      <c r="C6" s="248">
        <v>1464.0</v>
      </c>
      <c r="D6" s="248">
        <v>2025.0</v>
      </c>
      <c r="E6" s="248">
        <v>2008.0</v>
      </c>
      <c r="F6" s="248">
        <v>1964.0</v>
      </c>
      <c r="G6" s="248">
        <v>2018.0</v>
      </c>
      <c r="H6" s="248">
        <v>1746.0</v>
      </c>
      <c r="I6" s="248">
        <v>1509.0</v>
      </c>
      <c r="J6" s="248">
        <v>1391.0</v>
      </c>
      <c r="K6" s="248">
        <v>1624.0</v>
      </c>
      <c r="L6" s="248">
        <v>1624.0</v>
      </c>
    </row>
    <row r="7">
      <c r="A7" s="245" t="s">
        <v>354</v>
      </c>
      <c r="B7" s="255"/>
      <c r="C7" s="255"/>
      <c r="D7" s="255"/>
      <c r="E7" s="255"/>
      <c r="F7" s="255"/>
      <c r="G7" s="255"/>
      <c r="H7" s="255"/>
      <c r="I7" s="246">
        <v>216.0</v>
      </c>
      <c r="J7" s="246">
        <v>187.0</v>
      </c>
      <c r="K7" s="255"/>
      <c r="L7" s="255"/>
    </row>
    <row r="8">
      <c r="A8" s="245" t="s">
        <v>355</v>
      </c>
      <c r="B8" s="246">
        <v>26.0</v>
      </c>
      <c r="C8" s="246">
        <v>127.0</v>
      </c>
      <c r="D8" s="254">
        <v>-298.0</v>
      </c>
      <c r="E8" s="254">
        <v>-4313.0</v>
      </c>
      <c r="F8" s="246">
        <v>60.0</v>
      </c>
      <c r="G8" s="246">
        <v>60.0</v>
      </c>
      <c r="H8" s="246">
        <v>23.0</v>
      </c>
      <c r="I8" s="254">
        <v>-2335.0</v>
      </c>
      <c r="J8" s="254">
        <v>-433.0</v>
      </c>
      <c r="K8" s="246">
        <v>436.0</v>
      </c>
      <c r="L8" s="246">
        <v>436.0</v>
      </c>
    </row>
    <row r="9">
      <c r="A9" s="245" t="s">
        <v>356</v>
      </c>
      <c r="B9" s="255"/>
      <c r="C9" s="255"/>
      <c r="D9" s="255"/>
      <c r="E9" s="246">
        <v>208.0</v>
      </c>
      <c r="F9" s="246">
        <v>18.0</v>
      </c>
      <c r="G9" s="255"/>
      <c r="H9" s="246">
        <v>17.0</v>
      </c>
      <c r="I9" s="246">
        <v>221.0</v>
      </c>
      <c r="J9" s="246">
        <v>1.0</v>
      </c>
      <c r="K9" s="246">
        <v>133.0</v>
      </c>
      <c r="L9" s="246">
        <v>133.0</v>
      </c>
    </row>
    <row r="10">
      <c r="A10" s="245" t="s">
        <v>357</v>
      </c>
      <c r="B10" s="254">
        <v>-198.0</v>
      </c>
      <c r="C10" s="254">
        <v>-231.0</v>
      </c>
      <c r="D10" s="254">
        <v>-173.0</v>
      </c>
      <c r="E10" s="254">
        <v>-207.0</v>
      </c>
      <c r="F10" s="254">
        <v>-176.0</v>
      </c>
      <c r="G10" s="254">
        <v>-178.0</v>
      </c>
      <c r="H10" s="254">
        <v>-282.0</v>
      </c>
      <c r="I10" s="254">
        <v>-232.0</v>
      </c>
      <c r="J10" s="254">
        <v>-209.0</v>
      </c>
      <c r="K10" s="254">
        <v>-268.0</v>
      </c>
      <c r="L10" s="254">
        <v>-268.0</v>
      </c>
    </row>
    <row r="11">
      <c r="A11" s="245" t="s">
        <v>358</v>
      </c>
      <c r="B11" s="246">
        <v>150.0</v>
      </c>
      <c r="C11" s="246">
        <v>198.0</v>
      </c>
      <c r="D11" s="246">
        <v>284.0</v>
      </c>
      <c r="E11" s="246">
        <v>196.0</v>
      </c>
      <c r="F11" s="246">
        <v>151.0</v>
      </c>
      <c r="G11" s="246">
        <v>108.0</v>
      </c>
      <c r="H11" s="246">
        <v>161.0</v>
      </c>
      <c r="I11" s="246">
        <v>177.0</v>
      </c>
      <c r="J11" s="246">
        <v>212.0</v>
      </c>
      <c r="K11" s="246">
        <v>324.0</v>
      </c>
      <c r="L11" s="246">
        <v>324.0</v>
      </c>
    </row>
    <row r="12">
      <c r="A12" s="245" t="s">
        <v>359</v>
      </c>
      <c r="B12" s="255"/>
      <c r="C12" s="255"/>
      <c r="D12" s="255"/>
      <c r="E12" s="255"/>
      <c r="F12" s="255"/>
      <c r="G12" s="255"/>
      <c r="H12" s="255"/>
      <c r="I12" s="255"/>
      <c r="J12" s="255"/>
      <c r="K12" s="255"/>
      <c r="L12" s="255"/>
    </row>
    <row r="13">
      <c r="A13" s="245" t="s">
        <v>360</v>
      </c>
      <c r="B13" s="268">
        <v>353.0</v>
      </c>
      <c r="C13" s="246">
        <v>254.0</v>
      </c>
      <c r="D13" s="268">
        <v>86.0</v>
      </c>
      <c r="E13" s="268">
        <v>850.0</v>
      </c>
      <c r="F13" s="246">
        <v>476.0</v>
      </c>
      <c r="G13" s="268">
        <v>789.0</v>
      </c>
      <c r="H13" s="246">
        <v>305.0</v>
      </c>
      <c r="I13" s="246">
        <v>506.0</v>
      </c>
      <c r="J13" s="246">
        <v>976.0</v>
      </c>
      <c r="K13" s="246">
        <v>1686.0</v>
      </c>
      <c r="L13" s="246">
        <v>1686.0</v>
      </c>
    </row>
    <row r="14">
      <c r="A14" s="245" t="s">
        <v>361</v>
      </c>
      <c r="B14" s="268">
        <v>2.0</v>
      </c>
      <c r="C14" s="246">
        <v>142.0</v>
      </c>
      <c r="D14" s="273">
        <v>-506.0</v>
      </c>
      <c r="E14" s="273">
        <v>-1298.0</v>
      </c>
      <c r="F14" s="254">
        <v>-445.0</v>
      </c>
      <c r="G14" s="268">
        <v>1125.0</v>
      </c>
      <c r="H14" s="254">
        <v>-307.0</v>
      </c>
      <c r="I14" s="254">
        <v>-1852.0</v>
      </c>
      <c r="J14" s="246">
        <v>768.0</v>
      </c>
      <c r="K14" s="254">
        <v>-206.0</v>
      </c>
      <c r="L14" s="254">
        <v>-206.0</v>
      </c>
    </row>
    <row r="15">
      <c r="A15" s="245" t="s">
        <v>362</v>
      </c>
      <c r="B15" s="254">
        <v>-129.0</v>
      </c>
      <c r="C15" s="246">
        <v>190.0</v>
      </c>
      <c r="D15" s="254">
        <v>-104.0</v>
      </c>
      <c r="E15" s="254">
        <v>-471.0</v>
      </c>
      <c r="F15" s="246">
        <v>313.0</v>
      </c>
      <c r="G15" s="254">
        <v>-587.0</v>
      </c>
      <c r="H15" s="254">
        <v>-458.0</v>
      </c>
      <c r="I15" s="254">
        <v>-1398.0</v>
      </c>
      <c r="J15" s="246">
        <v>340.0</v>
      </c>
      <c r="K15" s="254">
        <v>-198.0</v>
      </c>
      <c r="L15" s="254">
        <v>-198.0</v>
      </c>
    </row>
    <row r="16">
      <c r="A16" s="245" t="s">
        <v>363</v>
      </c>
      <c r="B16" s="246">
        <v>847.0</v>
      </c>
      <c r="C16" s="254">
        <v>-281.0</v>
      </c>
      <c r="D16" s="246">
        <v>542.0</v>
      </c>
      <c r="E16" s="246">
        <v>976.0</v>
      </c>
      <c r="F16" s="246">
        <v>123.0</v>
      </c>
      <c r="G16" s="246">
        <v>142.0</v>
      </c>
      <c r="H16" s="246">
        <v>718.0</v>
      </c>
      <c r="I16" s="246">
        <v>2828.0</v>
      </c>
      <c r="J16" s="254">
        <v>-294.0</v>
      </c>
      <c r="K16" s="246">
        <v>244.0</v>
      </c>
      <c r="L16" s="246">
        <v>244.0</v>
      </c>
    </row>
    <row r="17">
      <c r="A17" s="256" t="s">
        <v>364</v>
      </c>
      <c r="B17" s="257">
        <v>7330.0</v>
      </c>
      <c r="C17" s="257">
        <v>7047.0</v>
      </c>
      <c r="D17" s="257">
        <v>7879.0</v>
      </c>
      <c r="E17" s="257">
        <v>7318.0</v>
      </c>
      <c r="F17" s="257">
        <v>8109.0</v>
      </c>
      <c r="G17" s="257">
        <v>9058.0</v>
      </c>
      <c r="H17" s="257">
        <v>7972.0</v>
      </c>
      <c r="I17" s="257">
        <v>7282.0</v>
      </c>
      <c r="J17" s="257">
        <v>9426.0</v>
      </c>
      <c r="K17" s="257">
        <v>9519.0</v>
      </c>
      <c r="L17" s="257">
        <v>9519.0</v>
      </c>
    </row>
    <row r="18">
      <c r="A18" s="261" t="s">
        <v>365</v>
      </c>
      <c r="B18" s="263">
        <v>720.0</v>
      </c>
      <c r="C18" s="263">
        <v>51.0</v>
      </c>
      <c r="D18" s="264">
        <v>-68.0</v>
      </c>
      <c r="E18" s="264">
        <v>-793.0</v>
      </c>
      <c r="F18" s="264">
        <v>-9.0</v>
      </c>
      <c r="G18" s="263">
        <v>680.0</v>
      </c>
      <c r="H18" s="264">
        <v>-47.0</v>
      </c>
      <c r="I18" s="264">
        <v>-422.0</v>
      </c>
      <c r="J18" s="263">
        <v>814.0</v>
      </c>
      <c r="K18" s="264">
        <v>-160.0</v>
      </c>
      <c r="L18" s="264">
        <v>-160.0</v>
      </c>
    </row>
    <row r="19">
      <c r="A19" s="245" t="s">
        <v>366</v>
      </c>
      <c r="B19" s="254">
        <v>-1867.0</v>
      </c>
      <c r="C19" s="254">
        <v>-1804.0</v>
      </c>
      <c r="D19" s="254">
        <v>-1509.0</v>
      </c>
      <c r="E19" s="254">
        <v>-1329.0</v>
      </c>
      <c r="F19" s="254">
        <v>-1316.0</v>
      </c>
      <c r="G19" s="254">
        <v>-863.0</v>
      </c>
      <c r="H19" s="254">
        <v>-1108.0</v>
      </c>
      <c r="I19" s="254">
        <v>-1456.0</v>
      </c>
      <c r="J19" s="254">
        <v>-1502.0</v>
      </c>
      <c r="K19" s="254">
        <v>-1738.0</v>
      </c>
      <c r="L19" s="254">
        <v>-1738.0</v>
      </c>
    </row>
    <row r="20">
      <c r="A20" s="245" t="s">
        <v>367</v>
      </c>
      <c r="B20" s="246">
        <v>127.0</v>
      </c>
      <c r="C20" s="246">
        <v>158.0</v>
      </c>
      <c r="D20" s="246">
        <v>46.0</v>
      </c>
      <c r="E20" s="246">
        <v>108.0</v>
      </c>
      <c r="F20" s="246">
        <v>97.0</v>
      </c>
      <c r="G20" s="246">
        <v>89.0</v>
      </c>
      <c r="H20" s="246">
        <v>101.0</v>
      </c>
      <c r="I20" s="246">
        <v>82.0</v>
      </c>
      <c r="J20" s="246">
        <v>42.0</v>
      </c>
      <c r="K20" s="246">
        <v>37.0</v>
      </c>
      <c r="L20" s="246">
        <v>37.0</v>
      </c>
    </row>
    <row r="21" ht="15.75" customHeight="1">
      <c r="A21" s="245" t="s">
        <v>368</v>
      </c>
      <c r="B21" s="254">
        <v>-1897.0</v>
      </c>
      <c r="C21" s="254">
        <v>-1731.0</v>
      </c>
      <c r="D21" s="254">
        <v>-4896.0</v>
      </c>
      <c r="E21" s="254">
        <v>-1336.0</v>
      </c>
      <c r="F21" s="254">
        <v>-1122.0</v>
      </c>
      <c r="G21" s="254">
        <v>-1426.0</v>
      </c>
      <c r="H21" s="254">
        <v>-2131.0</v>
      </c>
      <c r="I21" s="254">
        <v>-979.0</v>
      </c>
      <c r="J21" s="254">
        <v>-704.0</v>
      </c>
      <c r="K21" s="254">
        <v>-795.0</v>
      </c>
      <c r="L21" s="254">
        <v>-795.0</v>
      </c>
    </row>
    <row r="22" ht="15.75" customHeight="1">
      <c r="A22" s="245" t="s">
        <v>369</v>
      </c>
      <c r="B22" s="246">
        <v>199.0</v>
      </c>
      <c r="C22" s="246">
        <v>30.0</v>
      </c>
      <c r="D22" s="246">
        <v>561.0</v>
      </c>
      <c r="E22" s="246">
        <v>7093.0</v>
      </c>
      <c r="F22" s="246">
        <v>177.0</v>
      </c>
      <c r="G22" s="246">
        <v>39.0</v>
      </c>
      <c r="H22" s="246">
        <v>43.0</v>
      </c>
      <c r="I22" s="246">
        <v>4622.0</v>
      </c>
      <c r="J22" s="246">
        <v>436.0</v>
      </c>
      <c r="K22" s="246">
        <v>985.0</v>
      </c>
      <c r="L22" s="246">
        <v>985.0</v>
      </c>
    </row>
    <row r="23" ht="15.75" customHeight="1">
      <c r="A23" s="245" t="s">
        <v>370</v>
      </c>
      <c r="B23" s="254">
        <v>-334.0</v>
      </c>
      <c r="C23" s="254">
        <v>-232.0</v>
      </c>
      <c r="D23" s="254">
        <v>-158.0</v>
      </c>
      <c r="E23" s="254">
        <v>-203.0</v>
      </c>
      <c r="F23" s="254">
        <v>-210.0</v>
      </c>
      <c r="G23" s="254">
        <v>-158.0</v>
      </c>
      <c r="H23" s="254">
        <v>-232.0</v>
      </c>
      <c r="I23" s="254">
        <v>-253.0</v>
      </c>
      <c r="J23" s="254">
        <v>-243.0</v>
      </c>
      <c r="K23" s="254">
        <v>-233.0</v>
      </c>
      <c r="L23" s="254">
        <v>-233.0</v>
      </c>
    </row>
    <row r="24" ht="15.75" customHeight="1">
      <c r="A24" s="245" t="s">
        <v>371</v>
      </c>
      <c r="B24" s="254">
        <v>-62.0</v>
      </c>
      <c r="C24" s="246">
        <v>100.0</v>
      </c>
      <c r="D24" s="254">
        <v>-215.0</v>
      </c>
      <c r="E24" s="246">
        <v>47.0</v>
      </c>
      <c r="F24" s="254">
        <v>-173.0</v>
      </c>
      <c r="G24" s="246">
        <v>481.0</v>
      </c>
      <c r="H24" s="254">
        <v>-252.0</v>
      </c>
      <c r="I24" s="254">
        <v>-35.0</v>
      </c>
      <c r="J24" s="254">
        <v>-829.0</v>
      </c>
      <c r="K24" s="246">
        <v>426.0</v>
      </c>
      <c r="L24" s="246">
        <v>426.0</v>
      </c>
    </row>
    <row r="25" ht="15.75" customHeight="1">
      <c r="A25" s="245" t="s">
        <v>372</v>
      </c>
      <c r="B25" s="246">
        <v>295.0</v>
      </c>
      <c r="C25" s="246">
        <v>291.0</v>
      </c>
      <c r="D25" s="246">
        <v>292.0</v>
      </c>
      <c r="E25" s="246">
        <v>264.0</v>
      </c>
      <c r="F25" s="246">
        <v>310.0</v>
      </c>
      <c r="G25" s="246">
        <v>357.0</v>
      </c>
      <c r="H25" s="246">
        <v>333.0</v>
      </c>
      <c r="I25" s="246">
        <v>472.0</v>
      </c>
      <c r="J25" s="246">
        <v>506.0</v>
      </c>
      <c r="K25" s="246">
        <v>693.0</v>
      </c>
      <c r="L25" s="246">
        <v>693.0</v>
      </c>
    </row>
    <row r="26" ht="15.75" customHeight="1">
      <c r="A26" s="256" t="s">
        <v>373</v>
      </c>
      <c r="B26" s="258">
        <v>-3539.0</v>
      </c>
      <c r="C26" s="258">
        <v>-3188.0</v>
      </c>
      <c r="D26" s="258">
        <v>-5879.0</v>
      </c>
      <c r="E26" s="257">
        <v>4644.0</v>
      </c>
      <c r="F26" s="258">
        <v>-2237.0</v>
      </c>
      <c r="G26" s="258">
        <v>-1481.0</v>
      </c>
      <c r="H26" s="258">
        <v>-3246.0</v>
      </c>
      <c r="I26" s="257">
        <v>2453.0</v>
      </c>
      <c r="J26" s="258">
        <v>-2294.0</v>
      </c>
      <c r="K26" s="258">
        <v>-625.0</v>
      </c>
      <c r="L26" s="258">
        <v>-625.0</v>
      </c>
    </row>
    <row r="27" ht="15.75" customHeight="1">
      <c r="A27" s="245" t="s">
        <v>374</v>
      </c>
      <c r="B27" s="246">
        <v>7811.0</v>
      </c>
      <c r="C27" s="246">
        <v>7019.0</v>
      </c>
      <c r="D27" s="246">
        <v>11546.0</v>
      </c>
      <c r="E27" s="246">
        <v>10595.0</v>
      </c>
      <c r="F27" s="246">
        <v>6248.0</v>
      </c>
      <c r="G27" s="246">
        <v>3839.0</v>
      </c>
      <c r="H27" s="246">
        <v>5404.0</v>
      </c>
      <c r="I27" s="246">
        <v>7776.0</v>
      </c>
      <c r="J27" s="246">
        <v>4972.0</v>
      </c>
      <c r="K27" s="246">
        <v>5384.0</v>
      </c>
      <c r="L27" s="246">
        <v>5384.0</v>
      </c>
    </row>
    <row r="28" ht="15.75" customHeight="1">
      <c r="A28" s="245" t="s">
        <v>375</v>
      </c>
      <c r="B28" s="254">
        <v>-6284.0</v>
      </c>
      <c r="C28" s="254">
        <v>-5248.0</v>
      </c>
      <c r="D28" s="254">
        <v>-3101.0</v>
      </c>
      <c r="E28" s="254">
        <v>-11101.0</v>
      </c>
      <c r="F28" s="254">
        <v>-5347.0</v>
      </c>
      <c r="G28" s="254">
        <v>-4020.0</v>
      </c>
      <c r="H28" s="254">
        <v>-4014.0</v>
      </c>
      <c r="I28" s="254">
        <v>-9503.0</v>
      </c>
      <c r="J28" s="254">
        <v>-4869.0</v>
      </c>
      <c r="K28" s="254">
        <v>-4687.0</v>
      </c>
      <c r="L28" s="254">
        <v>-4687.0</v>
      </c>
    </row>
    <row r="29" ht="15.75" customHeight="1">
      <c r="A29" s="245" t="s">
        <v>376</v>
      </c>
      <c r="B29" s="255"/>
      <c r="C29" s="255"/>
      <c r="D29" s="255"/>
      <c r="E29" s="255"/>
      <c r="F29" s="255"/>
      <c r="G29" s="255"/>
      <c r="H29" s="255"/>
      <c r="I29" s="255"/>
      <c r="J29" s="255"/>
      <c r="K29" s="255"/>
      <c r="L29" s="255"/>
    </row>
    <row r="30" ht="15.75" customHeight="1">
      <c r="A30" s="245" t="s">
        <v>377</v>
      </c>
      <c r="B30" s="254">
        <v>-276.0</v>
      </c>
      <c r="C30" s="254">
        <v>-257.0</v>
      </c>
      <c r="D30" s="254">
        <v>-5218.0</v>
      </c>
      <c r="E30" s="254">
        <v>-6277.0</v>
      </c>
      <c r="F30" s="254">
        <v>-201.0</v>
      </c>
      <c r="G30" s="255"/>
      <c r="H30" s="254">
        <v>-3018.0</v>
      </c>
      <c r="I30" s="254">
        <v>-1509.0</v>
      </c>
      <c r="J30" s="254">
        <v>-1507.0</v>
      </c>
      <c r="K30" s="254">
        <v>-1508.0</v>
      </c>
      <c r="L30" s="254">
        <v>-1508.0</v>
      </c>
    </row>
    <row r="31" ht="15.75" customHeight="1">
      <c r="A31" s="245" t="s">
        <v>378</v>
      </c>
      <c r="B31" s="254">
        <v>-3331.0</v>
      </c>
      <c r="C31" s="254">
        <v>-3609.0</v>
      </c>
      <c r="D31" s="254">
        <v>-3916.0</v>
      </c>
      <c r="E31" s="254">
        <v>-4066.0</v>
      </c>
      <c r="F31" s="254">
        <v>-4209.0</v>
      </c>
      <c r="G31" s="254">
        <v>-4279.0</v>
      </c>
      <c r="H31" s="254">
        <v>-4483.0</v>
      </c>
      <c r="I31" s="254">
        <v>-4329.0</v>
      </c>
      <c r="J31" s="254">
        <v>-4363.0</v>
      </c>
      <c r="K31" s="254">
        <v>-4319.0</v>
      </c>
      <c r="L31" s="254">
        <v>-4319.0</v>
      </c>
    </row>
    <row r="32" ht="15.75" customHeight="1">
      <c r="A32" s="245" t="s">
        <v>379</v>
      </c>
      <c r="B32" s="255"/>
      <c r="C32" s="255"/>
      <c r="D32" s="255"/>
      <c r="E32" s="255"/>
      <c r="F32" s="255"/>
      <c r="G32" s="255"/>
      <c r="H32" s="255"/>
      <c r="I32" s="255"/>
      <c r="J32" s="255"/>
      <c r="K32" s="255"/>
      <c r="L32" s="255"/>
    </row>
    <row r="33" ht="15.75" customHeight="1">
      <c r="A33" s="245" t="s">
        <v>380</v>
      </c>
      <c r="B33" s="254">
        <v>-3331.0</v>
      </c>
      <c r="C33" s="254">
        <v>-3609.0</v>
      </c>
      <c r="D33" s="254">
        <v>-3916.0</v>
      </c>
      <c r="E33" s="254">
        <v>-4066.0</v>
      </c>
      <c r="F33" s="254">
        <v>-4209.0</v>
      </c>
      <c r="G33" s="254">
        <v>-4279.0</v>
      </c>
      <c r="H33" s="254">
        <v>-4483.0</v>
      </c>
      <c r="I33" s="254">
        <v>-4329.0</v>
      </c>
      <c r="J33" s="254">
        <v>-4363.0</v>
      </c>
      <c r="K33" s="254">
        <v>-4319.0</v>
      </c>
      <c r="L33" s="254">
        <v>-4319.0</v>
      </c>
    </row>
    <row r="34" ht="15.75" customHeight="1">
      <c r="A34" s="245" t="s">
        <v>381</v>
      </c>
      <c r="B34" s="255"/>
      <c r="C34" s="255"/>
      <c r="D34" s="255"/>
      <c r="E34" s="255"/>
      <c r="F34" s="255"/>
      <c r="G34" s="255"/>
      <c r="H34" s="255"/>
      <c r="I34" s="255"/>
      <c r="J34" s="255"/>
      <c r="K34" s="255"/>
      <c r="L34" s="255"/>
    </row>
    <row r="35" ht="15.75" customHeight="1">
      <c r="A35" s="245" t="s">
        <v>382</v>
      </c>
      <c r="B35" s="254">
        <v>-952.0</v>
      </c>
      <c r="C35" s="254">
        <v>-978.0</v>
      </c>
      <c r="D35" s="254">
        <v>-1331.0</v>
      </c>
      <c r="E35" s="254">
        <v>-1264.0</v>
      </c>
      <c r="F35" s="254">
        <v>-1158.0</v>
      </c>
      <c r="G35" s="254">
        <v>-1344.0</v>
      </c>
      <c r="H35" s="254">
        <v>-988.0</v>
      </c>
      <c r="I35" s="254">
        <v>-1325.0</v>
      </c>
      <c r="J35" s="254">
        <v>-1426.0</v>
      </c>
      <c r="K35" s="254">
        <v>-1811.0</v>
      </c>
      <c r="L35" s="254">
        <v>-1811.0</v>
      </c>
    </row>
    <row r="36" ht="15.75" customHeight="1">
      <c r="A36" s="256" t="s">
        <v>383</v>
      </c>
      <c r="B36" s="258">
        <v>-3032.0</v>
      </c>
      <c r="C36" s="258">
        <v>-3073.0</v>
      </c>
      <c r="D36" s="258">
        <v>-2020.0</v>
      </c>
      <c r="E36" s="258">
        <v>-12113.0</v>
      </c>
      <c r="F36" s="258">
        <v>-4667.0</v>
      </c>
      <c r="G36" s="258">
        <v>-5804.0</v>
      </c>
      <c r="H36" s="258">
        <v>-7099.0</v>
      </c>
      <c r="I36" s="258">
        <v>-8890.0</v>
      </c>
      <c r="J36" s="258">
        <v>-7193.0</v>
      </c>
      <c r="K36" s="258">
        <v>-6941.0</v>
      </c>
      <c r="L36" s="258">
        <v>-6941.0</v>
      </c>
    </row>
    <row r="37" ht="15.75" customHeight="1">
      <c r="A37" s="245" t="s">
        <v>384</v>
      </c>
      <c r="B37" s="254">
        <v>-541.0</v>
      </c>
      <c r="C37" s="246">
        <v>284.0</v>
      </c>
      <c r="D37" s="254">
        <v>-9.0</v>
      </c>
      <c r="E37" s="246">
        <v>72.0</v>
      </c>
      <c r="F37" s="254">
        <v>-179.0</v>
      </c>
      <c r="G37" s="254">
        <v>-414.0</v>
      </c>
      <c r="H37" s="246">
        <v>285.0</v>
      </c>
      <c r="I37" s="254">
        <v>-7.0</v>
      </c>
      <c r="J37" s="254">
        <v>-119.0</v>
      </c>
      <c r="K37" s="254">
        <v>-48.0</v>
      </c>
      <c r="L37" s="254">
        <v>-48.0</v>
      </c>
    </row>
    <row r="38" ht="15.75" customHeight="1">
      <c r="A38" s="256" t="s">
        <v>56</v>
      </c>
      <c r="B38" s="257">
        <v>218.0</v>
      </c>
      <c r="C38" s="257">
        <v>1070.0</v>
      </c>
      <c r="D38" s="258">
        <v>-29.0</v>
      </c>
      <c r="E38" s="258">
        <v>-79.0</v>
      </c>
      <c r="F38" s="257">
        <v>1026.0</v>
      </c>
      <c r="G38" s="257">
        <v>1359.0</v>
      </c>
      <c r="H38" s="258">
        <v>-2088.0</v>
      </c>
      <c r="I38" s="257">
        <v>838.0</v>
      </c>
      <c r="J38" s="258">
        <v>-180.0</v>
      </c>
      <c r="K38" s="257">
        <v>1905.0</v>
      </c>
      <c r="L38" s="257">
        <v>1905.0</v>
      </c>
    </row>
    <row r="39" ht="15.75" customHeight="1">
      <c r="A39" s="249" t="s">
        <v>213</v>
      </c>
      <c r="B39" s="260"/>
      <c r="C39" s="260"/>
      <c r="D39" s="260"/>
      <c r="E39" s="260"/>
      <c r="F39" s="260"/>
      <c r="G39" s="260"/>
      <c r="H39" s="260"/>
      <c r="I39" s="260"/>
      <c r="J39" s="260"/>
      <c r="K39" s="260"/>
      <c r="L39" s="260"/>
    </row>
    <row r="40" ht="15.75" customHeight="1">
      <c r="A40" s="247" t="s">
        <v>385</v>
      </c>
      <c r="B40" s="248">
        <v>5463.0</v>
      </c>
      <c r="C40" s="248">
        <v>5243.0</v>
      </c>
      <c r="D40" s="248">
        <v>6370.0</v>
      </c>
      <c r="E40" s="248">
        <v>5989.0</v>
      </c>
      <c r="F40" s="248">
        <v>6793.0</v>
      </c>
      <c r="G40" s="248">
        <v>8195.0</v>
      </c>
      <c r="H40" s="248">
        <v>6864.0</v>
      </c>
      <c r="I40" s="248">
        <v>5826.0</v>
      </c>
      <c r="J40" s="248">
        <v>7924.0</v>
      </c>
      <c r="K40" s="248">
        <v>7781.0</v>
      </c>
      <c r="L40" s="248">
        <v>7781.0</v>
      </c>
    </row>
    <row r="41" ht="15.75" customHeight="1">
      <c r="A41" s="249" t="s">
        <v>129</v>
      </c>
      <c r="B41" s="250"/>
      <c r="C41" s="251" t="s">
        <v>240</v>
      </c>
      <c r="D41" s="252" t="s">
        <v>386</v>
      </c>
      <c r="E41" s="251" t="s">
        <v>261</v>
      </c>
      <c r="F41" s="252" t="s">
        <v>387</v>
      </c>
      <c r="G41" s="252" t="s">
        <v>270</v>
      </c>
      <c r="H41" s="251" t="s">
        <v>388</v>
      </c>
      <c r="I41" s="251" t="s">
        <v>389</v>
      </c>
      <c r="J41" s="252" t="s">
        <v>390</v>
      </c>
      <c r="K41" s="251" t="s">
        <v>391</v>
      </c>
      <c r="L41" s="253"/>
    </row>
    <row r="42" ht="15.75" customHeight="1">
      <c r="A42" s="249" t="s">
        <v>392</v>
      </c>
      <c r="B42" s="252" t="s">
        <v>393</v>
      </c>
      <c r="C42" s="252" t="s">
        <v>394</v>
      </c>
      <c r="D42" s="252" t="s">
        <v>395</v>
      </c>
      <c r="E42" s="252" t="s">
        <v>170</v>
      </c>
      <c r="F42" s="252" t="s">
        <v>396</v>
      </c>
      <c r="G42" s="252" t="s">
        <v>397</v>
      </c>
      <c r="H42" s="252" t="s">
        <v>396</v>
      </c>
      <c r="I42" s="252" t="s">
        <v>398</v>
      </c>
      <c r="J42" s="252" t="s">
        <v>399</v>
      </c>
      <c r="K42" s="252" t="s">
        <v>400</v>
      </c>
      <c r="L42" s="252" t="s">
        <v>400</v>
      </c>
    </row>
    <row r="43" ht="15.75" customHeight="1">
      <c r="A43" s="245" t="s">
        <v>401</v>
      </c>
      <c r="B43" s="246">
        <v>1910.0</v>
      </c>
      <c r="C43" s="246">
        <v>2128.0</v>
      </c>
      <c r="D43" s="246">
        <v>3198.0</v>
      </c>
      <c r="E43" s="246">
        <v>3169.0</v>
      </c>
      <c r="F43" s="246">
        <v>3090.0</v>
      </c>
      <c r="G43" s="246">
        <v>4116.0</v>
      </c>
      <c r="H43" s="246">
        <v>5475.0</v>
      </c>
      <c r="I43" s="246">
        <v>3387.0</v>
      </c>
      <c r="J43" s="246">
        <v>4225.0</v>
      </c>
      <c r="K43" s="246">
        <v>4045.0</v>
      </c>
      <c r="L43" s="246">
        <v>4045.0</v>
      </c>
    </row>
    <row r="44" ht="15.75" customHeight="1">
      <c r="A44" s="245" t="s">
        <v>402</v>
      </c>
      <c r="B44" s="246">
        <v>2128.0</v>
      </c>
      <c r="C44" s="246">
        <v>3198.0</v>
      </c>
      <c r="D44" s="246">
        <v>3169.0</v>
      </c>
      <c r="E44" s="246">
        <v>3090.0</v>
      </c>
      <c r="F44" s="246">
        <v>4116.0</v>
      </c>
      <c r="G44" s="246">
        <v>5475.0</v>
      </c>
      <c r="H44" s="246">
        <v>3387.0</v>
      </c>
      <c r="I44" s="246">
        <v>4225.0</v>
      </c>
      <c r="J44" s="246">
        <v>4045.0</v>
      </c>
      <c r="K44" s="246">
        <v>5950.0</v>
      </c>
      <c r="L44" s="246">
        <v>5950.0</v>
      </c>
    </row>
    <row r="45" ht="15.75" customHeight="1">
      <c r="A45" s="245" t="s">
        <v>403</v>
      </c>
      <c r="B45" s="255"/>
      <c r="C45" s="255"/>
      <c r="D45" s="246">
        <v>574.0</v>
      </c>
      <c r="E45" s="246">
        <v>571.0</v>
      </c>
      <c r="F45" s="246">
        <v>694.0</v>
      </c>
      <c r="G45" s="246">
        <v>624.0</v>
      </c>
      <c r="H45" s="246">
        <v>488.0</v>
      </c>
      <c r="I45" s="246">
        <v>744.0</v>
      </c>
      <c r="J45" s="246">
        <v>899.0</v>
      </c>
      <c r="K45" s="246">
        <v>1085.0</v>
      </c>
      <c r="L45" s="246">
        <v>1085.0</v>
      </c>
    </row>
    <row r="46" ht="15.75" customHeight="1">
      <c r="A46" s="245" t="s">
        <v>404</v>
      </c>
      <c r="B46" s="246">
        <v>2021.0</v>
      </c>
      <c r="C46" s="246">
        <v>2251.0</v>
      </c>
      <c r="D46" s="246">
        <v>2164.0</v>
      </c>
      <c r="E46" s="246">
        <v>2294.0</v>
      </c>
      <c r="F46" s="246">
        <v>2532.0</v>
      </c>
      <c r="G46" s="246">
        <v>1875.0</v>
      </c>
      <c r="H46" s="246">
        <v>2333.0</v>
      </c>
      <c r="I46" s="246">
        <v>2807.0</v>
      </c>
      <c r="J46" s="246">
        <v>2135.0</v>
      </c>
      <c r="K46" s="246">
        <v>2625.0</v>
      </c>
      <c r="L46" s="246">
        <v>2625.0</v>
      </c>
    </row>
    <row r="47" ht="15.75" customHeight="1">
      <c r="A47" s="245" t="s">
        <v>405</v>
      </c>
      <c r="B47" s="246">
        <v>1.81</v>
      </c>
      <c r="C47" s="246">
        <v>1.76</v>
      </c>
      <c r="D47" s="246">
        <v>2.22</v>
      </c>
      <c r="E47" s="246">
        <v>2.16</v>
      </c>
      <c r="F47" s="246">
        <v>2.52</v>
      </c>
      <c r="G47" s="246">
        <v>3.07</v>
      </c>
      <c r="H47" s="246">
        <v>2.55</v>
      </c>
      <c r="I47" s="246">
        <v>2.19</v>
      </c>
      <c r="J47" s="246">
        <v>3.05</v>
      </c>
      <c r="K47" s="246">
        <v>3.03</v>
      </c>
      <c r="L47" s="246">
        <v>3.03</v>
      </c>
    </row>
    <row r="48" ht="15.75" customHeight="1">
      <c r="A48" s="266" t="s">
        <v>282</v>
      </c>
      <c r="B48" s="11"/>
      <c r="C48" s="11"/>
      <c r="D48" s="11"/>
      <c r="E48" s="11"/>
      <c r="F48" s="11"/>
      <c r="G48" s="11"/>
      <c r="H48" s="11"/>
      <c r="I48" s="260"/>
      <c r="J48" s="260"/>
      <c r="K48" s="260"/>
      <c r="L48" s="260"/>
    </row>
    <row r="49" ht="15.75" customHeight="1">
      <c r="A49" s="266" t="s">
        <v>283</v>
      </c>
      <c r="B49" s="260"/>
      <c r="C49" s="260"/>
      <c r="D49" s="260"/>
      <c r="E49" s="260"/>
      <c r="F49" s="260"/>
      <c r="G49" s="260"/>
      <c r="H49" s="260"/>
      <c r="I49" s="260"/>
      <c r="J49" s="260"/>
      <c r="K49" s="260"/>
      <c r="L49" s="260"/>
    </row>
    <row r="50" ht="15.75" customHeight="1">
      <c r="A50" s="267" t="s">
        <v>406</v>
      </c>
      <c r="B50" s="260"/>
      <c r="C50" s="260"/>
      <c r="D50" s="260"/>
      <c r="E50" s="260"/>
      <c r="F50" s="260"/>
      <c r="G50" s="260"/>
      <c r="H50" s="260"/>
      <c r="I50" s="260"/>
      <c r="J50" s="260"/>
      <c r="K50" s="260"/>
      <c r="L50" s="260"/>
    </row>
    <row r="51" ht="15.75" customHeight="1">
      <c r="A51" s="267" t="s">
        <v>407</v>
      </c>
      <c r="B51" s="260"/>
      <c r="C51" s="260"/>
      <c r="D51" s="260"/>
      <c r="E51" s="260"/>
      <c r="F51" s="260"/>
      <c r="G51" s="260"/>
      <c r="H51" s="260"/>
      <c r="I51" s="260"/>
      <c r="J51" s="260"/>
      <c r="K51" s="260"/>
      <c r="L51" s="260"/>
    </row>
    <row r="52" ht="15.75" customHeight="1">
      <c r="A52" s="274"/>
      <c r="B52" s="11"/>
      <c r="C52" s="11"/>
      <c r="D52" s="11"/>
      <c r="E52" s="11"/>
      <c r="F52" s="11"/>
      <c r="G52" s="11"/>
      <c r="H52" s="11"/>
      <c r="I52" s="11"/>
      <c r="J52" s="11"/>
      <c r="K52" s="11"/>
      <c r="L52" s="11"/>
    </row>
    <row r="53" ht="15.75" customHeight="1">
      <c r="A53" s="274"/>
      <c r="B53" s="260"/>
      <c r="C53" s="260"/>
      <c r="D53" s="260"/>
      <c r="E53" s="260"/>
      <c r="F53" s="260"/>
      <c r="G53" s="260"/>
      <c r="H53" s="260"/>
      <c r="I53" s="260"/>
      <c r="J53" s="260"/>
      <c r="K53" s="260"/>
      <c r="L53" s="260"/>
    </row>
    <row r="54" ht="15.75" customHeight="1">
      <c r="A54" s="274"/>
      <c r="B54" s="260"/>
      <c r="C54" s="260"/>
      <c r="D54" s="260"/>
      <c r="E54" s="260"/>
      <c r="F54" s="260"/>
      <c r="G54" s="260"/>
      <c r="H54" s="260"/>
      <c r="I54" s="260"/>
      <c r="J54" s="260"/>
      <c r="K54" s="260"/>
      <c r="L54" s="260"/>
    </row>
    <row r="55" ht="15.75" customHeight="1">
      <c r="A55" s="274"/>
      <c r="B55" s="260"/>
      <c r="C55" s="260"/>
      <c r="D55" s="260"/>
      <c r="E55" s="260"/>
      <c r="F55" s="260"/>
      <c r="G55" s="260"/>
      <c r="H55" s="260"/>
      <c r="I55" s="260"/>
      <c r="J55" s="260"/>
      <c r="K55" s="260"/>
      <c r="L55" s="260"/>
    </row>
    <row r="56" ht="15.75" customHeight="1">
      <c r="A56" s="274"/>
      <c r="B56" s="260"/>
      <c r="C56" s="260"/>
      <c r="D56" s="260"/>
      <c r="E56" s="260"/>
      <c r="F56" s="260"/>
      <c r="G56" s="260"/>
      <c r="H56" s="260"/>
      <c r="I56" s="260"/>
      <c r="J56" s="260"/>
      <c r="K56" s="260"/>
      <c r="L56" s="260"/>
    </row>
    <row r="57" ht="15.75" customHeight="1">
      <c r="A57" s="274"/>
      <c r="B57" s="260"/>
      <c r="C57" s="260"/>
      <c r="D57" s="260"/>
      <c r="E57" s="260"/>
      <c r="F57" s="260"/>
      <c r="G57" s="260"/>
      <c r="H57" s="260"/>
      <c r="I57" s="260"/>
      <c r="J57" s="260"/>
      <c r="K57" s="260"/>
      <c r="L57" s="260"/>
    </row>
    <row r="58" ht="15.75" customHeight="1">
      <c r="A58" s="274"/>
      <c r="B58" s="260"/>
      <c r="C58" s="260"/>
      <c r="D58" s="260"/>
      <c r="E58" s="260"/>
      <c r="F58" s="260"/>
      <c r="G58" s="260"/>
      <c r="H58" s="260"/>
      <c r="I58" s="260"/>
      <c r="J58" s="260"/>
      <c r="K58" s="260"/>
      <c r="L58" s="260"/>
    </row>
    <row r="59" ht="15.75" customHeight="1">
      <c r="A59" s="274"/>
      <c r="B59" s="260"/>
      <c r="C59" s="260"/>
      <c r="D59" s="260"/>
      <c r="E59" s="260"/>
      <c r="F59" s="260"/>
      <c r="G59" s="260"/>
      <c r="H59" s="260"/>
      <c r="I59" s="260"/>
      <c r="J59" s="260"/>
      <c r="K59" s="260"/>
      <c r="L59" s="260"/>
    </row>
    <row r="60" ht="15.75" customHeight="1">
      <c r="A60" s="274"/>
      <c r="B60" s="260"/>
      <c r="C60" s="260"/>
      <c r="D60" s="260"/>
      <c r="E60" s="260"/>
      <c r="F60" s="260"/>
      <c r="G60" s="260"/>
      <c r="H60" s="260"/>
      <c r="I60" s="260"/>
      <c r="J60" s="260"/>
      <c r="K60" s="260"/>
      <c r="L60" s="260"/>
    </row>
    <row r="61" ht="15.75" customHeight="1">
      <c r="A61" s="274"/>
      <c r="B61" s="11"/>
      <c r="C61" s="11"/>
      <c r="D61" s="11"/>
      <c r="E61" s="11"/>
      <c r="F61" s="11"/>
      <c r="G61" s="11"/>
      <c r="H61" s="11"/>
      <c r="I61" s="11"/>
      <c r="J61" s="11"/>
      <c r="K61" s="11"/>
      <c r="L61" s="11"/>
    </row>
    <row r="62" ht="15.75" customHeight="1">
      <c r="A62" s="274"/>
      <c r="B62" s="260"/>
      <c r="C62" s="260"/>
      <c r="D62" s="260"/>
      <c r="E62" s="260"/>
      <c r="F62" s="260"/>
      <c r="G62" s="260"/>
      <c r="H62" s="260"/>
      <c r="I62" s="260"/>
      <c r="J62" s="260"/>
      <c r="K62" s="260"/>
      <c r="L62" s="260"/>
    </row>
    <row r="63" ht="15.75" customHeight="1">
      <c r="A63" s="274"/>
      <c r="B63" s="260"/>
      <c r="C63" s="260"/>
      <c r="D63" s="260"/>
      <c r="E63" s="260"/>
      <c r="F63" s="260"/>
      <c r="G63" s="260"/>
      <c r="H63" s="260"/>
      <c r="I63" s="260"/>
      <c r="J63" s="260"/>
      <c r="K63" s="260"/>
      <c r="L63" s="260"/>
    </row>
    <row r="64" ht="15.75" customHeight="1">
      <c r="A64" s="274"/>
      <c r="B64" s="11"/>
      <c r="C64" s="11"/>
      <c r="D64" s="11"/>
      <c r="E64" s="11"/>
      <c r="F64" s="11"/>
      <c r="G64" s="11"/>
      <c r="H64" s="11"/>
      <c r="I64" s="11"/>
      <c r="J64" s="11"/>
      <c r="K64" s="260"/>
      <c r="L64" s="260"/>
    </row>
    <row r="65" ht="15.75" customHeight="1">
      <c r="A65" s="274"/>
      <c r="B65" s="260"/>
      <c r="C65" s="260"/>
      <c r="D65" s="260"/>
      <c r="E65" s="260"/>
      <c r="F65" s="260"/>
      <c r="G65" s="260"/>
      <c r="H65" s="260"/>
      <c r="I65" s="260"/>
      <c r="J65" s="260"/>
      <c r="K65" s="260"/>
      <c r="L65" s="260"/>
    </row>
    <row r="66" ht="15.75" customHeight="1">
      <c r="A66" s="274"/>
      <c r="B66" s="11"/>
      <c r="C66" s="11"/>
      <c r="D66" s="11"/>
      <c r="E66" s="11"/>
      <c r="F66" s="11"/>
      <c r="G66" s="11"/>
      <c r="H66" s="11"/>
      <c r="I66" s="11"/>
      <c r="J66" s="11"/>
      <c r="K66" s="11"/>
      <c r="L66" s="11"/>
    </row>
    <row r="67" ht="15.75" customHeight="1">
      <c r="A67" s="274"/>
      <c r="B67" s="11"/>
      <c r="C67" s="11"/>
      <c r="D67" s="11"/>
      <c r="E67" s="11"/>
      <c r="F67" s="11"/>
      <c r="G67" s="11"/>
      <c r="H67" s="11"/>
      <c r="I67" s="11"/>
      <c r="J67" s="11"/>
      <c r="K67" s="11"/>
      <c r="L67" s="11"/>
    </row>
    <row r="68" ht="15.75" customHeight="1">
      <c r="A68" s="274"/>
      <c r="B68" s="11"/>
      <c r="C68" s="11"/>
      <c r="D68" s="11"/>
      <c r="E68" s="11"/>
      <c r="F68" s="11"/>
      <c r="G68" s="11"/>
      <c r="H68" s="11"/>
      <c r="I68" s="11"/>
      <c r="J68" s="11"/>
      <c r="K68" s="260"/>
      <c r="L68" s="260"/>
    </row>
    <row r="69" ht="15.75" customHeight="1">
      <c r="A69" s="274"/>
      <c r="B69" s="11"/>
      <c r="C69" s="11"/>
      <c r="D69" s="11"/>
      <c r="E69" s="11"/>
      <c r="F69" s="11"/>
      <c r="G69" s="11"/>
      <c r="H69" s="11"/>
      <c r="I69" s="11"/>
      <c r="J69" s="11"/>
      <c r="K69" s="260"/>
      <c r="L69" s="260"/>
    </row>
    <row r="70" ht="15.75" customHeight="1">
      <c r="A70" s="274"/>
      <c r="B70" s="260"/>
      <c r="C70" s="260"/>
      <c r="D70" s="260"/>
      <c r="E70" s="260"/>
      <c r="F70" s="260"/>
      <c r="G70" s="260"/>
      <c r="H70" s="260"/>
      <c r="I70" s="260"/>
      <c r="J70" s="260"/>
      <c r="K70" s="260"/>
      <c r="L70" s="260"/>
    </row>
    <row r="71" ht="15.75" customHeight="1">
      <c r="A71" s="274"/>
      <c r="B71" s="11"/>
      <c r="C71" s="11"/>
      <c r="D71" s="11"/>
      <c r="E71" s="11"/>
      <c r="F71" s="11"/>
      <c r="G71" s="11"/>
      <c r="H71" s="11"/>
      <c r="I71" s="11"/>
      <c r="J71" s="11"/>
      <c r="K71" s="11"/>
      <c r="L71" s="11"/>
    </row>
    <row r="72" ht="15.75" customHeight="1">
      <c r="A72" s="274"/>
      <c r="B72" s="11"/>
      <c r="C72" s="11"/>
      <c r="D72" s="11"/>
      <c r="E72" s="11"/>
      <c r="F72" s="11"/>
      <c r="G72" s="11"/>
      <c r="H72" s="11"/>
      <c r="I72" s="11"/>
      <c r="J72" s="11"/>
      <c r="K72" s="11"/>
      <c r="L72" s="11"/>
    </row>
    <row r="73" ht="15.75" customHeight="1">
      <c r="A73" s="274"/>
      <c r="B73" s="11"/>
      <c r="C73" s="11"/>
      <c r="D73" s="11"/>
      <c r="E73" s="11"/>
      <c r="F73" s="11"/>
      <c r="G73" s="11"/>
      <c r="H73" s="11"/>
      <c r="I73" s="11"/>
      <c r="J73" s="11"/>
      <c r="K73" s="11"/>
      <c r="L73" s="11"/>
    </row>
    <row r="74" ht="15.75" customHeight="1">
      <c r="A74" s="274"/>
      <c r="B74" s="11"/>
      <c r="C74" s="11"/>
      <c r="D74" s="11"/>
      <c r="E74" s="11"/>
      <c r="F74" s="11"/>
      <c r="G74" s="11"/>
      <c r="H74" s="11"/>
      <c r="I74" s="11"/>
      <c r="J74" s="11"/>
      <c r="K74" s="11"/>
      <c r="L74" s="11"/>
    </row>
    <row r="75" ht="15.75" customHeight="1">
      <c r="A75" s="274"/>
      <c r="B75" s="11"/>
      <c r="C75" s="11"/>
      <c r="D75" s="11"/>
      <c r="E75" s="11"/>
      <c r="F75" s="11"/>
      <c r="G75" s="11"/>
      <c r="H75" s="11"/>
      <c r="I75" s="11"/>
      <c r="J75" s="11"/>
      <c r="K75" s="11"/>
      <c r="L75" s="11"/>
    </row>
    <row r="76" ht="15.75" customHeight="1">
      <c r="A76" s="274"/>
      <c r="B76" s="11"/>
      <c r="C76" s="11"/>
      <c r="D76" s="11"/>
      <c r="E76" s="11"/>
      <c r="F76" s="11"/>
      <c r="G76" s="11"/>
      <c r="H76" s="11"/>
      <c r="I76" s="11"/>
      <c r="J76" s="11"/>
      <c r="K76" s="11"/>
      <c r="L76" s="11"/>
    </row>
    <row r="77" ht="15.75" customHeight="1">
      <c r="A77" s="274"/>
      <c r="B77" s="11"/>
      <c r="C77" s="11"/>
      <c r="D77" s="11"/>
      <c r="E77" s="11"/>
      <c r="F77" s="11"/>
      <c r="G77" s="11"/>
      <c r="H77" s="11"/>
      <c r="I77" s="11"/>
      <c r="J77" s="11"/>
      <c r="K77" s="11"/>
      <c r="L77" s="11"/>
    </row>
    <row r="78" ht="15.75" customHeight="1">
      <c r="A78" s="274"/>
      <c r="B78" s="11"/>
      <c r="C78" s="11"/>
      <c r="D78" s="11"/>
      <c r="E78" s="11"/>
      <c r="F78" s="11"/>
      <c r="G78" s="11"/>
      <c r="H78" s="11"/>
      <c r="I78" s="11"/>
      <c r="J78" s="11"/>
      <c r="K78" s="11"/>
      <c r="L78" s="11"/>
    </row>
    <row r="79" ht="15.75" customHeight="1">
      <c r="A79" s="274"/>
      <c r="B79" s="11"/>
      <c r="C79" s="11"/>
      <c r="D79" s="11"/>
      <c r="E79" s="11"/>
      <c r="F79" s="11"/>
      <c r="G79" s="11"/>
      <c r="H79" s="11"/>
      <c r="I79" s="11"/>
      <c r="J79" s="11"/>
      <c r="K79" s="11"/>
      <c r="L79" s="11"/>
    </row>
    <row r="80" ht="15.75" customHeight="1">
      <c r="A80" s="274"/>
      <c r="B80" s="11"/>
      <c r="C80" s="11"/>
      <c r="D80" s="11"/>
      <c r="E80" s="11"/>
      <c r="F80" s="11"/>
      <c r="G80" s="11"/>
      <c r="H80" s="11"/>
      <c r="I80" s="11"/>
      <c r="J80" s="11"/>
      <c r="K80" s="11"/>
      <c r="L80" s="11"/>
    </row>
    <row r="81" ht="15.75" customHeight="1">
      <c r="A81" s="274"/>
      <c r="B81" s="11"/>
      <c r="C81" s="11"/>
      <c r="D81" s="11"/>
      <c r="E81" s="11"/>
      <c r="F81" s="11"/>
      <c r="G81" s="11"/>
      <c r="H81" s="11"/>
      <c r="I81" s="11"/>
      <c r="J81" s="11"/>
      <c r="K81" s="11"/>
      <c r="L81" s="11"/>
    </row>
    <row r="82" ht="15.75" customHeight="1">
      <c r="A82" s="274"/>
      <c r="B82" s="11"/>
      <c r="C82" s="11"/>
      <c r="D82" s="11"/>
      <c r="E82" s="11"/>
      <c r="F82" s="11"/>
      <c r="G82" s="11"/>
      <c r="H82" s="11"/>
      <c r="I82" s="11"/>
      <c r="J82" s="11"/>
      <c r="K82" s="11"/>
      <c r="L82" s="11"/>
    </row>
    <row r="83" ht="15.75" customHeight="1">
      <c r="A83" s="274"/>
      <c r="B83" s="11"/>
      <c r="C83" s="11"/>
      <c r="D83" s="11"/>
      <c r="E83" s="11"/>
      <c r="F83" s="11"/>
      <c r="G83" s="11"/>
      <c r="H83" s="11"/>
      <c r="I83" s="11"/>
      <c r="J83" s="11"/>
      <c r="K83" s="11"/>
      <c r="L83" s="11"/>
    </row>
    <row r="84" ht="15.75" customHeight="1">
      <c r="A84" s="274"/>
      <c r="B84" s="11"/>
      <c r="C84" s="11"/>
      <c r="D84" s="11"/>
      <c r="E84" s="11"/>
      <c r="F84" s="11"/>
      <c r="G84" s="11"/>
      <c r="H84" s="11"/>
      <c r="I84" s="11"/>
      <c r="J84" s="11"/>
      <c r="K84" s="11"/>
      <c r="L84" s="11"/>
    </row>
    <row r="85" ht="15.75" customHeight="1">
      <c r="A85" s="274"/>
      <c r="B85" s="11"/>
      <c r="C85" s="11"/>
      <c r="D85" s="11"/>
      <c r="E85" s="11"/>
      <c r="F85" s="11"/>
      <c r="G85" s="11"/>
      <c r="H85" s="11"/>
      <c r="I85" s="11"/>
      <c r="J85" s="11"/>
      <c r="K85" s="11"/>
      <c r="L85" s="11"/>
    </row>
    <row r="86" ht="15.75" customHeight="1">
      <c r="A86" s="274"/>
      <c r="B86" s="11"/>
      <c r="C86" s="11"/>
      <c r="D86" s="11"/>
      <c r="E86" s="11"/>
      <c r="F86" s="11"/>
      <c r="G86" s="11"/>
      <c r="H86" s="11"/>
      <c r="I86" s="11"/>
      <c r="J86" s="11"/>
      <c r="K86" s="11"/>
      <c r="L86" s="11"/>
    </row>
    <row r="87" ht="15.75" customHeight="1">
      <c r="A87" s="274"/>
      <c r="B87" s="11"/>
      <c r="C87" s="11"/>
      <c r="D87" s="11"/>
      <c r="E87" s="11"/>
      <c r="F87" s="11"/>
      <c r="G87" s="11"/>
      <c r="H87" s="11"/>
      <c r="I87" s="11"/>
      <c r="J87" s="11"/>
      <c r="K87" s="11"/>
      <c r="L87" s="11"/>
    </row>
    <row r="88" ht="15.75" customHeight="1">
      <c r="A88" s="274"/>
      <c r="B88" s="11"/>
      <c r="C88" s="11"/>
      <c r="D88" s="11"/>
      <c r="E88" s="11"/>
      <c r="F88" s="11"/>
      <c r="G88" s="11"/>
      <c r="H88" s="11"/>
      <c r="I88" s="11"/>
      <c r="J88" s="11"/>
      <c r="K88" s="11"/>
      <c r="L88" s="11"/>
    </row>
    <row r="89" ht="15.75" customHeight="1">
      <c r="A89" s="274"/>
      <c r="B89" s="11"/>
      <c r="C89" s="11"/>
      <c r="D89" s="11"/>
      <c r="E89" s="11"/>
      <c r="F89" s="11"/>
      <c r="G89" s="11"/>
      <c r="H89" s="11"/>
      <c r="I89" s="11"/>
      <c r="J89" s="11"/>
      <c r="K89" s="11"/>
      <c r="L89" s="11"/>
    </row>
    <row r="90" ht="15.75" customHeight="1">
      <c r="A90" s="274"/>
      <c r="B90" s="11"/>
      <c r="C90" s="11"/>
      <c r="D90" s="11"/>
      <c r="E90" s="11"/>
      <c r="F90" s="11"/>
      <c r="G90" s="11"/>
      <c r="H90" s="11"/>
      <c r="I90" s="11"/>
      <c r="J90" s="11"/>
      <c r="K90" s="11"/>
      <c r="L90" s="11"/>
    </row>
    <row r="91" ht="15.75" customHeight="1">
      <c r="A91" s="274"/>
      <c r="B91" s="11"/>
      <c r="C91" s="11"/>
      <c r="D91" s="11"/>
      <c r="E91" s="11"/>
      <c r="F91" s="11"/>
      <c r="G91" s="11"/>
      <c r="H91" s="11"/>
      <c r="I91" s="11"/>
      <c r="J91" s="11"/>
      <c r="K91" s="11"/>
      <c r="L91" s="11"/>
    </row>
    <row r="92" ht="15.75" customHeight="1">
      <c r="A92" s="274"/>
      <c r="B92" s="11"/>
      <c r="C92" s="11"/>
      <c r="D92" s="11"/>
      <c r="E92" s="11"/>
      <c r="F92" s="11"/>
      <c r="G92" s="11"/>
      <c r="H92" s="11"/>
      <c r="I92" s="11"/>
      <c r="J92" s="11"/>
      <c r="K92" s="11"/>
      <c r="L92" s="11"/>
    </row>
    <row r="93" ht="15.75" customHeight="1">
      <c r="A93" s="274"/>
      <c r="B93" s="11"/>
      <c r="C93" s="11"/>
      <c r="D93" s="11"/>
      <c r="E93" s="11"/>
      <c r="F93" s="11"/>
      <c r="G93" s="11"/>
      <c r="H93" s="11"/>
      <c r="I93" s="11"/>
      <c r="J93" s="11"/>
      <c r="K93" s="11"/>
      <c r="L93" s="11"/>
    </row>
    <row r="94" ht="15.75" customHeight="1">
      <c r="A94" s="274"/>
      <c r="B94" s="11"/>
      <c r="C94" s="11"/>
      <c r="D94" s="11"/>
      <c r="E94" s="11"/>
      <c r="F94" s="11"/>
      <c r="G94" s="11"/>
      <c r="H94" s="11"/>
      <c r="I94" s="11"/>
      <c r="J94" s="11"/>
      <c r="K94" s="11"/>
      <c r="L94" s="11"/>
    </row>
    <row r="95" ht="15.75" customHeight="1">
      <c r="A95" s="274"/>
      <c r="B95" s="11"/>
      <c r="C95" s="11"/>
      <c r="D95" s="11"/>
      <c r="E95" s="11"/>
      <c r="F95" s="11"/>
      <c r="G95" s="11"/>
      <c r="H95" s="11"/>
      <c r="I95" s="11"/>
      <c r="J95" s="11"/>
      <c r="K95" s="11"/>
      <c r="L95" s="11"/>
    </row>
    <row r="96" ht="15.75" customHeight="1">
      <c r="A96" s="274"/>
      <c r="B96" s="11"/>
      <c r="C96" s="11"/>
      <c r="D96" s="11"/>
      <c r="E96" s="11"/>
      <c r="F96" s="11"/>
      <c r="G96" s="11"/>
      <c r="H96" s="11"/>
      <c r="I96" s="11"/>
      <c r="J96" s="11"/>
      <c r="K96" s="11"/>
      <c r="L96" s="11"/>
    </row>
    <row r="97" ht="15.75" customHeight="1">
      <c r="A97" s="274"/>
      <c r="B97" s="11"/>
      <c r="C97" s="11"/>
      <c r="D97" s="11"/>
      <c r="E97" s="11"/>
      <c r="F97" s="11"/>
      <c r="G97" s="11"/>
      <c r="H97" s="11"/>
      <c r="I97" s="11"/>
      <c r="J97" s="11"/>
      <c r="K97" s="11"/>
      <c r="L97" s="11"/>
    </row>
    <row r="98" ht="15.75" customHeight="1">
      <c r="A98" s="274"/>
      <c r="B98" s="11"/>
      <c r="C98" s="11"/>
      <c r="D98" s="11"/>
      <c r="E98" s="11"/>
      <c r="F98" s="11"/>
      <c r="G98" s="11"/>
      <c r="H98" s="11"/>
      <c r="I98" s="11"/>
      <c r="J98" s="11"/>
      <c r="K98" s="11"/>
      <c r="L98" s="11"/>
    </row>
    <row r="99" ht="15.75" customHeight="1">
      <c r="A99" s="274"/>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41"/>
    <hyperlink r:id="rId2" ref="A50"/>
    <hyperlink r:id="rId3" ref="A51"/>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5"/>
      <c r="D1" s="75"/>
      <c r="E1" s="75"/>
      <c r="F1" s="20"/>
      <c r="G1" s="20"/>
      <c r="H1" s="20"/>
      <c r="I1" s="20"/>
      <c r="J1" s="20"/>
      <c r="K1" s="20"/>
      <c r="L1" s="20"/>
      <c r="M1" s="20"/>
      <c r="N1" s="20"/>
      <c r="O1" s="20"/>
      <c r="P1" s="20"/>
      <c r="Q1" s="20"/>
      <c r="R1" s="20"/>
      <c r="S1" s="21"/>
      <c r="T1" s="21"/>
      <c r="U1" s="21"/>
      <c r="V1" s="21"/>
      <c r="W1" s="21"/>
      <c r="X1" s="21"/>
      <c r="Y1" s="21"/>
      <c r="Z1" s="21"/>
    </row>
    <row r="2" ht="30.0" customHeight="1">
      <c r="A2" s="20"/>
      <c r="B2" s="77" t="s">
        <v>408</v>
      </c>
      <c r="C2" s="77" t="s">
        <v>409</v>
      </c>
      <c r="D2" s="77" t="s">
        <v>410</v>
      </c>
      <c r="E2" s="77" t="s">
        <v>411</v>
      </c>
      <c r="F2" s="275"/>
      <c r="G2" s="275"/>
      <c r="H2" s="275"/>
      <c r="I2" s="275"/>
      <c r="J2" s="275"/>
      <c r="K2" s="275"/>
      <c r="L2" s="275"/>
      <c r="M2" s="276"/>
      <c r="N2" s="276"/>
      <c r="O2" s="277"/>
      <c r="P2" s="20"/>
      <c r="Q2" s="20"/>
      <c r="R2" s="20"/>
      <c r="S2" s="20"/>
      <c r="T2" s="20"/>
      <c r="U2" s="21"/>
      <c r="V2" s="21"/>
      <c r="W2" s="21"/>
      <c r="X2" s="21"/>
      <c r="Y2" s="21"/>
      <c r="Z2" s="21"/>
    </row>
    <row r="3" ht="30.0" customHeight="1">
      <c r="A3" s="20"/>
      <c r="B3" s="278" t="s">
        <v>20</v>
      </c>
      <c r="C3" s="279" t="s">
        <v>412</v>
      </c>
      <c r="D3" s="279" t="s">
        <v>413</v>
      </c>
      <c r="E3" s="279" t="s">
        <v>414</v>
      </c>
      <c r="F3" s="280"/>
      <c r="G3" s="280"/>
      <c r="H3" s="280"/>
      <c r="I3" s="280"/>
      <c r="J3" s="280"/>
      <c r="K3" s="280"/>
      <c r="L3" s="280"/>
      <c r="M3" s="280"/>
      <c r="N3" s="280"/>
      <c r="O3" s="75"/>
      <c r="P3" s="20"/>
      <c r="Q3" s="20"/>
      <c r="R3" s="20"/>
      <c r="S3" s="20"/>
      <c r="T3" s="20"/>
      <c r="U3" s="21"/>
      <c r="V3" s="21"/>
      <c r="W3" s="21"/>
      <c r="X3" s="21"/>
      <c r="Y3" s="21"/>
      <c r="Z3" s="21"/>
    </row>
    <row r="4" ht="30.0" customHeight="1">
      <c r="A4" s="20"/>
      <c r="B4" s="281" t="s">
        <v>91</v>
      </c>
      <c r="C4" s="282" t="s">
        <v>415</v>
      </c>
      <c r="D4" s="282" t="s">
        <v>416</v>
      </c>
      <c r="E4" s="282" t="s">
        <v>417</v>
      </c>
      <c r="F4" s="280"/>
      <c r="G4" s="280"/>
      <c r="H4" s="280"/>
      <c r="I4" s="280"/>
      <c r="J4" s="280"/>
      <c r="K4" s="280"/>
      <c r="L4" s="280"/>
      <c r="M4" s="280"/>
      <c r="N4" s="280"/>
      <c r="O4" s="75"/>
      <c r="P4" s="20"/>
      <c r="Q4" s="20"/>
      <c r="R4" s="20"/>
      <c r="S4" s="20"/>
      <c r="T4" s="20"/>
      <c r="U4" s="21"/>
      <c r="V4" s="21"/>
      <c r="W4" s="21"/>
      <c r="X4" s="21"/>
      <c r="Y4" s="21"/>
      <c r="Z4" s="21"/>
    </row>
    <row r="5" ht="30.0" customHeight="1">
      <c r="A5" s="20"/>
      <c r="B5" s="278" t="s">
        <v>31</v>
      </c>
      <c r="C5" s="279" t="s">
        <v>418</v>
      </c>
      <c r="D5" s="279" t="s">
        <v>419</v>
      </c>
      <c r="E5" s="279" t="s">
        <v>420</v>
      </c>
      <c r="F5" s="280"/>
      <c r="G5" s="280"/>
      <c r="H5" s="280"/>
      <c r="I5" s="280"/>
      <c r="J5" s="280"/>
      <c r="K5" s="280"/>
      <c r="L5" s="280"/>
      <c r="M5" s="280"/>
      <c r="N5" s="280"/>
      <c r="O5" s="75"/>
      <c r="P5" s="20"/>
      <c r="Q5" s="20"/>
      <c r="R5" s="20"/>
      <c r="S5" s="20"/>
      <c r="T5" s="20"/>
      <c r="U5" s="21"/>
      <c r="V5" s="21"/>
      <c r="W5" s="21"/>
      <c r="X5" s="21"/>
      <c r="Y5" s="21"/>
      <c r="Z5" s="21"/>
    </row>
    <row r="6" ht="30.0" customHeight="1">
      <c r="A6" s="20"/>
      <c r="B6" s="281" t="s">
        <v>36</v>
      </c>
      <c r="C6" s="282" t="s">
        <v>421</v>
      </c>
      <c r="D6" s="282" t="s">
        <v>422</v>
      </c>
      <c r="E6" s="282"/>
      <c r="F6" s="280"/>
      <c r="G6" s="280"/>
      <c r="H6" s="280"/>
      <c r="I6" s="280"/>
      <c r="J6" s="280"/>
      <c r="K6" s="280"/>
      <c r="L6" s="280"/>
      <c r="M6" s="280"/>
      <c r="N6" s="280"/>
      <c r="O6" s="75"/>
      <c r="P6" s="20"/>
      <c r="Q6" s="20"/>
      <c r="R6" s="20"/>
      <c r="S6" s="20"/>
      <c r="T6" s="20"/>
      <c r="U6" s="21"/>
      <c r="V6" s="21"/>
      <c r="W6" s="21"/>
      <c r="X6" s="21"/>
      <c r="Y6" s="21"/>
      <c r="Z6" s="21"/>
    </row>
    <row r="7" ht="30.0" customHeight="1">
      <c r="A7" s="20"/>
      <c r="B7" s="278" t="s">
        <v>38</v>
      </c>
      <c r="C7" s="283" t="s">
        <v>423</v>
      </c>
      <c r="D7" s="279"/>
      <c r="E7" s="279"/>
      <c r="F7" s="280"/>
      <c r="G7" s="280"/>
      <c r="H7" s="280"/>
      <c r="I7" s="280"/>
      <c r="J7" s="280"/>
      <c r="K7" s="280"/>
      <c r="L7" s="280"/>
      <c r="M7" s="280"/>
      <c r="N7" s="280"/>
      <c r="O7" s="75"/>
      <c r="P7" s="20"/>
      <c r="Q7" s="20"/>
      <c r="R7" s="20"/>
      <c r="S7" s="20"/>
      <c r="T7" s="20"/>
      <c r="U7" s="21"/>
      <c r="V7" s="21"/>
      <c r="W7" s="21"/>
      <c r="X7" s="21"/>
      <c r="Y7" s="21"/>
      <c r="Z7" s="21"/>
    </row>
    <row r="8" ht="24.75" customHeight="1">
      <c r="A8" s="20"/>
      <c r="B8" s="21"/>
      <c r="C8" s="21"/>
      <c r="D8" s="21"/>
      <c r="E8" s="21"/>
      <c r="F8" s="280"/>
      <c r="G8" s="280"/>
      <c r="H8" s="280"/>
      <c r="I8" s="280"/>
      <c r="J8" s="280"/>
      <c r="K8" s="280"/>
      <c r="L8" s="280"/>
      <c r="M8" s="280"/>
      <c r="N8" s="280"/>
      <c r="O8" s="75"/>
      <c r="P8" s="20"/>
      <c r="Q8" s="20"/>
      <c r="R8" s="20"/>
      <c r="S8" s="20"/>
      <c r="T8" s="20"/>
      <c r="U8" s="21"/>
      <c r="V8" s="21"/>
      <c r="W8" s="21"/>
      <c r="X8" s="21"/>
      <c r="Y8" s="21"/>
      <c r="Z8" s="21"/>
    </row>
    <row r="9" ht="30.0" customHeight="1">
      <c r="A9" s="20"/>
      <c r="B9" s="284" t="s">
        <v>85</v>
      </c>
      <c r="C9" s="77" t="s">
        <v>409</v>
      </c>
      <c r="D9" s="77" t="s">
        <v>410</v>
      </c>
      <c r="E9" s="77" t="s">
        <v>411</v>
      </c>
      <c r="F9" s="280"/>
      <c r="G9" s="280"/>
      <c r="H9" s="280"/>
      <c r="I9" s="280"/>
      <c r="J9" s="280"/>
      <c r="K9" s="280"/>
      <c r="L9" s="280"/>
      <c r="M9" s="280"/>
      <c r="N9" s="280"/>
      <c r="O9" s="75"/>
      <c r="P9" s="20"/>
      <c r="Q9" s="20"/>
      <c r="R9" s="20"/>
      <c r="S9" s="20"/>
      <c r="T9" s="20"/>
      <c r="U9" s="21"/>
      <c r="V9" s="21"/>
      <c r="W9" s="21"/>
      <c r="X9" s="21"/>
      <c r="Y9" s="21"/>
      <c r="Z9" s="21"/>
    </row>
    <row r="10" ht="30.0" customHeight="1">
      <c r="A10" s="20"/>
      <c r="B10" s="278" t="s">
        <v>424</v>
      </c>
      <c r="C10" s="279" t="s">
        <v>425</v>
      </c>
      <c r="D10" s="283"/>
      <c r="E10" s="285"/>
      <c r="F10" s="280"/>
      <c r="G10" s="280"/>
      <c r="H10" s="280"/>
      <c r="I10" s="280"/>
      <c r="J10" s="280"/>
      <c r="K10" s="280"/>
      <c r="L10" s="280"/>
      <c r="M10" s="280"/>
      <c r="N10" s="280"/>
      <c r="O10" s="75"/>
      <c r="P10" s="20"/>
      <c r="Q10" s="20"/>
      <c r="R10" s="20"/>
      <c r="S10" s="20"/>
      <c r="T10" s="20"/>
      <c r="U10" s="21"/>
      <c r="V10" s="21"/>
      <c r="W10" s="21"/>
      <c r="X10" s="21"/>
      <c r="Y10" s="21"/>
      <c r="Z10" s="21"/>
    </row>
    <row r="11" ht="30.0" customHeight="1">
      <c r="A11" s="20"/>
      <c r="B11" s="281" t="s">
        <v>426</v>
      </c>
      <c r="C11" s="286" t="s">
        <v>427</v>
      </c>
      <c r="D11" s="286"/>
      <c r="E11" s="287"/>
      <c r="F11" s="280"/>
      <c r="G11" s="280"/>
      <c r="H11" s="280"/>
      <c r="I11" s="280"/>
      <c r="J11" s="280"/>
      <c r="K11" s="280"/>
      <c r="L11" s="280"/>
      <c r="M11" s="280"/>
      <c r="N11" s="280"/>
      <c r="O11" s="75"/>
      <c r="P11" s="20"/>
      <c r="Q11" s="20"/>
      <c r="R11" s="20"/>
      <c r="S11" s="20"/>
      <c r="T11" s="20"/>
      <c r="U11" s="21"/>
      <c r="V11" s="21"/>
      <c r="W11" s="21"/>
      <c r="X11" s="21"/>
      <c r="Y11" s="21"/>
      <c r="Z11" s="21"/>
    </row>
    <row r="12" ht="30.0" customHeight="1">
      <c r="A12" s="20"/>
      <c r="B12" s="278" t="s">
        <v>90</v>
      </c>
      <c r="C12" s="279" t="s">
        <v>428</v>
      </c>
      <c r="D12" s="279" t="s">
        <v>429</v>
      </c>
      <c r="E12" s="288"/>
      <c r="F12" s="280"/>
      <c r="G12" s="280"/>
      <c r="H12" s="280"/>
      <c r="I12" s="280"/>
      <c r="J12" s="280"/>
      <c r="K12" s="280"/>
      <c r="L12" s="280"/>
      <c r="M12" s="280"/>
      <c r="N12" s="280"/>
      <c r="O12" s="75"/>
      <c r="P12" s="20"/>
      <c r="Q12" s="20"/>
      <c r="R12" s="20"/>
      <c r="S12" s="20"/>
      <c r="T12" s="20"/>
      <c r="U12" s="21"/>
      <c r="V12" s="21"/>
      <c r="W12" s="21"/>
      <c r="X12" s="21"/>
      <c r="Y12" s="21"/>
      <c r="Z12" s="21"/>
    </row>
    <row r="13" ht="30.0" customHeight="1">
      <c r="A13" s="20"/>
      <c r="B13" s="281" t="s">
        <v>101</v>
      </c>
      <c r="C13" s="286" t="s">
        <v>430</v>
      </c>
      <c r="D13" s="286"/>
      <c r="E13" s="287"/>
      <c r="F13" s="280"/>
      <c r="G13" s="280"/>
      <c r="H13" s="280"/>
      <c r="I13" s="280"/>
      <c r="J13" s="280"/>
      <c r="K13" s="280"/>
      <c r="L13" s="280"/>
      <c r="M13" s="280"/>
      <c r="N13" s="280"/>
      <c r="O13" s="75"/>
      <c r="P13" s="20"/>
      <c r="Q13" s="20"/>
      <c r="R13" s="20"/>
      <c r="S13" s="20"/>
      <c r="T13" s="20"/>
      <c r="U13" s="21"/>
      <c r="V13" s="21"/>
      <c r="W13" s="21"/>
      <c r="X13" s="21"/>
      <c r="Y13" s="21"/>
      <c r="Z13" s="21"/>
    </row>
    <row r="14" ht="30.0" customHeight="1">
      <c r="A14" s="20"/>
      <c r="B14" s="278" t="s">
        <v>102</v>
      </c>
      <c r="C14" s="283" t="s">
        <v>431</v>
      </c>
      <c r="D14" s="283"/>
      <c r="E14" s="285"/>
      <c r="F14" s="280"/>
      <c r="G14" s="280"/>
      <c r="H14" s="280"/>
      <c r="I14" s="280"/>
      <c r="J14" s="280"/>
      <c r="K14" s="280"/>
      <c r="L14" s="280"/>
      <c r="M14" s="280"/>
      <c r="N14" s="280"/>
      <c r="O14" s="75"/>
      <c r="P14" s="20"/>
      <c r="Q14" s="20"/>
      <c r="R14" s="20"/>
      <c r="S14" s="20"/>
      <c r="T14" s="20"/>
      <c r="U14" s="21"/>
      <c r="V14" s="21"/>
      <c r="W14" s="21"/>
      <c r="X14" s="21"/>
      <c r="Y14" s="21"/>
      <c r="Z14" s="21"/>
    </row>
    <row r="15" ht="30.0" customHeight="1">
      <c r="A15" s="20"/>
      <c r="B15" s="281" t="s">
        <v>100</v>
      </c>
      <c r="C15" s="286" t="s">
        <v>432</v>
      </c>
      <c r="D15" s="286"/>
      <c r="E15" s="287"/>
      <c r="F15" s="280"/>
      <c r="G15" s="280"/>
      <c r="H15" s="280"/>
      <c r="I15" s="280"/>
      <c r="J15" s="280"/>
      <c r="K15" s="280"/>
      <c r="L15" s="280"/>
      <c r="M15" s="280"/>
      <c r="N15" s="280"/>
      <c r="O15" s="75"/>
      <c r="P15" s="20"/>
      <c r="Q15" s="20"/>
      <c r="R15" s="20"/>
      <c r="S15" s="20"/>
      <c r="T15" s="20"/>
      <c r="U15" s="21"/>
      <c r="V15" s="21"/>
      <c r="W15" s="21"/>
      <c r="X15" s="21"/>
      <c r="Y15" s="21"/>
      <c r="Z15" s="21"/>
    </row>
    <row r="16" ht="30.0" customHeight="1">
      <c r="A16" s="20"/>
      <c r="B16" s="278" t="s">
        <v>99</v>
      </c>
      <c r="C16" s="283" t="s">
        <v>433</v>
      </c>
      <c r="D16" s="283" t="s">
        <v>434</v>
      </c>
      <c r="E16" s="285"/>
      <c r="F16" s="280"/>
      <c r="G16" s="280"/>
      <c r="H16" s="280"/>
      <c r="I16" s="280"/>
      <c r="J16" s="280"/>
      <c r="K16" s="280"/>
      <c r="L16" s="280"/>
      <c r="M16" s="280"/>
      <c r="N16" s="280"/>
      <c r="O16" s="75"/>
      <c r="P16" s="20"/>
      <c r="Q16" s="20"/>
      <c r="R16" s="20"/>
      <c r="S16" s="20"/>
      <c r="T16" s="20"/>
      <c r="U16" s="21"/>
      <c r="V16" s="21"/>
      <c r="W16" s="21"/>
      <c r="X16" s="21"/>
      <c r="Y16" s="21"/>
      <c r="Z16" s="21"/>
    </row>
    <row r="17" ht="24.75" customHeight="1">
      <c r="A17" s="20"/>
      <c r="B17" s="21"/>
      <c r="C17" s="21"/>
      <c r="D17" s="21"/>
      <c r="E17" s="21"/>
      <c r="F17" s="289"/>
      <c r="G17" s="289"/>
      <c r="H17" s="289"/>
      <c r="I17" s="289"/>
      <c r="J17" s="289"/>
      <c r="K17" s="289"/>
      <c r="L17" s="289"/>
      <c r="M17" s="289"/>
      <c r="N17" s="289"/>
      <c r="O17" s="290"/>
      <c r="P17" s="20"/>
      <c r="Q17" s="20"/>
      <c r="R17" s="20"/>
      <c r="S17" s="20"/>
      <c r="T17" s="20"/>
      <c r="U17" s="21"/>
      <c r="V17" s="21"/>
      <c r="W17" s="21"/>
      <c r="X17" s="21"/>
      <c r="Y17" s="21"/>
      <c r="Z17" s="21"/>
    </row>
    <row r="18" ht="30.0" customHeight="1">
      <c r="A18" s="20"/>
      <c r="B18" s="284" t="s">
        <v>435</v>
      </c>
      <c r="C18" s="77" t="s">
        <v>409</v>
      </c>
      <c r="D18" s="77" t="s">
        <v>410</v>
      </c>
      <c r="E18" s="77" t="s">
        <v>411</v>
      </c>
      <c r="F18" s="291"/>
      <c r="G18" s="291"/>
      <c r="H18" s="291"/>
      <c r="I18" s="291"/>
      <c r="J18" s="291"/>
      <c r="K18" s="291"/>
      <c r="L18" s="291"/>
      <c r="M18" s="291"/>
      <c r="N18" s="291"/>
      <c r="O18" s="290"/>
      <c r="P18" s="20"/>
      <c r="Q18" s="20"/>
      <c r="R18" s="20"/>
      <c r="S18" s="20"/>
      <c r="T18" s="20"/>
      <c r="U18" s="21"/>
      <c r="V18" s="21"/>
      <c r="W18" s="21"/>
      <c r="X18" s="21"/>
      <c r="Y18" s="21"/>
      <c r="Z18" s="21"/>
    </row>
    <row r="19" ht="30.0" customHeight="1">
      <c r="A19" s="20"/>
      <c r="B19" s="278" t="s">
        <v>20</v>
      </c>
      <c r="C19" s="283" t="s">
        <v>436</v>
      </c>
      <c r="D19" s="283"/>
      <c r="E19" s="285"/>
      <c r="F19" s="280"/>
      <c r="G19" s="280"/>
      <c r="H19" s="280"/>
      <c r="I19" s="280"/>
      <c r="J19" s="280"/>
      <c r="K19" s="280"/>
      <c r="L19" s="280"/>
      <c r="M19" s="280"/>
      <c r="N19" s="280"/>
      <c r="O19" s="290"/>
      <c r="P19" s="20"/>
      <c r="Q19" s="20"/>
      <c r="R19" s="20"/>
      <c r="S19" s="20"/>
      <c r="T19" s="20"/>
      <c r="U19" s="21"/>
      <c r="V19" s="21"/>
      <c r="W19" s="21"/>
      <c r="X19" s="21"/>
      <c r="Y19" s="21"/>
      <c r="Z19" s="21"/>
    </row>
    <row r="20" ht="30.0" customHeight="1">
      <c r="A20" s="20"/>
      <c r="B20" s="281" t="s">
        <v>91</v>
      </c>
      <c r="C20" s="286" t="s">
        <v>437</v>
      </c>
      <c r="D20" s="286"/>
      <c r="E20" s="287"/>
      <c r="F20" s="280"/>
      <c r="G20" s="280"/>
      <c r="H20" s="280"/>
      <c r="I20" s="280"/>
      <c r="J20" s="280"/>
      <c r="K20" s="280"/>
      <c r="L20" s="280"/>
      <c r="M20" s="280"/>
      <c r="N20" s="280"/>
      <c r="O20" s="290"/>
      <c r="P20" s="20"/>
      <c r="Q20" s="20"/>
      <c r="R20" s="20"/>
      <c r="S20" s="20"/>
      <c r="T20" s="20"/>
      <c r="U20" s="21"/>
      <c r="V20" s="21"/>
      <c r="W20" s="21"/>
      <c r="X20" s="21"/>
      <c r="Y20" s="21"/>
      <c r="Z20" s="21"/>
    </row>
    <row r="21" ht="30.0" customHeight="1">
      <c r="A21" s="20"/>
      <c r="B21" s="278" t="s">
        <v>438</v>
      </c>
      <c r="C21" s="283" t="s">
        <v>439</v>
      </c>
      <c r="D21" s="283"/>
      <c r="E21" s="285"/>
      <c r="F21" s="280"/>
      <c r="G21" s="280"/>
      <c r="H21" s="280"/>
      <c r="I21" s="280"/>
      <c r="J21" s="280"/>
      <c r="K21" s="280"/>
      <c r="L21" s="280"/>
      <c r="M21" s="280"/>
      <c r="N21" s="280"/>
      <c r="O21" s="290"/>
      <c r="P21" s="20"/>
      <c r="Q21" s="20"/>
      <c r="R21" s="20"/>
      <c r="S21" s="20"/>
      <c r="T21" s="20"/>
      <c r="U21" s="21"/>
      <c r="V21" s="21"/>
      <c r="W21" s="21"/>
      <c r="X21" s="21"/>
      <c r="Y21" s="21"/>
      <c r="Z21" s="21"/>
    </row>
    <row r="22" ht="30.0" customHeight="1">
      <c r="A22" s="20"/>
      <c r="B22" s="281" t="s">
        <v>93</v>
      </c>
      <c r="C22" s="286" t="s">
        <v>440</v>
      </c>
      <c r="D22" s="286"/>
      <c r="E22" s="287"/>
      <c r="F22" s="280"/>
      <c r="G22" s="280"/>
      <c r="H22" s="280"/>
      <c r="I22" s="280"/>
      <c r="J22" s="280"/>
      <c r="K22" s="280"/>
      <c r="L22" s="280"/>
      <c r="M22" s="280"/>
      <c r="N22" s="280"/>
      <c r="O22" s="290"/>
      <c r="P22" s="20"/>
      <c r="Q22" s="20"/>
      <c r="R22" s="20"/>
      <c r="S22" s="20"/>
      <c r="T22" s="20"/>
      <c r="U22" s="21"/>
      <c r="V22" s="21"/>
      <c r="W22" s="21"/>
      <c r="X22" s="21"/>
      <c r="Y22" s="21"/>
      <c r="Z22" s="21"/>
    </row>
    <row r="23" ht="24.75" customHeight="1">
      <c r="A23" s="20"/>
      <c r="B23" s="278"/>
      <c r="C23" s="283"/>
      <c r="D23" s="283"/>
      <c r="E23" s="285"/>
      <c r="F23" s="280"/>
      <c r="G23" s="280"/>
      <c r="H23" s="280"/>
      <c r="I23" s="280"/>
      <c r="J23" s="280"/>
      <c r="K23" s="280"/>
      <c r="L23" s="280"/>
      <c r="M23" s="280"/>
      <c r="N23" s="280"/>
      <c r="O23" s="290"/>
      <c r="P23" s="20"/>
      <c r="Q23" s="20"/>
      <c r="R23" s="20"/>
      <c r="S23" s="20"/>
      <c r="T23" s="20"/>
      <c r="U23" s="21"/>
      <c r="V23" s="21"/>
      <c r="W23" s="21"/>
      <c r="X23" s="21"/>
      <c r="Y23" s="21"/>
      <c r="Z23" s="21"/>
    </row>
    <row r="24" ht="30.0" customHeight="1">
      <c r="A24" s="20"/>
      <c r="B24" s="284" t="s">
        <v>441</v>
      </c>
      <c r="C24" s="77" t="s">
        <v>409</v>
      </c>
      <c r="D24" s="77" t="s">
        <v>410</v>
      </c>
      <c r="E24" s="77" t="s">
        <v>411</v>
      </c>
      <c r="F24" s="276"/>
      <c r="G24" s="276"/>
      <c r="H24" s="276"/>
      <c r="I24" s="276"/>
      <c r="J24" s="276"/>
      <c r="K24" s="276"/>
      <c r="L24" s="276"/>
      <c r="M24" s="276"/>
      <c r="N24" s="276"/>
      <c r="O24" s="75"/>
      <c r="P24" s="20"/>
      <c r="Q24" s="20"/>
      <c r="R24" s="20"/>
      <c r="S24" s="20"/>
      <c r="T24" s="20"/>
      <c r="U24" s="21"/>
      <c r="V24" s="21"/>
      <c r="W24" s="21"/>
      <c r="X24" s="21"/>
      <c r="Y24" s="21"/>
      <c r="Z24" s="21"/>
    </row>
    <row r="25" ht="17.25" customHeight="1">
      <c r="A25" s="20"/>
      <c r="B25" s="278" t="s">
        <v>82</v>
      </c>
      <c r="C25" s="292" t="s">
        <v>442</v>
      </c>
      <c r="D25" s="292" t="s">
        <v>443</v>
      </c>
      <c r="E25" s="293"/>
      <c r="F25" s="294"/>
      <c r="G25" s="209"/>
      <c r="H25" s="209"/>
      <c r="I25" s="295"/>
      <c r="J25" s="295"/>
      <c r="K25" s="295"/>
      <c r="L25" s="295"/>
      <c r="M25" s="295"/>
      <c r="N25" s="295"/>
      <c r="O25" s="290"/>
      <c r="P25" s="20"/>
      <c r="Q25" s="20"/>
      <c r="R25" s="20"/>
      <c r="S25" s="20"/>
      <c r="T25" s="20"/>
      <c r="U25" s="21"/>
      <c r="V25" s="21"/>
      <c r="W25" s="21"/>
      <c r="X25" s="21"/>
      <c r="Y25" s="21"/>
      <c r="Z25" s="21"/>
    </row>
    <row r="26" ht="30.0" customHeight="1">
      <c r="A26" s="20"/>
      <c r="B26" s="281" t="s">
        <v>81</v>
      </c>
      <c r="C26" s="296" t="s">
        <v>444</v>
      </c>
      <c r="D26" s="296"/>
      <c r="E26" s="297"/>
      <c r="F26" s="294"/>
      <c r="G26" s="209"/>
      <c r="H26" s="209"/>
      <c r="I26" s="295"/>
      <c r="J26" s="295"/>
      <c r="K26" s="295"/>
      <c r="L26" s="295"/>
      <c r="M26" s="295"/>
      <c r="N26" s="295"/>
      <c r="O26" s="290"/>
      <c r="P26" s="20"/>
      <c r="Q26" s="20"/>
      <c r="R26" s="20"/>
      <c r="S26" s="20"/>
      <c r="T26" s="20"/>
      <c r="U26" s="21"/>
      <c r="V26" s="21"/>
      <c r="W26" s="21"/>
      <c r="X26" s="21"/>
      <c r="Y26" s="21"/>
      <c r="Z26" s="21"/>
    </row>
    <row r="27" ht="30.0" customHeight="1">
      <c r="A27" s="20"/>
      <c r="B27" s="278" t="s">
        <v>445</v>
      </c>
      <c r="C27" s="292" t="s">
        <v>446</v>
      </c>
      <c r="D27" s="298"/>
      <c r="E27" s="293"/>
      <c r="F27" s="294"/>
      <c r="G27" s="209"/>
      <c r="H27" s="209"/>
      <c r="I27" s="295"/>
      <c r="J27" s="295"/>
      <c r="K27" s="295"/>
      <c r="L27" s="295"/>
      <c r="M27" s="295"/>
      <c r="N27" s="295"/>
      <c r="O27" s="277"/>
      <c r="P27" s="20"/>
      <c r="Q27" s="20"/>
      <c r="R27" s="20"/>
      <c r="S27" s="20"/>
      <c r="T27" s="20"/>
      <c r="U27" s="21"/>
      <c r="V27" s="21"/>
      <c r="W27" s="21"/>
      <c r="X27" s="21"/>
      <c r="Y27" s="21"/>
      <c r="Z27" s="21"/>
    </row>
    <row r="28" ht="24.75" customHeight="1">
      <c r="A28" s="20"/>
      <c r="B28" s="278"/>
      <c r="C28" s="292"/>
      <c r="D28" s="298"/>
      <c r="E28" s="293"/>
      <c r="F28" s="290"/>
      <c r="G28" s="290"/>
      <c r="H28" s="290"/>
      <c r="I28" s="295"/>
      <c r="J28" s="295"/>
      <c r="K28" s="295"/>
      <c r="L28" s="295"/>
      <c r="M28" s="295"/>
      <c r="N28" s="295"/>
      <c r="O28" s="277"/>
      <c r="P28" s="20"/>
      <c r="Q28" s="20"/>
      <c r="R28" s="20"/>
      <c r="S28" s="20"/>
      <c r="T28" s="20"/>
      <c r="U28" s="21"/>
      <c r="V28" s="21"/>
      <c r="W28" s="21"/>
      <c r="X28" s="21"/>
      <c r="Y28" s="21"/>
      <c r="Z28" s="21"/>
    </row>
    <row r="29" ht="30.0" customHeight="1">
      <c r="A29" s="20"/>
      <c r="B29" s="284" t="s">
        <v>93</v>
      </c>
      <c r="C29" s="77" t="s">
        <v>409</v>
      </c>
      <c r="D29" s="77" t="s">
        <v>410</v>
      </c>
      <c r="E29" s="77" t="s">
        <v>411</v>
      </c>
      <c r="F29" s="294"/>
      <c r="G29" s="209"/>
      <c r="H29" s="209"/>
      <c r="I29" s="295"/>
      <c r="J29" s="295"/>
      <c r="K29" s="295"/>
      <c r="L29" s="295"/>
      <c r="M29" s="295"/>
      <c r="N29" s="295"/>
      <c r="O29" s="277"/>
      <c r="P29" s="20"/>
      <c r="Q29" s="20"/>
      <c r="R29" s="20"/>
      <c r="S29" s="20"/>
      <c r="T29" s="20"/>
      <c r="U29" s="21"/>
      <c r="V29" s="21"/>
      <c r="W29" s="21"/>
      <c r="X29" s="21"/>
      <c r="Y29" s="21"/>
      <c r="Z29" s="21"/>
    </row>
    <row r="30" ht="51.75" customHeight="1">
      <c r="A30" s="20"/>
      <c r="B30" s="278" t="s">
        <v>447</v>
      </c>
      <c r="C30" s="279" t="s">
        <v>448</v>
      </c>
      <c r="D30" s="293" t="s">
        <v>449</v>
      </c>
      <c r="E30" s="293" t="s">
        <v>450</v>
      </c>
      <c r="F30" s="276"/>
      <c r="G30" s="276"/>
      <c r="H30" s="276"/>
      <c r="I30" s="276"/>
      <c r="J30" s="276"/>
      <c r="K30" s="276"/>
      <c r="L30" s="276"/>
      <c r="M30" s="276"/>
      <c r="N30" s="276"/>
      <c r="O30" s="20"/>
      <c r="P30" s="20"/>
      <c r="Q30" s="20"/>
      <c r="R30" s="20"/>
      <c r="S30" s="20"/>
      <c r="T30" s="20"/>
      <c r="U30" s="21"/>
      <c r="V30" s="21"/>
      <c r="W30" s="21"/>
      <c r="X30" s="21"/>
      <c r="Y30" s="21"/>
      <c r="Z30" s="21"/>
    </row>
    <row r="31" ht="17.25" customHeight="1">
      <c r="A31" s="20"/>
      <c r="B31" s="281" t="s">
        <v>451</v>
      </c>
      <c r="C31" s="282" t="s">
        <v>452</v>
      </c>
      <c r="D31" s="296" t="s">
        <v>453</v>
      </c>
      <c r="E31" s="297" t="s">
        <v>454</v>
      </c>
      <c r="F31" s="276"/>
      <c r="G31" s="276"/>
      <c r="H31" s="276"/>
      <c r="I31" s="276"/>
      <c r="J31" s="276"/>
      <c r="K31" s="276"/>
      <c r="L31" s="276"/>
      <c r="M31" s="276"/>
      <c r="N31" s="276"/>
      <c r="O31" s="20"/>
      <c r="P31" s="20"/>
      <c r="Q31" s="20"/>
      <c r="R31" s="20"/>
      <c r="S31" s="20"/>
      <c r="T31" s="20"/>
      <c r="U31" s="21"/>
      <c r="V31" s="21"/>
      <c r="W31" s="21"/>
      <c r="X31" s="21"/>
      <c r="Y31" s="21"/>
      <c r="Z31" s="21"/>
    </row>
    <row r="32" ht="17.25" customHeight="1">
      <c r="A32" s="20"/>
      <c r="B32" s="278" t="s">
        <v>455</v>
      </c>
      <c r="C32" s="279" t="s">
        <v>456</v>
      </c>
      <c r="D32" s="279" t="s">
        <v>457</v>
      </c>
      <c r="E32" s="293"/>
      <c r="F32" s="276"/>
      <c r="G32" s="276"/>
      <c r="H32" s="276"/>
      <c r="I32" s="276"/>
      <c r="J32" s="276"/>
      <c r="K32" s="276"/>
      <c r="L32" s="276"/>
      <c r="M32" s="276"/>
      <c r="N32" s="276"/>
      <c r="O32" s="20"/>
      <c r="P32" s="20"/>
      <c r="Q32" s="20"/>
      <c r="R32" s="20"/>
      <c r="S32" s="20"/>
      <c r="T32" s="20"/>
      <c r="U32" s="21"/>
      <c r="V32" s="21"/>
      <c r="W32" s="21"/>
      <c r="X32" s="21"/>
      <c r="Y32" s="21"/>
      <c r="Z32" s="21"/>
    </row>
    <row r="33" ht="51.75" customHeight="1">
      <c r="A33" s="20"/>
      <c r="B33" s="281" t="s">
        <v>93</v>
      </c>
      <c r="C33" s="282" t="s">
        <v>458</v>
      </c>
      <c r="D33" s="297"/>
      <c r="E33" s="297"/>
      <c r="F33" s="276"/>
      <c r="G33" s="276"/>
      <c r="H33" s="276"/>
      <c r="I33" s="276"/>
      <c r="J33" s="276"/>
      <c r="K33" s="276"/>
      <c r="L33" s="276"/>
      <c r="M33" s="276"/>
      <c r="N33" s="276"/>
      <c r="O33" s="20"/>
      <c r="P33" s="20"/>
      <c r="Q33" s="20"/>
      <c r="R33" s="20"/>
      <c r="S33" s="20"/>
      <c r="T33" s="20"/>
      <c r="U33" s="21"/>
      <c r="V33" s="21"/>
      <c r="W33" s="21"/>
      <c r="X33" s="21"/>
      <c r="Y33" s="21"/>
      <c r="Z33" s="21"/>
    </row>
    <row r="34" ht="25.5" hidden="1" customHeight="1">
      <c r="A34" s="20"/>
      <c r="B34" s="299"/>
      <c r="C34" s="100"/>
      <c r="D34" s="100"/>
      <c r="E34" s="100"/>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9"/>
      <c r="C35" s="100"/>
      <c r="D35" s="100"/>
      <c r="E35" s="100"/>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300"/>
      <c r="C36" s="100"/>
      <c r="D36" s="100"/>
      <c r="E36" s="100"/>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300"/>
      <c r="C37" s="100"/>
      <c r="D37" s="100"/>
      <c r="E37" s="100"/>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300"/>
      <c r="C38" s="100"/>
      <c r="D38" s="100"/>
      <c r="E38" s="100"/>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300"/>
      <c r="C39" s="100"/>
      <c r="D39" s="100"/>
      <c r="E39" s="100"/>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300"/>
      <c r="C40" s="100"/>
      <c r="D40" s="100"/>
      <c r="E40" s="100"/>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300"/>
      <c r="C41" s="100"/>
      <c r="D41" s="100"/>
      <c r="E41" s="100"/>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300"/>
      <c r="C42" s="100"/>
      <c r="D42" s="100"/>
      <c r="E42" s="100"/>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300"/>
      <c r="C43" s="100"/>
      <c r="D43" s="100"/>
      <c r="E43" s="100"/>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300"/>
      <c r="C44" s="100"/>
      <c r="D44" s="100"/>
      <c r="E44" s="100"/>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300"/>
      <c r="C45" s="100"/>
      <c r="D45" s="100"/>
      <c r="E45" s="100"/>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300"/>
      <c r="C46" s="100"/>
      <c r="D46" s="100"/>
      <c r="E46" s="100"/>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300"/>
      <c r="C47" s="100"/>
      <c r="D47" s="100"/>
      <c r="E47" s="100"/>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300"/>
      <c r="C48" s="100"/>
      <c r="D48" s="100"/>
      <c r="E48" s="100"/>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300"/>
      <c r="C49" s="100"/>
      <c r="D49" s="100"/>
      <c r="E49" s="100"/>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300"/>
      <c r="C50" s="100"/>
      <c r="D50" s="100"/>
      <c r="E50" s="100"/>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300"/>
      <c r="C51" s="100"/>
      <c r="D51" s="100"/>
      <c r="E51" s="100"/>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300"/>
      <c r="C52" s="100"/>
      <c r="D52" s="100"/>
      <c r="E52" s="100"/>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300"/>
      <c r="C53" s="100"/>
      <c r="D53" s="100"/>
      <c r="E53" s="100"/>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300"/>
      <c r="C54" s="100"/>
      <c r="D54" s="100"/>
      <c r="E54" s="100"/>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301"/>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301"/>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301"/>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301"/>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301"/>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301"/>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301"/>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301"/>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301"/>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301"/>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4"/>
      <c r="D65" s="74"/>
      <c r="E65" s="74"/>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4"/>
      <c r="D66" s="74"/>
      <c r="E66" s="74"/>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4"/>
      <c r="D67" s="74"/>
      <c r="E67" s="74"/>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4"/>
      <c r="D68" s="74"/>
      <c r="E68" s="74"/>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4"/>
      <c r="D69" s="74"/>
      <c r="E69" s="74"/>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4"/>
      <c r="D70" s="74"/>
      <c r="E70" s="74"/>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4"/>
      <c r="D71" s="74"/>
      <c r="E71" s="74"/>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4"/>
      <c r="D72" s="74"/>
      <c r="E72" s="74"/>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4"/>
      <c r="D73" s="74"/>
      <c r="E73" s="74"/>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4"/>
      <c r="D74" s="74"/>
      <c r="E74" s="74"/>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4"/>
      <c r="D75" s="74"/>
      <c r="E75" s="74"/>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4"/>
      <c r="D76" s="74"/>
      <c r="E76" s="74"/>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4"/>
      <c r="D77" s="74"/>
      <c r="E77" s="74"/>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4"/>
      <c r="D78" s="74"/>
      <c r="E78" s="74"/>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4"/>
      <c r="D79" s="74"/>
      <c r="E79" s="74"/>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4"/>
      <c r="D80" s="74"/>
      <c r="E80" s="74"/>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4"/>
      <c r="D81" s="74"/>
      <c r="E81" s="74"/>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4"/>
      <c r="D82" s="74"/>
      <c r="E82" s="74"/>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4"/>
      <c r="D83" s="74"/>
      <c r="E83" s="74"/>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4"/>
      <c r="D84" s="74"/>
      <c r="E84" s="74"/>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4"/>
      <c r="D85" s="74"/>
      <c r="E85" s="74"/>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4"/>
      <c r="D86" s="74"/>
      <c r="E86" s="74"/>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4"/>
      <c r="D87" s="74"/>
      <c r="E87" s="74"/>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4"/>
      <c r="D88" s="74"/>
      <c r="E88" s="74"/>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4"/>
      <c r="D89" s="74"/>
      <c r="E89" s="74"/>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4"/>
      <c r="D90" s="74"/>
      <c r="E90" s="74"/>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4"/>
      <c r="D91" s="74"/>
      <c r="E91" s="74"/>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4"/>
      <c r="D92" s="74"/>
      <c r="E92" s="74"/>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4"/>
      <c r="D93" s="74"/>
      <c r="E93" s="74"/>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4"/>
      <c r="D94" s="74"/>
      <c r="E94" s="74"/>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4"/>
      <c r="D95" s="74"/>
      <c r="E95" s="74"/>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4"/>
      <c r="D96" s="74"/>
      <c r="E96" s="74"/>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4"/>
      <c r="D97" s="74"/>
      <c r="E97" s="74"/>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4"/>
      <c r="D98" s="74"/>
      <c r="E98" s="74"/>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4"/>
      <c r="D99" s="74"/>
      <c r="E99" s="74"/>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4"/>
      <c r="D100" s="74"/>
      <c r="E100" s="74"/>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4"/>
      <c r="D101" s="74"/>
      <c r="E101" s="74"/>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4"/>
      <c r="D102" s="74"/>
      <c r="E102" s="74"/>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4"/>
      <c r="D103" s="74"/>
      <c r="E103" s="74"/>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4"/>
      <c r="D104" s="74"/>
      <c r="E104" s="74"/>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4"/>
      <c r="D105" s="74"/>
      <c r="E105" s="74"/>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4"/>
      <c r="D106" s="74"/>
      <c r="E106" s="74"/>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4"/>
      <c r="D107" s="74"/>
      <c r="E107" s="74"/>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4"/>
      <c r="D108" s="74"/>
      <c r="E108" s="74"/>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4"/>
      <c r="D109" s="74"/>
      <c r="E109" s="74"/>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4"/>
      <c r="D110" s="74"/>
      <c r="E110" s="74"/>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4"/>
      <c r="D111" s="74"/>
      <c r="E111" s="74"/>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4"/>
      <c r="D112" s="74"/>
      <c r="E112" s="74"/>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4"/>
      <c r="D113" s="74"/>
      <c r="E113" s="74"/>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4"/>
      <c r="D114" s="74"/>
      <c r="E114" s="74"/>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4"/>
      <c r="D115" s="74"/>
      <c r="E115" s="74"/>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4"/>
      <c r="D116" s="74"/>
      <c r="E116" s="74"/>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4"/>
      <c r="D117" s="74"/>
      <c r="E117" s="74"/>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4"/>
      <c r="D118" s="74"/>
      <c r="E118" s="74"/>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4"/>
      <c r="D119" s="74"/>
      <c r="E119" s="74"/>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4"/>
      <c r="D120" s="74"/>
      <c r="E120" s="74"/>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4"/>
      <c r="D121" s="74"/>
      <c r="E121" s="74"/>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4"/>
      <c r="D122" s="74"/>
      <c r="E122" s="74"/>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4"/>
      <c r="D123" s="74"/>
      <c r="E123" s="74"/>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4"/>
      <c r="D124" s="74"/>
      <c r="E124" s="74"/>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4"/>
      <c r="D125" s="74"/>
      <c r="E125" s="74"/>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4"/>
      <c r="D126" s="74"/>
      <c r="E126" s="74"/>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4"/>
      <c r="D127" s="74"/>
      <c r="E127" s="74"/>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4"/>
      <c r="D128" s="74"/>
      <c r="E128" s="74"/>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4"/>
      <c r="D129" s="74"/>
      <c r="E129" s="74"/>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4"/>
      <c r="D130" s="74"/>
      <c r="E130" s="74"/>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4"/>
      <c r="D131" s="74"/>
      <c r="E131" s="74"/>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4"/>
      <c r="D132" s="74"/>
      <c r="E132" s="74"/>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4"/>
      <c r="D133" s="74"/>
      <c r="E133" s="74"/>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4"/>
      <c r="D134" s="74"/>
      <c r="E134" s="74"/>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4"/>
      <c r="D135" s="74"/>
      <c r="E135" s="74"/>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4"/>
      <c r="D136" s="74"/>
      <c r="E136" s="74"/>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4"/>
      <c r="D137" s="74"/>
      <c r="E137" s="74"/>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4"/>
      <c r="D138" s="74"/>
      <c r="E138" s="74"/>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4"/>
      <c r="D139" s="74"/>
      <c r="E139" s="74"/>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4"/>
      <c r="D140" s="74"/>
      <c r="E140" s="74"/>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4"/>
      <c r="D141" s="74"/>
      <c r="E141" s="74"/>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4"/>
      <c r="D142" s="74"/>
      <c r="E142" s="74"/>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4"/>
      <c r="D143" s="74"/>
      <c r="E143" s="74"/>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4"/>
      <c r="D144" s="74"/>
      <c r="E144" s="74"/>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4"/>
      <c r="D145" s="74"/>
      <c r="E145" s="74"/>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4"/>
      <c r="D146" s="74"/>
      <c r="E146" s="74"/>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4"/>
      <c r="D147" s="74"/>
      <c r="E147" s="74"/>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4"/>
      <c r="D148" s="74"/>
      <c r="E148" s="74"/>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4"/>
      <c r="D149" s="74"/>
      <c r="E149" s="74"/>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4"/>
      <c r="D150" s="74"/>
      <c r="E150" s="74"/>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4"/>
      <c r="D151" s="74"/>
      <c r="E151" s="74"/>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4"/>
      <c r="D152" s="74"/>
      <c r="E152" s="74"/>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4"/>
      <c r="D153" s="74"/>
      <c r="E153" s="74"/>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4"/>
      <c r="D154" s="74"/>
      <c r="E154" s="74"/>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4"/>
      <c r="D155" s="74"/>
      <c r="E155" s="74"/>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4"/>
      <c r="D156" s="74"/>
      <c r="E156" s="74"/>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4"/>
      <c r="D157" s="74"/>
      <c r="E157" s="74"/>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4"/>
      <c r="D158" s="74"/>
      <c r="E158" s="74"/>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4"/>
      <c r="D159" s="74"/>
      <c r="E159" s="74"/>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4"/>
      <c r="D160" s="74"/>
      <c r="E160" s="74"/>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4"/>
      <c r="D161" s="74"/>
      <c r="E161" s="74"/>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4"/>
      <c r="D162" s="74"/>
      <c r="E162" s="74"/>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4"/>
      <c r="D163" s="74"/>
      <c r="E163" s="74"/>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4"/>
      <c r="D164" s="74"/>
      <c r="E164" s="74"/>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4"/>
      <c r="D165" s="74"/>
      <c r="E165" s="74"/>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4"/>
      <c r="D166" s="74"/>
      <c r="E166" s="74"/>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4"/>
      <c r="D167" s="74"/>
      <c r="E167" s="74"/>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4"/>
      <c r="D168" s="74"/>
      <c r="E168" s="74"/>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4"/>
      <c r="D169" s="74"/>
      <c r="E169" s="74"/>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4"/>
      <c r="D170" s="74"/>
      <c r="E170" s="74"/>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4"/>
      <c r="D171" s="74"/>
      <c r="E171" s="74"/>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4"/>
      <c r="D172" s="74"/>
      <c r="E172" s="74"/>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4"/>
      <c r="D173" s="74"/>
      <c r="E173" s="74"/>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4"/>
      <c r="D174" s="74"/>
      <c r="E174" s="74"/>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4"/>
      <c r="D175" s="74"/>
      <c r="E175" s="74"/>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4"/>
      <c r="D176" s="74"/>
      <c r="E176" s="74"/>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4"/>
      <c r="D177" s="74"/>
      <c r="E177" s="74"/>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4"/>
      <c r="D178" s="74"/>
      <c r="E178" s="74"/>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4"/>
      <c r="D179" s="74"/>
      <c r="E179" s="74"/>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4"/>
      <c r="D180" s="74"/>
      <c r="E180" s="74"/>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4"/>
      <c r="D181" s="74"/>
      <c r="E181" s="74"/>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4"/>
      <c r="D182" s="74"/>
      <c r="E182" s="74"/>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4"/>
      <c r="D183" s="74"/>
      <c r="E183" s="74"/>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4"/>
      <c r="D184" s="74"/>
      <c r="E184" s="74"/>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4"/>
      <c r="D185" s="74"/>
      <c r="E185" s="74"/>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4"/>
      <c r="D186" s="74"/>
      <c r="E186" s="74"/>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4"/>
      <c r="D187" s="74"/>
      <c r="E187" s="74"/>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4"/>
      <c r="D188" s="74"/>
      <c r="E188" s="74"/>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4"/>
      <c r="D189" s="74"/>
      <c r="E189" s="74"/>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4"/>
      <c r="D190" s="74"/>
      <c r="E190" s="74"/>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4"/>
      <c r="D191" s="74"/>
      <c r="E191" s="74"/>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4"/>
      <c r="D192" s="74"/>
      <c r="E192" s="74"/>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4"/>
      <c r="D193" s="74"/>
      <c r="E193" s="74"/>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4"/>
      <c r="D194" s="74"/>
      <c r="E194" s="74"/>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4"/>
      <c r="D195" s="74"/>
      <c r="E195" s="74"/>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4"/>
      <c r="D196" s="74"/>
      <c r="E196" s="74"/>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4"/>
      <c r="D197" s="74"/>
      <c r="E197" s="74"/>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4"/>
      <c r="D198" s="74"/>
      <c r="E198" s="74"/>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4"/>
      <c r="D199" s="74"/>
      <c r="E199" s="74"/>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4"/>
      <c r="D200" s="74"/>
      <c r="E200" s="74"/>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4"/>
      <c r="D201" s="74"/>
      <c r="E201" s="74"/>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4"/>
      <c r="D202" s="74"/>
      <c r="E202" s="74"/>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4"/>
      <c r="D203" s="74"/>
      <c r="E203" s="74"/>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4"/>
      <c r="D204" s="74"/>
      <c r="E204" s="74"/>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4"/>
      <c r="D205" s="74"/>
      <c r="E205" s="74"/>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4"/>
      <c r="D206" s="74"/>
      <c r="E206" s="74"/>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4"/>
      <c r="D207" s="74"/>
      <c r="E207" s="74"/>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4"/>
      <c r="D208" s="74"/>
      <c r="E208" s="74"/>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4"/>
      <c r="D209" s="74"/>
      <c r="E209" s="74"/>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4"/>
      <c r="D210" s="74"/>
      <c r="E210" s="74"/>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4"/>
      <c r="D211" s="74"/>
      <c r="E211" s="74"/>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4"/>
      <c r="D212" s="74"/>
      <c r="E212" s="74"/>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4"/>
      <c r="D213" s="74"/>
      <c r="E213" s="74"/>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4"/>
      <c r="D214" s="74"/>
      <c r="E214" s="74"/>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4"/>
      <c r="D215" s="74"/>
      <c r="E215" s="74"/>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4"/>
      <c r="D216" s="74"/>
      <c r="E216" s="74"/>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4"/>
      <c r="D217" s="74"/>
      <c r="E217" s="74"/>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4"/>
      <c r="D218" s="74"/>
      <c r="E218" s="74"/>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4"/>
      <c r="D219" s="74"/>
      <c r="E219" s="74"/>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4"/>
      <c r="D220" s="74"/>
      <c r="E220" s="74"/>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4"/>
      <c r="D221" s="74"/>
      <c r="E221" s="74"/>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4"/>
      <c r="D222" s="74"/>
      <c r="E222" s="74"/>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4"/>
      <c r="D223" s="74"/>
      <c r="E223" s="74"/>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4"/>
      <c r="D224" s="74"/>
      <c r="E224" s="74"/>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4"/>
      <c r="D225" s="74"/>
      <c r="E225" s="74"/>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4"/>
      <c r="D226" s="74"/>
      <c r="E226" s="74"/>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4"/>
      <c r="D227" s="74"/>
      <c r="E227" s="74"/>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4"/>
      <c r="D228" s="74"/>
      <c r="E228" s="74"/>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4"/>
      <c r="D229" s="74"/>
      <c r="E229" s="74"/>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4"/>
      <c r="D230" s="74"/>
      <c r="E230" s="74"/>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4"/>
      <c r="D231" s="74"/>
      <c r="E231" s="74"/>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4"/>
      <c r="D232" s="74"/>
      <c r="E232" s="74"/>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4"/>
      <c r="D233" s="74"/>
      <c r="E233" s="74"/>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302" t="s">
        <v>459</v>
      </c>
      <c r="B1" s="303">
        <f>'1.IS'!B2</f>
        <v>2015</v>
      </c>
      <c r="C1" s="303">
        <f>'1.IS'!C2</f>
        <v>2016</v>
      </c>
      <c r="D1" s="303">
        <f>'1.IS'!D2</f>
        <v>2018</v>
      </c>
      <c r="E1" s="303">
        <f>'1.IS'!E2</f>
        <v>2018</v>
      </c>
      <c r="F1" s="303">
        <f>'1.IS'!F2</f>
        <v>2019</v>
      </c>
      <c r="G1" s="303">
        <f>'1.IS'!G2</f>
        <v>2020</v>
      </c>
      <c r="H1" s="303">
        <f>'1.IS'!H2</f>
        <v>2021</v>
      </c>
      <c r="I1" s="303">
        <f>'1.IS'!I2</f>
        <v>2022</v>
      </c>
      <c r="J1" s="303">
        <f>'1.IS'!J2</f>
        <v>2023</v>
      </c>
      <c r="K1" s="303">
        <f>'1.IS'!K2</f>
        <v>2024</v>
      </c>
      <c r="L1" s="304"/>
    </row>
    <row r="2">
      <c r="A2" s="1" t="s">
        <v>460</v>
      </c>
      <c r="B2" s="305">
        <f>IFERROR(VLOOKUP($A2,'9.TIKR_CF'!$A:$K,COLUMN(B2),FALSE),"0")</f>
        <v>-1867</v>
      </c>
      <c r="C2" s="305">
        <f>IFERROR(VLOOKUP($A2,'9.TIKR_CF'!$A:$K,COLUMN(C2),FALSE),"0")</f>
        <v>-1804</v>
      </c>
      <c r="D2" s="305">
        <f>IFERROR(VLOOKUP($A2,'9.TIKR_CF'!$A:$K,COLUMN(D2),FALSE),"0")</f>
        <v>-1509</v>
      </c>
      <c r="E2" s="305">
        <f>IFERROR(VLOOKUP($A2,'9.TIKR_CF'!$A:$K,COLUMN(E2),FALSE),"0")</f>
        <v>-1329</v>
      </c>
      <c r="F2" s="305">
        <f>IFERROR(VLOOKUP($A2,'9.TIKR_CF'!$A:$K,COLUMN(F2),FALSE),"0")</f>
        <v>-1316</v>
      </c>
      <c r="G2" s="305">
        <f>IFERROR(VLOOKUP($A2,'9.TIKR_CF'!$A:$K,COLUMN(G2),FALSE),"0")</f>
        <v>-863</v>
      </c>
      <c r="H2" s="305">
        <f>IFERROR(VLOOKUP($A2,'9.TIKR_CF'!$A:$K,COLUMN(H2),FALSE),"0")</f>
        <v>-1108</v>
      </c>
      <c r="I2" s="305">
        <f>IFERROR(VLOOKUP($A2,'9.TIKR_CF'!$A:$K,COLUMN(I2),FALSE),"0")</f>
        <v>-1456</v>
      </c>
      <c r="J2" s="305">
        <f>IFERROR(VLOOKUP($A2,'9.TIKR_CF'!$A:$K,COLUMN(J2),FALSE),"0")</f>
        <v>-1502</v>
      </c>
      <c r="K2" s="305">
        <f>IFERROR(VLOOKUP($A2,'9.TIKR_CF'!$A:$K,COLUMN(K2),FALSE),"0")</f>
        <v>-1738</v>
      </c>
      <c r="L2" s="304"/>
    </row>
    <row r="3">
      <c r="A3" s="1" t="s">
        <v>461</v>
      </c>
      <c r="B3" s="305">
        <f>IFERROR(VLOOKUP($A3,'9.TIKR_CF'!$A:$K,COLUMN(B3),FALSE),"0")</f>
        <v>-334</v>
      </c>
      <c r="C3" s="305">
        <f>IFERROR(VLOOKUP($A3,'9.TIKR_CF'!$A:$K,COLUMN(C3),FALSE),"0")</f>
        <v>-232</v>
      </c>
      <c r="D3" s="305">
        <f>IFERROR(VLOOKUP($A3,'9.TIKR_CF'!$A:$K,COLUMN(D3),FALSE),"0")</f>
        <v>-158</v>
      </c>
      <c r="E3" s="305">
        <f>IFERROR(VLOOKUP($A3,'9.TIKR_CF'!$A:$K,COLUMN(E3),FALSE),"0")</f>
        <v>-203</v>
      </c>
      <c r="F3" s="305">
        <f>IFERROR(VLOOKUP($A3,'9.TIKR_CF'!$A:$K,COLUMN(F3),FALSE),"0")</f>
        <v>-210</v>
      </c>
      <c r="G3" s="305">
        <f>IFERROR(VLOOKUP($A3,'9.TIKR_CF'!$A:$K,COLUMN(G3),FALSE),"0")</f>
        <v>-158</v>
      </c>
      <c r="H3" s="305">
        <f>IFERROR(VLOOKUP($A3,'9.TIKR_CF'!$A:$K,COLUMN(H3),FALSE),"0")</f>
        <v>-232</v>
      </c>
      <c r="I3" s="305">
        <f>IFERROR(VLOOKUP($A3,'9.TIKR_CF'!$A:$K,COLUMN(I3),FALSE),"0")</f>
        <v>-253</v>
      </c>
      <c r="J3" s="305">
        <f>IFERROR(VLOOKUP($A3,'9.TIKR_CF'!$A:$K,COLUMN(J3),FALSE),"0")</f>
        <v>-243</v>
      </c>
      <c r="K3" s="305">
        <f>IFERROR(VLOOKUP($A3,'9.TIKR_CF'!$A:$K,COLUMN(K3),FALSE),"0")</f>
        <v>-233</v>
      </c>
      <c r="L3" s="304"/>
    </row>
    <row r="4">
      <c r="A4" s="306" t="s">
        <v>462</v>
      </c>
      <c r="B4" s="307">
        <f>IFERROR(VLOOKUP($A4,'9.TIKR_CF'!$A:$K,COLUMN(B4),FALSE),"0")</f>
        <v>127</v>
      </c>
      <c r="C4" s="307">
        <f>IFERROR(VLOOKUP($A4,'9.TIKR_CF'!$A:$K,COLUMN(C4),FALSE),"0")</f>
        <v>158</v>
      </c>
      <c r="D4" s="307">
        <f>IFERROR(VLOOKUP($A4,'9.TIKR_CF'!$A:$K,COLUMN(D4),FALSE),"0")</f>
        <v>46</v>
      </c>
      <c r="E4" s="307">
        <f>IFERROR(VLOOKUP($A4,'9.TIKR_CF'!$A:$K,COLUMN(E4),FALSE),"0")</f>
        <v>108</v>
      </c>
      <c r="F4" s="307">
        <f>IFERROR(VLOOKUP($A4,'9.TIKR_CF'!$A:$K,COLUMN(F4),FALSE),"0")</f>
        <v>97</v>
      </c>
      <c r="G4" s="307">
        <f>IFERROR(VLOOKUP($A4,'9.TIKR_CF'!$A:$K,COLUMN(G4),FALSE),"0")</f>
        <v>89</v>
      </c>
      <c r="H4" s="307">
        <f>IFERROR(VLOOKUP($A4,'9.TIKR_CF'!$A:$K,COLUMN(H4),FALSE),"0")</f>
        <v>101</v>
      </c>
      <c r="I4" s="308">
        <f>IFERROR(VLOOKUP($A4,'9.TIKR_CF'!$A:$K,COLUMN(I4),FALSE),"0")</f>
        <v>82</v>
      </c>
      <c r="J4" s="308">
        <f>IFERROR(VLOOKUP($A4,'9.TIKR_CF'!$A:$K,COLUMN(J4),FALSE),"0")</f>
        <v>42</v>
      </c>
      <c r="K4" s="308">
        <f>IFERROR(VLOOKUP($A4,'9.TIKR_CF'!$A:$K,COLUMN(K4),FALSE),"0")</f>
        <v>37</v>
      </c>
      <c r="L4" s="304"/>
    </row>
    <row r="5">
      <c r="A5" s="1" t="s">
        <v>463</v>
      </c>
      <c r="B5" s="305">
        <f t="shared" ref="B5:K5" si="1">SUM(B2:B4)</f>
        <v>-2074</v>
      </c>
      <c r="C5" s="305">
        <f t="shared" si="1"/>
        <v>-1878</v>
      </c>
      <c r="D5" s="305">
        <f t="shared" si="1"/>
        <v>-1621</v>
      </c>
      <c r="E5" s="305">
        <f t="shared" si="1"/>
        <v>-1424</v>
      </c>
      <c r="F5" s="305">
        <f t="shared" si="1"/>
        <v>-1429</v>
      </c>
      <c r="G5" s="305">
        <f t="shared" si="1"/>
        <v>-932</v>
      </c>
      <c r="H5" s="305">
        <f t="shared" si="1"/>
        <v>-1239</v>
      </c>
      <c r="I5" s="305">
        <f t="shared" si="1"/>
        <v>-1627</v>
      </c>
      <c r="J5" s="305">
        <f t="shared" si="1"/>
        <v>-1703</v>
      </c>
      <c r="K5" s="305">
        <f t="shared" si="1"/>
        <v>-1934</v>
      </c>
      <c r="L5" s="304"/>
    </row>
    <row r="6">
      <c r="A6" s="306" t="s">
        <v>464</v>
      </c>
      <c r="B6" s="307">
        <f>IFERROR(VLOOKUP($A6,'9.TIKR_CF'!$A:$K,COLUMN(B6),FALSE),"0")</f>
        <v>1097</v>
      </c>
      <c r="C6" s="307">
        <f>IFERROR(VLOOKUP($A6,'9.TIKR_CF'!$A:$K,COLUMN(C6),FALSE),"0")</f>
        <v>1154</v>
      </c>
      <c r="D6" s="307">
        <f>IFERROR(VLOOKUP($A6,'9.TIKR_CF'!$A:$K,COLUMN(D6),FALSE),"0")</f>
        <v>2025</v>
      </c>
      <c r="E6" s="307">
        <f>IFERROR(VLOOKUP($A6,'9.TIKR_CF'!$A:$K,COLUMN(E6),FALSE),"0")</f>
        <v>2008</v>
      </c>
      <c r="F6" s="307">
        <f>IFERROR(VLOOKUP($A6,'9.TIKR_CF'!$A:$K,COLUMN(F6),FALSE),"0")</f>
        <v>1964</v>
      </c>
      <c r="G6" s="307">
        <f>IFERROR(VLOOKUP($A6,'9.TIKR_CF'!$A:$K,COLUMN(G6),FALSE),"0")</f>
        <v>2018</v>
      </c>
      <c r="H6" s="307">
        <f>IFERROR(VLOOKUP($A6,'9.TIKR_CF'!$A:$K,COLUMN(H6),FALSE),"0")</f>
        <v>1746</v>
      </c>
      <c r="I6" s="307">
        <f>IFERROR(VLOOKUP($A6,'9.TIKR_CF'!$A:$K,COLUMN(I6),FALSE),"0")</f>
        <v>1270</v>
      </c>
      <c r="J6" s="307">
        <f>IFERROR(VLOOKUP($A6,'9.TIKR_CF'!$A:$K,COLUMN(J6),FALSE),"0")</f>
        <v>1350</v>
      </c>
      <c r="K6" s="307">
        <f>IFERROR(VLOOKUP($A6,'9.TIKR_CF'!$A:$K,COLUMN(K6),FALSE),"0")</f>
        <v>1624</v>
      </c>
      <c r="L6" s="304"/>
    </row>
    <row r="7">
      <c r="A7" s="243" t="s">
        <v>465</v>
      </c>
      <c r="B7" s="309">
        <f>IFERROR(__xludf.DUMMYFUNCTION("IF(ABS(B5)&lt;B6,B5,-B6)"),-1097.0)</f>
        <v>-1097</v>
      </c>
      <c r="C7" s="309">
        <f>IFERROR(__xludf.DUMMYFUNCTION("IF(ABS(C5)&lt;C6,C5,-C6)"),-1154.0)</f>
        <v>-1154</v>
      </c>
      <c r="D7" s="309">
        <f>IFERROR(__xludf.DUMMYFUNCTION("IF(ABS(D5)&lt;D6,D5,-D6)"),-1621.0)</f>
        <v>-1621</v>
      </c>
      <c r="E7" s="309">
        <f>IFERROR(__xludf.DUMMYFUNCTION("IF(ABS(E5)&lt;E6,E5,-E6)"),-1424.0)</f>
        <v>-1424</v>
      </c>
      <c r="F7" s="309">
        <f>IFERROR(__xludf.DUMMYFUNCTION("IF(ABS(F5)&lt;F6,F5,-F6)"),-1429.0)</f>
        <v>-1429</v>
      </c>
      <c r="G7" s="309">
        <f>IFERROR(__xludf.DUMMYFUNCTION("IF(ABS(G5)&lt;G6,G5,-G6)"),-932.0)</f>
        <v>-932</v>
      </c>
      <c r="H7" s="309">
        <f>IFERROR(__xludf.DUMMYFUNCTION("IF(ABS(H5)&lt;H6,H5,-H6)"),-1239.0)</f>
        <v>-1239</v>
      </c>
      <c r="I7" s="309">
        <f>IFERROR(__xludf.DUMMYFUNCTION("IF(ABS(I5)&lt;I6,I5,-I6)"),-1270.0)</f>
        <v>-1270</v>
      </c>
      <c r="J7" s="309">
        <f>IFERROR(__xludf.DUMMYFUNCTION("IF(ABS(J5)&lt;J6,J5,-J6)"),-1350.0)</f>
        <v>-1350</v>
      </c>
      <c r="K7" s="309">
        <f>IFERROR(__xludf.DUMMYFUNCTION("IF(ABS(K5)&lt;K6,K5,-K6)"),-1624.0)</f>
        <v>-1624</v>
      </c>
      <c r="L7" s="304"/>
    </row>
    <row r="8">
      <c r="B8" s="304"/>
      <c r="C8" s="304"/>
      <c r="D8" s="304"/>
      <c r="E8" s="304"/>
      <c r="F8" s="304"/>
      <c r="G8" s="304"/>
      <c r="H8" s="304"/>
      <c r="I8" s="304"/>
      <c r="J8" s="304"/>
      <c r="K8" s="304"/>
      <c r="L8" s="304"/>
    </row>
    <row r="9">
      <c r="A9" s="302" t="s">
        <v>466</v>
      </c>
      <c r="B9" s="303">
        <f>'1.IS'!B2</f>
        <v>2015</v>
      </c>
      <c r="C9" s="303">
        <f>'1.IS'!C2</f>
        <v>2016</v>
      </c>
      <c r="D9" s="303">
        <f>'1.IS'!D2</f>
        <v>2018</v>
      </c>
      <c r="E9" s="303">
        <f>'1.IS'!E2</f>
        <v>2018</v>
      </c>
      <c r="F9" s="303">
        <f>'1.IS'!F2</f>
        <v>2019</v>
      </c>
      <c r="G9" s="303">
        <f>'1.IS'!G2</f>
        <v>2020</v>
      </c>
      <c r="H9" s="303">
        <f>'1.IS'!H2</f>
        <v>2021</v>
      </c>
      <c r="I9" s="303">
        <f>'1.IS'!I2</f>
        <v>2022</v>
      </c>
      <c r="J9" s="303">
        <f>'1.IS'!J2</f>
        <v>2023</v>
      </c>
      <c r="K9" s="303">
        <f>'1.IS'!K2</f>
        <v>2024</v>
      </c>
      <c r="L9" s="304"/>
    </row>
    <row r="10">
      <c r="A10" s="1" t="s">
        <v>467</v>
      </c>
      <c r="B10" s="305">
        <f t="shared" ref="B10:K10" si="2">B5-B7</f>
        <v>-977</v>
      </c>
      <c r="C10" s="305">
        <f t="shared" si="2"/>
        <v>-724</v>
      </c>
      <c r="D10" s="305">
        <f t="shared" si="2"/>
        <v>0</v>
      </c>
      <c r="E10" s="305">
        <f t="shared" si="2"/>
        <v>0</v>
      </c>
      <c r="F10" s="305">
        <f t="shared" si="2"/>
        <v>0</v>
      </c>
      <c r="G10" s="305">
        <f t="shared" si="2"/>
        <v>0</v>
      </c>
      <c r="H10" s="305">
        <f t="shared" si="2"/>
        <v>0</v>
      </c>
      <c r="I10" s="305">
        <f t="shared" si="2"/>
        <v>-357</v>
      </c>
      <c r="J10" s="305">
        <f t="shared" si="2"/>
        <v>-353</v>
      </c>
      <c r="K10" s="305">
        <f t="shared" si="2"/>
        <v>-310</v>
      </c>
      <c r="L10" s="304"/>
    </row>
    <row r="11">
      <c r="A11" s="306" t="s">
        <v>468</v>
      </c>
      <c r="B11" s="310">
        <f>IFERROR(VLOOKUP("Cash Acquisitions*",'9.TIKR_CF'!$A:$K,COLUMN(B11),FALSE),"0")</f>
        <v>-1897</v>
      </c>
      <c r="C11" s="310">
        <f>IFERROR(VLOOKUP("Cash Acquisitions*",'9.TIKR_CF'!$A:$K,COLUMN(C11),FALSE),"0")</f>
        <v>-1731</v>
      </c>
      <c r="D11" s="310">
        <f>IFERROR(VLOOKUP("Cash Acquisitions*",'9.TIKR_CF'!$A:$K,COLUMN(D11),FALSE),"0")</f>
        <v>-4896</v>
      </c>
      <c r="E11" s="310">
        <f>IFERROR(VLOOKUP("Cash Acquisitions*",'9.TIKR_CF'!$A:$K,COLUMN(E11),FALSE),"0")</f>
        <v>-1336</v>
      </c>
      <c r="F11" s="310">
        <f>IFERROR(VLOOKUP("Cash Acquisitions*",'9.TIKR_CF'!$A:$K,COLUMN(F11),FALSE),"0")</f>
        <v>-1122</v>
      </c>
      <c r="G11" s="310">
        <f>IFERROR(VLOOKUP("Cash Acquisitions*",'9.TIKR_CF'!$A:$K,COLUMN(G11),FALSE),"0")</f>
        <v>-1426</v>
      </c>
      <c r="H11" s="310">
        <f>IFERROR(VLOOKUP("Cash Acquisitions*",'9.TIKR_CF'!$A:$K,COLUMN(H11),FALSE),"0")</f>
        <v>-2131</v>
      </c>
      <c r="I11" s="310">
        <f>IFERROR(VLOOKUP("Cash Acquisitions*",'9.TIKR_CF'!$A:$K,COLUMN(I11),FALSE),"0")</f>
        <v>-979</v>
      </c>
      <c r="J11" s="310">
        <f>IFERROR(VLOOKUP("Cash Acquisitions*",'9.TIKR_CF'!$A:$K,COLUMN(J11),FALSE),"0")</f>
        <v>-704</v>
      </c>
      <c r="K11" s="310">
        <f>IFERROR(VLOOKUP("Cash Acquisitions*",'9.TIKR_CF'!$A:$K,COLUMN(K11),FALSE),"0")</f>
        <v>-795</v>
      </c>
      <c r="L11" s="304"/>
    </row>
    <row r="12">
      <c r="A12" s="243" t="s">
        <v>469</v>
      </c>
      <c r="B12" s="309">
        <f t="shared" ref="B12:K12" si="3">ABS(SUM(B10:B11))</f>
        <v>2874</v>
      </c>
      <c r="C12" s="309">
        <f t="shared" si="3"/>
        <v>2455</v>
      </c>
      <c r="D12" s="309">
        <f t="shared" si="3"/>
        <v>4896</v>
      </c>
      <c r="E12" s="309">
        <f t="shared" si="3"/>
        <v>1336</v>
      </c>
      <c r="F12" s="309">
        <f t="shared" si="3"/>
        <v>1122</v>
      </c>
      <c r="G12" s="309">
        <f t="shared" si="3"/>
        <v>1426</v>
      </c>
      <c r="H12" s="309">
        <f t="shared" si="3"/>
        <v>2131</v>
      </c>
      <c r="I12" s="309">
        <f t="shared" si="3"/>
        <v>1336</v>
      </c>
      <c r="J12" s="309">
        <f t="shared" si="3"/>
        <v>1057</v>
      </c>
      <c r="K12" s="309">
        <f t="shared" si="3"/>
        <v>1105</v>
      </c>
      <c r="L12" s="304"/>
    </row>
    <row r="13">
      <c r="B13" s="304"/>
      <c r="C13" s="304"/>
      <c r="D13" s="304"/>
      <c r="E13" s="304"/>
      <c r="F13" s="304"/>
      <c r="G13" s="304"/>
      <c r="H13" s="304"/>
      <c r="I13" s="304"/>
      <c r="J13" s="304"/>
      <c r="K13" s="304"/>
      <c r="L13" s="304"/>
    </row>
    <row r="14">
      <c r="A14" s="302" t="s">
        <v>85</v>
      </c>
      <c r="B14" s="303" t="str">
        <f>'1.IS'!L2</f>
        <v>2025e</v>
      </c>
      <c r="C14" s="303" t="str">
        <f>'1.IS'!M2</f>
        <v>2026e</v>
      </c>
      <c r="D14" s="303" t="str">
        <f>'1.IS'!N2</f>
        <v>2027e</v>
      </c>
      <c r="E14" s="303" t="str">
        <f>'1.IS'!O2</f>
        <v>2028e</v>
      </c>
      <c r="F14" s="303" t="str">
        <f>'1.IS'!P2</f>
        <v>2029e</v>
      </c>
      <c r="G14" s="311"/>
      <c r="H14" s="311"/>
      <c r="I14" s="311"/>
      <c r="J14" s="311"/>
      <c r="K14" s="311"/>
      <c r="L14" s="304"/>
    </row>
    <row r="15">
      <c r="A15" s="230" t="s">
        <v>470</v>
      </c>
      <c r="B15" s="312">
        <f>'4.Valoración'!$D$12</f>
        <v>45.2</v>
      </c>
      <c r="C15" s="312">
        <f>'4.Valoración'!$D$12</f>
        <v>45.2</v>
      </c>
      <c r="D15" s="312">
        <f>'4.Valoración'!$D$12</f>
        <v>45.2</v>
      </c>
      <c r="E15" s="312">
        <f>'4.Valoración'!$D$12</f>
        <v>45.2</v>
      </c>
      <c r="F15" s="312">
        <f>'4.Valoración'!$D$12</f>
        <v>45.2</v>
      </c>
      <c r="G15" s="304"/>
      <c r="H15" s="304"/>
      <c r="I15" s="304"/>
      <c r="J15" s="304"/>
      <c r="K15" s="304"/>
      <c r="L15" s="304"/>
    </row>
    <row r="16">
      <c r="B16" s="304"/>
      <c r="C16" s="304"/>
      <c r="D16" s="304"/>
      <c r="E16" s="304"/>
      <c r="F16" s="304"/>
      <c r="G16" s="304"/>
      <c r="H16" s="304"/>
      <c r="I16" s="304"/>
      <c r="J16" s="304"/>
      <c r="K16" s="304"/>
      <c r="L16" s="304"/>
    </row>
    <row r="17">
      <c r="A17" s="302" t="s">
        <v>88</v>
      </c>
      <c r="B17" s="313">
        <f>'1.IS'!K2</f>
        <v>2024</v>
      </c>
      <c r="C17" s="304"/>
      <c r="D17" s="304"/>
      <c r="E17" s="304"/>
      <c r="F17" s="304"/>
      <c r="G17" s="304"/>
      <c r="H17" s="304"/>
      <c r="I17" s="304"/>
      <c r="J17" s="304"/>
      <c r="K17" s="304"/>
      <c r="L17" s="304"/>
    </row>
    <row r="18">
      <c r="A18" s="1" t="s">
        <v>471</v>
      </c>
      <c r="B18" s="314">
        <f>IFERROR(SUM('3.ROIC'!$B$6:$K$6)/SUM('3.ROIC'!$B$6:$K$7),0)</f>
        <v>0.2175857588</v>
      </c>
      <c r="C18" s="304"/>
      <c r="D18" s="304"/>
      <c r="E18" s="304"/>
      <c r="F18" s="304"/>
      <c r="G18" s="304"/>
      <c r="H18" s="304"/>
      <c r="I18" s="304"/>
      <c r="J18" s="304"/>
      <c r="K18" s="304"/>
      <c r="L18" s="304"/>
    </row>
    <row r="19">
      <c r="A19" s="1" t="s">
        <v>472</v>
      </c>
      <c r="B19" s="314">
        <f>IF(B18=0,0,1-B18)</f>
        <v>0.7824142412</v>
      </c>
      <c r="C19" s="304"/>
      <c r="D19" s="304"/>
      <c r="E19" s="304"/>
      <c r="F19" s="304"/>
      <c r="G19" s="304"/>
      <c r="H19" s="304"/>
      <c r="I19" s="304"/>
      <c r="J19" s="304"/>
      <c r="K19" s="304"/>
      <c r="L19" s="304"/>
    </row>
    <row r="20">
      <c r="A20" s="1" t="s">
        <v>473</v>
      </c>
      <c r="B20" s="305">
        <f>SUM('3.ROIC'!B4:K5)</f>
        <v>50574</v>
      </c>
      <c r="C20" s="304"/>
      <c r="D20" s="304"/>
      <c r="E20" s="304"/>
      <c r="F20" s="304"/>
      <c r="G20" s="304"/>
      <c r="H20" s="304"/>
      <c r="I20" s="304"/>
      <c r="J20" s="304"/>
      <c r="K20" s="304"/>
      <c r="L20" s="304"/>
    </row>
    <row r="21" ht="15.75" customHeight="1">
      <c r="A21" s="1" t="s">
        <v>474</v>
      </c>
      <c r="B21" s="305">
        <f>SUM('3.ROIC'!B5:K5)</f>
        <v>10574</v>
      </c>
      <c r="C21" s="304"/>
      <c r="D21" s="304"/>
      <c r="E21" s="304"/>
      <c r="F21" s="304"/>
      <c r="G21" s="304"/>
      <c r="H21" s="304"/>
      <c r="I21" s="304"/>
      <c r="J21" s="304"/>
      <c r="K21" s="304"/>
      <c r="L21" s="304"/>
    </row>
    <row r="22" ht="15.75" customHeight="1">
      <c r="A22" s="1" t="s">
        <v>475</v>
      </c>
      <c r="B22" s="305">
        <f>SUM('3.ROIC'!B6:K7)</f>
        <v>249304</v>
      </c>
      <c r="C22" s="304"/>
      <c r="D22" s="304"/>
      <c r="E22" s="304"/>
      <c r="F22" s="304"/>
      <c r="G22" s="304"/>
      <c r="H22" s="304"/>
      <c r="I22" s="304"/>
      <c r="J22" s="304"/>
      <c r="K22" s="304"/>
      <c r="L22" s="304"/>
    </row>
    <row r="23" ht="15.75" customHeight="1">
      <c r="A23" s="1" t="s">
        <v>476</v>
      </c>
      <c r="B23" s="305">
        <f>B22-B20</f>
        <v>198730</v>
      </c>
      <c r="C23" s="304"/>
      <c r="D23" s="304"/>
      <c r="E23" s="304"/>
      <c r="F23" s="304"/>
      <c r="G23" s="304"/>
      <c r="H23" s="304"/>
      <c r="I23" s="304"/>
      <c r="J23" s="304"/>
      <c r="K23" s="304"/>
      <c r="L23" s="304"/>
    </row>
    <row r="24" ht="15.75" customHeight="1">
      <c r="A24" s="1" t="s">
        <v>477</v>
      </c>
      <c r="B24" s="305">
        <f>SUM('1.IS'!B13:K13)</f>
        <v>2681</v>
      </c>
      <c r="C24" s="304"/>
      <c r="D24" s="304"/>
      <c r="E24" s="304"/>
      <c r="F24" s="304"/>
      <c r="G24" s="304"/>
      <c r="H24" s="304"/>
      <c r="I24" s="304"/>
      <c r="J24" s="304"/>
      <c r="K24" s="304"/>
      <c r="L24" s="304"/>
    </row>
    <row r="25" ht="15.75" customHeight="1">
      <c r="A25" s="1" t="s">
        <v>478</v>
      </c>
      <c r="B25" s="305">
        <f>SUM('1.IS'!B12:K12)</f>
        <v>-7492</v>
      </c>
      <c r="C25" s="304"/>
      <c r="D25" s="304"/>
      <c r="E25" s="304"/>
      <c r="F25" s="304"/>
      <c r="G25" s="304"/>
      <c r="H25" s="304"/>
      <c r="I25" s="304"/>
      <c r="J25" s="304"/>
      <c r="K25" s="304"/>
      <c r="L25" s="304"/>
    </row>
    <row r="26" ht="15.75" customHeight="1">
      <c r="A26" s="1" t="s">
        <v>479</v>
      </c>
      <c r="B26" s="314">
        <f>IFERROR(B24/B21,0)</f>
        <v>0.2535464347</v>
      </c>
      <c r="C26" s="304"/>
      <c r="D26" s="304"/>
      <c r="E26" s="304"/>
      <c r="F26" s="304"/>
      <c r="G26" s="304"/>
      <c r="H26" s="304"/>
      <c r="I26" s="304"/>
      <c r="J26" s="304"/>
      <c r="K26" s="304"/>
      <c r="L26" s="304"/>
    </row>
    <row r="27" ht="15.75" customHeight="1">
      <c r="A27" s="1" t="s">
        <v>480</v>
      </c>
      <c r="B27" s="314">
        <f>ABS(SUM('1.IS'!B12:K12))/B22</f>
        <v>0.03005166383</v>
      </c>
      <c r="C27" s="304"/>
      <c r="D27" s="304"/>
      <c r="E27" s="304"/>
      <c r="F27" s="304"/>
      <c r="G27" s="304"/>
      <c r="H27" s="304"/>
      <c r="I27" s="304"/>
      <c r="J27" s="304"/>
      <c r="K27" s="304"/>
      <c r="L27" s="304"/>
    </row>
    <row r="28" ht="15.75" customHeight="1">
      <c r="B28" s="314"/>
      <c r="C28" s="304"/>
      <c r="D28" s="304"/>
      <c r="E28" s="304"/>
      <c r="F28" s="304"/>
      <c r="G28" s="304"/>
      <c r="H28" s="304"/>
      <c r="I28" s="304"/>
      <c r="J28" s="304"/>
      <c r="K28" s="304"/>
      <c r="L28" s="304"/>
    </row>
    <row r="29" ht="15.75" customHeight="1">
      <c r="A29" s="302" t="s">
        <v>481</v>
      </c>
      <c r="B29" s="303">
        <f>'1.IS'!K2</f>
        <v>2024</v>
      </c>
      <c r="C29" s="315" t="str">
        <f>'1.IS'!L2</f>
        <v>2025e</v>
      </c>
      <c r="D29" s="315" t="str">
        <f>'1.IS'!M2</f>
        <v>2026e</v>
      </c>
      <c r="E29" s="315" t="str">
        <f>'1.IS'!N2</f>
        <v>2027e</v>
      </c>
      <c r="F29" s="315" t="str">
        <f>'1.IS'!O2</f>
        <v>2028e</v>
      </c>
      <c r="G29" s="315" t="str">
        <f>'1.IS'!P2</f>
        <v>2029e</v>
      </c>
      <c r="H29" s="304"/>
      <c r="I29" s="304"/>
      <c r="J29" s="304"/>
      <c r="K29" s="304"/>
      <c r="L29" s="304"/>
    </row>
    <row r="30" ht="15.75" customHeight="1">
      <c r="A30" s="1" t="s">
        <v>88</v>
      </c>
      <c r="B30" s="305">
        <f>'4.Valoración'!K4</f>
        <v>23047</v>
      </c>
      <c r="C30" s="316">
        <f>'4.Valoración'!L4</f>
        <v>23780.18856</v>
      </c>
      <c r="D30" s="316">
        <f>'4.Valoración'!M4</f>
        <v>24759.27889</v>
      </c>
      <c r="E30" s="316">
        <f>'4.Valoración'!N4</f>
        <v>26000.87895</v>
      </c>
      <c r="F30" s="316">
        <f>'4.Valoración'!O4</f>
        <v>27315.2013</v>
      </c>
      <c r="G30" s="316">
        <f>'4.Valoración'!P4</f>
        <v>28822.85851</v>
      </c>
      <c r="H30" s="304"/>
      <c r="I30" s="304"/>
      <c r="J30" s="304"/>
      <c r="K30" s="304"/>
      <c r="L30" s="304"/>
    </row>
    <row r="31" ht="15.75" customHeight="1">
      <c r="A31" s="1" t="s">
        <v>482</v>
      </c>
      <c r="B31" s="305">
        <f>B32+B33</f>
        <v>7520</v>
      </c>
      <c r="C31" s="316">
        <f>IF(C30&lt;=0,B31/ABS(B30)*ABS(C30),MIN(B45:K45)*'1.IS'!L3)</f>
        <v>3550.239042</v>
      </c>
      <c r="D31" s="316">
        <f t="shared" ref="D31:G31" si="4">C31/ABS(C30)*ABS(D30)</f>
        <v>3696.411337</v>
      </c>
      <c r="E31" s="316">
        <f t="shared" si="4"/>
        <v>3881.774754</v>
      </c>
      <c r="F31" s="316">
        <f t="shared" si="4"/>
        <v>4077.995171</v>
      </c>
      <c r="G31" s="316">
        <f t="shared" si="4"/>
        <v>4303.07932</v>
      </c>
      <c r="H31" s="304"/>
      <c r="I31" s="305"/>
      <c r="J31" s="304"/>
      <c r="K31" s="314"/>
      <c r="L31" s="304"/>
    </row>
    <row r="32" ht="15.75" customHeight="1">
      <c r="A32" s="230" t="s">
        <v>483</v>
      </c>
      <c r="B32" s="305">
        <f>'3.ROIC'!K4</f>
        <v>6136</v>
      </c>
      <c r="C32" s="316">
        <f>B32/B31*C31</f>
        <v>2896.843984</v>
      </c>
      <c r="D32" s="316">
        <f>C32/'1.IS'!L3*'1.IS'!M3</f>
        <v>2983.749304</v>
      </c>
      <c r="E32" s="316">
        <f>D32/'1.IS'!M3*'1.IS'!N3</f>
        <v>3103.099276</v>
      </c>
      <c r="F32" s="316">
        <f>E32/'1.IS'!N3*'1.IS'!O3</f>
        <v>3227.223247</v>
      </c>
      <c r="G32" s="316">
        <f>F32/'1.IS'!O3*'1.IS'!P3</f>
        <v>3356.312177</v>
      </c>
      <c r="H32" s="304"/>
      <c r="I32" s="304"/>
      <c r="J32" s="304"/>
      <c r="K32" s="314"/>
      <c r="L32" s="304"/>
    </row>
    <row r="33" ht="15.75" customHeight="1">
      <c r="A33" s="230" t="s">
        <v>484</v>
      </c>
      <c r="B33" s="305">
        <f>'3.ROIC'!K5</f>
        <v>1384</v>
      </c>
      <c r="C33" s="316">
        <f>B33/B31*C31</f>
        <v>653.3950578</v>
      </c>
      <c r="D33" s="316">
        <f>C33/'1.IS'!L3*'1.IS'!M3</f>
        <v>672.9969095</v>
      </c>
      <c r="E33" s="316">
        <f>D33/'1.IS'!M3*'1.IS'!N3</f>
        <v>699.9167859</v>
      </c>
      <c r="F33" s="316">
        <f>E33/'1.IS'!N3*'1.IS'!O3</f>
        <v>727.9134573</v>
      </c>
      <c r="G33" s="316">
        <f>F33/'1.IS'!O3*'1.IS'!P3</f>
        <v>757.0299956</v>
      </c>
      <c r="H33" s="304"/>
      <c r="I33" s="304"/>
      <c r="J33" s="304"/>
      <c r="K33" s="304"/>
      <c r="L33" s="304"/>
    </row>
    <row r="34" ht="15.75" customHeight="1">
      <c r="A34" s="1" t="s">
        <v>485</v>
      </c>
      <c r="B34" s="305">
        <f>B30+B31</f>
        <v>30567</v>
      </c>
      <c r="C34" s="316">
        <f>IF(C30&lt;=0,B34/ABS(B30)*ABS(C30),C30+C31)</f>
        <v>27330.4276</v>
      </c>
      <c r="D34" s="316">
        <f t="shared" ref="D34:G34" si="5">C34/ABS(C30)*ABS(D30)</f>
        <v>28455.69023</v>
      </c>
      <c r="E34" s="316">
        <f t="shared" si="5"/>
        <v>29882.6537</v>
      </c>
      <c r="F34" s="316">
        <f t="shared" si="5"/>
        <v>31393.19647</v>
      </c>
      <c r="G34" s="316">
        <f t="shared" si="5"/>
        <v>33125.93783</v>
      </c>
      <c r="H34" s="304"/>
      <c r="I34" s="304"/>
      <c r="J34" s="305"/>
      <c r="K34" s="304"/>
      <c r="L34" s="304"/>
    </row>
    <row r="35" ht="15.75" customHeight="1">
      <c r="A35" s="230" t="s">
        <v>486</v>
      </c>
      <c r="B35" s="305">
        <f>'3.ROIC'!K6</f>
        <v>6987</v>
      </c>
      <c r="C35" s="316">
        <f t="shared" ref="C35:G35" si="6">B35/B34*C34</f>
        <v>6247.184795</v>
      </c>
      <c r="D35" s="316">
        <f t="shared" si="6"/>
        <v>6504.397147</v>
      </c>
      <c r="E35" s="316">
        <f t="shared" si="6"/>
        <v>6830.572232</v>
      </c>
      <c r="F35" s="316">
        <f t="shared" si="6"/>
        <v>7175.851857</v>
      </c>
      <c r="G35" s="316">
        <f t="shared" si="6"/>
        <v>7571.921602</v>
      </c>
      <c r="H35" s="304"/>
      <c r="I35" s="304"/>
      <c r="J35" s="304"/>
      <c r="K35" s="304"/>
      <c r="L35" s="304"/>
    </row>
    <row r="36" ht="15.75" customHeight="1">
      <c r="A36" s="230" t="s">
        <v>487</v>
      </c>
      <c r="B36" s="305">
        <f>'3.ROIC'!K7</f>
        <v>23580</v>
      </c>
      <c r="C36" s="316">
        <f t="shared" ref="C36:G36" si="7">B36/B34*C34</f>
        <v>21083.2428</v>
      </c>
      <c r="D36" s="316">
        <f t="shared" si="7"/>
        <v>21951.29308</v>
      </c>
      <c r="E36" s="316">
        <f t="shared" si="7"/>
        <v>23052.08147</v>
      </c>
      <c r="F36" s="316">
        <f t="shared" si="7"/>
        <v>24217.34461</v>
      </c>
      <c r="G36" s="316">
        <f t="shared" si="7"/>
        <v>25554.01623</v>
      </c>
      <c r="H36" s="304"/>
      <c r="I36" s="304"/>
      <c r="J36" s="304"/>
      <c r="K36" s="304"/>
      <c r="L36" s="304"/>
    </row>
    <row r="37" ht="15.75" customHeight="1">
      <c r="A37" s="230"/>
      <c r="B37" s="305"/>
      <c r="C37" s="316"/>
      <c r="D37" s="316"/>
      <c r="E37" s="316"/>
      <c r="F37" s="316"/>
      <c r="G37" s="316"/>
      <c r="H37" s="304"/>
      <c r="I37" s="304"/>
      <c r="J37" s="304"/>
      <c r="K37" s="304"/>
      <c r="L37" s="304"/>
    </row>
    <row r="38" ht="15.75" customHeight="1">
      <c r="B38" s="314"/>
      <c r="C38" s="304"/>
      <c r="D38" s="304"/>
      <c r="E38" s="304"/>
      <c r="F38" s="304"/>
      <c r="G38" s="304"/>
      <c r="H38" s="304"/>
      <c r="I38" s="304"/>
      <c r="J38" s="304"/>
      <c r="K38" s="304"/>
      <c r="L38" s="304"/>
    </row>
    <row r="39" ht="15.75" customHeight="1">
      <c r="A39" s="302" t="s">
        <v>488</v>
      </c>
      <c r="B39" s="303">
        <f>'1.IS'!B2</f>
        <v>2015</v>
      </c>
      <c r="C39" s="303">
        <f>'1.IS'!C2</f>
        <v>2016</v>
      </c>
      <c r="D39" s="303">
        <f>'1.IS'!D2</f>
        <v>2018</v>
      </c>
      <c r="E39" s="303">
        <f>'1.IS'!E2</f>
        <v>2018</v>
      </c>
      <c r="F39" s="303">
        <f>'1.IS'!F2</f>
        <v>2019</v>
      </c>
      <c r="G39" s="303">
        <f>'1.IS'!G2</f>
        <v>2020</v>
      </c>
      <c r="H39" s="303">
        <f>'1.IS'!H2</f>
        <v>2021</v>
      </c>
      <c r="I39" s="303">
        <f>'1.IS'!I2</f>
        <v>2022</v>
      </c>
      <c r="J39" s="303">
        <f>'1.IS'!J2</f>
        <v>2023</v>
      </c>
      <c r="K39" s="303">
        <f>'1.IS'!K2</f>
        <v>2024</v>
      </c>
      <c r="L39" s="317" t="s">
        <v>489</v>
      </c>
    </row>
    <row r="40" ht="15.75" customHeight="1">
      <c r="A40" s="1" t="s">
        <v>490</v>
      </c>
      <c r="B40" s="305">
        <f t="shared" ref="B40:K40" si="8">ABS(B10)</f>
        <v>977</v>
      </c>
      <c r="C40" s="305">
        <f t="shared" si="8"/>
        <v>724</v>
      </c>
      <c r="D40" s="305">
        <f t="shared" si="8"/>
        <v>0</v>
      </c>
      <c r="E40" s="305">
        <f t="shared" si="8"/>
        <v>0</v>
      </c>
      <c r="F40" s="305">
        <f t="shared" si="8"/>
        <v>0</v>
      </c>
      <c r="G40" s="305">
        <f t="shared" si="8"/>
        <v>0</v>
      </c>
      <c r="H40" s="305">
        <f t="shared" si="8"/>
        <v>0</v>
      </c>
      <c r="I40" s="305">
        <f t="shared" si="8"/>
        <v>357</v>
      </c>
      <c r="J40" s="305">
        <f t="shared" si="8"/>
        <v>353</v>
      </c>
      <c r="K40" s="305">
        <f t="shared" si="8"/>
        <v>310</v>
      </c>
      <c r="L40" s="316">
        <f t="shared" ref="L40:L44" si="9">SUM(B40:K40)</f>
        <v>2721</v>
      </c>
    </row>
    <row r="41" ht="15.75" customHeight="1">
      <c r="A41" s="1" t="s">
        <v>65</v>
      </c>
      <c r="B41" s="304">
        <f>IFERROR(ABS(VLOOKUP("Common &amp; Preferred Stock Dividends Paid*",'9.TIKR_CF'!$A:$K,COLUMN(B14),FALSE)),"0")</f>
        <v>3331</v>
      </c>
      <c r="C41" s="304">
        <f>IFERROR(ABS(VLOOKUP("Common &amp; Preferred Stock Dividends Paid*",'9.TIKR_CF'!$A:$K,COLUMN(C14),FALSE)),"0")</f>
        <v>3609</v>
      </c>
      <c r="D41" s="304">
        <f>IFERROR(ABS(VLOOKUP("Common &amp; Preferred Stock Dividends Paid*",'9.TIKR_CF'!$A:$K,COLUMN(D14),FALSE)),"0")</f>
        <v>3916</v>
      </c>
      <c r="E41" s="304">
        <f>IFERROR(ABS(VLOOKUP("Common &amp; Preferred Stock Dividends Paid*",'9.TIKR_CF'!$A:$K,COLUMN(E14),FALSE)),"0")</f>
        <v>4066</v>
      </c>
      <c r="F41" s="304">
        <f>IFERROR(ABS(VLOOKUP("Common &amp; Preferred Stock Dividends Paid*",'9.TIKR_CF'!$A:$K,COLUMN(F14),FALSE)),"0")</f>
        <v>4209</v>
      </c>
      <c r="G41" s="304">
        <f>IFERROR(ABS(VLOOKUP("Common &amp; Preferred Stock Dividends Paid*",'9.TIKR_CF'!$A:$K,COLUMN(G14),FALSE)),"0")</f>
        <v>4279</v>
      </c>
      <c r="H41" s="304">
        <f>IFERROR(ABS(VLOOKUP("Common &amp; Preferred Stock Dividends Paid*",'9.TIKR_CF'!$A:$K,COLUMN(H14),FALSE)),"0")</f>
        <v>4483</v>
      </c>
      <c r="I41" s="304">
        <f>IFERROR(ABS(VLOOKUP("Common &amp; Preferred Stock Dividends Paid*",'9.TIKR_CF'!$A:$K,COLUMN(I14),FALSE)),"0")</f>
        <v>4329</v>
      </c>
      <c r="J41" s="304">
        <f>IFERROR(ABS(VLOOKUP("Common &amp; Preferred Stock Dividends Paid*",'9.TIKR_CF'!$A:$K,COLUMN(J14),FALSE)),"0")</f>
        <v>4363</v>
      </c>
      <c r="K41" s="304">
        <f>IFERROR(ABS(VLOOKUP("Common &amp; Preferred Stock Dividends Paid*",'9.TIKR_CF'!$A:$K,COLUMN(K14),FALSE)),"0")</f>
        <v>4319</v>
      </c>
      <c r="L41" s="316">
        <f t="shared" si="9"/>
        <v>40904</v>
      </c>
    </row>
    <row r="42" ht="15.75" customHeight="1">
      <c r="A42" s="1" t="s">
        <v>66</v>
      </c>
      <c r="B42" s="304">
        <f>IFERROR(ABS(VLOOKUP("Repurchase of Common Stock*",'9.TIKR_CF'!$A:$K,COLUMN(B15),FALSE)),"0")</f>
        <v>276</v>
      </c>
      <c r="C42" s="304">
        <f>IFERROR(ABS(VLOOKUP("Repurchase of Common Stock*",'9.TIKR_CF'!$A:$K,COLUMN(C15),FALSE)),"0")</f>
        <v>257</v>
      </c>
      <c r="D42" s="304">
        <f>IFERROR(ABS(VLOOKUP("Repurchase of Common Stock*",'9.TIKR_CF'!$A:$K,COLUMN(D15),FALSE)),"0")</f>
        <v>5218</v>
      </c>
      <c r="E42" s="304">
        <f>IFERROR(ABS(VLOOKUP("Repurchase of Common Stock*",'9.TIKR_CF'!$A:$K,COLUMN(E15),FALSE)),"0")</f>
        <v>6277</v>
      </c>
      <c r="F42" s="304">
        <f>IFERROR(ABS(VLOOKUP("Repurchase of Common Stock*",'9.TIKR_CF'!$A:$K,COLUMN(F15),FALSE)),"0")</f>
        <v>201</v>
      </c>
      <c r="G42" s="304">
        <f>IFERROR(ABS(VLOOKUP("Repurchase of Common Stock*",'9.TIKR_CF'!$A:$K,COLUMN(G15),FALSE)),"0")</f>
        <v>0</v>
      </c>
      <c r="H42" s="304">
        <f>IFERROR(ABS(VLOOKUP("Repurchase of Common Stock*",'9.TIKR_CF'!$A:$K,COLUMN(H15),FALSE)),"0")</f>
        <v>3018</v>
      </c>
      <c r="I42" s="304">
        <f>IFERROR(ABS(VLOOKUP("Repurchase of Common Stock*",'9.TIKR_CF'!$A:$K,COLUMN(I15),FALSE)),"0")</f>
        <v>1509</v>
      </c>
      <c r="J42" s="304">
        <f>IFERROR(ABS(VLOOKUP("Repurchase of Common Stock*",'9.TIKR_CF'!$A:$K,COLUMN(J15),FALSE)),"0")</f>
        <v>1507</v>
      </c>
      <c r="K42" s="304">
        <f>IFERROR(ABS(VLOOKUP("Repurchase of Common Stock*",'9.TIKR_CF'!$A:$K,COLUMN(K15),FALSE)),"0")</f>
        <v>1508</v>
      </c>
      <c r="L42" s="316">
        <f t="shared" si="9"/>
        <v>19771</v>
      </c>
    </row>
    <row r="43" ht="15.75" customHeight="1">
      <c r="A43" s="1" t="s">
        <v>491</v>
      </c>
      <c r="B43" s="304">
        <f t="shared" ref="B43:K43" si="10">ABS(B11)</f>
        <v>1897</v>
      </c>
      <c r="C43" s="304">
        <f t="shared" si="10"/>
        <v>1731</v>
      </c>
      <c r="D43" s="304">
        <f t="shared" si="10"/>
        <v>4896</v>
      </c>
      <c r="E43" s="304">
        <f t="shared" si="10"/>
        <v>1336</v>
      </c>
      <c r="F43" s="304">
        <f t="shared" si="10"/>
        <v>1122</v>
      </c>
      <c r="G43" s="304">
        <f t="shared" si="10"/>
        <v>1426</v>
      </c>
      <c r="H43" s="304">
        <f t="shared" si="10"/>
        <v>2131</v>
      </c>
      <c r="I43" s="304">
        <f t="shared" si="10"/>
        <v>979</v>
      </c>
      <c r="J43" s="304">
        <f t="shared" si="10"/>
        <v>704</v>
      </c>
      <c r="K43" s="304">
        <f t="shared" si="10"/>
        <v>795</v>
      </c>
      <c r="L43" s="316">
        <f t="shared" si="9"/>
        <v>17017</v>
      </c>
    </row>
    <row r="44" ht="15.75" customHeight="1">
      <c r="A44" s="1" t="s">
        <v>67</v>
      </c>
      <c r="B44" s="304">
        <f>IFERROR(ABS(VLOOKUP("Total Debt Repaid*",'9.TIKR_CF'!$A:$K,COLUMN(B19),FALSE))-VLOOKUP("Total Debt Issued*",'9.TIKR_CF'!$A:$K,COLUMN(B19),FALSE),0)</f>
        <v>-1527</v>
      </c>
      <c r="C44" s="304">
        <f>IFERROR(ABS(VLOOKUP("Total Debt Repaid*",'9.TIKR_CF'!$A:$K,COLUMN(C19),FALSE))-VLOOKUP("Total Debt Issued*",'9.TIKR_CF'!$A:$K,COLUMN(C19),FALSE),0)</f>
        <v>-1771</v>
      </c>
      <c r="D44" s="304">
        <f>IFERROR(ABS(VLOOKUP("Total Debt Repaid*",'9.TIKR_CF'!$A:$K,COLUMN(D19),FALSE))-VLOOKUP("Total Debt Issued*",'9.TIKR_CF'!$A:$K,COLUMN(D19),FALSE),0)</f>
        <v>-8445</v>
      </c>
      <c r="E44" s="304">
        <f>IFERROR(ABS(VLOOKUP("Total Debt Repaid*",'9.TIKR_CF'!$A:$K,COLUMN(E19),FALSE))-VLOOKUP("Total Debt Issued*",'9.TIKR_CF'!$A:$K,COLUMN(E19),FALSE),0)</f>
        <v>506</v>
      </c>
      <c r="F44" s="304">
        <f>IFERROR(ABS(VLOOKUP("Total Debt Repaid*",'9.TIKR_CF'!$A:$K,COLUMN(F19),FALSE))-VLOOKUP("Total Debt Issued*",'9.TIKR_CF'!$A:$K,COLUMN(F19),FALSE),0)</f>
        <v>-901</v>
      </c>
      <c r="G44" s="304">
        <f>IFERROR(ABS(VLOOKUP("Total Debt Repaid*",'9.TIKR_CF'!$A:$K,COLUMN(G19),FALSE))-VLOOKUP("Total Debt Issued*",'9.TIKR_CF'!$A:$K,COLUMN(G19),FALSE),0)</f>
        <v>181</v>
      </c>
      <c r="H44" s="304">
        <f>IFERROR(ABS(VLOOKUP("Total Debt Repaid*",'9.TIKR_CF'!$A:$K,COLUMN(H19),FALSE))-VLOOKUP("Total Debt Issued*",'9.TIKR_CF'!$A:$K,COLUMN(H19),FALSE),0)</f>
        <v>-1390</v>
      </c>
      <c r="I44" s="304">
        <f>IFERROR(ABS(VLOOKUP("Total Debt Repaid*",'9.TIKR_CF'!$A:$K,COLUMN(I19),FALSE))-VLOOKUP("Total Debt Issued*",'9.TIKR_CF'!$A:$K,COLUMN(I19),FALSE),0)</f>
        <v>1727</v>
      </c>
      <c r="J44" s="304">
        <f>IFERROR(ABS(VLOOKUP("Total Debt Repaid*",'9.TIKR_CF'!$A:$K,COLUMN(J19),FALSE))-VLOOKUP("Total Debt Issued*",'9.TIKR_CF'!$A:$K,COLUMN(J19),FALSE),0)</f>
        <v>-103</v>
      </c>
      <c r="K44" s="304">
        <f>IFERROR(ABS(VLOOKUP("Total Debt Repaid*",'9.TIKR_CF'!$A:$K,COLUMN(K19),FALSE))-VLOOKUP("Total Debt Issued*",'9.TIKR_CF'!$A:$K,COLUMN(K19),FALSE),0)</f>
        <v>-697</v>
      </c>
      <c r="L44" s="316">
        <f t="shared" si="9"/>
        <v>-12420</v>
      </c>
    </row>
    <row r="45" ht="15.75" customHeight="1">
      <c r="A45" s="1" t="s">
        <v>492</v>
      </c>
      <c r="B45" s="314">
        <f>IFERROR(SUM('3.ROIC'!B4:B5)/'1.IS'!B3,"")</f>
        <v>0.0567277369</v>
      </c>
      <c r="C45" s="314">
        <f>IFERROR(SUM('3.ROIC'!C4:C5)/'1.IS'!C3,"")</f>
        <v>0.07831085311</v>
      </c>
      <c r="D45" s="314">
        <f>IFERROR(SUM('3.ROIC'!D4:D5)/'1.IS'!D3,"")</f>
        <v>0.07608675417</v>
      </c>
      <c r="E45" s="314">
        <f>IFERROR(SUM('3.ROIC'!E4:E5)/'1.IS'!E3,"")</f>
        <v>0.08391196893</v>
      </c>
      <c r="F45" s="314">
        <f>IFERROR(SUM('3.ROIC'!F4:F5)/'1.IS'!F3,"")</f>
        <v>0.1015775298</v>
      </c>
      <c r="G45" s="314">
        <f>IFERROR(SUM('3.ROIC'!G4:G5)/'1.IS'!G3,"")</f>
        <v>0.1242409905</v>
      </c>
      <c r="H45" s="314">
        <f>IFERROR(SUM('3.ROIC'!H4:H5)/'1.IS'!H3,"")</f>
        <v>0.08592021966</v>
      </c>
      <c r="I45" s="314">
        <f>IFERROR(SUM('3.ROIC'!I4:I5)/'1.IS'!I3,"")</f>
        <v>0.09318662294</v>
      </c>
      <c r="J45" s="314">
        <f>IFERROR(SUM('3.ROIC'!J4:J5)/'1.IS'!J3,"")</f>
        <v>0.09819810751</v>
      </c>
      <c r="K45" s="314">
        <f>IFERROR(SUM('3.ROIC'!K4:K5)/'1.IS'!K3,"")</f>
        <v>0.1237635984</v>
      </c>
      <c r="L45" s="316"/>
      <c r="N45" s="318"/>
    </row>
    <row r="46" ht="15.75" customHeight="1">
      <c r="B46" s="304"/>
      <c r="C46" s="304"/>
      <c r="D46" s="304"/>
      <c r="E46" s="304"/>
      <c r="F46" s="304"/>
      <c r="G46" s="304"/>
      <c r="H46" s="304"/>
      <c r="I46" s="304"/>
      <c r="J46" s="304"/>
      <c r="K46" s="304"/>
      <c r="L46" s="304"/>
    </row>
    <row r="47" ht="15.75" customHeight="1">
      <c r="A47" s="243" t="s">
        <v>493</v>
      </c>
      <c r="B47" s="304"/>
      <c r="C47" s="304"/>
      <c r="D47" s="304"/>
      <c r="E47" s="304"/>
      <c r="F47" s="304"/>
      <c r="G47" s="304"/>
      <c r="H47" s="304"/>
      <c r="I47" s="304"/>
      <c r="J47" s="304"/>
      <c r="K47" s="304"/>
      <c r="L47" s="304"/>
    </row>
    <row r="48" ht="15.75" customHeight="1">
      <c r="A48" s="302"/>
      <c r="B48" s="303">
        <f>'1.IS'!C$2</f>
        <v>2016</v>
      </c>
      <c r="C48" s="303">
        <f>'1.IS'!D$2</f>
        <v>2018</v>
      </c>
      <c r="D48" s="303">
        <f>'1.IS'!E$2</f>
        <v>2018</v>
      </c>
      <c r="E48" s="303">
        <f>'1.IS'!F$2</f>
        <v>2019</v>
      </c>
      <c r="F48" s="303">
        <f>'1.IS'!G$2</f>
        <v>2020</v>
      </c>
      <c r="G48" s="303">
        <f>'1.IS'!H$2</f>
        <v>2021</v>
      </c>
      <c r="H48" s="303">
        <f>'1.IS'!I$2</f>
        <v>2022</v>
      </c>
      <c r="I48" s="303">
        <f>'1.IS'!J$2</f>
        <v>2023</v>
      </c>
      <c r="J48" s="303">
        <f>'1.IS'!K$2</f>
        <v>2024</v>
      </c>
      <c r="K48" s="303"/>
      <c r="L48" s="313"/>
    </row>
    <row r="49" ht="15.75" customHeight="1">
      <c r="A49" s="319" t="s">
        <v>494</v>
      </c>
      <c r="B49" s="320">
        <f>'1.IS'!C4</f>
        <v>-0.01049331731</v>
      </c>
      <c r="C49" s="320">
        <f>'1.IS'!D4</f>
        <v>0.01900859371</v>
      </c>
      <c r="D49" s="320">
        <f>'1.IS'!E4</f>
        <v>-0.05087964256</v>
      </c>
      <c r="E49" s="320">
        <f>'1.IS'!F4</f>
        <v>0.01957553646</v>
      </c>
      <c r="F49" s="320">
        <f>'1.IS'!G4</f>
        <v>-0.02416313967</v>
      </c>
      <c r="G49" s="320">
        <f>'1.IS'!H4</f>
        <v>0.03390899771</v>
      </c>
      <c r="H49" s="320">
        <f>'1.IS'!I4</f>
        <v>0.1454694531</v>
      </c>
      <c r="I49" s="320">
        <f>'1.IS'!J4</f>
        <v>-0.007807167946</v>
      </c>
      <c r="J49" s="320">
        <f>'1.IS'!K4</f>
        <v>0.0194114489</v>
      </c>
      <c r="K49" s="304"/>
      <c r="L49" s="320"/>
    </row>
    <row r="50" ht="15.75" customHeight="1">
      <c r="A50" s="319" t="s">
        <v>38</v>
      </c>
      <c r="B50" s="320">
        <f>'1.IS'!C24</f>
        <v>0.06413433674</v>
      </c>
      <c r="C50" s="320">
        <f>'1.IS'!D24</f>
        <v>0.3565070681</v>
      </c>
      <c r="D50" s="320">
        <f>'1.IS'!E24</f>
        <v>-0.1122476457</v>
      </c>
      <c r="E50" s="320">
        <f>'1.IS'!F24</f>
        <v>0.1950152001</v>
      </c>
      <c r="F50" s="320">
        <f>'1.IS'!G24</f>
        <v>-0.03673409439</v>
      </c>
      <c r="G50" s="320">
        <f>'1.IS'!H24</f>
        <v>0.06921672044</v>
      </c>
      <c r="H50" s="320">
        <f>'1.IS'!I24</f>
        <v>-0.04183134759</v>
      </c>
      <c r="I50" s="320">
        <f>'1.IS'!J24</f>
        <v>0.03054461569</v>
      </c>
      <c r="J50" s="320">
        <f>'1.IS'!K24</f>
        <v>0.1451179819</v>
      </c>
      <c r="K50" s="304"/>
      <c r="L50" s="320"/>
    </row>
    <row r="51" ht="15.75" customHeight="1">
      <c r="A51" s="319" t="s">
        <v>495</v>
      </c>
      <c r="B51" s="320">
        <f>'2.FCF'!C16</f>
        <v>0.05556658067</v>
      </c>
      <c r="C51" s="320">
        <f>'2.FCF'!D16</f>
        <v>0.963714984</v>
      </c>
      <c r="D51" s="320">
        <f>'2.FCF'!E16</f>
        <v>-0.7536620393</v>
      </c>
      <c r="E51" s="320">
        <f>'2.FCF'!F16</f>
        <v>1.677419355</v>
      </c>
      <c r="F51" s="320">
        <f>'2.FCF'!G16</f>
        <v>0.1512556249</v>
      </c>
      <c r="G51" s="320">
        <f>'2.FCF'!H16</f>
        <v>-0.05081326441</v>
      </c>
      <c r="H51" s="320">
        <f>'2.FCF'!I16</f>
        <v>-0.1113177471</v>
      </c>
      <c r="I51" s="320">
        <f>'2.FCF'!J16</f>
        <v>0.07802690583</v>
      </c>
      <c r="J51" s="320">
        <f>'2.FCF'!K16</f>
        <v>0.6498890738</v>
      </c>
      <c r="K51" s="304"/>
      <c r="L51" s="320"/>
    </row>
    <row r="52" ht="15.75" customHeight="1">
      <c r="A52" s="13"/>
      <c r="B52" s="321"/>
      <c r="C52" s="321"/>
      <c r="D52" s="321"/>
      <c r="E52" s="321"/>
      <c r="F52" s="321"/>
      <c r="G52" s="321"/>
      <c r="H52" s="321"/>
      <c r="I52" s="321"/>
      <c r="J52" s="304"/>
      <c r="K52" s="304"/>
      <c r="L52" s="304"/>
    </row>
    <row r="53" ht="15.75" customHeight="1">
      <c r="A53" s="322" t="s">
        <v>496</v>
      </c>
      <c r="B53" s="321"/>
      <c r="C53" s="321"/>
      <c r="D53" s="321"/>
      <c r="E53" s="321"/>
      <c r="F53" s="321"/>
      <c r="G53" s="321"/>
      <c r="H53" s="321"/>
      <c r="I53" s="321"/>
      <c r="J53" s="304"/>
      <c r="K53" s="304"/>
      <c r="L53" s="304"/>
    </row>
    <row r="54" ht="15.75" customHeight="1">
      <c r="A54" s="302"/>
      <c r="B54" s="313">
        <f>'1.IS'!B$2</f>
        <v>2015</v>
      </c>
      <c r="C54" s="313">
        <f>'1.IS'!C$2</f>
        <v>2016</v>
      </c>
      <c r="D54" s="313">
        <f>'1.IS'!D$2</f>
        <v>2018</v>
      </c>
      <c r="E54" s="313">
        <f>'1.IS'!E$2</f>
        <v>2018</v>
      </c>
      <c r="F54" s="313">
        <f>'1.IS'!F$2</f>
        <v>2019</v>
      </c>
      <c r="G54" s="313">
        <f>'1.IS'!G$2</f>
        <v>2020</v>
      </c>
      <c r="H54" s="313">
        <f>'1.IS'!H$2</f>
        <v>2021</v>
      </c>
      <c r="I54" s="313">
        <f>'1.IS'!I$2</f>
        <v>2022</v>
      </c>
      <c r="J54" s="313">
        <f>'1.IS'!J$2</f>
        <v>2023</v>
      </c>
      <c r="K54" s="313">
        <f>'1.IS'!K$2</f>
        <v>2024</v>
      </c>
      <c r="L54" s="313"/>
    </row>
    <row r="55" ht="15.75" customHeight="1">
      <c r="A55" s="319" t="s">
        <v>20</v>
      </c>
      <c r="B55" s="323">
        <f>'1.IS'!B6</f>
        <v>0.1645141913</v>
      </c>
      <c r="C55" s="323">
        <f>'1.IS'!C6</f>
        <v>0.1739798532</v>
      </c>
      <c r="D55" s="323">
        <f>'1.IS'!D6</f>
        <v>0.2127711068</v>
      </c>
      <c r="E55" s="323">
        <f>'1.IS'!E6</f>
        <v>0.2223726021</v>
      </c>
      <c r="F55" s="323">
        <f>'1.IS'!F6</f>
        <v>0.2285686803</v>
      </c>
      <c r="G55" s="323">
        <f>'1.IS'!G6</f>
        <v>0.2242725337</v>
      </c>
      <c r="H55" s="323">
        <f>'1.IS'!H6</f>
        <v>0.2170505682</v>
      </c>
      <c r="I55" s="323">
        <f>'1.IS'!I6</f>
        <v>0.1855242788</v>
      </c>
      <c r="J55" s="323">
        <f>'1.IS'!J6</f>
        <v>0.1922521978</v>
      </c>
      <c r="K55" s="323">
        <f>'1.IS'!K6</f>
        <v>0.2118793305</v>
      </c>
      <c r="L55" s="323"/>
    </row>
    <row r="56" ht="15.75" customHeight="1">
      <c r="A56" s="319" t="s">
        <v>91</v>
      </c>
      <c r="B56" s="323">
        <f>'1.IS'!B10</f>
        <v>0.1387971167</v>
      </c>
      <c r="C56" s="323">
        <f>'1.IS'!C10</f>
        <v>0.1462068181</v>
      </c>
      <c r="D56" s="323">
        <f>'1.IS'!D10</f>
        <v>0.17507214</v>
      </c>
      <c r="E56" s="323">
        <f>'1.IS'!E10</f>
        <v>0.182986152</v>
      </c>
      <c r="F56" s="323">
        <f>'1.IS'!F10</f>
        <v>0.1907849173</v>
      </c>
      <c r="G56" s="323">
        <f>'1.IS'!G10</f>
        <v>0.184488605</v>
      </c>
      <c r="H56" s="323">
        <f>'1.IS'!H10</f>
        <v>0.1837579132</v>
      </c>
      <c r="I56" s="323">
        <f>'1.IS'!I10</f>
        <v>0.1604048408</v>
      </c>
      <c r="J56" s="323">
        <f>'1.IS'!J10</f>
        <v>0.1689148379</v>
      </c>
      <c r="K56" s="323">
        <f>'1.IS'!K10</f>
        <v>0.1851516598</v>
      </c>
      <c r="L56" s="323"/>
    </row>
    <row r="57" ht="15.75" customHeight="1">
      <c r="A57" s="319" t="s">
        <v>93</v>
      </c>
      <c r="B57" s="323">
        <f>'2.FCF'!B15</f>
        <v>0.09459002853</v>
      </c>
      <c r="C57" s="323">
        <f>'2.FCF'!C15</f>
        <v>0.1009049001</v>
      </c>
      <c r="D57" s="323">
        <f>'2.FCF'!D15</f>
        <v>0.1944522014</v>
      </c>
      <c r="E57" s="323">
        <f>'2.FCF'!E15</f>
        <v>0.05046879291</v>
      </c>
      <c r="F57" s="323">
        <f>'2.FCF'!F15</f>
        <v>0.132531743</v>
      </c>
      <c r="G57" s="323">
        <f>'2.FCF'!G15</f>
        <v>0.1563559656</v>
      </c>
      <c r="H57" s="323">
        <f>'2.FCF'!H15</f>
        <v>0.1435435894</v>
      </c>
      <c r="I57" s="323">
        <f>'2.FCF'!I15</f>
        <v>0.1113645065</v>
      </c>
      <c r="J57" s="323">
        <f>'2.FCF'!J15</f>
        <v>0.1209985907</v>
      </c>
      <c r="K57" s="323">
        <f>'2.FCF'!K15</f>
        <v>0.1958328533</v>
      </c>
      <c r="L57" s="323"/>
    </row>
    <row r="58" ht="15.75" customHeight="1">
      <c r="A58" s="13"/>
      <c r="B58" s="321"/>
      <c r="C58" s="320"/>
      <c r="D58" s="320"/>
      <c r="E58" s="320"/>
      <c r="F58" s="320"/>
      <c r="G58" s="320"/>
      <c r="H58" s="320"/>
      <c r="I58" s="304"/>
      <c r="J58" s="304"/>
      <c r="K58" s="304"/>
      <c r="L58" s="321"/>
    </row>
    <row r="59" ht="15.75" customHeight="1">
      <c r="A59" s="322" t="s">
        <v>497</v>
      </c>
      <c r="B59" s="321"/>
      <c r="C59" s="320"/>
      <c r="D59" s="320"/>
      <c r="E59" s="320"/>
      <c r="F59" s="320"/>
      <c r="G59" s="320"/>
      <c r="H59" s="320"/>
      <c r="I59" s="304"/>
      <c r="J59" s="304"/>
      <c r="K59" s="304"/>
      <c r="L59" s="321"/>
    </row>
    <row r="60" ht="15.75" customHeight="1">
      <c r="A60" s="302"/>
      <c r="B60" s="313">
        <f>'1.IS'!B$2</f>
        <v>2015</v>
      </c>
      <c r="C60" s="313">
        <f>'1.IS'!C$2</f>
        <v>2016</v>
      </c>
      <c r="D60" s="313">
        <f>'1.IS'!D$2</f>
        <v>2018</v>
      </c>
      <c r="E60" s="313">
        <f>'1.IS'!E$2</f>
        <v>2018</v>
      </c>
      <c r="F60" s="313">
        <f>'1.IS'!F$2</f>
        <v>2019</v>
      </c>
      <c r="G60" s="313">
        <f>'1.IS'!G$2</f>
        <v>2020</v>
      </c>
      <c r="H60" s="313">
        <f>'1.IS'!H$2</f>
        <v>2021</v>
      </c>
      <c r="I60" s="313">
        <f>'1.IS'!I$2</f>
        <v>2022</v>
      </c>
      <c r="J60" s="313">
        <f>'1.IS'!J$2</f>
        <v>2023</v>
      </c>
      <c r="K60" s="313">
        <f>'1.IS'!K$2</f>
        <v>2024</v>
      </c>
      <c r="L60" s="313"/>
    </row>
    <row r="61" ht="15.75" customHeight="1">
      <c r="A61" s="319" t="s">
        <v>93</v>
      </c>
      <c r="B61" s="324">
        <f>'2.FCF'!B14</f>
        <v>5039</v>
      </c>
      <c r="C61" s="324">
        <f>'2.FCF'!C14</f>
        <v>5319</v>
      </c>
      <c r="D61" s="324">
        <f>'2.FCF'!D14</f>
        <v>10445</v>
      </c>
      <c r="E61" s="324">
        <f>'2.FCF'!E14</f>
        <v>2573</v>
      </c>
      <c r="F61" s="324">
        <f>'2.FCF'!F14</f>
        <v>6889</v>
      </c>
      <c r="G61" s="324">
        <f>'2.FCF'!G14</f>
        <v>7931</v>
      </c>
      <c r="H61" s="324">
        <f>'2.FCF'!H14</f>
        <v>7528</v>
      </c>
      <c r="I61" s="324">
        <f>'2.FCF'!I14</f>
        <v>6690</v>
      </c>
      <c r="J61" s="324">
        <f>'2.FCF'!J14</f>
        <v>7212</v>
      </c>
      <c r="K61" s="324">
        <f>'2.FCF'!K14</f>
        <v>11899</v>
      </c>
      <c r="L61" s="321"/>
    </row>
    <row r="62" ht="15.75" customHeight="1">
      <c r="A62" s="319" t="s">
        <v>82</v>
      </c>
      <c r="B62" s="320">
        <f>'3.ROIC'!B15</f>
        <v>0.1781423411</v>
      </c>
      <c r="C62" s="320">
        <f>'3.ROIC'!C15</f>
        <v>0.1734058884</v>
      </c>
      <c r="D62" s="320">
        <f>'3.ROIC'!D15</f>
        <v>0.1916439261</v>
      </c>
      <c r="E62" s="320">
        <f>'3.ROIC'!E15</f>
        <v>0.1742633152</v>
      </c>
      <c r="F62" s="320">
        <f>'3.ROIC'!F15</f>
        <v>0.183296</v>
      </c>
      <c r="G62" s="320">
        <f>'3.ROIC'!G15</f>
        <v>0.1658998033</v>
      </c>
      <c r="H62" s="320">
        <f>'3.ROIC'!H15</f>
        <v>0.1567669805</v>
      </c>
      <c r="I62" s="320">
        <f>'3.ROIC'!I15</f>
        <v>0.1494207307</v>
      </c>
      <c r="J62" s="320">
        <f>'3.ROIC'!J15</f>
        <v>0.1585777484</v>
      </c>
      <c r="K62" s="320">
        <f>'3.ROIC'!K15</f>
        <v>0.1614627042</v>
      </c>
      <c r="L62" s="320"/>
    </row>
    <row r="63" ht="15.75" customHeight="1">
      <c r="A63" s="13"/>
      <c r="B63" s="321"/>
      <c r="C63" s="321"/>
      <c r="D63" s="321"/>
      <c r="E63" s="321"/>
      <c r="F63" s="321"/>
      <c r="G63" s="321"/>
      <c r="H63" s="321"/>
      <c r="I63" s="304"/>
      <c r="J63" s="304"/>
      <c r="K63" s="304"/>
      <c r="L63" s="321"/>
    </row>
    <row r="64" ht="15.75" customHeight="1">
      <c r="A64" s="302" t="s">
        <v>498</v>
      </c>
      <c r="B64" s="313">
        <f>'1.IS'!B$2</f>
        <v>2015</v>
      </c>
      <c r="C64" s="313">
        <f>'1.IS'!C$2</f>
        <v>2016</v>
      </c>
      <c r="D64" s="313">
        <f>'1.IS'!D$2</f>
        <v>2018</v>
      </c>
      <c r="E64" s="313">
        <f>'1.IS'!E$2</f>
        <v>2018</v>
      </c>
      <c r="F64" s="313">
        <f>'1.IS'!F$2</f>
        <v>2019</v>
      </c>
      <c r="G64" s="313">
        <f>'1.IS'!G$2</f>
        <v>2020</v>
      </c>
      <c r="H64" s="313">
        <f>'1.IS'!H$2</f>
        <v>2021</v>
      </c>
      <c r="I64" s="313">
        <f>'1.IS'!I$2</f>
        <v>2022</v>
      </c>
      <c r="J64" s="313">
        <f>'1.IS'!J$2</f>
        <v>2023</v>
      </c>
      <c r="K64" s="313">
        <f>'1.IS'!K$2</f>
        <v>2024</v>
      </c>
      <c r="L64" s="313"/>
    </row>
    <row r="65" ht="15.75" customHeight="1">
      <c r="A65" s="319" t="s">
        <v>499</v>
      </c>
      <c r="B65" s="320">
        <f>IFERROR(('1.IS'!B3-'1.IS'!B5)/'1.IS'!B3,"")</f>
        <v>0.8354858087</v>
      </c>
      <c r="C65" s="320">
        <f>IFERROR(('1.IS'!C3-'1.IS'!C5)/'1.IS'!C3,"")</f>
        <v>0.8260201468</v>
      </c>
      <c r="D65" s="320">
        <f>IFERROR(('1.IS'!D3-'1.IS'!D5)/'1.IS'!D3,"")</f>
        <v>0.7872288932</v>
      </c>
      <c r="E65" s="320">
        <f>IFERROR(('1.IS'!E3-'1.IS'!E5)/'1.IS'!E3,"")</f>
        <v>0.7776273979</v>
      </c>
      <c r="F65" s="320">
        <f>IFERROR(('1.IS'!F3-'1.IS'!F5)/'1.IS'!F3,"")</f>
        <v>0.7714313197</v>
      </c>
      <c r="G65" s="320">
        <f>IFERROR(('1.IS'!G3-'1.IS'!G5)/'1.IS'!G3,"")</f>
        <v>0.7757274663</v>
      </c>
      <c r="H65" s="320">
        <f>IFERROR(('1.IS'!H3-'1.IS'!H5)/'1.IS'!H3,"")</f>
        <v>0.7829494318</v>
      </c>
      <c r="I65" s="320">
        <f>IFERROR(('1.IS'!I3-'1.IS'!I5)/'1.IS'!I3,"")</f>
        <v>0.8144757212</v>
      </c>
      <c r="J65" s="320">
        <f>IFERROR(('1.IS'!J3-'1.IS'!J5)/'1.IS'!J3,"")</f>
        <v>0.8077478022</v>
      </c>
      <c r="K65" s="320">
        <f>IFERROR(('1.IS'!K3-'1.IS'!K5)/'1.IS'!K3,"")</f>
        <v>0.7881206695</v>
      </c>
      <c r="L65" s="320"/>
    </row>
    <row r="66" ht="15.75" customHeight="1">
      <c r="A66" s="319" t="s">
        <v>500</v>
      </c>
      <c r="B66" s="320">
        <f>'2.FCF'!B22</f>
        <v>0.0205924313</v>
      </c>
      <c r="C66" s="320">
        <f>'2.FCF'!C22</f>
        <v>0.02189213287</v>
      </c>
      <c r="D66" s="320">
        <f>'2.FCF'!D22</f>
        <v>0.03017779019</v>
      </c>
      <c r="E66" s="320">
        <f>'2.FCF'!E22</f>
        <v>0.02793142678</v>
      </c>
      <c r="F66" s="320">
        <f>'2.FCF'!F22</f>
        <v>0.02749134282</v>
      </c>
      <c r="G66" s="320">
        <f>'2.FCF'!G22</f>
        <v>0.01837394527</v>
      </c>
      <c r="H66" s="320">
        <f>'2.FCF'!H22</f>
        <v>0.02362520021</v>
      </c>
      <c r="I66" s="320">
        <f>'2.FCF'!I22</f>
        <v>0.02114094518</v>
      </c>
      <c r="J66" s="320">
        <f>'2.FCF'!J22</f>
        <v>0.02264948661</v>
      </c>
      <c r="K66" s="320">
        <f>'2.FCF'!K22</f>
        <v>0.02672767071</v>
      </c>
      <c r="L66" s="320"/>
    </row>
    <row r="67" ht="15.75" customHeight="1">
      <c r="A67" s="319" t="s">
        <v>501</v>
      </c>
      <c r="B67" s="320">
        <f>IFERROR(('1.IS'!B14/'1.IS'!B3),"")</f>
        <v>-0.005950593182</v>
      </c>
      <c r="C67" s="320">
        <f>IFERROR(('1.IS'!C14/'1.IS'!C3),"")</f>
        <v>-0.006696640297</v>
      </c>
      <c r="D67" s="320">
        <f>IFERROR(('1.IS'!D14/'1.IS'!D3),"")</f>
        <v>-0.009699339105</v>
      </c>
      <c r="E67" s="320">
        <f>IFERROR(('1.IS'!E14/'1.IS'!E3),"")</f>
        <v>-0.01125887568</v>
      </c>
      <c r="F67" s="320">
        <f>IFERROR(('1.IS'!F14/'1.IS'!F3),"")</f>
        <v>-0.01036937284</v>
      </c>
      <c r="G67" s="320">
        <f>IFERROR(('1.IS'!G14/'1.IS'!G3),"")</f>
        <v>-0.009226401703</v>
      </c>
      <c r="H67" s="320">
        <f>IFERROR(('1.IS'!H14/'1.IS'!H3),"")</f>
        <v>-0.004957669133</v>
      </c>
      <c r="I67" s="320">
        <f>IFERROR(('1.IS'!I14/'1.IS'!I3),"")</f>
        <v>-0.008056864149</v>
      </c>
      <c r="J67" s="320">
        <f>IFERROR(('1.IS'!J14/'1.IS'!J3),"")</f>
        <v>-0.01062009261</v>
      </c>
      <c r="K67" s="320">
        <f>IFERROR(('1.IS'!K14/'1.IS'!K3),"")</f>
        <v>-0.01089514656</v>
      </c>
      <c r="L67" s="320"/>
    </row>
    <row r="68" ht="15.75" customHeight="1">
      <c r="A68" s="319" t="s">
        <v>502</v>
      </c>
      <c r="B68" s="320">
        <f>IFERROR(('1.IS'!B16+'1.IS'!B19)/'1.IS'!B3,"")</f>
        <v>-0.04338113831</v>
      </c>
      <c r="C68" s="320">
        <f>IFERROR(('1.IS'!C16+'1.IS'!C19)/'1.IS'!C3,"")</f>
        <v>-0.04334794074</v>
      </c>
      <c r="D68" s="320">
        <f>IFERROR(('1.IS'!D16+'1.IS'!D19)/'1.IS'!D3,"")</f>
        <v>-0.03915107512</v>
      </c>
      <c r="E68" s="320">
        <f>IFERROR(('1.IS'!E16+'1.IS'!E19)/'1.IS'!E3,"")</f>
        <v>-0.05866776509</v>
      </c>
      <c r="F68" s="320">
        <f>IFERROR(('1.IS'!F16+'1.IS'!F19)/'1.IS'!F3,"")</f>
        <v>-0.05125048095</v>
      </c>
      <c r="G68" s="320">
        <f>IFERROR(('1.IS'!G16+'1.IS'!G19)/'1.IS'!G3,"")</f>
        <v>-0.04761059853</v>
      </c>
      <c r="H68" s="320">
        <f>IFERROR(('1.IS'!H16+'1.IS'!H19)/'1.IS'!H3,"")</f>
        <v>-0.04780337122</v>
      </c>
      <c r="I68" s="320">
        <f>IFERROR(('1.IS'!I16+'1.IS'!I19)/'1.IS'!I3,"")</f>
        <v>-0.04486208446</v>
      </c>
      <c r="J68" s="320">
        <f>IFERROR(('1.IS'!J16+'1.IS'!J19)/'1.IS'!J3,"")</f>
        <v>-0.04784913764</v>
      </c>
      <c r="K68" s="320">
        <f>IFERROR(('1.IS'!K16+'1.IS'!K19)/'1.IS'!K3,"")</f>
        <v>-0.05143101661</v>
      </c>
      <c r="L68" s="320"/>
    </row>
    <row r="69" ht="15.75" customHeight="1">
      <c r="A69" s="319" t="s">
        <v>503</v>
      </c>
      <c r="B69" s="320"/>
      <c r="C69" s="320">
        <f>IFERROR('2.FCF'!C12/'1.IS'!C3,"")</f>
        <v>0.001138239144</v>
      </c>
      <c r="D69" s="320">
        <f>IFERROR('2.FCF'!D12/'1.IS'!D3,"")</f>
        <v>-0.06070929908</v>
      </c>
      <c r="E69" s="320">
        <f>IFERROR('2.FCF'!E12/'1.IS'!E3,"")</f>
        <v>0.07404574163</v>
      </c>
      <c r="F69" s="320">
        <f>IFERROR('2.FCF'!F12/'1.IS'!F3,"")</f>
        <v>0.006925740669</v>
      </c>
      <c r="G69" s="320">
        <f>IFERROR('2.FCF'!G12/'1.IS'!G3,"")</f>
        <v>-0.007294377415</v>
      </c>
      <c r="H69" s="320">
        <f>IFERROR('2.FCF'!H12/'1.IS'!H3,"")</f>
        <v>-0.002879261689</v>
      </c>
      <c r="I69" s="320">
        <f>IFERROR('2.FCF'!I12/'1.IS'!I3,"")</f>
        <v>0.00009987848118</v>
      </c>
      <c r="J69" s="320">
        <f>IFERROR('2.FCF'!J12/'1.IS'!J3,"")</f>
        <v>-0.009865109724</v>
      </c>
      <c r="K69" s="320">
        <f>IFERROR('2.FCF'!K12/'1.IS'!K3,"")</f>
        <v>-0.07300735669</v>
      </c>
      <c r="L69" s="320"/>
    </row>
    <row r="70" ht="15.75" customHeight="1">
      <c r="B70" s="304"/>
      <c r="C70" s="304"/>
      <c r="D70" s="304"/>
      <c r="E70" s="304"/>
      <c r="F70" s="304"/>
      <c r="G70" s="304"/>
      <c r="H70" s="304"/>
      <c r="I70" s="304"/>
      <c r="J70" s="304"/>
      <c r="K70" s="304"/>
      <c r="L70" s="304"/>
    </row>
    <row r="71" ht="15.75" customHeight="1">
      <c r="A71" s="302" t="s">
        <v>504</v>
      </c>
      <c r="B71" s="313">
        <f>'1.IS'!B2</f>
        <v>2015</v>
      </c>
      <c r="C71" s="313">
        <f>'1.IS'!C2</f>
        <v>2016</v>
      </c>
      <c r="D71" s="313">
        <f>'1.IS'!D2</f>
        <v>2018</v>
      </c>
      <c r="E71" s="313">
        <f>'1.IS'!E2</f>
        <v>2018</v>
      </c>
      <c r="F71" s="313">
        <f>'1.IS'!F2</f>
        <v>2019</v>
      </c>
      <c r="G71" s="313">
        <f>'1.IS'!G2</f>
        <v>2020</v>
      </c>
      <c r="H71" s="313">
        <f>'1.IS'!H2</f>
        <v>2021</v>
      </c>
      <c r="I71" s="313">
        <f>'1.IS'!I2</f>
        <v>2022</v>
      </c>
      <c r="J71" s="313">
        <f>'1.IS'!J2</f>
        <v>2023</v>
      </c>
      <c r="K71" s="313">
        <f>'1.IS'!K2</f>
        <v>2024</v>
      </c>
      <c r="L71" s="317" t="s">
        <v>68</v>
      </c>
    </row>
    <row r="72" ht="15.75" customHeight="1">
      <c r="A72" s="319" t="s">
        <v>505</v>
      </c>
      <c r="B72" s="304"/>
      <c r="C72" s="304">
        <f>IF('1.IS'!C4&lt;0,1,0)</f>
        <v>1</v>
      </c>
      <c r="D72" s="304">
        <f>IF('1.IS'!D4&lt;0,1,0)</f>
        <v>0</v>
      </c>
      <c r="E72" s="304">
        <f>IF('1.IS'!E4&lt;0,1,0)</f>
        <v>1</v>
      </c>
      <c r="F72" s="304">
        <f>IF('1.IS'!F4&lt;0,1,0)</f>
        <v>0</v>
      </c>
      <c r="G72" s="304">
        <f>IF('1.IS'!G4&lt;0,1,0)</f>
        <v>1</v>
      </c>
      <c r="H72" s="304">
        <f>IF('1.IS'!H4&lt;0,1,0)</f>
        <v>0</v>
      </c>
      <c r="I72" s="304">
        <f>IF('1.IS'!I4&lt;0,1,0)</f>
        <v>0</v>
      </c>
      <c r="J72" s="304">
        <f>IF('1.IS'!J4&lt;0,1,0)</f>
        <v>1</v>
      </c>
      <c r="K72" s="304">
        <f>IF('1.IS'!K4&lt;0,1,0)</f>
        <v>0</v>
      </c>
      <c r="L72" s="325">
        <f t="shared" ref="L72:L76" si="11">SUM(B72:K72)</f>
        <v>4</v>
      </c>
    </row>
    <row r="73" ht="15.75" customHeight="1">
      <c r="A73" s="319" t="s">
        <v>506</v>
      </c>
      <c r="B73" s="304"/>
      <c r="C73" s="304">
        <f>IF('1.IS'!C10&lt;'1.IS'!B10,1,0)</f>
        <v>0</v>
      </c>
      <c r="D73" s="304">
        <f>IF('1.IS'!D10&lt;'1.IS'!C10,1,0)</f>
        <v>0</v>
      </c>
      <c r="E73" s="304">
        <f>IF('1.IS'!E10&lt;'1.IS'!D10,1,0)</f>
        <v>0</v>
      </c>
      <c r="F73" s="304">
        <f>IF('1.IS'!F10&lt;'1.IS'!E10,1,0)</f>
        <v>0</v>
      </c>
      <c r="G73" s="304">
        <f>IF('1.IS'!G10&lt;'1.IS'!F10,1,0)</f>
        <v>1</v>
      </c>
      <c r="H73" s="304">
        <f>IF('1.IS'!H10&lt;'1.IS'!G10,1,0)</f>
        <v>1</v>
      </c>
      <c r="I73" s="304">
        <f>IF('1.IS'!I10&lt;'1.IS'!H10,1,0)</f>
        <v>1</v>
      </c>
      <c r="J73" s="304">
        <f>IF('1.IS'!J10&lt;'1.IS'!I10,1,0)</f>
        <v>0</v>
      </c>
      <c r="K73" s="304">
        <f>IF('1.IS'!K10&lt;'1.IS'!J10,1,0)</f>
        <v>0</v>
      </c>
      <c r="L73" s="325">
        <f t="shared" si="11"/>
        <v>3</v>
      </c>
    </row>
    <row r="74" ht="15.75" customHeight="1">
      <c r="A74" s="319" t="s">
        <v>122</v>
      </c>
      <c r="B74" s="304">
        <f>IF('2.FCF'!B14&lt;0,1,0)</f>
        <v>0</v>
      </c>
      <c r="C74" s="304">
        <f>IF('2.FCF'!C14&lt;0,1,0)</f>
        <v>0</v>
      </c>
      <c r="D74" s="304">
        <f>IF('2.FCF'!D14&lt;0,1,0)</f>
        <v>0</v>
      </c>
      <c r="E74" s="304">
        <f>IF('2.FCF'!E14&lt;0,1,0)</f>
        <v>0</v>
      </c>
      <c r="F74" s="304">
        <f>IF('2.FCF'!F14&lt;0,1,0)</f>
        <v>0</v>
      </c>
      <c r="G74" s="304">
        <f>IF('2.FCF'!G14&lt;0,1,0)</f>
        <v>0</v>
      </c>
      <c r="H74" s="304">
        <f>IF('2.FCF'!H14&lt;0,1,0)</f>
        <v>0</v>
      </c>
      <c r="I74" s="304">
        <f>IF('2.FCF'!I14&lt;0,1,0)</f>
        <v>0</v>
      </c>
      <c r="J74" s="304">
        <f>IF('2.FCF'!J14&lt;0,1,0)</f>
        <v>0</v>
      </c>
      <c r="K74" s="304">
        <f>IF('2.FCF'!K14&lt;0,1,0)</f>
        <v>0</v>
      </c>
      <c r="L74" s="325">
        <f t="shared" si="11"/>
        <v>0</v>
      </c>
    </row>
    <row r="75" ht="15.75" customHeight="1">
      <c r="A75" s="319" t="s">
        <v>123</v>
      </c>
      <c r="B75" s="304">
        <f>IF('3.ROIC'!B15&lt;10%,1,0)</f>
        <v>0</v>
      </c>
      <c r="C75" s="304">
        <f>IF('3.ROIC'!C15&lt;10%,1,0)</f>
        <v>0</v>
      </c>
      <c r="D75" s="304">
        <f>IF('3.ROIC'!D15&lt;10%,1,0)</f>
        <v>0</v>
      </c>
      <c r="E75" s="304">
        <f>IF('3.ROIC'!E15&lt;10%,1,0)</f>
        <v>0</v>
      </c>
      <c r="F75" s="304">
        <f>IF('3.ROIC'!F15&lt;10%,1,0)</f>
        <v>0</v>
      </c>
      <c r="G75" s="304">
        <f>IF('3.ROIC'!G15&lt;10%,1,0)</f>
        <v>0</v>
      </c>
      <c r="H75" s="304">
        <f>IF('3.ROIC'!H15&lt;10%,1,0)</f>
        <v>0</v>
      </c>
      <c r="I75" s="304">
        <f>IF('3.ROIC'!I15&lt;10%,1,0)</f>
        <v>0</v>
      </c>
      <c r="J75" s="304">
        <f>IF('3.ROIC'!J15&lt;10%,1,0)</f>
        <v>0</v>
      </c>
      <c r="K75" s="304">
        <f>IF('3.ROIC'!K15&lt;10%,1,0)</f>
        <v>0</v>
      </c>
      <c r="L75" s="325">
        <f t="shared" si="11"/>
        <v>0</v>
      </c>
    </row>
    <row r="76" ht="15.75" customHeight="1">
      <c r="A76" s="319" t="s">
        <v>124</v>
      </c>
      <c r="B76" s="304">
        <f>IF('4.Valoración'!B5&lt;&gt;"",IF('4.Valoración'!B5&gt;2.5,1,0),0)</f>
        <v>0</v>
      </c>
      <c r="C76" s="304">
        <f>IF('4.Valoración'!C5&lt;&gt;"",IF('4.Valoración'!C5&gt;2.5,1,0),0)</f>
        <v>0</v>
      </c>
      <c r="D76" s="304">
        <f>IF('4.Valoración'!D5&lt;&gt;"",IF('4.Valoración'!D5&gt;2.5,1,0),0)</f>
        <v>0</v>
      </c>
      <c r="E76" s="304">
        <f>IF('4.Valoración'!E5&lt;&gt;"",IF('4.Valoración'!E5&gt;2.5,1,0),0)</f>
        <v>0</v>
      </c>
      <c r="F76" s="304">
        <f>IF('4.Valoración'!F5&lt;&gt;"",IF('4.Valoración'!F5&gt;2.5,1,0),0)</f>
        <v>0</v>
      </c>
      <c r="G76" s="304">
        <f>IF('4.Valoración'!G5&lt;&gt;"",IF('4.Valoración'!G5&gt;2.5,1,0),0)</f>
        <v>0</v>
      </c>
      <c r="H76" s="304">
        <f>IF('4.Valoración'!H5&lt;&gt;"",IF('4.Valoración'!H5&gt;2.5,1,0),0)</f>
        <v>0</v>
      </c>
      <c r="I76" s="304">
        <f>IF('4.Valoración'!I5&lt;&gt;"",IF('4.Valoración'!I5&gt;2.5,1,0),0)</f>
        <v>0</v>
      </c>
      <c r="J76" s="304">
        <f>IF('4.Valoración'!J5&lt;&gt;"",IF('4.Valoración'!J5&gt;2.5,1,0),0)</f>
        <v>0</v>
      </c>
      <c r="K76" s="304">
        <f>IF('4.Valoración'!K5&lt;&gt;"",IF('4.Valoración'!K5&gt;2.5,1,0),0)</f>
        <v>0</v>
      </c>
      <c r="L76" s="325">
        <f t="shared" si="11"/>
        <v>0</v>
      </c>
    </row>
    <row r="77" ht="15.75" customHeight="1">
      <c r="B77" s="304"/>
      <c r="C77" s="304"/>
      <c r="D77" s="304"/>
      <c r="E77" s="304"/>
      <c r="F77" s="304"/>
      <c r="G77" s="304"/>
      <c r="H77" s="304"/>
      <c r="I77" s="304"/>
      <c r="J77" s="304"/>
      <c r="K77" s="304"/>
      <c r="L77" s="304"/>
    </row>
    <row r="78" ht="15.75" customHeight="1">
      <c r="B78" s="304"/>
      <c r="C78" s="304"/>
      <c r="D78" s="304"/>
      <c r="E78" s="304"/>
      <c r="F78" s="304"/>
      <c r="G78" s="304"/>
      <c r="H78" s="304"/>
      <c r="I78" s="304"/>
      <c r="J78" s="304"/>
      <c r="K78" s="304"/>
      <c r="L78" s="304"/>
    </row>
    <row r="79" ht="15.75" customHeight="1">
      <c r="B79" s="304"/>
      <c r="C79" s="304"/>
      <c r="D79" s="304"/>
      <c r="E79" s="304"/>
      <c r="F79" s="304"/>
      <c r="G79" s="304"/>
      <c r="H79" s="304"/>
      <c r="I79" s="304"/>
      <c r="J79" s="304"/>
      <c r="K79" s="304"/>
      <c r="L79" s="304"/>
    </row>
    <row r="80" ht="15.75" customHeight="1">
      <c r="B80" s="304"/>
      <c r="C80" s="304"/>
      <c r="D80" s="304"/>
      <c r="E80" s="304"/>
      <c r="F80" s="304"/>
      <c r="G80" s="304"/>
      <c r="H80" s="304"/>
      <c r="I80" s="304"/>
      <c r="J80" s="304"/>
      <c r="K80" s="304"/>
      <c r="L80" s="304"/>
    </row>
    <row r="81" ht="15.75" customHeight="1">
      <c r="B81" s="304"/>
      <c r="C81" s="304"/>
      <c r="D81" s="304"/>
      <c r="E81" s="304"/>
      <c r="F81" s="304"/>
      <c r="G81" s="304"/>
      <c r="H81" s="304"/>
      <c r="I81" s="304"/>
      <c r="J81" s="304"/>
      <c r="K81" s="304"/>
      <c r="L81" s="304"/>
    </row>
    <row r="82" ht="15.75" customHeight="1">
      <c r="B82" s="304"/>
      <c r="C82" s="304"/>
      <c r="D82" s="304"/>
      <c r="E82" s="304"/>
      <c r="F82" s="304"/>
      <c r="G82" s="304"/>
      <c r="H82" s="304"/>
      <c r="I82" s="304"/>
      <c r="J82" s="304"/>
      <c r="K82" s="304"/>
      <c r="L82" s="304"/>
    </row>
    <row r="83" ht="15.75" customHeight="1">
      <c r="B83" s="304"/>
      <c r="C83" s="304"/>
      <c r="D83" s="304"/>
      <c r="E83" s="304"/>
      <c r="F83" s="304"/>
      <c r="G83" s="304"/>
      <c r="H83" s="304"/>
      <c r="I83" s="304"/>
      <c r="J83" s="304"/>
      <c r="K83" s="304"/>
      <c r="L83" s="304"/>
    </row>
    <row r="84" ht="15.75" customHeight="1">
      <c r="B84" s="304"/>
      <c r="C84" s="304"/>
      <c r="D84" s="304"/>
      <c r="E84" s="304"/>
      <c r="F84" s="304"/>
      <c r="G84" s="304"/>
      <c r="H84" s="304"/>
      <c r="I84" s="304"/>
      <c r="J84" s="304"/>
      <c r="K84" s="304"/>
      <c r="L84" s="304"/>
    </row>
    <row r="85" ht="15.75" customHeight="1">
      <c r="B85" s="304"/>
      <c r="C85" s="304"/>
      <c r="D85" s="304"/>
      <c r="E85" s="304"/>
      <c r="F85" s="304"/>
      <c r="G85" s="304"/>
      <c r="H85" s="304"/>
      <c r="I85" s="304"/>
      <c r="J85" s="304"/>
      <c r="K85" s="304"/>
      <c r="L85" s="304"/>
    </row>
    <row r="86" ht="15.75" customHeight="1">
      <c r="B86" s="304"/>
      <c r="C86" s="304"/>
      <c r="D86" s="304"/>
      <c r="E86" s="304"/>
      <c r="F86" s="304"/>
      <c r="G86" s="304"/>
      <c r="H86" s="304"/>
      <c r="I86" s="304"/>
      <c r="J86" s="304"/>
      <c r="K86" s="304"/>
      <c r="L86" s="304"/>
    </row>
    <row r="87" ht="15.75" customHeight="1">
      <c r="B87" s="304"/>
      <c r="C87" s="304"/>
      <c r="D87" s="304"/>
      <c r="E87" s="304"/>
      <c r="F87" s="304"/>
      <c r="G87" s="304"/>
      <c r="H87" s="304"/>
      <c r="I87" s="304"/>
      <c r="J87" s="304"/>
      <c r="K87" s="304"/>
      <c r="L87" s="304"/>
    </row>
    <row r="88" ht="15.75" customHeight="1">
      <c r="B88" s="304"/>
      <c r="C88" s="304"/>
      <c r="D88" s="304"/>
      <c r="E88" s="304"/>
      <c r="F88" s="304"/>
      <c r="G88" s="304"/>
      <c r="H88" s="304"/>
      <c r="I88" s="304"/>
      <c r="J88" s="304"/>
      <c r="K88" s="304"/>
      <c r="L88" s="304"/>
    </row>
    <row r="89" ht="15.75" customHeight="1">
      <c r="B89" s="304"/>
      <c r="C89" s="304"/>
      <c r="D89" s="304"/>
      <c r="E89" s="304"/>
      <c r="F89" s="304"/>
      <c r="G89" s="304"/>
      <c r="H89" s="304"/>
      <c r="I89" s="304"/>
      <c r="J89" s="304"/>
      <c r="K89" s="304"/>
      <c r="L89" s="304"/>
    </row>
    <row r="90" ht="15.75" customHeight="1">
      <c r="B90" s="304"/>
      <c r="C90" s="304"/>
      <c r="D90" s="304"/>
      <c r="E90" s="304"/>
      <c r="F90" s="304"/>
      <c r="G90" s="304"/>
      <c r="H90" s="304"/>
      <c r="I90" s="304"/>
      <c r="J90" s="304"/>
      <c r="K90" s="304"/>
      <c r="L90" s="304"/>
    </row>
    <row r="91" ht="15.75" customHeight="1">
      <c r="B91" s="304"/>
      <c r="C91" s="304"/>
      <c r="D91" s="304"/>
      <c r="E91" s="304"/>
      <c r="F91" s="304"/>
      <c r="G91" s="304"/>
      <c r="H91" s="304"/>
      <c r="I91" s="304"/>
      <c r="J91" s="304"/>
      <c r="K91" s="304"/>
      <c r="L91" s="304"/>
    </row>
    <row r="92" ht="15.75" customHeight="1">
      <c r="B92" s="304"/>
      <c r="C92" s="304"/>
      <c r="D92" s="304"/>
      <c r="E92" s="304"/>
      <c r="F92" s="304"/>
      <c r="G92" s="304"/>
      <c r="H92" s="304"/>
      <c r="I92" s="304"/>
      <c r="J92" s="304"/>
      <c r="K92" s="304"/>
      <c r="L92" s="304"/>
    </row>
    <row r="93" ht="15.75" customHeight="1">
      <c r="B93" s="304"/>
      <c r="C93" s="304"/>
      <c r="D93" s="304"/>
      <c r="E93" s="304"/>
      <c r="F93" s="304"/>
      <c r="G93" s="304"/>
      <c r="H93" s="304"/>
      <c r="I93" s="304"/>
      <c r="J93" s="304"/>
      <c r="K93" s="304"/>
      <c r="L93" s="304"/>
    </row>
    <row r="94" ht="15.75" customHeight="1">
      <c r="B94" s="304"/>
      <c r="C94" s="304"/>
      <c r="D94" s="304"/>
      <c r="E94" s="304"/>
      <c r="F94" s="304"/>
      <c r="G94" s="304"/>
      <c r="H94" s="304"/>
      <c r="I94" s="304"/>
      <c r="J94" s="304"/>
      <c r="K94" s="304"/>
      <c r="L94" s="304"/>
    </row>
    <row r="95" ht="15.75" customHeight="1">
      <c r="B95" s="304"/>
      <c r="C95" s="304"/>
      <c r="D95" s="304"/>
      <c r="E95" s="304"/>
      <c r="F95" s="304"/>
      <c r="G95" s="304"/>
      <c r="H95" s="304"/>
      <c r="I95" s="304"/>
      <c r="J95" s="304"/>
      <c r="K95" s="304"/>
      <c r="L95" s="304"/>
    </row>
    <row r="96" ht="15.75" customHeight="1">
      <c r="B96" s="304"/>
      <c r="C96" s="304"/>
      <c r="D96" s="304"/>
      <c r="E96" s="304"/>
      <c r="F96" s="304"/>
      <c r="G96" s="304"/>
      <c r="H96" s="304"/>
      <c r="I96" s="304"/>
      <c r="J96" s="304"/>
      <c r="K96" s="304"/>
      <c r="L96" s="304"/>
    </row>
    <row r="97" ht="15.75" customHeight="1">
      <c r="B97" s="304"/>
      <c r="C97" s="304"/>
      <c r="D97" s="304"/>
      <c r="E97" s="304"/>
      <c r="F97" s="304"/>
      <c r="G97" s="304"/>
      <c r="H97" s="304"/>
      <c r="I97" s="304"/>
      <c r="J97" s="304"/>
      <c r="K97" s="304"/>
      <c r="L97" s="304"/>
    </row>
    <row r="98" ht="15.75" customHeight="1">
      <c r="B98" s="304"/>
      <c r="C98" s="304"/>
      <c r="D98" s="304"/>
      <c r="E98" s="304"/>
      <c r="F98" s="304"/>
      <c r="G98" s="304"/>
      <c r="H98" s="304"/>
      <c r="I98" s="304"/>
      <c r="J98" s="304"/>
      <c r="K98" s="304"/>
      <c r="L98" s="304"/>
    </row>
    <row r="99" ht="15.75" customHeight="1">
      <c r="B99" s="304"/>
      <c r="C99" s="304"/>
      <c r="D99" s="304"/>
      <c r="E99" s="304"/>
      <c r="F99" s="304"/>
      <c r="G99" s="304"/>
      <c r="H99" s="304"/>
      <c r="I99" s="304"/>
      <c r="J99" s="304"/>
      <c r="K99" s="304"/>
      <c r="L99" s="304"/>
    </row>
    <row r="100" ht="15.75" customHeight="1">
      <c r="B100" s="304"/>
      <c r="C100" s="304"/>
      <c r="D100" s="304"/>
      <c r="E100" s="304"/>
      <c r="F100" s="304"/>
      <c r="G100" s="304"/>
      <c r="H100" s="304"/>
      <c r="I100" s="304"/>
      <c r="J100" s="304"/>
      <c r="K100" s="304"/>
      <c r="L100" s="304"/>
    </row>
    <row r="101" ht="15.75" customHeight="1">
      <c r="B101" s="304"/>
      <c r="C101" s="304"/>
      <c r="D101" s="304"/>
      <c r="E101" s="304"/>
      <c r="F101" s="304"/>
      <c r="G101" s="304"/>
      <c r="H101" s="304"/>
      <c r="I101" s="304"/>
      <c r="J101" s="304"/>
      <c r="K101" s="304"/>
      <c r="L101" s="304"/>
    </row>
    <row r="102" ht="15.75" customHeight="1">
      <c r="B102" s="304"/>
      <c r="C102" s="304"/>
      <c r="D102" s="304"/>
      <c r="E102" s="304"/>
      <c r="F102" s="304"/>
      <c r="G102" s="304"/>
      <c r="H102" s="304"/>
      <c r="I102" s="304"/>
      <c r="J102" s="304"/>
      <c r="K102" s="304"/>
      <c r="L102" s="304"/>
    </row>
    <row r="103" ht="15.75" customHeight="1">
      <c r="B103" s="304"/>
      <c r="C103" s="304"/>
      <c r="D103" s="304"/>
      <c r="E103" s="304"/>
      <c r="F103" s="304"/>
      <c r="G103" s="304"/>
      <c r="H103" s="304"/>
      <c r="I103" s="304"/>
      <c r="J103" s="304"/>
      <c r="K103" s="304"/>
      <c r="L103" s="304"/>
    </row>
    <row r="104" ht="15.75" customHeight="1">
      <c r="B104" s="304"/>
      <c r="C104" s="304"/>
      <c r="D104" s="304"/>
      <c r="E104" s="304"/>
      <c r="F104" s="304"/>
      <c r="G104" s="304"/>
      <c r="H104" s="304"/>
      <c r="I104" s="304"/>
      <c r="J104" s="304"/>
      <c r="K104" s="304"/>
      <c r="L104" s="304"/>
    </row>
    <row r="105" ht="15.75" customHeight="1">
      <c r="B105" s="304"/>
      <c r="C105" s="304"/>
      <c r="D105" s="304"/>
      <c r="E105" s="304"/>
      <c r="F105" s="304"/>
      <c r="G105" s="304"/>
      <c r="H105" s="304"/>
      <c r="I105" s="304"/>
      <c r="J105" s="304"/>
      <c r="K105" s="304"/>
      <c r="L105" s="304"/>
    </row>
    <row r="106" ht="15.75" customHeight="1">
      <c r="B106" s="304"/>
      <c r="C106" s="304"/>
      <c r="D106" s="304"/>
      <c r="E106" s="304"/>
      <c r="F106" s="304"/>
      <c r="G106" s="304"/>
      <c r="H106" s="304"/>
      <c r="I106" s="304"/>
      <c r="J106" s="304"/>
      <c r="K106" s="304"/>
      <c r="L106" s="304"/>
    </row>
    <row r="107" ht="15.75" customHeight="1">
      <c r="B107" s="304"/>
      <c r="C107" s="304"/>
      <c r="D107" s="304"/>
      <c r="E107" s="304"/>
      <c r="F107" s="304"/>
      <c r="G107" s="304"/>
      <c r="H107" s="304"/>
      <c r="I107" s="304"/>
      <c r="J107" s="304"/>
      <c r="K107" s="304"/>
      <c r="L107" s="304"/>
    </row>
    <row r="108" ht="15.75" customHeight="1">
      <c r="B108" s="304"/>
      <c r="C108" s="304"/>
      <c r="D108" s="304"/>
      <c r="E108" s="304"/>
      <c r="F108" s="304"/>
      <c r="G108" s="304"/>
      <c r="H108" s="304"/>
      <c r="I108" s="304"/>
      <c r="J108" s="304"/>
      <c r="K108" s="304"/>
      <c r="L108" s="304"/>
    </row>
    <row r="109" ht="15.75" customHeight="1">
      <c r="B109" s="304"/>
      <c r="C109" s="304"/>
      <c r="D109" s="304"/>
      <c r="E109" s="304"/>
      <c r="F109" s="304"/>
      <c r="G109" s="304"/>
      <c r="H109" s="304"/>
      <c r="I109" s="304"/>
      <c r="J109" s="304"/>
      <c r="K109" s="304"/>
      <c r="L109" s="304"/>
    </row>
    <row r="110" ht="15.75" customHeight="1">
      <c r="B110" s="304"/>
      <c r="C110" s="304"/>
      <c r="D110" s="304"/>
      <c r="E110" s="304"/>
      <c r="F110" s="304"/>
      <c r="G110" s="304"/>
      <c r="H110" s="304"/>
      <c r="I110" s="304"/>
      <c r="J110" s="304"/>
      <c r="K110" s="304"/>
      <c r="L110" s="304"/>
    </row>
    <row r="111" ht="15.75" customHeight="1">
      <c r="B111" s="304"/>
      <c r="C111" s="304"/>
      <c r="D111" s="304"/>
      <c r="E111" s="304"/>
      <c r="F111" s="304"/>
      <c r="G111" s="304"/>
      <c r="H111" s="304"/>
      <c r="I111" s="304"/>
      <c r="J111" s="304"/>
      <c r="K111" s="304"/>
      <c r="L111" s="304"/>
    </row>
    <row r="112" ht="15.75" customHeight="1">
      <c r="B112" s="304"/>
      <c r="C112" s="304"/>
      <c r="D112" s="304"/>
      <c r="E112" s="304"/>
      <c r="F112" s="304"/>
      <c r="G112" s="304"/>
      <c r="H112" s="304"/>
      <c r="I112" s="304"/>
      <c r="J112" s="304"/>
      <c r="K112" s="304"/>
      <c r="L112" s="304"/>
    </row>
    <row r="113" ht="15.75" customHeight="1">
      <c r="B113" s="304"/>
      <c r="C113" s="304"/>
      <c r="D113" s="304"/>
      <c r="E113" s="304"/>
      <c r="F113" s="304"/>
      <c r="G113" s="304"/>
      <c r="H113" s="304"/>
      <c r="I113" s="304"/>
      <c r="J113" s="304"/>
      <c r="K113" s="304"/>
      <c r="L113" s="304"/>
    </row>
    <row r="114" ht="15.75" customHeight="1">
      <c r="B114" s="304"/>
      <c r="C114" s="304"/>
      <c r="D114" s="304"/>
      <c r="E114" s="304"/>
      <c r="F114" s="304"/>
      <c r="G114" s="304"/>
      <c r="H114" s="304"/>
      <c r="I114" s="304"/>
      <c r="J114" s="304"/>
      <c r="K114" s="304"/>
      <c r="L114" s="304"/>
    </row>
    <row r="115" ht="15.75" customHeight="1">
      <c r="B115" s="304"/>
      <c r="C115" s="304"/>
      <c r="D115" s="304"/>
      <c r="E115" s="304"/>
      <c r="F115" s="304"/>
      <c r="G115" s="304"/>
      <c r="H115" s="304"/>
      <c r="I115" s="304"/>
      <c r="J115" s="304"/>
      <c r="K115" s="304"/>
      <c r="L115" s="304"/>
    </row>
    <row r="116" ht="15.75" customHeight="1">
      <c r="B116" s="304"/>
      <c r="C116" s="304"/>
      <c r="D116" s="304"/>
      <c r="E116" s="304"/>
      <c r="F116" s="304"/>
      <c r="G116" s="304"/>
      <c r="H116" s="304"/>
      <c r="I116" s="304"/>
      <c r="J116" s="304"/>
      <c r="K116" s="304"/>
      <c r="L116" s="304"/>
    </row>
    <row r="117" ht="15.75" customHeight="1">
      <c r="B117" s="304"/>
      <c r="C117" s="304"/>
      <c r="D117" s="304"/>
      <c r="E117" s="304"/>
      <c r="F117" s="304"/>
      <c r="G117" s="304"/>
      <c r="H117" s="304"/>
      <c r="I117" s="304"/>
      <c r="J117" s="304"/>
      <c r="K117" s="304"/>
      <c r="L117" s="304"/>
    </row>
    <row r="118" ht="15.75" customHeight="1">
      <c r="B118" s="304"/>
      <c r="C118" s="304"/>
      <c r="D118" s="304"/>
      <c r="E118" s="304"/>
      <c r="F118" s="304"/>
      <c r="G118" s="304"/>
      <c r="H118" s="304"/>
      <c r="I118" s="304"/>
      <c r="J118" s="304"/>
      <c r="K118" s="304"/>
      <c r="L118" s="304"/>
    </row>
    <row r="119" ht="15.75" customHeight="1">
      <c r="B119" s="304"/>
      <c r="C119" s="304"/>
      <c r="D119" s="304"/>
      <c r="E119" s="304"/>
      <c r="F119" s="304"/>
      <c r="G119" s="304"/>
      <c r="H119" s="304"/>
      <c r="I119" s="304"/>
      <c r="J119" s="304"/>
      <c r="K119" s="304"/>
      <c r="L119" s="304"/>
    </row>
    <row r="120" ht="15.75" customHeight="1">
      <c r="B120" s="304"/>
      <c r="C120" s="304"/>
      <c r="D120" s="304"/>
      <c r="E120" s="304"/>
      <c r="F120" s="304"/>
      <c r="G120" s="304"/>
      <c r="H120" s="304"/>
      <c r="I120" s="304"/>
      <c r="J120" s="304"/>
      <c r="K120" s="304"/>
      <c r="L120" s="304"/>
    </row>
    <row r="121" ht="15.75" customHeight="1">
      <c r="B121" s="304"/>
      <c r="C121" s="304"/>
      <c r="D121" s="304"/>
      <c r="E121" s="304"/>
      <c r="F121" s="304"/>
      <c r="G121" s="304"/>
      <c r="H121" s="304"/>
      <c r="I121" s="304"/>
      <c r="J121" s="304"/>
      <c r="K121" s="304"/>
      <c r="L121" s="304"/>
    </row>
    <row r="122" ht="15.75" customHeight="1">
      <c r="B122" s="304"/>
      <c r="C122" s="304"/>
      <c r="D122" s="304"/>
      <c r="E122" s="304"/>
      <c r="F122" s="304"/>
      <c r="G122" s="304"/>
      <c r="H122" s="304"/>
      <c r="I122" s="304"/>
      <c r="J122" s="304"/>
      <c r="K122" s="304"/>
      <c r="L122" s="304"/>
    </row>
    <row r="123" ht="15.75" customHeight="1">
      <c r="B123" s="304"/>
      <c r="C123" s="304"/>
      <c r="D123" s="304"/>
      <c r="E123" s="304"/>
      <c r="F123" s="304"/>
      <c r="G123" s="304"/>
      <c r="H123" s="304"/>
      <c r="I123" s="304"/>
      <c r="J123" s="304"/>
      <c r="K123" s="304"/>
      <c r="L123" s="304"/>
    </row>
    <row r="124" ht="15.75" customHeight="1">
      <c r="B124" s="304"/>
      <c r="C124" s="304"/>
      <c r="D124" s="304"/>
      <c r="E124" s="304"/>
      <c r="F124" s="304"/>
      <c r="G124" s="304"/>
      <c r="H124" s="304"/>
      <c r="I124" s="304"/>
      <c r="J124" s="304"/>
      <c r="K124" s="304"/>
      <c r="L124" s="304"/>
    </row>
    <row r="125" ht="15.75" customHeight="1">
      <c r="B125" s="304"/>
      <c r="C125" s="304"/>
      <c r="D125" s="304"/>
      <c r="E125" s="304"/>
      <c r="F125" s="304"/>
      <c r="G125" s="304"/>
      <c r="H125" s="304"/>
      <c r="I125" s="304"/>
      <c r="J125" s="304"/>
      <c r="K125" s="304"/>
      <c r="L125" s="304"/>
    </row>
    <row r="126" ht="15.75" customHeight="1">
      <c r="B126" s="304"/>
      <c r="C126" s="304"/>
      <c r="D126" s="304"/>
      <c r="E126" s="304"/>
      <c r="F126" s="304"/>
      <c r="G126" s="304"/>
      <c r="H126" s="304"/>
      <c r="I126" s="304"/>
      <c r="J126" s="304"/>
      <c r="K126" s="304"/>
      <c r="L126" s="304"/>
    </row>
    <row r="127" ht="15.75" customHeight="1">
      <c r="B127" s="304"/>
      <c r="C127" s="304"/>
      <c r="D127" s="304"/>
      <c r="E127" s="304"/>
      <c r="F127" s="304"/>
      <c r="G127" s="304"/>
      <c r="H127" s="304"/>
      <c r="I127" s="304"/>
      <c r="J127" s="304"/>
      <c r="K127" s="304"/>
      <c r="L127" s="304"/>
    </row>
    <row r="128" ht="15.75" customHeight="1">
      <c r="B128" s="304"/>
      <c r="C128" s="304"/>
      <c r="D128" s="304"/>
      <c r="E128" s="304"/>
      <c r="F128" s="304"/>
      <c r="G128" s="304"/>
      <c r="H128" s="304"/>
      <c r="I128" s="304"/>
      <c r="J128" s="304"/>
      <c r="K128" s="304"/>
      <c r="L128" s="304"/>
    </row>
    <row r="129" ht="15.75" customHeight="1">
      <c r="B129" s="304"/>
      <c r="C129" s="304"/>
      <c r="D129" s="304"/>
      <c r="E129" s="304"/>
      <c r="F129" s="304"/>
      <c r="G129" s="304"/>
      <c r="H129" s="304"/>
      <c r="I129" s="304"/>
      <c r="J129" s="304"/>
      <c r="K129" s="304"/>
      <c r="L129" s="304"/>
    </row>
    <row r="130" ht="15.75" customHeight="1">
      <c r="B130" s="304"/>
      <c r="C130" s="304"/>
      <c r="D130" s="304"/>
      <c r="E130" s="304"/>
      <c r="F130" s="304"/>
      <c r="G130" s="304"/>
      <c r="H130" s="304"/>
      <c r="I130" s="304"/>
      <c r="J130" s="304"/>
      <c r="K130" s="304"/>
      <c r="L130" s="304"/>
    </row>
    <row r="131" ht="15.75" customHeight="1">
      <c r="B131" s="304"/>
      <c r="C131" s="304"/>
      <c r="D131" s="304"/>
      <c r="E131" s="304"/>
      <c r="F131" s="304"/>
      <c r="G131" s="304"/>
      <c r="H131" s="304"/>
      <c r="I131" s="304"/>
      <c r="J131" s="304"/>
      <c r="K131" s="304"/>
      <c r="L131" s="304"/>
    </row>
    <row r="132" ht="15.75" customHeight="1">
      <c r="B132" s="304"/>
      <c r="C132" s="304"/>
      <c r="D132" s="304"/>
      <c r="E132" s="304"/>
      <c r="F132" s="304"/>
      <c r="G132" s="304"/>
      <c r="H132" s="304"/>
      <c r="I132" s="304"/>
      <c r="J132" s="304"/>
      <c r="K132" s="304"/>
      <c r="L132" s="304"/>
    </row>
    <row r="133" ht="15.75" customHeight="1">
      <c r="B133" s="304"/>
      <c r="C133" s="304"/>
      <c r="D133" s="304"/>
      <c r="E133" s="304"/>
      <c r="F133" s="304"/>
      <c r="G133" s="304"/>
      <c r="H133" s="304"/>
      <c r="I133" s="304"/>
      <c r="J133" s="304"/>
      <c r="K133" s="304"/>
      <c r="L133" s="304"/>
    </row>
    <row r="134" ht="15.75" customHeight="1">
      <c r="B134" s="304"/>
      <c r="C134" s="304"/>
      <c r="D134" s="304"/>
      <c r="E134" s="304"/>
      <c r="F134" s="304"/>
      <c r="G134" s="304"/>
      <c r="H134" s="304"/>
      <c r="I134" s="304"/>
      <c r="J134" s="304"/>
      <c r="K134" s="304"/>
      <c r="L134" s="304"/>
    </row>
    <row r="135" ht="15.75" customHeight="1">
      <c r="B135" s="304"/>
      <c r="C135" s="304"/>
      <c r="D135" s="304"/>
      <c r="E135" s="304"/>
      <c r="F135" s="304"/>
      <c r="G135" s="304"/>
      <c r="H135" s="304"/>
      <c r="I135" s="304"/>
      <c r="J135" s="304"/>
      <c r="K135" s="304"/>
      <c r="L135" s="304"/>
    </row>
    <row r="136" ht="15.75" customHeight="1">
      <c r="B136" s="304"/>
      <c r="C136" s="304"/>
      <c r="D136" s="304"/>
      <c r="E136" s="304"/>
      <c r="F136" s="304"/>
      <c r="G136" s="304"/>
      <c r="H136" s="304"/>
      <c r="I136" s="304"/>
      <c r="J136" s="304"/>
      <c r="K136" s="304"/>
      <c r="L136" s="304"/>
    </row>
    <row r="137" ht="15.75" customHeight="1">
      <c r="B137" s="304"/>
      <c r="C137" s="304"/>
      <c r="D137" s="304"/>
      <c r="E137" s="304"/>
      <c r="F137" s="304"/>
      <c r="G137" s="304"/>
      <c r="H137" s="304"/>
      <c r="I137" s="304"/>
      <c r="J137" s="304"/>
      <c r="K137" s="304"/>
      <c r="L137" s="304"/>
    </row>
    <row r="138" ht="15.75" customHeight="1">
      <c r="B138" s="304"/>
      <c r="C138" s="304"/>
      <c r="D138" s="304"/>
      <c r="E138" s="304"/>
      <c r="F138" s="304"/>
      <c r="G138" s="304"/>
      <c r="H138" s="304"/>
      <c r="I138" s="304"/>
      <c r="J138" s="304"/>
      <c r="K138" s="304"/>
      <c r="L138" s="304"/>
    </row>
    <row r="139" ht="15.75" customHeight="1">
      <c r="B139" s="304"/>
      <c r="C139" s="304"/>
      <c r="D139" s="304"/>
      <c r="E139" s="304"/>
      <c r="F139" s="304"/>
      <c r="G139" s="304"/>
      <c r="H139" s="304"/>
      <c r="I139" s="304"/>
      <c r="J139" s="304"/>
      <c r="K139" s="304"/>
      <c r="L139" s="304"/>
    </row>
    <row r="140" ht="15.75" customHeight="1">
      <c r="B140" s="304"/>
      <c r="C140" s="304"/>
      <c r="D140" s="304"/>
      <c r="E140" s="304"/>
      <c r="F140" s="304"/>
      <c r="G140" s="304"/>
      <c r="H140" s="304"/>
      <c r="I140" s="304"/>
      <c r="J140" s="304"/>
      <c r="K140" s="304"/>
      <c r="L140" s="304"/>
    </row>
    <row r="141" ht="15.75" customHeight="1">
      <c r="B141" s="304"/>
      <c r="C141" s="304"/>
      <c r="D141" s="304"/>
      <c r="E141" s="304"/>
      <c r="F141" s="304"/>
      <c r="G141" s="304"/>
      <c r="H141" s="304"/>
      <c r="I141" s="304"/>
      <c r="J141" s="304"/>
      <c r="K141" s="304"/>
      <c r="L141" s="304"/>
    </row>
    <row r="142" ht="15.75" customHeight="1">
      <c r="B142" s="304"/>
      <c r="C142" s="304"/>
      <c r="D142" s="304"/>
      <c r="E142" s="304"/>
      <c r="F142" s="304"/>
      <c r="G142" s="304"/>
      <c r="H142" s="304"/>
      <c r="I142" s="304"/>
      <c r="J142" s="304"/>
      <c r="K142" s="304"/>
      <c r="L142" s="304"/>
    </row>
    <row r="143" ht="15.75" customHeight="1">
      <c r="B143" s="304"/>
      <c r="C143" s="304"/>
      <c r="D143" s="304"/>
      <c r="E143" s="304"/>
      <c r="F143" s="304"/>
      <c r="G143" s="304"/>
      <c r="H143" s="304"/>
      <c r="I143" s="304"/>
      <c r="J143" s="304"/>
      <c r="K143" s="304"/>
      <c r="L143" s="304"/>
    </row>
    <row r="144" ht="15.75" customHeight="1">
      <c r="B144" s="304"/>
      <c r="C144" s="304"/>
      <c r="D144" s="304"/>
      <c r="E144" s="304"/>
      <c r="F144" s="304"/>
      <c r="G144" s="304"/>
      <c r="H144" s="304"/>
      <c r="I144" s="304"/>
      <c r="J144" s="304"/>
      <c r="K144" s="304"/>
      <c r="L144" s="304"/>
    </row>
    <row r="145" ht="15.75" customHeight="1">
      <c r="B145" s="304"/>
      <c r="C145" s="304"/>
      <c r="D145" s="304"/>
      <c r="E145" s="304"/>
      <c r="F145" s="304"/>
      <c r="G145" s="304"/>
      <c r="H145" s="304"/>
      <c r="I145" s="304"/>
      <c r="J145" s="304"/>
      <c r="K145" s="304"/>
      <c r="L145" s="304"/>
    </row>
    <row r="146" ht="15.75" customHeight="1">
      <c r="B146" s="304"/>
      <c r="C146" s="304"/>
      <c r="D146" s="304"/>
      <c r="E146" s="304"/>
      <c r="F146" s="304"/>
      <c r="G146" s="304"/>
      <c r="H146" s="304"/>
      <c r="I146" s="304"/>
      <c r="J146" s="304"/>
      <c r="K146" s="304"/>
      <c r="L146" s="304"/>
    </row>
    <row r="147" ht="15.75" customHeight="1">
      <c r="B147" s="304"/>
      <c r="C147" s="304"/>
      <c r="D147" s="304"/>
      <c r="E147" s="304"/>
      <c r="F147" s="304"/>
      <c r="G147" s="304"/>
      <c r="H147" s="304"/>
      <c r="I147" s="304"/>
      <c r="J147" s="304"/>
      <c r="K147" s="304"/>
      <c r="L147" s="304"/>
    </row>
    <row r="148" ht="15.75" customHeight="1">
      <c r="B148" s="304"/>
      <c r="C148" s="304"/>
      <c r="D148" s="304"/>
      <c r="E148" s="304"/>
      <c r="F148" s="304"/>
      <c r="G148" s="304"/>
      <c r="H148" s="304"/>
      <c r="I148" s="304"/>
      <c r="J148" s="304"/>
      <c r="K148" s="304"/>
      <c r="L148" s="304"/>
    </row>
    <row r="149" ht="15.75" customHeight="1">
      <c r="B149" s="304"/>
      <c r="C149" s="304"/>
      <c r="D149" s="304"/>
      <c r="E149" s="304"/>
      <c r="F149" s="304"/>
      <c r="G149" s="304"/>
      <c r="H149" s="304"/>
      <c r="I149" s="304"/>
      <c r="J149" s="304"/>
      <c r="K149" s="304"/>
      <c r="L149" s="304"/>
    </row>
    <row r="150" ht="15.75" customHeight="1">
      <c r="B150" s="304"/>
      <c r="C150" s="304"/>
      <c r="D150" s="304"/>
      <c r="E150" s="304"/>
      <c r="F150" s="304"/>
      <c r="G150" s="304"/>
      <c r="H150" s="304"/>
      <c r="I150" s="304"/>
      <c r="J150" s="304"/>
      <c r="K150" s="304"/>
      <c r="L150" s="304"/>
    </row>
    <row r="151" ht="15.75" customHeight="1">
      <c r="B151" s="304"/>
      <c r="C151" s="304"/>
      <c r="D151" s="304"/>
      <c r="E151" s="304"/>
      <c r="F151" s="304"/>
      <c r="G151" s="304"/>
      <c r="H151" s="304"/>
      <c r="I151" s="304"/>
      <c r="J151" s="304"/>
      <c r="K151" s="304"/>
      <c r="L151" s="304"/>
    </row>
    <row r="152" ht="15.75" customHeight="1">
      <c r="B152" s="304"/>
      <c r="C152" s="304"/>
      <c r="D152" s="304"/>
      <c r="E152" s="304"/>
      <c r="F152" s="304"/>
      <c r="G152" s="304"/>
      <c r="H152" s="304"/>
      <c r="I152" s="304"/>
      <c r="J152" s="304"/>
      <c r="K152" s="304"/>
      <c r="L152" s="304"/>
    </row>
    <row r="153" ht="15.75" customHeight="1">
      <c r="B153" s="304"/>
      <c r="C153" s="304"/>
      <c r="D153" s="304"/>
      <c r="E153" s="304"/>
      <c r="F153" s="304"/>
      <c r="G153" s="304"/>
      <c r="H153" s="304"/>
      <c r="I153" s="304"/>
      <c r="J153" s="304"/>
      <c r="K153" s="304"/>
      <c r="L153" s="304"/>
    </row>
    <row r="154" ht="15.75" customHeight="1">
      <c r="B154" s="304"/>
      <c r="C154" s="304"/>
      <c r="D154" s="304"/>
      <c r="E154" s="304"/>
      <c r="F154" s="304"/>
      <c r="G154" s="304"/>
      <c r="H154" s="304"/>
      <c r="I154" s="304"/>
      <c r="J154" s="304"/>
      <c r="K154" s="304"/>
      <c r="L154" s="304"/>
    </row>
    <row r="155" ht="15.75" customHeight="1">
      <c r="B155" s="304"/>
      <c r="C155" s="304"/>
      <c r="D155" s="304"/>
      <c r="E155" s="304"/>
      <c r="F155" s="304"/>
      <c r="G155" s="304"/>
      <c r="H155" s="304"/>
      <c r="I155" s="304"/>
      <c r="J155" s="304"/>
      <c r="K155" s="304"/>
      <c r="L155" s="304"/>
    </row>
    <row r="156" ht="15.75" customHeight="1">
      <c r="B156" s="304"/>
      <c r="C156" s="304"/>
      <c r="D156" s="304"/>
      <c r="E156" s="304"/>
      <c r="F156" s="304"/>
      <c r="G156" s="304"/>
      <c r="H156" s="304"/>
      <c r="I156" s="304"/>
      <c r="J156" s="304"/>
      <c r="K156" s="304"/>
      <c r="L156" s="304"/>
    </row>
    <row r="157" ht="15.75" customHeight="1">
      <c r="B157" s="304"/>
      <c r="C157" s="304"/>
      <c r="D157" s="304"/>
      <c r="E157" s="304"/>
      <c r="F157" s="304"/>
      <c r="G157" s="304"/>
      <c r="H157" s="304"/>
      <c r="I157" s="304"/>
      <c r="J157" s="304"/>
      <c r="K157" s="304"/>
      <c r="L157" s="304"/>
    </row>
    <row r="158" ht="15.75" customHeight="1">
      <c r="B158" s="304"/>
      <c r="C158" s="304"/>
      <c r="D158" s="304"/>
      <c r="E158" s="304"/>
      <c r="F158" s="304"/>
      <c r="G158" s="304"/>
      <c r="H158" s="304"/>
      <c r="I158" s="304"/>
      <c r="J158" s="304"/>
      <c r="K158" s="304"/>
      <c r="L158" s="304"/>
    </row>
    <row r="159" ht="15.75" customHeight="1">
      <c r="B159" s="304"/>
      <c r="C159" s="304"/>
      <c r="D159" s="304"/>
      <c r="E159" s="304"/>
      <c r="F159" s="304"/>
      <c r="G159" s="304"/>
      <c r="H159" s="304"/>
      <c r="I159" s="304"/>
      <c r="J159" s="304"/>
      <c r="K159" s="304"/>
      <c r="L159" s="304"/>
    </row>
    <row r="160" ht="15.75" customHeight="1">
      <c r="B160" s="304"/>
      <c r="C160" s="304"/>
      <c r="D160" s="304"/>
      <c r="E160" s="304"/>
      <c r="F160" s="304"/>
      <c r="G160" s="304"/>
      <c r="H160" s="304"/>
      <c r="I160" s="304"/>
      <c r="J160" s="304"/>
      <c r="K160" s="304"/>
      <c r="L160" s="304"/>
    </row>
    <row r="161" ht="15.75" customHeight="1">
      <c r="B161" s="304"/>
      <c r="C161" s="304"/>
      <c r="D161" s="304"/>
      <c r="E161" s="304"/>
      <c r="F161" s="304"/>
      <c r="G161" s="304"/>
      <c r="H161" s="304"/>
      <c r="I161" s="304"/>
      <c r="J161" s="304"/>
      <c r="K161" s="304"/>
      <c r="L161" s="304"/>
    </row>
    <row r="162" ht="15.75" customHeight="1">
      <c r="B162" s="304"/>
      <c r="C162" s="304"/>
      <c r="D162" s="304"/>
      <c r="E162" s="304"/>
      <c r="F162" s="304"/>
      <c r="G162" s="304"/>
      <c r="H162" s="304"/>
      <c r="I162" s="304"/>
      <c r="J162" s="304"/>
      <c r="K162" s="304"/>
      <c r="L162" s="304"/>
    </row>
    <row r="163" ht="15.75" customHeight="1">
      <c r="B163" s="304"/>
      <c r="C163" s="304"/>
      <c r="D163" s="304"/>
      <c r="E163" s="304"/>
      <c r="F163" s="304"/>
      <c r="G163" s="304"/>
      <c r="H163" s="304"/>
      <c r="I163" s="304"/>
      <c r="J163" s="304"/>
      <c r="K163" s="304"/>
      <c r="L163" s="304"/>
    </row>
    <row r="164" ht="15.75" customHeight="1">
      <c r="B164" s="304"/>
      <c r="C164" s="304"/>
      <c r="D164" s="304"/>
      <c r="E164" s="304"/>
      <c r="F164" s="304"/>
      <c r="G164" s="304"/>
      <c r="H164" s="304"/>
      <c r="I164" s="304"/>
      <c r="J164" s="304"/>
      <c r="K164" s="304"/>
      <c r="L164" s="304"/>
    </row>
    <row r="165" ht="15.75" customHeight="1">
      <c r="B165" s="304"/>
      <c r="C165" s="304"/>
      <c r="D165" s="304"/>
      <c r="E165" s="304"/>
      <c r="F165" s="304"/>
      <c r="G165" s="304"/>
      <c r="H165" s="304"/>
      <c r="I165" s="304"/>
      <c r="J165" s="304"/>
      <c r="K165" s="304"/>
      <c r="L165" s="304"/>
    </row>
    <row r="166" ht="15.75" customHeight="1">
      <c r="B166" s="304"/>
      <c r="C166" s="304"/>
      <c r="D166" s="304"/>
      <c r="E166" s="304"/>
      <c r="F166" s="304"/>
      <c r="G166" s="304"/>
      <c r="H166" s="304"/>
      <c r="I166" s="304"/>
      <c r="J166" s="304"/>
      <c r="K166" s="304"/>
      <c r="L166" s="304"/>
    </row>
    <row r="167" ht="15.75" customHeight="1">
      <c r="B167" s="304"/>
      <c r="C167" s="304"/>
      <c r="D167" s="304"/>
      <c r="E167" s="304"/>
      <c r="F167" s="304"/>
      <c r="G167" s="304"/>
      <c r="H167" s="304"/>
      <c r="I167" s="304"/>
      <c r="J167" s="304"/>
      <c r="K167" s="304"/>
      <c r="L167" s="304"/>
    </row>
    <row r="168" ht="15.75" customHeight="1">
      <c r="B168" s="304"/>
      <c r="C168" s="304"/>
      <c r="D168" s="304"/>
      <c r="E168" s="304"/>
      <c r="F168" s="304"/>
      <c r="G168" s="304"/>
      <c r="H168" s="304"/>
      <c r="I168" s="304"/>
      <c r="J168" s="304"/>
      <c r="K168" s="304"/>
      <c r="L168" s="304"/>
    </row>
    <row r="169" ht="15.75" customHeight="1">
      <c r="B169" s="304"/>
      <c r="C169" s="304"/>
      <c r="D169" s="304"/>
      <c r="E169" s="304"/>
      <c r="F169" s="304"/>
      <c r="G169" s="304"/>
      <c r="H169" s="304"/>
      <c r="I169" s="304"/>
      <c r="J169" s="304"/>
      <c r="K169" s="304"/>
      <c r="L169" s="304"/>
    </row>
    <row r="170" ht="15.75" customHeight="1">
      <c r="B170" s="304"/>
      <c r="C170" s="304"/>
      <c r="D170" s="304"/>
      <c r="E170" s="304"/>
      <c r="F170" s="304"/>
      <c r="G170" s="304"/>
      <c r="H170" s="304"/>
      <c r="I170" s="304"/>
      <c r="J170" s="304"/>
      <c r="K170" s="304"/>
      <c r="L170" s="304"/>
    </row>
    <row r="171" ht="15.75" customHeight="1">
      <c r="B171" s="304"/>
      <c r="C171" s="304"/>
      <c r="D171" s="304"/>
      <c r="E171" s="304"/>
      <c r="F171" s="304"/>
      <c r="G171" s="304"/>
      <c r="H171" s="304"/>
      <c r="I171" s="304"/>
      <c r="J171" s="304"/>
      <c r="K171" s="304"/>
      <c r="L171" s="304"/>
    </row>
    <row r="172" ht="15.75" customHeight="1">
      <c r="B172" s="304"/>
      <c r="C172" s="304"/>
      <c r="D172" s="304"/>
      <c r="E172" s="304"/>
      <c r="F172" s="304"/>
      <c r="G172" s="304"/>
      <c r="H172" s="304"/>
      <c r="I172" s="304"/>
      <c r="J172" s="304"/>
      <c r="K172" s="304"/>
      <c r="L172" s="304"/>
    </row>
    <row r="173" ht="15.75" customHeight="1">
      <c r="B173" s="304"/>
      <c r="C173" s="304"/>
      <c r="D173" s="304"/>
      <c r="E173" s="304"/>
      <c r="F173" s="304"/>
      <c r="G173" s="304"/>
      <c r="H173" s="304"/>
      <c r="I173" s="304"/>
      <c r="J173" s="304"/>
      <c r="K173" s="304"/>
      <c r="L173" s="304"/>
    </row>
    <row r="174" ht="15.75" customHeight="1">
      <c r="B174" s="304"/>
      <c r="C174" s="304"/>
      <c r="D174" s="304"/>
      <c r="E174" s="304"/>
      <c r="F174" s="304"/>
      <c r="G174" s="304"/>
      <c r="H174" s="304"/>
      <c r="I174" s="304"/>
      <c r="J174" s="304"/>
      <c r="K174" s="304"/>
      <c r="L174" s="304"/>
    </row>
    <row r="175" ht="15.75" customHeight="1">
      <c r="B175" s="304"/>
      <c r="C175" s="304"/>
      <c r="D175" s="304"/>
      <c r="E175" s="304"/>
      <c r="F175" s="304"/>
      <c r="G175" s="304"/>
      <c r="H175" s="304"/>
      <c r="I175" s="304"/>
      <c r="J175" s="304"/>
      <c r="K175" s="304"/>
      <c r="L175" s="304"/>
    </row>
    <row r="176" ht="15.75" customHeight="1">
      <c r="B176" s="304"/>
      <c r="C176" s="304"/>
      <c r="D176" s="304"/>
      <c r="E176" s="304"/>
      <c r="F176" s="304"/>
      <c r="G176" s="304"/>
      <c r="H176" s="304"/>
      <c r="I176" s="304"/>
      <c r="J176" s="304"/>
      <c r="K176" s="304"/>
      <c r="L176" s="304"/>
    </row>
    <row r="177" ht="15.75" customHeight="1">
      <c r="B177" s="304"/>
      <c r="C177" s="304"/>
      <c r="D177" s="304"/>
      <c r="E177" s="304"/>
      <c r="F177" s="304"/>
      <c r="G177" s="304"/>
      <c r="H177" s="304"/>
      <c r="I177" s="304"/>
      <c r="J177" s="304"/>
      <c r="K177" s="304"/>
      <c r="L177" s="304"/>
    </row>
    <row r="178" ht="15.75" customHeight="1">
      <c r="B178" s="304"/>
      <c r="C178" s="304"/>
      <c r="D178" s="304"/>
      <c r="E178" s="304"/>
      <c r="F178" s="304"/>
      <c r="G178" s="304"/>
      <c r="H178" s="304"/>
      <c r="I178" s="304"/>
      <c r="J178" s="304"/>
      <c r="K178" s="304"/>
      <c r="L178" s="304"/>
    </row>
    <row r="179" ht="15.75" customHeight="1">
      <c r="B179" s="304"/>
      <c r="C179" s="304"/>
      <c r="D179" s="304"/>
      <c r="E179" s="304"/>
      <c r="F179" s="304"/>
      <c r="G179" s="304"/>
      <c r="H179" s="304"/>
      <c r="I179" s="304"/>
      <c r="J179" s="304"/>
      <c r="K179" s="304"/>
      <c r="L179" s="304"/>
    </row>
    <row r="180" ht="15.75" customHeight="1">
      <c r="B180" s="304"/>
      <c r="C180" s="304"/>
      <c r="D180" s="304"/>
      <c r="E180" s="304"/>
      <c r="F180" s="304"/>
      <c r="G180" s="304"/>
      <c r="H180" s="304"/>
      <c r="I180" s="304"/>
      <c r="J180" s="304"/>
      <c r="K180" s="304"/>
      <c r="L180" s="304"/>
    </row>
    <row r="181" ht="15.75" customHeight="1">
      <c r="B181" s="304"/>
      <c r="C181" s="304"/>
      <c r="D181" s="304"/>
      <c r="E181" s="304"/>
      <c r="F181" s="304"/>
      <c r="G181" s="304"/>
      <c r="H181" s="304"/>
      <c r="I181" s="304"/>
      <c r="J181" s="304"/>
      <c r="K181" s="304"/>
      <c r="L181" s="304"/>
    </row>
    <row r="182" ht="15.75" customHeight="1">
      <c r="B182" s="304"/>
      <c r="C182" s="304"/>
      <c r="D182" s="304"/>
      <c r="E182" s="304"/>
      <c r="F182" s="304"/>
      <c r="G182" s="304"/>
      <c r="H182" s="304"/>
      <c r="I182" s="304"/>
      <c r="J182" s="304"/>
      <c r="K182" s="304"/>
      <c r="L182" s="304"/>
    </row>
    <row r="183" ht="15.75" customHeight="1">
      <c r="B183" s="304"/>
      <c r="C183" s="304"/>
      <c r="D183" s="304"/>
      <c r="E183" s="304"/>
      <c r="F183" s="304"/>
      <c r="G183" s="304"/>
      <c r="H183" s="304"/>
      <c r="I183" s="304"/>
      <c r="J183" s="304"/>
      <c r="K183" s="304"/>
      <c r="L183" s="304"/>
    </row>
    <row r="184" ht="15.75" customHeight="1">
      <c r="B184" s="304"/>
      <c r="C184" s="304"/>
      <c r="D184" s="304"/>
      <c r="E184" s="304"/>
      <c r="F184" s="304"/>
      <c r="G184" s="304"/>
      <c r="H184" s="304"/>
      <c r="I184" s="304"/>
      <c r="J184" s="304"/>
      <c r="K184" s="304"/>
      <c r="L184" s="304"/>
    </row>
    <row r="185" ht="15.75" customHeight="1">
      <c r="B185" s="304"/>
      <c r="C185" s="304"/>
      <c r="D185" s="304"/>
      <c r="E185" s="304"/>
      <c r="F185" s="304"/>
      <c r="G185" s="304"/>
      <c r="H185" s="304"/>
      <c r="I185" s="304"/>
      <c r="J185" s="304"/>
      <c r="K185" s="304"/>
      <c r="L185" s="304"/>
    </row>
    <row r="186" ht="15.75" customHeight="1">
      <c r="B186" s="304"/>
      <c r="C186" s="304"/>
      <c r="D186" s="304"/>
      <c r="E186" s="304"/>
      <c r="F186" s="304"/>
      <c r="G186" s="304"/>
      <c r="H186" s="304"/>
      <c r="I186" s="304"/>
      <c r="J186" s="304"/>
      <c r="K186" s="304"/>
      <c r="L186" s="304"/>
    </row>
    <row r="187" ht="15.75" customHeight="1">
      <c r="B187" s="304"/>
      <c r="C187" s="304"/>
      <c r="D187" s="304"/>
      <c r="E187" s="304"/>
      <c r="F187" s="304"/>
      <c r="G187" s="304"/>
      <c r="H187" s="304"/>
      <c r="I187" s="304"/>
      <c r="J187" s="304"/>
      <c r="K187" s="304"/>
      <c r="L187" s="304"/>
    </row>
    <row r="188" ht="15.75" customHeight="1">
      <c r="B188" s="304"/>
      <c r="C188" s="304"/>
      <c r="D188" s="304"/>
      <c r="E188" s="304"/>
      <c r="F188" s="304"/>
      <c r="G188" s="304"/>
      <c r="H188" s="304"/>
      <c r="I188" s="304"/>
      <c r="J188" s="304"/>
      <c r="K188" s="304"/>
      <c r="L188" s="304"/>
    </row>
    <row r="189" ht="15.75" customHeight="1">
      <c r="B189" s="304"/>
      <c r="C189" s="304"/>
      <c r="D189" s="304"/>
      <c r="E189" s="304"/>
      <c r="F189" s="304"/>
      <c r="G189" s="304"/>
      <c r="H189" s="304"/>
      <c r="I189" s="304"/>
      <c r="J189" s="304"/>
      <c r="K189" s="304"/>
      <c r="L189" s="304"/>
    </row>
    <row r="190" ht="15.75" customHeight="1">
      <c r="B190" s="304"/>
      <c r="C190" s="304"/>
      <c r="D190" s="304"/>
      <c r="E190" s="304"/>
      <c r="F190" s="304"/>
      <c r="G190" s="304"/>
      <c r="H190" s="304"/>
      <c r="I190" s="304"/>
      <c r="J190" s="304"/>
      <c r="K190" s="304"/>
      <c r="L190" s="304"/>
    </row>
    <row r="191" ht="15.75" customHeight="1">
      <c r="B191" s="304"/>
      <c r="C191" s="304"/>
      <c r="D191" s="304"/>
      <c r="E191" s="304"/>
      <c r="F191" s="304"/>
      <c r="G191" s="304"/>
      <c r="H191" s="304"/>
      <c r="I191" s="304"/>
      <c r="J191" s="304"/>
      <c r="K191" s="304"/>
      <c r="L191" s="304"/>
    </row>
    <row r="192" ht="15.75" customHeight="1">
      <c r="B192" s="304"/>
      <c r="C192" s="304"/>
      <c r="D192" s="304"/>
      <c r="E192" s="304"/>
      <c r="F192" s="304"/>
      <c r="G192" s="304"/>
      <c r="H192" s="304"/>
      <c r="I192" s="304"/>
      <c r="J192" s="304"/>
      <c r="K192" s="304"/>
      <c r="L192" s="304"/>
    </row>
    <row r="193" ht="15.75" customHeight="1">
      <c r="B193" s="304"/>
      <c r="C193" s="304"/>
      <c r="D193" s="304"/>
      <c r="E193" s="304"/>
      <c r="F193" s="304"/>
      <c r="G193" s="304"/>
      <c r="H193" s="304"/>
      <c r="I193" s="304"/>
      <c r="J193" s="304"/>
      <c r="K193" s="304"/>
      <c r="L193" s="304"/>
    </row>
    <row r="194" ht="15.75" customHeight="1">
      <c r="B194" s="304"/>
      <c r="C194" s="304"/>
      <c r="D194" s="304"/>
      <c r="E194" s="304"/>
      <c r="F194" s="304"/>
      <c r="G194" s="304"/>
      <c r="H194" s="304"/>
      <c r="I194" s="304"/>
      <c r="J194" s="304"/>
      <c r="K194" s="304"/>
      <c r="L194" s="304"/>
    </row>
    <row r="195" ht="15.75" customHeight="1">
      <c r="B195" s="304"/>
      <c r="C195" s="304"/>
      <c r="D195" s="304"/>
      <c r="E195" s="304"/>
      <c r="F195" s="304"/>
      <c r="G195" s="304"/>
      <c r="H195" s="304"/>
      <c r="I195" s="304"/>
      <c r="J195" s="304"/>
      <c r="K195" s="304"/>
      <c r="L195" s="304"/>
    </row>
    <row r="196" ht="15.75" customHeight="1">
      <c r="B196" s="304"/>
      <c r="C196" s="304"/>
      <c r="D196" s="304"/>
      <c r="E196" s="304"/>
      <c r="F196" s="304"/>
      <c r="G196" s="304"/>
      <c r="H196" s="304"/>
      <c r="I196" s="304"/>
      <c r="J196" s="304"/>
      <c r="K196" s="304"/>
      <c r="L196" s="304"/>
    </row>
    <row r="197" ht="15.75" customHeight="1">
      <c r="B197" s="304"/>
      <c r="C197" s="304"/>
      <c r="D197" s="304"/>
      <c r="E197" s="304"/>
      <c r="F197" s="304"/>
      <c r="G197" s="304"/>
      <c r="H197" s="304"/>
      <c r="I197" s="304"/>
      <c r="J197" s="304"/>
      <c r="K197" s="304"/>
      <c r="L197" s="304"/>
    </row>
    <row r="198" ht="15.75" customHeight="1">
      <c r="B198" s="304"/>
      <c r="C198" s="304"/>
      <c r="D198" s="304"/>
      <c r="E198" s="304"/>
      <c r="F198" s="304"/>
      <c r="G198" s="304"/>
      <c r="H198" s="304"/>
      <c r="I198" s="304"/>
      <c r="J198" s="304"/>
      <c r="K198" s="304"/>
      <c r="L198" s="304"/>
    </row>
    <row r="199" ht="15.75" customHeight="1">
      <c r="B199" s="304"/>
      <c r="C199" s="304"/>
      <c r="D199" s="304"/>
      <c r="E199" s="304"/>
      <c r="F199" s="304"/>
      <c r="G199" s="304"/>
      <c r="H199" s="304"/>
      <c r="I199" s="304"/>
      <c r="J199" s="304"/>
      <c r="K199" s="304"/>
      <c r="L199" s="304"/>
    </row>
    <row r="200" ht="15.75" customHeight="1">
      <c r="B200" s="304"/>
      <c r="C200" s="304"/>
      <c r="D200" s="304"/>
      <c r="E200" s="304"/>
      <c r="F200" s="304"/>
      <c r="G200" s="304"/>
      <c r="H200" s="304"/>
      <c r="I200" s="304"/>
      <c r="J200" s="304"/>
      <c r="K200" s="304"/>
      <c r="L200" s="304"/>
    </row>
    <row r="201" ht="15.75" customHeight="1">
      <c r="B201" s="304"/>
      <c r="C201" s="304"/>
      <c r="D201" s="304"/>
      <c r="E201" s="304"/>
      <c r="F201" s="304"/>
      <c r="G201" s="304"/>
      <c r="H201" s="304"/>
      <c r="I201" s="304"/>
      <c r="J201" s="304"/>
      <c r="K201" s="304"/>
      <c r="L201" s="304"/>
    </row>
    <row r="202" ht="15.75" customHeight="1">
      <c r="B202" s="304"/>
      <c r="C202" s="304"/>
      <c r="D202" s="304"/>
      <c r="E202" s="304"/>
      <c r="F202" s="304"/>
      <c r="G202" s="304"/>
      <c r="H202" s="304"/>
      <c r="I202" s="304"/>
      <c r="J202" s="304"/>
      <c r="K202" s="304"/>
      <c r="L202" s="304"/>
    </row>
    <row r="203" ht="15.75" customHeight="1">
      <c r="B203" s="304"/>
      <c r="C203" s="304"/>
      <c r="D203" s="304"/>
      <c r="E203" s="304"/>
      <c r="F203" s="304"/>
      <c r="G203" s="304"/>
      <c r="H203" s="304"/>
      <c r="I203" s="304"/>
      <c r="J203" s="304"/>
      <c r="K203" s="304"/>
      <c r="L203" s="304"/>
    </row>
    <row r="204" ht="15.75" customHeight="1">
      <c r="B204" s="304"/>
      <c r="C204" s="304"/>
      <c r="D204" s="304"/>
      <c r="E204" s="304"/>
      <c r="F204" s="304"/>
      <c r="G204" s="304"/>
      <c r="H204" s="304"/>
      <c r="I204" s="304"/>
      <c r="J204" s="304"/>
      <c r="K204" s="304"/>
      <c r="L204" s="304"/>
    </row>
    <row r="205" ht="15.75" customHeight="1">
      <c r="B205" s="304"/>
      <c r="C205" s="304"/>
      <c r="D205" s="304"/>
      <c r="E205" s="304"/>
      <c r="F205" s="304"/>
      <c r="G205" s="304"/>
      <c r="H205" s="304"/>
      <c r="I205" s="304"/>
      <c r="J205" s="304"/>
      <c r="K205" s="304"/>
      <c r="L205" s="304"/>
    </row>
    <row r="206" ht="15.75" customHeight="1">
      <c r="B206" s="304"/>
      <c r="C206" s="304"/>
      <c r="D206" s="304"/>
      <c r="E206" s="304"/>
      <c r="F206" s="304"/>
      <c r="G206" s="304"/>
      <c r="H206" s="304"/>
      <c r="I206" s="304"/>
      <c r="J206" s="304"/>
      <c r="K206" s="304"/>
      <c r="L206" s="304"/>
    </row>
    <row r="207" ht="15.75" customHeight="1">
      <c r="B207" s="304"/>
      <c r="C207" s="304"/>
      <c r="D207" s="304"/>
      <c r="E207" s="304"/>
      <c r="F207" s="304"/>
      <c r="G207" s="304"/>
      <c r="H207" s="304"/>
      <c r="I207" s="304"/>
      <c r="J207" s="304"/>
      <c r="K207" s="304"/>
      <c r="L207" s="304"/>
    </row>
    <row r="208" ht="15.75" customHeight="1">
      <c r="B208" s="304"/>
      <c r="C208" s="304"/>
      <c r="D208" s="304"/>
      <c r="E208" s="304"/>
      <c r="F208" s="304"/>
      <c r="G208" s="304"/>
      <c r="H208" s="304"/>
      <c r="I208" s="304"/>
      <c r="J208" s="304"/>
      <c r="K208" s="304"/>
      <c r="L208" s="304"/>
    </row>
    <row r="209" ht="15.75" customHeight="1">
      <c r="B209" s="304"/>
      <c r="C209" s="304"/>
      <c r="D209" s="304"/>
      <c r="E209" s="304"/>
      <c r="F209" s="304"/>
      <c r="G209" s="304"/>
      <c r="H209" s="304"/>
      <c r="I209" s="304"/>
      <c r="J209" s="304"/>
      <c r="K209" s="304"/>
      <c r="L209" s="304"/>
    </row>
    <row r="210" ht="15.75" customHeight="1">
      <c r="B210" s="304"/>
      <c r="C210" s="304"/>
      <c r="D210" s="304"/>
      <c r="E210" s="304"/>
      <c r="F210" s="304"/>
      <c r="G210" s="304"/>
      <c r="H210" s="304"/>
      <c r="I210" s="304"/>
      <c r="J210" s="304"/>
      <c r="K210" s="304"/>
      <c r="L210" s="304"/>
    </row>
    <row r="211" ht="15.75" customHeight="1">
      <c r="B211" s="304"/>
      <c r="C211" s="304"/>
      <c r="D211" s="304"/>
      <c r="E211" s="304"/>
      <c r="F211" s="304"/>
      <c r="G211" s="304"/>
      <c r="H211" s="304"/>
      <c r="I211" s="304"/>
      <c r="J211" s="304"/>
      <c r="K211" s="304"/>
      <c r="L211" s="304"/>
    </row>
    <row r="212" ht="15.75" customHeight="1">
      <c r="B212" s="304"/>
      <c r="C212" s="304"/>
      <c r="D212" s="304"/>
      <c r="E212" s="304"/>
      <c r="F212" s="304"/>
      <c r="G212" s="304"/>
      <c r="H212" s="304"/>
      <c r="I212" s="304"/>
      <c r="J212" s="304"/>
      <c r="K212" s="304"/>
      <c r="L212" s="304"/>
    </row>
    <row r="213" ht="15.75" customHeight="1">
      <c r="B213" s="304"/>
      <c r="C213" s="304"/>
      <c r="D213" s="304"/>
      <c r="E213" s="304"/>
      <c r="F213" s="304"/>
      <c r="G213" s="304"/>
      <c r="H213" s="304"/>
      <c r="I213" s="304"/>
      <c r="J213" s="304"/>
      <c r="K213" s="304"/>
      <c r="L213" s="304"/>
    </row>
    <row r="214" ht="15.75" customHeight="1">
      <c r="B214" s="304"/>
      <c r="C214" s="304"/>
      <c r="D214" s="304"/>
      <c r="E214" s="304"/>
      <c r="F214" s="304"/>
      <c r="G214" s="304"/>
      <c r="H214" s="304"/>
      <c r="I214" s="304"/>
      <c r="J214" s="304"/>
      <c r="K214" s="304"/>
      <c r="L214" s="304"/>
    </row>
    <row r="215" ht="15.75" customHeight="1">
      <c r="B215" s="304"/>
      <c r="C215" s="304"/>
      <c r="D215" s="304"/>
      <c r="E215" s="304"/>
      <c r="F215" s="304"/>
      <c r="G215" s="304"/>
      <c r="H215" s="304"/>
      <c r="I215" s="304"/>
      <c r="J215" s="304"/>
      <c r="K215" s="304"/>
      <c r="L215" s="304"/>
    </row>
    <row r="216" ht="15.75" customHeight="1">
      <c r="B216" s="304"/>
      <c r="C216" s="304"/>
      <c r="D216" s="304"/>
      <c r="E216" s="304"/>
      <c r="F216" s="304"/>
      <c r="G216" s="304"/>
      <c r="H216" s="304"/>
      <c r="I216" s="304"/>
      <c r="J216" s="304"/>
      <c r="K216" s="304"/>
      <c r="L216" s="304"/>
    </row>
    <row r="217" ht="15.75" customHeight="1">
      <c r="B217" s="304"/>
      <c r="C217" s="304"/>
      <c r="D217" s="304"/>
      <c r="E217" s="304"/>
      <c r="F217" s="304"/>
      <c r="G217" s="304"/>
      <c r="H217" s="304"/>
      <c r="I217" s="304"/>
      <c r="J217" s="304"/>
      <c r="K217" s="304"/>
      <c r="L217" s="304"/>
    </row>
    <row r="218" ht="15.75" customHeight="1">
      <c r="B218" s="304"/>
      <c r="C218" s="304"/>
      <c r="D218" s="304"/>
      <c r="E218" s="304"/>
      <c r="F218" s="304"/>
      <c r="G218" s="304"/>
      <c r="H218" s="304"/>
      <c r="I218" s="304"/>
      <c r="J218" s="304"/>
      <c r="K218" s="304"/>
      <c r="L218" s="304"/>
    </row>
    <row r="219" ht="15.75" customHeight="1">
      <c r="B219" s="304"/>
      <c r="C219" s="304"/>
      <c r="D219" s="304"/>
      <c r="E219" s="304"/>
      <c r="F219" s="304"/>
      <c r="G219" s="304"/>
      <c r="H219" s="304"/>
      <c r="I219" s="304"/>
      <c r="J219" s="304"/>
      <c r="K219" s="304"/>
      <c r="L219" s="304"/>
    </row>
    <row r="220" ht="15.75" customHeight="1">
      <c r="B220" s="304"/>
      <c r="C220" s="304"/>
      <c r="D220" s="304"/>
      <c r="E220" s="304"/>
      <c r="F220" s="304"/>
      <c r="G220" s="304"/>
      <c r="H220" s="304"/>
      <c r="I220" s="304"/>
      <c r="J220" s="304"/>
      <c r="K220" s="304"/>
      <c r="L220" s="304"/>
    </row>
    <row r="221" ht="15.75" customHeight="1">
      <c r="B221" s="304"/>
      <c r="C221" s="304"/>
      <c r="D221" s="304"/>
      <c r="E221" s="304"/>
      <c r="F221" s="304"/>
      <c r="G221" s="304"/>
      <c r="H221" s="304"/>
      <c r="I221" s="304"/>
      <c r="J221" s="304"/>
      <c r="K221" s="304"/>
      <c r="L221" s="304"/>
    </row>
    <row r="222" ht="15.75" customHeight="1">
      <c r="B222" s="304"/>
      <c r="C222" s="304"/>
      <c r="D222" s="304"/>
      <c r="E222" s="304"/>
      <c r="F222" s="304"/>
      <c r="G222" s="304"/>
      <c r="H222" s="304"/>
      <c r="I222" s="304"/>
      <c r="J222" s="304"/>
      <c r="K222" s="304"/>
      <c r="L222" s="304"/>
    </row>
    <row r="223" ht="15.75" customHeight="1">
      <c r="B223" s="304"/>
      <c r="C223" s="304"/>
      <c r="D223" s="304"/>
      <c r="E223" s="304"/>
      <c r="F223" s="304"/>
      <c r="G223" s="304"/>
      <c r="H223" s="304"/>
      <c r="I223" s="304"/>
      <c r="J223" s="304"/>
      <c r="K223" s="304"/>
      <c r="L223" s="304"/>
    </row>
    <row r="224" ht="15.75" customHeight="1">
      <c r="B224" s="304"/>
      <c r="C224" s="304"/>
      <c r="D224" s="304"/>
      <c r="E224" s="304"/>
      <c r="F224" s="304"/>
      <c r="G224" s="304"/>
      <c r="H224" s="304"/>
      <c r="I224" s="304"/>
      <c r="J224" s="304"/>
      <c r="K224" s="304"/>
      <c r="L224" s="304"/>
    </row>
    <row r="225" ht="15.75" customHeight="1">
      <c r="B225" s="304"/>
      <c r="C225" s="304"/>
      <c r="D225" s="304"/>
      <c r="E225" s="304"/>
      <c r="F225" s="304"/>
      <c r="G225" s="304"/>
      <c r="H225" s="304"/>
      <c r="I225" s="304"/>
      <c r="J225" s="304"/>
      <c r="K225" s="304"/>
      <c r="L225" s="304"/>
    </row>
    <row r="226" ht="15.75" customHeight="1">
      <c r="B226" s="304"/>
      <c r="C226" s="304"/>
      <c r="D226" s="304"/>
      <c r="E226" s="304"/>
      <c r="F226" s="304"/>
      <c r="G226" s="304"/>
      <c r="H226" s="304"/>
      <c r="I226" s="304"/>
      <c r="J226" s="304"/>
      <c r="K226" s="304"/>
      <c r="L226" s="304"/>
    </row>
    <row r="227" ht="15.75" customHeight="1">
      <c r="B227" s="304"/>
      <c r="C227" s="304"/>
      <c r="D227" s="304"/>
      <c r="E227" s="304"/>
      <c r="F227" s="304"/>
      <c r="G227" s="304"/>
      <c r="H227" s="304"/>
      <c r="I227" s="304"/>
      <c r="J227" s="304"/>
      <c r="K227" s="304"/>
      <c r="L227" s="304"/>
    </row>
    <row r="228" ht="15.75" customHeight="1">
      <c r="B228" s="304"/>
      <c r="C228" s="304"/>
      <c r="D228" s="304"/>
      <c r="E228" s="304"/>
      <c r="F228" s="304"/>
      <c r="G228" s="304"/>
      <c r="H228" s="304"/>
      <c r="I228" s="304"/>
      <c r="J228" s="304"/>
      <c r="K228" s="304"/>
      <c r="L228" s="304"/>
    </row>
    <row r="229" ht="15.75" customHeight="1">
      <c r="B229" s="304"/>
      <c r="C229" s="304"/>
      <c r="D229" s="304"/>
      <c r="E229" s="304"/>
      <c r="F229" s="304"/>
      <c r="G229" s="304"/>
      <c r="H229" s="304"/>
      <c r="I229" s="304"/>
      <c r="J229" s="304"/>
      <c r="K229" s="304"/>
      <c r="L229" s="304"/>
    </row>
    <row r="230" ht="15.75" customHeight="1">
      <c r="B230" s="304"/>
      <c r="C230" s="304"/>
      <c r="D230" s="304"/>
      <c r="E230" s="304"/>
      <c r="F230" s="304"/>
      <c r="G230" s="304"/>
      <c r="H230" s="304"/>
      <c r="I230" s="304"/>
      <c r="J230" s="304"/>
      <c r="K230" s="304"/>
      <c r="L230" s="304"/>
    </row>
    <row r="231" ht="15.75" customHeight="1">
      <c r="B231" s="304"/>
      <c r="C231" s="304"/>
      <c r="D231" s="304"/>
      <c r="E231" s="304"/>
      <c r="F231" s="304"/>
      <c r="G231" s="304"/>
      <c r="H231" s="304"/>
      <c r="I231" s="304"/>
      <c r="J231" s="304"/>
      <c r="K231" s="304"/>
      <c r="L231" s="304"/>
    </row>
    <row r="232" ht="15.75" customHeight="1">
      <c r="B232" s="304"/>
      <c r="C232" s="304"/>
      <c r="D232" s="304"/>
      <c r="E232" s="304"/>
      <c r="F232" s="304"/>
      <c r="G232" s="304"/>
      <c r="H232" s="304"/>
      <c r="I232" s="304"/>
      <c r="J232" s="304"/>
      <c r="K232" s="304"/>
      <c r="L232" s="304"/>
    </row>
    <row r="233" ht="15.75" customHeight="1">
      <c r="B233" s="304"/>
      <c r="C233" s="304"/>
      <c r="D233" s="304"/>
      <c r="E233" s="304"/>
      <c r="F233" s="304"/>
      <c r="G233" s="304"/>
      <c r="H233" s="304"/>
      <c r="I233" s="304"/>
      <c r="J233" s="304"/>
      <c r="K233" s="304"/>
      <c r="L233" s="304"/>
    </row>
    <row r="234" ht="15.75" customHeight="1">
      <c r="B234" s="304"/>
      <c r="C234" s="304"/>
      <c r="D234" s="304"/>
      <c r="E234" s="304"/>
      <c r="F234" s="304"/>
      <c r="G234" s="304"/>
      <c r="H234" s="304"/>
      <c r="I234" s="304"/>
      <c r="J234" s="304"/>
      <c r="K234" s="304"/>
      <c r="L234" s="304"/>
    </row>
    <row r="235" ht="15.75" customHeight="1">
      <c r="B235" s="304"/>
      <c r="C235" s="304"/>
      <c r="D235" s="304"/>
      <c r="E235" s="304"/>
      <c r="F235" s="304"/>
      <c r="G235" s="304"/>
      <c r="H235" s="304"/>
      <c r="I235" s="304"/>
      <c r="J235" s="304"/>
      <c r="K235" s="304"/>
      <c r="L235" s="304"/>
    </row>
    <row r="236" ht="15.75" customHeight="1">
      <c r="B236" s="304"/>
      <c r="C236" s="304"/>
      <c r="D236" s="304"/>
      <c r="E236" s="304"/>
      <c r="F236" s="304"/>
      <c r="G236" s="304"/>
      <c r="H236" s="304"/>
      <c r="I236" s="304"/>
      <c r="J236" s="304"/>
      <c r="K236" s="304"/>
      <c r="L236" s="304"/>
    </row>
    <row r="237" ht="15.75" customHeight="1">
      <c r="B237" s="304"/>
      <c r="C237" s="304"/>
      <c r="D237" s="304"/>
      <c r="E237" s="304"/>
      <c r="F237" s="304"/>
      <c r="G237" s="304"/>
      <c r="H237" s="304"/>
      <c r="I237" s="304"/>
      <c r="J237" s="304"/>
      <c r="K237" s="304"/>
      <c r="L237" s="304"/>
    </row>
    <row r="238" ht="15.75" customHeight="1">
      <c r="B238" s="304"/>
      <c r="C238" s="304"/>
      <c r="D238" s="304"/>
      <c r="E238" s="304"/>
      <c r="F238" s="304"/>
      <c r="G238" s="304"/>
      <c r="H238" s="304"/>
      <c r="I238" s="304"/>
      <c r="J238" s="304"/>
      <c r="K238" s="304"/>
      <c r="L238" s="304"/>
    </row>
    <row r="239" ht="15.75" customHeight="1">
      <c r="B239" s="304"/>
      <c r="C239" s="304"/>
      <c r="D239" s="304"/>
      <c r="E239" s="304"/>
      <c r="F239" s="304"/>
      <c r="G239" s="304"/>
      <c r="H239" s="304"/>
      <c r="I239" s="304"/>
      <c r="J239" s="304"/>
      <c r="K239" s="304"/>
      <c r="L239" s="304"/>
    </row>
    <row r="240" ht="15.75" customHeight="1">
      <c r="B240" s="304"/>
      <c r="C240" s="304"/>
      <c r="D240" s="304"/>
      <c r="E240" s="304"/>
      <c r="F240" s="304"/>
      <c r="G240" s="304"/>
      <c r="H240" s="304"/>
      <c r="I240" s="304"/>
      <c r="J240" s="304"/>
      <c r="K240" s="304"/>
      <c r="L240" s="304"/>
    </row>
    <row r="241" ht="15.75" customHeight="1">
      <c r="B241" s="304"/>
      <c r="C241" s="304"/>
      <c r="D241" s="304"/>
      <c r="E241" s="304"/>
      <c r="F241" s="304"/>
      <c r="G241" s="304"/>
      <c r="H241" s="304"/>
      <c r="I241" s="304"/>
      <c r="J241" s="304"/>
      <c r="K241" s="304"/>
      <c r="L241" s="304"/>
    </row>
    <row r="242" ht="15.75" customHeight="1">
      <c r="B242" s="304"/>
      <c r="C242" s="304"/>
      <c r="D242" s="304"/>
      <c r="E242" s="304"/>
      <c r="F242" s="304"/>
      <c r="G242" s="304"/>
      <c r="H242" s="304"/>
      <c r="I242" s="304"/>
      <c r="J242" s="304"/>
      <c r="K242" s="304"/>
      <c r="L242" s="304"/>
    </row>
    <row r="243" ht="15.75" customHeight="1">
      <c r="B243" s="304"/>
      <c r="C243" s="304"/>
      <c r="D243" s="304"/>
      <c r="E243" s="304"/>
      <c r="F243" s="304"/>
      <c r="G243" s="304"/>
      <c r="H243" s="304"/>
      <c r="I243" s="304"/>
      <c r="J243" s="304"/>
      <c r="K243" s="304"/>
      <c r="L243" s="304"/>
    </row>
    <row r="244" ht="15.75" customHeight="1">
      <c r="B244" s="304"/>
      <c r="C244" s="304"/>
      <c r="D244" s="304"/>
      <c r="E244" s="304"/>
      <c r="F244" s="304"/>
      <c r="G244" s="304"/>
      <c r="H244" s="304"/>
      <c r="I244" s="304"/>
      <c r="J244" s="304"/>
      <c r="K244" s="304"/>
      <c r="L244" s="304"/>
    </row>
    <row r="245" ht="15.75" customHeight="1">
      <c r="B245" s="304"/>
      <c r="C245" s="304"/>
      <c r="D245" s="304"/>
      <c r="E245" s="304"/>
      <c r="F245" s="304"/>
      <c r="G245" s="304"/>
      <c r="H245" s="304"/>
      <c r="I245" s="304"/>
      <c r="J245" s="304"/>
      <c r="K245" s="304"/>
      <c r="L245" s="304"/>
    </row>
    <row r="246" ht="15.75" customHeight="1">
      <c r="B246" s="304"/>
      <c r="C246" s="304"/>
      <c r="D246" s="304"/>
      <c r="E246" s="304"/>
      <c r="F246" s="304"/>
      <c r="G246" s="304"/>
      <c r="H246" s="304"/>
      <c r="I246" s="304"/>
      <c r="J246" s="304"/>
      <c r="K246" s="304"/>
      <c r="L246" s="304"/>
    </row>
    <row r="247" ht="15.75" customHeight="1">
      <c r="B247" s="304"/>
      <c r="C247" s="304"/>
      <c r="D247" s="304"/>
      <c r="E247" s="304"/>
      <c r="F247" s="304"/>
      <c r="G247" s="304"/>
      <c r="H247" s="304"/>
      <c r="I247" s="304"/>
      <c r="J247" s="304"/>
      <c r="K247" s="304"/>
      <c r="L247" s="304"/>
    </row>
    <row r="248" ht="15.75" customHeight="1">
      <c r="B248" s="304"/>
      <c r="C248" s="304"/>
      <c r="D248" s="304"/>
      <c r="E248" s="304"/>
      <c r="F248" s="304"/>
      <c r="G248" s="304"/>
      <c r="H248" s="304"/>
      <c r="I248" s="304"/>
      <c r="J248" s="304"/>
      <c r="K248" s="304"/>
      <c r="L248" s="304"/>
    </row>
    <row r="249" ht="15.75" customHeight="1">
      <c r="B249" s="304"/>
      <c r="C249" s="304"/>
      <c r="D249" s="304"/>
      <c r="E249" s="304"/>
      <c r="F249" s="304"/>
      <c r="G249" s="304"/>
      <c r="H249" s="304"/>
      <c r="I249" s="304"/>
      <c r="J249" s="304"/>
      <c r="K249" s="304"/>
      <c r="L249" s="304"/>
    </row>
    <row r="250" ht="15.75" customHeight="1">
      <c r="B250" s="304"/>
      <c r="C250" s="304"/>
      <c r="D250" s="304"/>
      <c r="E250" s="304"/>
      <c r="F250" s="304"/>
      <c r="G250" s="304"/>
      <c r="H250" s="304"/>
      <c r="I250" s="304"/>
      <c r="J250" s="304"/>
      <c r="K250" s="304"/>
      <c r="L250" s="304"/>
    </row>
    <row r="251" ht="15.75" customHeight="1">
      <c r="B251" s="304"/>
      <c r="C251" s="304"/>
      <c r="D251" s="304"/>
      <c r="E251" s="304"/>
      <c r="F251" s="304"/>
      <c r="G251" s="304"/>
      <c r="H251" s="304"/>
      <c r="I251" s="304"/>
      <c r="J251" s="304"/>
      <c r="K251" s="304"/>
      <c r="L251" s="304"/>
    </row>
    <row r="252" ht="15.75" customHeight="1">
      <c r="B252" s="304"/>
      <c r="C252" s="304"/>
      <c r="D252" s="304"/>
      <c r="E252" s="304"/>
      <c r="F252" s="304"/>
      <c r="G252" s="304"/>
      <c r="H252" s="304"/>
      <c r="I252" s="304"/>
      <c r="J252" s="304"/>
      <c r="K252" s="304"/>
      <c r="L252" s="304"/>
    </row>
    <row r="253" ht="15.75" customHeight="1">
      <c r="B253" s="304"/>
      <c r="C253" s="304"/>
      <c r="D253" s="304"/>
      <c r="E253" s="304"/>
      <c r="F253" s="304"/>
      <c r="G253" s="304"/>
      <c r="H253" s="304"/>
      <c r="I253" s="304"/>
      <c r="J253" s="304"/>
      <c r="K253" s="304"/>
      <c r="L253" s="304"/>
    </row>
    <row r="254" ht="15.75" customHeight="1">
      <c r="B254" s="304"/>
      <c r="C254" s="304"/>
      <c r="D254" s="304"/>
      <c r="E254" s="304"/>
      <c r="F254" s="304"/>
      <c r="G254" s="304"/>
      <c r="H254" s="304"/>
      <c r="I254" s="304"/>
      <c r="J254" s="304"/>
      <c r="K254" s="304"/>
      <c r="L254" s="304"/>
    </row>
    <row r="255" ht="15.75" customHeight="1">
      <c r="B255" s="304"/>
      <c r="C255" s="304"/>
      <c r="D255" s="304"/>
      <c r="E255" s="304"/>
      <c r="F255" s="304"/>
      <c r="G255" s="304"/>
      <c r="H255" s="304"/>
      <c r="I255" s="304"/>
      <c r="J255" s="304"/>
      <c r="K255" s="304"/>
      <c r="L255" s="304"/>
    </row>
    <row r="256" ht="15.75" customHeight="1">
      <c r="B256" s="304"/>
      <c r="C256" s="304"/>
      <c r="D256" s="304"/>
      <c r="E256" s="304"/>
      <c r="F256" s="304"/>
      <c r="G256" s="304"/>
      <c r="H256" s="304"/>
      <c r="I256" s="304"/>
      <c r="J256" s="304"/>
      <c r="K256" s="304"/>
      <c r="L256" s="304"/>
    </row>
    <row r="257" ht="15.75" customHeight="1">
      <c r="B257" s="304"/>
      <c r="C257" s="304"/>
      <c r="D257" s="304"/>
      <c r="E257" s="304"/>
      <c r="F257" s="304"/>
      <c r="G257" s="304"/>
      <c r="H257" s="304"/>
      <c r="I257" s="304"/>
      <c r="J257" s="304"/>
      <c r="K257" s="304"/>
      <c r="L257" s="304"/>
    </row>
    <row r="258" ht="15.75" customHeight="1">
      <c r="B258" s="304"/>
      <c r="C258" s="304"/>
      <c r="D258" s="304"/>
      <c r="E258" s="304"/>
      <c r="F258" s="304"/>
      <c r="G258" s="304"/>
      <c r="H258" s="304"/>
      <c r="I258" s="304"/>
      <c r="J258" s="304"/>
      <c r="K258" s="304"/>
      <c r="L258" s="304"/>
    </row>
    <row r="259" ht="15.75" customHeight="1">
      <c r="B259" s="304"/>
      <c r="C259" s="304"/>
      <c r="D259" s="304"/>
      <c r="E259" s="304"/>
      <c r="F259" s="304"/>
      <c r="G259" s="304"/>
      <c r="H259" s="304"/>
      <c r="I259" s="304"/>
      <c r="J259" s="304"/>
      <c r="K259" s="304"/>
      <c r="L259" s="304"/>
    </row>
    <row r="260" ht="15.75" customHeight="1">
      <c r="B260" s="304"/>
      <c r="C260" s="304"/>
      <c r="D260" s="304"/>
      <c r="E260" s="304"/>
      <c r="F260" s="304"/>
      <c r="G260" s="304"/>
      <c r="H260" s="304"/>
      <c r="I260" s="304"/>
      <c r="J260" s="304"/>
      <c r="K260" s="304"/>
      <c r="L260" s="304"/>
    </row>
    <row r="261" ht="15.75" customHeight="1">
      <c r="B261" s="304"/>
      <c r="C261" s="304"/>
      <c r="D261" s="304"/>
      <c r="E261" s="304"/>
      <c r="F261" s="304"/>
      <c r="G261" s="304"/>
      <c r="H261" s="304"/>
      <c r="I261" s="304"/>
      <c r="J261" s="304"/>
      <c r="K261" s="304"/>
      <c r="L261" s="304"/>
    </row>
    <row r="262" ht="15.75" customHeight="1">
      <c r="B262" s="304"/>
      <c r="C262" s="304"/>
      <c r="D262" s="304"/>
      <c r="E262" s="304"/>
      <c r="F262" s="304"/>
      <c r="G262" s="304"/>
      <c r="H262" s="304"/>
      <c r="I262" s="304"/>
      <c r="J262" s="304"/>
      <c r="K262" s="304"/>
      <c r="L262" s="304"/>
    </row>
    <row r="263" ht="15.75" customHeight="1">
      <c r="B263" s="304"/>
      <c r="C263" s="304"/>
      <c r="D263" s="304"/>
      <c r="E263" s="304"/>
      <c r="F263" s="304"/>
      <c r="G263" s="304"/>
      <c r="H263" s="304"/>
      <c r="I263" s="304"/>
      <c r="J263" s="304"/>
      <c r="K263" s="304"/>
      <c r="L263" s="304"/>
    </row>
    <row r="264" ht="15.75" customHeight="1">
      <c r="B264" s="304"/>
      <c r="C264" s="304"/>
      <c r="D264" s="304"/>
      <c r="E264" s="304"/>
      <c r="F264" s="304"/>
      <c r="G264" s="304"/>
      <c r="H264" s="304"/>
      <c r="I264" s="304"/>
      <c r="J264" s="304"/>
      <c r="K264" s="304"/>
      <c r="L264" s="304"/>
    </row>
    <row r="265" ht="15.75" customHeight="1">
      <c r="B265" s="304"/>
      <c r="C265" s="304"/>
      <c r="D265" s="304"/>
      <c r="E265" s="304"/>
      <c r="F265" s="304"/>
      <c r="G265" s="304"/>
      <c r="H265" s="304"/>
      <c r="I265" s="304"/>
      <c r="J265" s="304"/>
      <c r="K265" s="304"/>
      <c r="L265" s="304"/>
    </row>
    <row r="266" ht="15.75" customHeight="1">
      <c r="B266" s="304"/>
      <c r="C266" s="304"/>
      <c r="D266" s="304"/>
      <c r="E266" s="304"/>
      <c r="F266" s="304"/>
      <c r="G266" s="304"/>
      <c r="H266" s="304"/>
      <c r="I266" s="304"/>
      <c r="J266" s="304"/>
      <c r="K266" s="304"/>
      <c r="L266" s="304"/>
    </row>
    <row r="267" ht="15.75" customHeight="1">
      <c r="B267" s="304"/>
      <c r="C267" s="304"/>
      <c r="D267" s="304"/>
      <c r="E267" s="304"/>
      <c r="F267" s="304"/>
      <c r="G267" s="304"/>
      <c r="H267" s="304"/>
      <c r="I267" s="304"/>
      <c r="J267" s="304"/>
      <c r="K267" s="304"/>
      <c r="L267" s="304"/>
    </row>
    <row r="268" ht="15.75" customHeight="1">
      <c r="B268" s="304"/>
      <c r="C268" s="304"/>
      <c r="D268" s="304"/>
      <c r="E268" s="304"/>
      <c r="F268" s="304"/>
      <c r="G268" s="304"/>
      <c r="H268" s="304"/>
      <c r="I268" s="304"/>
      <c r="J268" s="304"/>
      <c r="K268" s="304"/>
      <c r="L268" s="304"/>
    </row>
    <row r="269" ht="15.75" customHeight="1">
      <c r="B269" s="304"/>
      <c r="C269" s="304"/>
      <c r="D269" s="304"/>
      <c r="E269" s="304"/>
      <c r="F269" s="304"/>
      <c r="G269" s="304"/>
      <c r="H269" s="304"/>
      <c r="I269" s="304"/>
      <c r="J269" s="304"/>
      <c r="K269" s="304"/>
      <c r="L269" s="304"/>
    </row>
    <row r="270" ht="15.75" customHeight="1">
      <c r="B270" s="304"/>
      <c r="C270" s="304"/>
      <c r="D270" s="304"/>
      <c r="E270" s="304"/>
      <c r="F270" s="304"/>
      <c r="G270" s="304"/>
      <c r="H270" s="304"/>
      <c r="I270" s="304"/>
      <c r="J270" s="304"/>
      <c r="K270" s="304"/>
      <c r="L270" s="304"/>
    </row>
    <row r="271" ht="15.75" customHeight="1">
      <c r="B271" s="304"/>
      <c r="C271" s="304"/>
      <c r="D271" s="304"/>
      <c r="E271" s="304"/>
      <c r="F271" s="304"/>
      <c r="G271" s="304"/>
      <c r="H271" s="304"/>
      <c r="I271" s="304"/>
      <c r="J271" s="304"/>
      <c r="K271" s="304"/>
      <c r="L271" s="304"/>
    </row>
    <row r="272" ht="15.75" customHeight="1">
      <c r="B272" s="304"/>
      <c r="C272" s="304"/>
      <c r="D272" s="304"/>
      <c r="E272" s="304"/>
      <c r="F272" s="304"/>
      <c r="G272" s="304"/>
      <c r="H272" s="304"/>
      <c r="I272" s="304"/>
      <c r="J272" s="304"/>
      <c r="K272" s="304"/>
      <c r="L272" s="304"/>
    </row>
    <row r="273" ht="15.75" customHeight="1">
      <c r="B273" s="304"/>
      <c r="C273" s="304"/>
      <c r="D273" s="304"/>
      <c r="E273" s="304"/>
      <c r="F273" s="304"/>
      <c r="G273" s="304"/>
      <c r="H273" s="304"/>
      <c r="I273" s="304"/>
      <c r="J273" s="304"/>
      <c r="K273" s="304"/>
      <c r="L273" s="304"/>
    </row>
    <row r="274" ht="15.75" customHeight="1">
      <c r="B274" s="304"/>
      <c r="C274" s="304"/>
      <c r="D274" s="304"/>
      <c r="E274" s="304"/>
      <c r="F274" s="304"/>
      <c r="G274" s="304"/>
      <c r="H274" s="304"/>
      <c r="I274" s="304"/>
      <c r="J274" s="304"/>
      <c r="K274" s="304"/>
      <c r="L274" s="304"/>
    </row>
    <row r="275" ht="15.75" customHeight="1">
      <c r="B275" s="304"/>
      <c r="C275" s="304"/>
      <c r="D275" s="304"/>
      <c r="E275" s="304"/>
      <c r="F275" s="304"/>
      <c r="G275" s="304"/>
      <c r="H275" s="304"/>
      <c r="I275" s="304"/>
      <c r="J275" s="304"/>
      <c r="K275" s="304"/>
      <c r="L275" s="304"/>
    </row>
    <row r="276" ht="15.75" customHeight="1">
      <c r="B276" s="304"/>
      <c r="C276" s="304"/>
      <c r="D276" s="304"/>
      <c r="E276" s="304"/>
      <c r="F276" s="304"/>
      <c r="G276" s="304"/>
      <c r="H276" s="304"/>
      <c r="I276" s="304"/>
      <c r="J276" s="304"/>
      <c r="K276" s="304"/>
      <c r="L276" s="304"/>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2018</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53272</v>
      </c>
      <c r="C3" s="24">
        <f>IFERROR(VLOOKUP("Total Revenues*",'7.TIKR_IS'!$A:$K,COLUMN(C3),FALSE),"0")</f>
        <v>52713</v>
      </c>
      <c r="D3" s="24">
        <f>IFERROR(VLOOKUP("Total Revenues*",'7.TIKR_IS'!$A:$K,COLUMN(D3),FALSE),"0")</f>
        <v>53715</v>
      </c>
      <c r="E3" s="24">
        <f>IFERROR(VLOOKUP("Total Revenues*",'7.TIKR_IS'!$A:$K,COLUMN(E3),FALSE),"0")</f>
        <v>50982</v>
      </c>
      <c r="F3" s="24">
        <f>IFERROR(VLOOKUP("Total Revenues*",'7.TIKR_IS'!$A:$K,COLUMN(F3),FALSE),"0")</f>
        <v>51980</v>
      </c>
      <c r="G3" s="24">
        <f>IFERROR(VLOOKUP("Total Revenues*",'7.TIKR_IS'!$A:$K,COLUMN(G3),FALSE),"0")</f>
        <v>50724</v>
      </c>
      <c r="H3" s="24">
        <f>IFERROR(VLOOKUP("Total Revenues*",'7.TIKR_IS'!$A:$K,COLUMN(H3),FALSE),"0")</f>
        <v>52444</v>
      </c>
      <c r="I3" s="24">
        <f>IFERROR(VLOOKUP("Total Revenues*",'7.TIKR_IS'!$A:$K,COLUMN(I3),FALSE),"0")</f>
        <v>60073</v>
      </c>
      <c r="J3" s="24">
        <f>IFERROR(VLOOKUP("Total Revenues*",'7.TIKR_IS'!$A:$K,COLUMN(J3),FALSE),"0")</f>
        <v>59604</v>
      </c>
      <c r="K3" s="24">
        <f>IFERROR(VLOOKUP("Total Revenues*",'7.TIKR_IS'!$A:$K,COLUMN(K3),FALSE),"0")</f>
        <v>60761</v>
      </c>
      <c r="L3" s="25">
        <f t="shared" ref="L3:P3" si="2">IFERROR(K3*(1+L4),"")</f>
        <v>62583.83</v>
      </c>
      <c r="M3" s="26">
        <f t="shared" si="2"/>
        <v>64461.3449</v>
      </c>
      <c r="N3" s="26">
        <f t="shared" si="2"/>
        <v>67039.7987</v>
      </c>
      <c r="O3" s="26">
        <f t="shared" si="2"/>
        <v>69721.39064</v>
      </c>
      <c r="P3" s="27">
        <f t="shared" si="2"/>
        <v>72510.24627</v>
      </c>
      <c r="Q3" s="21"/>
      <c r="R3" s="28" t="s">
        <v>17</v>
      </c>
      <c r="S3" s="29">
        <f>IFERROR(AVERAGE(C4:K4),"")</f>
        <v>0.01600341805</v>
      </c>
      <c r="T3" s="20"/>
      <c r="U3" s="20"/>
      <c r="V3" s="20"/>
      <c r="W3" s="21"/>
      <c r="X3" s="21"/>
      <c r="Y3" s="21"/>
      <c r="Z3" s="21"/>
    </row>
    <row r="4" ht="24.75" customHeight="1">
      <c r="A4" s="30" t="s">
        <v>18</v>
      </c>
      <c r="B4" s="31"/>
      <c r="C4" s="32">
        <f t="shared" ref="C4:K4" si="3">IFERROR((C3-B3)/B3,"")</f>
        <v>-0.01049331731</v>
      </c>
      <c r="D4" s="32">
        <f t="shared" si="3"/>
        <v>0.01900859371</v>
      </c>
      <c r="E4" s="32">
        <f t="shared" si="3"/>
        <v>-0.05087964256</v>
      </c>
      <c r="F4" s="32">
        <f t="shared" si="3"/>
        <v>0.01957553646</v>
      </c>
      <c r="G4" s="32">
        <f t="shared" si="3"/>
        <v>-0.02416313967</v>
      </c>
      <c r="H4" s="32">
        <f t="shared" si="3"/>
        <v>0.03390899771</v>
      </c>
      <c r="I4" s="33">
        <f t="shared" si="3"/>
        <v>0.1454694531</v>
      </c>
      <c r="J4" s="33">
        <f t="shared" si="3"/>
        <v>-0.007807167946</v>
      </c>
      <c r="K4" s="33">
        <f t="shared" si="3"/>
        <v>0.0194114489</v>
      </c>
      <c r="L4" s="34">
        <v>0.03</v>
      </c>
      <c r="M4" s="35">
        <v>0.03</v>
      </c>
      <c r="N4" s="35">
        <v>0.04</v>
      </c>
      <c r="O4" s="36">
        <f t="shared" ref="O4:P4" si="4">N4</f>
        <v>0.04</v>
      </c>
      <c r="P4" s="37">
        <f t="shared" si="4"/>
        <v>0.04</v>
      </c>
      <c r="Q4" s="21"/>
      <c r="R4" s="28" t="s">
        <v>19</v>
      </c>
      <c r="S4" s="38">
        <v>0.19</v>
      </c>
      <c r="T4" s="20"/>
      <c r="U4" s="20"/>
      <c r="V4" s="20"/>
      <c r="W4" s="21"/>
      <c r="X4" s="21"/>
      <c r="Y4" s="21"/>
      <c r="Z4" s="21"/>
    </row>
    <row r="5" ht="24.75" customHeight="1">
      <c r="A5" s="39" t="s">
        <v>20</v>
      </c>
      <c r="B5" s="40">
        <f t="shared" ref="B5:K5" si="5">B9-B8</f>
        <v>8764</v>
      </c>
      <c r="C5" s="41">
        <f t="shared" si="5"/>
        <v>9171</v>
      </c>
      <c r="D5" s="41">
        <f t="shared" si="5"/>
        <v>11429</v>
      </c>
      <c r="E5" s="41">
        <f t="shared" si="5"/>
        <v>11337</v>
      </c>
      <c r="F5" s="41">
        <f t="shared" si="5"/>
        <v>11881</v>
      </c>
      <c r="G5" s="41">
        <f t="shared" si="5"/>
        <v>11376</v>
      </c>
      <c r="H5" s="41">
        <f t="shared" si="5"/>
        <v>11383</v>
      </c>
      <c r="I5" s="41">
        <f t="shared" si="5"/>
        <v>11145</v>
      </c>
      <c r="J5" s="41">
        <f t="shared" si="5"/>
        <v>11459</v>
      </c>
      <c r="K5" s="41">
        <f t="shared" si="5"/>
        <v>12874</v>
      </c>
      <c r="L5" s="42">
        <v>13407.0</v>
      </c>
      <c r="M5" s="43">
        <v>13959.0</v>
      </c>
      <c r="N5" s="43">
        <v>14659.0</v>
      </c>
      <c r="O5" s="43">
        <v>15400.0</v>
      </c>
      <c r="P5" s="44">
        <v>16250.0</v>
      </c>
      <c r="Q5" s="21"/>
      <c r="R5" s="28" t="s">
        <v>21</v>
      </c>
      <c r="S5" s="38">
        <v>0.24</v>
      </c>
      <c r="T5" s="20"/>
      <c r="U5" s="20"/>
      <c r="V5" s="20"/>
      <c r="W5" s="21"/>
      <c r="X5" s="21"/>
      <c r="Y5" s="21"/>
      <c r="Z5" s="21"/>
    </row>
    <row r="6" ht="24.75" customHeight="1">
      <c r="A6" s="30" t="s">
        <v>22</v>
      </c>
      <c r="B6" s="31">
        <f t="shared" ref="B6:K6" si="6">IFERROR((B5/B3),"")</f>
        <v>0.1645141913</v>
      </c>
      <c r="C6" s="32">
        <f t="shared" si="6"/>
        <v>0.1739798532</v>
      </c>
      <c r="D6" s="32">
        <f t="shared" si="6"/>
        <v>0.2127711068</v>
      </c>
      <c r="E6" s="32">
        <f t="shared" si="6"/>
        <v>0.2223726021</v>
      </c>
      <c r="F6" s="32">
        <f t="shared" si="6"/>
        <v>0.2285686803</v>
      </c>
      <c r="G6" s="32">
        <f t="shared" si="6"/>
        <v>0.2242725337</v>
      </c>
      <c r="H6" s="32">
        <f t="shared" si="6"/>
        <v>0.2170505682</v>
      </c>
      <c r="I6" s="33">
        <f t="shared" si="6"/>
        <v>0.1855242788</v>
      </c>
      <c r="J6" s="33">
        <f t="shared" si="6"/>
        <v>0.1922521978</v>
      </c>
      <c r="K6" s="33">
        <f t="shared" si="6"/>
        <v>0.2118793305</v>
      </c>
      <c r="L6" s="45">
        <f t="shared" ref="L6:P6" si="7">IFERROR(L5/L3,"")</f>
        <v>0.2142246647</v>
      </c>
      <c r="M6" s="33">
        <f t="shared" si="7"/>
        <v>0.2165483829</v>
      </c>
      <c r="N6" s="33">
        <f t="shared" si="7"/>
        <v>0.2186611578</v>
      </c>
      <c r="O6" s="33">
        <f t="shared" si="7"/>
        <v>0.2208791285</v>
      </c>
      <c r="P6" s="46">
        <f t="shared" si="7"/>
        <v>0.2241062586</v>
      </c>
      <c r="Q6" s="21"/>
      <c r="R6" s="47" t="s">
        <v>23</v>
      </c>
      <c r="S6" s="48">
        <v>-0.013</v>
      </c>
      <c r="T6" s="20"/>
      <c r="U6" s="20"/>
      <c r="V6" s="20"/>
      <c r="W6" s="21"/>
      <c r="X6" s="21"/>
      <c r="Y6" s="21"/>
      <c r="Z6" s="21"/>
    </row>
    <row r="7" ht="24.75" customHeight="1">
      <c r="A7" s="30" t="s">
        <v>18</v>
      </c>
      <c r="B7" s="31"/>
      <c r="C7" s="32">
        <f t="shared" ref="C7:P7" si="8">IFERROR((C5-B5)/B5,"")</f>
        <v>0.04643998174</v>
      </c>
      <c r="D7" s="32">
        <f t="shared" si="8"/>
        <v>0.2462108821</v>
      </c>
      <c r="E7" s="32">
        <f t="shared" si="8"/>
        <v>-0.008049698136</v>
      </c>
      <c r="F7" s="32">
        <f t="shared" si="8"/>
        <v>0.04798447561</v>
      </c>
      <c r="G7" s="32">
        <f t="shared" si="8"/>
        <v>-0.04250483966</v>
      </c>
      <c r="H7" s="32">
        <f t="shared" si="8"/>
        <v>0.0006153305204</v>
      </c>
      <c r="I7" s="32">
        <f t="shared" si="8"/>
        <v>-0.02090837213</v>
      </c>
      <c r="J7" s="32">
        <f t="shared" si="8"/>
        <v>0.02817406909</v>
      </c>
      <c r="K7" s="32">
        <f t="shared" si="8"/>
        <v>0.1234837246</v>
      </c>
      <c r="L7" s="31">
        <f t="shared" si="8"/>
        <v>0.04140127389</v>
      </c>
      <c r="M7" s="32">
        <f t="shared" si="8"/>
        <v>0.04117252182</v>
      </c>
      <c r="N7" s="32">
        <f t="shared" si="8"/>
        <v>0.05014685866</v>
      </c>
      <c r="O7" s="32">
        <f t="shared" si="8"/>
        <v>0.05054915069</v>
      </c>
      <c r="P7" s="49">
        <f t="shared" si="8"/>
        <v>0.05519480519</v>
      </c>
      <c r="Q7" s="21"/>
      <c r="R7" s="21"/>
      <c r="S7" s="50"/>
      <c r="T7" s="20"/>
      <c r="U7" s="20"/>
      <c r="V7" s="20"/>
      <c r="W7" s="21"/>
      <c r="X7" s="21"/>
      <c r="Y7" s="21"/>
      <c r="Z7" s="21"/>
    </row>
    <row r="8" ht="24.75" customHeight="1">
      <c r="A8" s="51" t="s">
        <v>24</v>
      </c>
      <c r="B8" s="52">
        <f>IFERROR(__xludf.DUMMYFUNCTION("IFERROR(-VLOOKUP(""Depreciation*"",'9.TIKR_CF'!$A:$K,COLUMN(B8),FALSE)-IFERROR(VLOOKUP(""Amortization of Goodwill and Intangible Assets*"",'9.TIKR_CF'!$A:$K,COLUMN(B8),FALSE),""0""),""0"")"),-1370.0)</f>
        <v>-1370</v>
      </c>
      <c r="C8" s="53">
        <f>IFERROR(__xludf.DUMMYFUNCTION("IFERROR(-VLOOKUP(""Depreciation*"",'9.TIKR_CF'!$A:$K,COLUMN(C8),FALSE)-IFERROR(VLOOKUP(""Amortization of Goodwill and Intangible Assets*"",'9.TIKR_CF'!$A:$K,COLUMN(C8),FALSE),""0""),""0"")"),-1464.0)</f>
        <v>-1464</v>
      </c>
      <c r="D8" s="53">
        <f>IFERROR(__xludf.DUMMYFUNCTION("IFERROR(-VLOOKUP(""Depreciation*"",'9.TIKR_CF'!$A:$K,COLUMN(D8),FALSE)-IFERROR(VLOOKUP(""Amortization of Goodwill and Intangible Assets*"",'9.TIKR_CF'!$A:$K,COLUMN(D8),FALSE),""0""),""0"")"),-2025.0)</f>
        <v>-2025</v>
      </c>
      <c r="E8" s="53">
        <f>IFERROR(__xludf.DUMMYFUNCTION("IFERROR(-VLOOKUP(""Depreciation*"",'9.TIKR_CF'!$A:$K,COLUMN(E8),FALSE)-IFERROR(VLOOKUP(""Amortization of Goodwill and Intangible Assets*"",'9.TIKR_CF'!$A:$K,COLUMN(E8),FALSE),""0""),""0"")"),-2008.0)</f>
        <v>-2008</v>
      </c>
      <c r="F8" s="53">
        <f>IFERROR(__xludf.DUMMYFUNCTION("IFERROR(-VLOOKUP(""Depreciation*"",'9.TIKR_CF'!$A:$K,COLUMN(F8),FALSE)-IFERROR(VLOOKUP(""Amortization of Goodwill and Intangible Assets*"",'9.TIKR_CF'!$A:$K,COLUMN(F8),FALSE),""0""),""0"")"),-1964.0)</f>
        <v>-1964</v>
      </c>
      <c r="G8" s="53">
        <f>IFERROR(__xludf.DUMMYFUNCTION("IFERROR(-VLOOKUP(""Depreciation*"",'9.TIKR_CF'!$A:$K,COLUMN(G8),FALSE)-IFERROR(VLOOKUP(""Amortization of Goodwill and Intangible Assets*"",'9.TIKR_CF'!$A:$K,COLUMN(G8),FALSE),""0""),""0"")"),-2018.0)</f>
        <v>-2018</v>
      </c>
      <c r="H8" s="53">
        <f>IFERROR(__xludf.DUMMYFUNCTION("IFERROR(-VLOOKUP(""Depreciation*"",'9.TIKR_CF'!$A:$K,COLUMN(H8),FALSE)-IFERROR(VLOOKUP(""Amortization of Goodwill and Intangible Assets*"",'9.TIKR_CF'!$A:$K,COLUMN(H8),FALSE),""0""),""0"")"),-1746.0)</f>
        <v>-1746</v>
      </c>
      <c r="I8" s="53">
        <f>IFERROR(__xludf.DUMMYFUNCTION("IFERROR(-VLOOKUP(""Depreciation*"",'9.TIKR_CF'!$A:$K,COLUMN(I8),FALSE)-IFERROR(VLOOKUP(""Amortization of Goodwill and Intangible Assets*"",'9.TIKR_CF'!$A:$K,COLUMN(I8),FALSE),""0""),""0"")"),-1509.0)</f>
        <v>-1509</v>
      </c>
      <c r="J8" s="53">
        <f>IFERROR(__xludf.DUMMYFUNCTION("IFERROR(-VLOOKUP(""Depreciation*"",'9.TIKR_CF'!$A:$K,COLUMN(J8),FALSE)-IFERROR(VLOOKUP(""Amortization of Goodwill and Intangible Assets*"",'9.TIKR_CF'!$A:$K,COLUMN(J8),FALSE),""0""),""0"")"),-1391.0)</f>
        <v>-1391</v>
      </c>
      <c r="K8" s="53">
        <f>IFERROR(__xludf.DUMMYFUNCTION("IFERROR(-VLOOKUP(""Depreciation*"",'9.TIKR_CF'!$A:$K,COLUMN(K8),FALSE)-IFERROR(VLOOKUP(""Amortization of Goodwill and Intangible Assets*"",'9.TIKR_CF'!$A:$K,COLUMN(K8),FALSE),""0""),""0"")"),-1624.0)</f>
        <v>-1624</v>
      </c>
      <c r="L8" s="54">
        <f t="shared" ref="L8:P8" si="9">IFERROR(K8*(1+L4),"")</f>
        <v>-1672.72</v>
      </c>
      <c r="M8" s="55">
        <f t="shared" si="9"/>
        <v>-1722.9016</v>
      </c>
      <c r="N8" s="55">
        <f t="shared" si="9"/>
        <v>-1791.817664</v>
      </c>
      <c r="O8" s="55">
        <f t="shared" si="9"/>
        <v>-1863.490371</v>
      </c>
      <c r="P8" s="56">
        <f t="shared" si="9"/>
        <v>-1938.029985</v>
      </c>
      <c r="Q8" s="21"/>
      <c r="R8" s="21"/>
      <c r="S8" s="57"/>
      <c r="T8" s="20"/>
      <c r="U8" s="20"/>
      <c r="V8" s="20"/>
      <c r="W8" s="21"/>
      <c r="X8" s="21"/>
      <c r="Y8" s="21"/>
      <c r="Z8" s="21"/>
    </row>
    <row r="9" ht="24.75" customHeight="1">
      <c r="A9" s="22" t="s">
        <v>25</v>
      </c>
      <c r="B9" s="58">
        <f>IFERROR(VLOOKUP("Operating Income*",'7.TIKR_IS'!$A:$K,COLUMN(B2),FALSE),"0")</f>
        <v>7394</v>
      </c>
      <c r="C9" s="59">
        <f>IFERROR(VLOOKUP("Operating Income*",'7.TIKR_IS'!$A:$K,COLUMN(C2),FALSE),"0")</f>
        <v>7707</v>
      </c>
      <c r="D9" s="59">
        <f>IFERROR(VLOOKUP("Operating Income*",'7.TIKR_IS'!$A:$K,COLUMN(D2),FALSE),"0")</f>
        <v>9404</v>
      </c>
      <c r="E9" s="59">
        <f>IFERROR(VLOOKUP("Operating Income*",'7.TIKR_IS'!$A:$K,COLUMN(E2),FALSE),"0")</f>
        <v>9329</v>
      </c>
      <c r="F9" s="59">
        <f>IFERROR(VLOOKUP("Operating Income*",'7.TIKR_IS'!$A:$K,COLUMN(F2),FALSE),"0")</f>
        <v>9917</v>
      </c>
      <c r="G9" s="59">
        <f>IFERROR(VLOOKUP("Operating Income*",'7.TIKR_IS'!$A:$K,COLUMN(G2),FALSE),"0")</f>
        <v>9358</v>
      </c>
      <c r="H9" s="59">
        <f>IFERROR(VLOOKUP("Operating Income*",'7.TIKR_IS'!$A:$K,COLUMN(H2),FALSE),"0")</f>
        <v>9637</v>
      </c>
      <c r="I9" s="59">
        <f>IFERROR(VLOOKUP("Operating Income*",'7.TIKR_IS'!$A:$K,COLUMN(I2),FALSE),"0")</f>
        <v>9636</v>
      </c>
      <c r="J9" s="59">
        <f>IFERROR(VLOOKUP("Operating Income*",'7.TIKR_IS'!$A:$K,COLUMN(J2),FALSE),"0")</f>
        <v>10068</v>
      </c>
      <c r="K9" s="59">
        <f>IFERROR(VLOOKUP("Operating Income*",'7.TIKR_IS'!$A:$K,COLUMN(K2),FALSE),"0")</f>
        <v>11250</v>
      </c>
      <c r="L9" s="40">
        <f t="shared" ref="L9:P9" si="10">IFERROR(L3*L10,"")</f>
        <v>11890.9277</v>
      </c>
      <c r="M9" s="41">
        <f t="shared" si="10"/>
        <v>12247.65553</v>
      </c>
      <c r="N9" s="41">
        <f t="shared" si="10"/>
        <v>12737.56175</v>
      </c>
      <c r="O9" s="41">
        <f t="shared" si="10"/>
        <v>13247.06422</v>
      </c>
      <c r="P9" s="60">
        <f t="shared" si="10"/>
        <v>13776.94679</v>
      </c>
      <c r="Q9" s="21"/>
      <c r="R9" s="21"/>
      <c r="S9" s="61"/>
      <c r="T9" s="20"/>
      <c r="U9" s="20"/>
      <c r="V9" s="20"/>
      <c r="W9" s="21"/>
      <c r="X9" s="21"/>
      <c r="Y9" s="21"/>
      <c r="Z9" s="21"/>
    </row>
    <row r="10" ht="24.75" customHeight="1">
      <c r="A10" s="30" t="s">
        <v>26</v>
      </c>
      <c r="B10" s="31">
        <f t="shared" ref="B10:K10" si="11">IFERROR((B9/B3),"")</f>
        <v>0.1387971167</v>
      </c>
      <c r="C10" s="32">
        <f t="shared" si="11"/>
        <v>0.1462068181</v>
      </c>
      <c r="D10" s="32">
        <f t="shared" si="11"/>
        <v>0.17507214</v>
      </c>
      <c r="E10" s="32">
        <f t="shared" si="11"/>
        <v>0.182986152</v>
      </c>
      <c r="F10" s="32">
        <f t="shared" si="11"/>
        <v>0.1907849173</v>
      </c>
      <c r="G10" s="32">
        <f t="shared" si="11"/>
        <v>0.184488605</v>
      </c>
      <c r="H10" s="32">
        <f t="shared" si="11"/>
        <v>0.1837579132</v>
      </c>
      <c r="I10" s="33">
        <f t="shared" si="11"/>
        <v>0.1604048408</v>
      </c>
      <c r="J10" s="33">
        <f t="shared" si="11"/>
        <v>0.1689148379</v>
      </c>
      <c r="K10" s="33">
        <f t="shared" si="11"/>
        <v>0.1851516598</v>
      </c>
      <c r="L10" s="62">
        <f>S4</f>
        <v>0.19</v>
      </c>
      <c r="M10" s="36">
        <f t="shared" ref="M10:P10" si="12">L10</f>
        <v>0.19</v>
      </c>
      <c r="N10" s="36">
        <f t="shared" si="12"/>
        <v>0.19</v>
      </c>
      <c r="O10" s="36">
        <f t="shared" si="12"/>
        <v>0.19</v>
      </c>
      <c r="P10" s="37">
        <f t="shared" si="12"/>
        <v>0.19</v>
      </c>
      <c r="Q10" s="63"/>
      <c r="R10" s="21"/>
      <c r="S10" s="64"/>
      <c r="T10" s="20"/>
      <c r="U10" s="20"/>
      <c r="V10" s="20"/>
      <c r="W10" s="21"/>
      <c r="X10" s="21"/>
      <c r="Y10" s="21"/>
      <c r="Z10" s="21"/>
    </row>
    <row r="11" ht="24.75" customHeight="1">
      <c r="A11" s="30" t="s">
        <v>18</v>
      </c>
      <c r="B11" s="31"/>
      <c r="C11" s="32">
        <f t="shared" ref="C11:P11" si="13">IFERROR((C9-B9)/B9,"")</f>
        <v>0.04233162023</v>
      </c>
      <c r="D11" s="32">
        <f t="shared" si="13"/>
        <v>0.2201894382</v>
      </c>
      <c r="E11" s="32">
        <f t="shared" si="13"/>
        <v>-0.007975329647</v>
      </c>
      <c r="F11" s="32">
        <f t="shared" si="13"/>
        <v>0.06302926359</v>
      </c>
      <c r="G11" s="32">
        <f t="shared" si="13"/>
        <v>-0.05636785318</v>
      </c>
      <c r="H11" s="32">
        <f t="shared" si="13"/>
        <v>0.02981406283</v>
      </c>
      <c r="I11" s="32">
        <f t="shared" si="13"/>
        <v>-0.0001037667324</v>
      </c>
      <c r="J11" s="32">
        <f t="shared" si="13"/>
        <v>0.04483188045</v>
      </c>
      <c r="K11" s="32">
        <f t="shared" si="13"/>
        <v>0.1174016687</v>
      </c>
      <c r="L11" s="31">
        <f t="shared" si="13"/>
        <v>0.05697135111</v>
      </c>
      <c r="M11" s="32">
        <f t="shared" si="13"/>
        <v>0.03</v>
      </c>
      <c r="N11" s="32">
        <f t="shared" si="13"/>
        <v>0.04</v>
      </c>
      <c r="O11" s="32">
        <f t="shared" si="13"/>
        <v>0.04</v>
      </c>
      <c r="P11" s="49">
        <f t="shared" si="13"/>
        <v>0.04</v>
      </c>
      <c r="Q11" s="21"/>
      <c r="R11" s="21"/>
      <c r="S11" s="64"/>
      <c r="T11" s="20"/>
      <c r="U11" s="20"/>
      <c r="V11" s="20"/>
      <c r="W11" s="21"/>
      <c r="X11" s="21"/>
      <c r="Y11" s="21"/>
      <c r="Z11" s="21"/>
    </row>
    <row r="12" ht="24.75" customHeight="1">
      <c r="A12" s="51" t="s">
        <v>27</v>
      </c>
      <c r="B12" s="52">
        <f>IFERROR(VLOOKUP("Interest Expense*",'7.TIKR_IS'!$A:$K,COLUMN(B12),FALSE),"0")</f>
        <v>-552</v>
      </c>
      <c r="C12" s="53">
        <f>IFERROR(VLOOKUP("Interest Expense*",'7.TIKR_IS'!$A:$K,COLUMN(C12),FALSE),"0")</f>
        <v>-572</v>
      </c>
      <c r="D12" s="53">
        <f>IFERROR(VLOOKUP("Interest Expense*",'7.TIKR_IS'!$A:$K,COLUMN(D12),FALSE),"0")</f>
        <v>-696</v>
      </c>
      <c r="E12" s="53">
        <f>IFERROR(VLOOKUP("Interest Expense*",'7.TIKR_IS'!$A:$K,COLUMN(E12),FALSE),"0")</f>
        <v>-731</v>
      </c>
      <c r="F12" s="53">
        <f>IFERROR(VLOOKUP("Interest Expense*",'7.TIKR_IS'!$A:$K,COLUMN(F12),FALSE),"0")</f>
        <v>-763</v>
      </c>
      <c r="G12" s="53">
        <f>IFERROR(VLOOKUP("Interest Expense*",'7.TIKR_IS'!$A:$K,COLUMN(G12),FALSE),"0")</f>
        <v>-703</v>
      </c>
      <c r="H12" s="53">
        <f>IFERROR(VLOOKUP("Interest Expense*",'7.TIKR_IS'!$A:$K,COLUMN(H12),FALSE),"0")</f>
        <v>-498</v>
      </c>
      <c r="I12" s="53">
        <f>IFERROR(VLOOKUP("Interest Expense*",'7.TIKR_IS'!$A:$K,COLUMN(I12),FALSE),"0")</f>
        <v>-789</v>
      </c>
      <c r="J12" s="53">
        <f>IFERROR(VLOOKUP("Interest Expense*",'7.TIKR_IS'!$A:$K,COLUMN(J12),FALSE),"0")</f>
        <v>-1075</v>
      </c>
      <c r="K12" s="53">
        <f>IFERROR(VLOOKUP("Interest Expense*",'7.TIKR_IS'!$A:$K,COLUMN(K12),FALSE),"0")</f>
        <v>-1113</v>
      </c>
      <c r="L12" s="54">
        <f>IFERROR(__xludf.DUMMYFUNCTION("IFERROR(-'TIKR_Cálculos'!$B$27*SUM('3.ROIC'!L6:L7),"""")"),-821.3248225873829)</f>
        <v>-821.3248226</v>
      </c>
      <c r="M12" s="55">
        <f>IFERROR(__xludf.DUMMYFUNCTION("IFERROR(-'TIKR_Cálculos'!$B$27*SUM('3.ROIC'!M6:M7),"""")"),-855.1408367641737)</f>
        <v>-855.1408368</v>
      </c>
      <c r="N12" s="55">
        <f>IFERROR(__xludf.DUMMYFUNCTION("IFERROR(-'TIKR_Cálculos'!$B$27*SUM('3.ROIC'!N6:N7),"""")"),-898.0234634376405)</f>
        <v>-898.0234634</v>
      </c>
      <c r="O12" s="55">
        <f>IFERROR(__xludf.DUMMYFUNCTION("IFERROR(-'TIKR_Cálculos'!$B$27*SUM('3.ROIC'!O6:O7),"""")"),-943.4177868162675)</f>
        <v>-943.4177868</v>
      </c>
      <c r="P12" s="56">
        <f>IFERROR(__xludf.DUMMYFUNCTION("IFERROR(-'TIKR_Cálculos'!$B$27*SUM('3.ROIC'!P6:P7),"""")"),-995.4895477769055)</f>
        <v>-995.4895478</v>
      </c>
      <c r="Q12" s="21"/>
      <c r="R12" s="21"/>
      <c r="S12" s="64"/>
      <c r="T12" s="20"/>
      <c r="U12" s="20"/>
      <c r="V12" s="20"/>
      <c r="W12" s="21"/>
      <c r="X12" s="21"/>
      <c r="Y12" s="21"/>
      <c r="Z12" s="21"/>
    </row>
    <row r="13" ht="24.75" customHeight="1">
      <c r="A13" s="51" t="s">
        <v>28</v>
      </c>
      <c r="B13" s="52">
        <f>IFERROR(VLOOKUP("Interest And Investment Income*",'7.TIKR_IS'!$A:$K,COLUMN(B13),FALSE),"0")</f>
        <v>235</v>
      </c>
      <c r="C13" s="53">
        <f>IFERROR(VLOOKUP("Interest And Investment Income*",'7.TIKR_IS'!$A:$K,COLUMN(C13),FALSE),"0")</f>
        <v>219</v>
      </c>
      <c r="D13" s="53">
        <f>IFERROR(VLOOKUP("Interest And Investment Income*",'7.TIKR_IS'!$A:$K,COLUMN(D13),FALSE),"0")</f>
        <v>175</v>
      </c>
      <c r="E13" s="53">
        <f>IFERROR(VLOOKUP("Interest And Investment Income*",'7.TIKR_IS'!$A:$K,COLUMN(E13),FALSE),"0")</f>
        <v>157</v>
      </c>
      <c r="F13" s="53">
        <f>IFERROR(VLOOKUP("Interest And Investment Income*",'7.TIKR_IS'!$A:$K,COLUMN(F13),FALSE),"0")</f>
        <v>224</v>
      </c>
      <c r="G13" s="53">
        <f>IFERROR(VLOOKUP("Interest And Investment Income*",'7.TIKR_IS'!$A:$K,COLUMN(G13),FALSE),"0")</f>
        <v>235</v>
      </c>
      <c r="H13" s="53">
        <f>IFERROR(VLOOKUP("Interest And Investment Income*",'7.TIKR_IS'!$A:$K,COLUMN(H13),FALSE),"0")</f>
        <v>238</v>
      </c>
      <c r="I13" s="53">
        <f>IFERROR(VLOOKUP("Interest And Investment Income*",'7.TIKR_IS'!$A:$K,COLUMN(I13),FALSE),"0")</f>
        <v>305</v>
      </c>
      <c r="J13" s="53">
        <f>IFERROR(VLOOKUP("Interest And Investment Income*",'7.TIKR_IS'!$A:$K,COLUMN(J13),FALSE),"0")</f>
        <v>442</v>
      </c>
      <c r="K13" s="53">
        <f>IFERROR(VLOOKUP("Interest And Investment Income*",'7.TIKR_IS'!$A:$K,COLUMN(K13),FALSE),"0")</f>
        <v>451</v>
      </c>
      <c r="L13" s="54">
        <f>IFERROR('TIKR_Cálculos'!$B$26*'3.ROIC'!L5,"")</f>
        <v>165.6659873</v>
      </c>
      <c r="M13" s="55">
        <f>IFERROR('TIKR_Cálculos'!$B$26*'3.ROIC'!M5,"")</f>
        <v>170.6359669</v>
      </c>
      <c r="N13" s="55">
        <f>IFERROR('TIKR_Cálculos'!$B$26*'3.ROIC'!N5,"")</f>
        <v>177.4614056</v>
      </c>
      <c r="O13" s="55">
        <f>IFERROR('TIKR_Cálculos'!$B$26*'3.ROIC'!O5,"")</f>
        <v>184.5598618</v>
      </c>
      <c r="P13" s="56">
        <f>IFERROR('TIKR_Cálculos'!$B$26*'3.ROIC'!P5,"")</f>
        <v>191.9422563</v>
      </c>
      <c r="Q13" s="21"/>
      <c r="R13" s="65" t="s">
        <v>29</v>
      </c>
      <c r="S13" s="61"/>
      <c r="T13" s="20"/>
      <c r="U13" s="20"/>
      <c r="V13" s="20"/>
      <c r="W13" s="21"/>
      <c r="X13" s="21"/>
      <c r="Y13" s="21"/>
      <c r="Z13" s="21"/>
    </row>
    <row r="14" ht="24.75" customHeight="1">
      <c r="A14" s="30" t="s">
        <v>30</v>
      </c>
      <c r="B14" s="54">
        <f t="shared" ref="B14:K14" si="14">B12+B13</f>
        <v>-317</v>
      </c>
      <c r="C14" s="55">
        <f t="shared" si="14"/>
        <v>-353</v>
      </c>
      <c r="D14" s="55">
        <f t="shared" si="14"/>
        <v>-521</v>
      </c>
      <c r="E14" s="55">
        <f t="shared" si="14"/>
        <v>-574</v>
      </c>
      <c r="F14" s="55">
        <f t="shared" si="14"/>
        <v>-539</v>
      </c>
      <c r="G14" s="55">
        <f t="shared" si="14"/>
        <v>-468</v>
      </c>
      <c r="H14" s="55">
        <f t="shared" si="14"/>
        <v>-260</v>
      </c>
      <c r="I14" s="55">
        <f t="shared" si="14"/>
        <v>-484</v>
      </c>
      <c r="J14" s="55">
        <f t="shared" si="14"/>
        <v>-633</v>
      </c>
      <c r="K14" s="55">
        <f t="shared" si="14"/>
        <v>-662</v>
      </c>
      <c r="L14" s="54">
        <f t="shared" ref="L14:P14" si="15">IFERROR(SUM(L12:L13),"")</f>
        <v>-655.6588353</v>
      </c>
      <c r="M14" s="55">
        <f t="shared" si="15"/>
        <v>-684.5048698</v>
      </c>
      <c r="N14" s="55">
        <f t="shared" si="15"/>
        <v>-720.5620578</v>
      </c>
      <c r="O14" s="55">
        <f t="shared" si="15"/>
        <v>-758.857925</v>
      </c>
      <c r="P14" s="56">
        <f t="shared" si="15"/>
        <v>-803.5472915</v>
      </c>
      <c r="Q14" s="21"/>
      <c r="S14" s="61"/>
      <c r="T14" s="20"/>
      <c r="U14" s="20"/>
      <c r="V14" s="20"/>
      <c r="W14" s="21"/>
      <c r="X14" s="21"/>
      <c r="Y14" s="21"/>
      <c r="Z14" s="21"/>
    </row>
    <row r="15" ht="24.75" customHeight="1">
      <c r="A15" s="30" t="s">
        <v>31</v>
      </c>
      <c r="B15" s="54">
        <f t="shared" ref="B15:P15" si="16">IFERROR(B9+B14,"")</f>
        <v>7077</v>
      </c>
      <c r="C15" s="55">
        <f t="shared" si="16"/>
        <v>7354</v>
      </c>
      <c r="D15" s="55">
        <f t="shared" si="16"/>
        <v>8883</v>
      </c>
      <c r="E15" s="55">
        <f t="shared" si="16"/>
        <v>8755</v>
      </c>
      <c r="F15" s="55">
        <f t="shared" si="16"/>
        <v>9378</v>
      </c>
      <c r="G15" s="55">
        <f t="shared" si="16"/>
        <v>8890</v>
      </c>
      <c r="H15" s="55">
        <f t="shared" si="16"/>
        <v>9377</v>
      </c>
      <c r="I15" s="55">
        <f t="shared" si="16"/>
        <v>9152</v>
      </c>
      <c r="J15" s="55">
        <f t="shared" si="16"/>
        <v>9435</v>
      </c>
      <c r="K15" s="55">
        <f t="shared" si="16"/>
        <v>10588</v>
      </c>
      <c r="L15" s="54">
        <f t="shared" si="16"/>
        <v>11235.26886</v>
      </c>
      <c r="M15" s="55">
        <f t="shared" si="16"/>
        <v>11563.15066</v>
      </c>
      <c r="N15" s="55">
        <f t="shared" si="16"/>
        <v>12016.99969</v>
      </c>
      <c r="O15" s="55">
        <f t="shared" si="16"/>
        <v>12488.2063</v>
      </c>
      <c r="P15" s="56">
        <f t="shared" si="16"/>
        <v>12973.3995</v>
      </c>
      <c r="Q15" s="21"/>
      <c r="S15" s="61"/>
      <c r="T15" s="20"/>
      <c r="U15" s="20"/>
      <c r="V15" s="20"/>
      <c r="W15" s="21"/>
      <c r="X15" s="21"/>
      <c r="Y15" s="21"/>
      <c r="Z15" s="21"/>
    </row>
    <row r="16" ht="24.75" customHeight="1">
      <c r="A16" s="51" t="s">
        <v>32</v>
      </c>
      <c r="B16" s="52">
        <f>IFERROR(VLOOKUP("Income Tax Expense*",'7.TIKR_IS'!$A:$K,COLUMN(B16),FALSE),"0")</f>
        <v>-1961</v>
      </c>
      <c r="C16" s="53">
        <f>IFERROR(VLOOKUP("Income Tax Expense*",'7.TIKR_IS'!$A:$K,COLUMN(C16),FALSE),"0")</f>
        <v>-1922</v>
      </c>
      <c r="D16" s="53">
        <f>IFERROR(VLOOKUP("Income Tax Expense*",'7.TIKR_IS'!$A:$K,COLUMN(D16),FALSE),"0")</f>
        <v>-1670</v>
      </c>
      <c r="E16" s="53">
        <f>IFERROR(VLOOKUP("Income Tax Expense*",'7.TIKR_IS'!$A:$K,COLUMN(E16),FALSE),"0")</f>
        <v>-2572</v>
      </c>
      <c r="F16" s="53">
        <f>IFERROR(VLOOKUP("Income Tax Expense*",'7.TIKR_IS'!$A:$K,COLUMN(F16),FALSE),"0")</f>
        <v>-2263</v>
      </c>
      <c r="G16" s="53">
        <f>IFERROR(VLOOKUP("Income Tax Expense*",'7.TIKR_IS'!$A:$K,COLUMN(G16),FALSE),"0")</f>
        <v>-1923</v>
      </c>
      <c r="H16" s="53">
        <f>IFERROR(VLOOKUP("Income Tax Expense*",'7.TIKR_IS'!$A:$K,COLUMN(H16),FALSE),"0")</f>
        <v>-1935</v>
      </c>
      <c r="I16" s="53">
        <f>IFERROR(VLOOKUP("Income Tax Expense*",'7.TIKR_IS'!$A:$K,COLUMN(I16),FALSE),"0")</f>
        <v>-2068</v>
      </c>
      <c r="J16" s="53">
        <f>IFERROR(VLOOKUP("Income Tax Expense*",'7.TIKR_IS'!$A:$K,COLUMN(J16),FALSE),"0")</f>
        <v>-2199</v>
      </c>
      <c r="K16" s="53">
        <f>IFERROR(VLOOKUP("Income Tax Expense*",'7.TIKR_IS'!$A:$K,COLUMN(K16),FALSE),"0")</f>
        <v>-2500</v>
      </c>
      <c r="L16" s="54">
        <f>IFERROR(__xludf.DUMMYFUNCTION("IFERROR(-L15*L17,"""")"),-2696.4645275355306)</f>
        <v>-2696.464528</v>
      </c>
      <c r="M16" s="55">
        <f>IFERROR(__xludf.DUMMYFUNCTION("IFERROR(-M15*M17,"""")"),-2775.1561586817957)</f>
        <v>-2775.156159</v>
      </c>
      <c r="N16" s="55">
        <f>IFERROR(__xludf.DUMMYFUNCTION("IFERROR(-N15*N17,"""")"),-2884.0799266603717)</f>
        <v>-2884.079927</v>
      </c>
      <c r="O16" s="55">
        <f>IFERROR(__xludf.DUMMYFUNCTION("IFERROR(-O15*O17,"""")"),-2997.169511364918)</f>
        <v>-2997.169511</v>
      </c>
      <c r="P16" s="56">
        <f>IFERROR(__xludf.DUMMYFUNCTION("IFERROR(-P15*P17,"""")"),-3113.615879942398)</f>
        <v>-3113.61588</v>
      </c>
      <c r="Q16" s="21"/>
      <c r="R16" s="17"/>
      <c r="S16" s="61"/>
      <c r="T16" s="20"/>
      <c r="U16" s="20"/>
      <c r="V16" s="20"/>
      <c r="W16" s="21"/>
      <c r="X16" s="21"/>
      <c r="Y16" s="21"/>
      <c r="Z16" s="21"/>
    </row>
    <row r="17" ht="24.75" customHeight="1">
      <c r="A17" s="30" t="s">
        <v>33</v>
      </c>
      <c r="B17" s="31">
        <f t="shared" ref="B17:K17" si="17">IFERROR((ABS(B16)/B15),"")</f>
        <v>0.2770948142</v>
      </c>
      <c r="C17" s="32">
        <f t="shared" si="17"/>
        <v>0.261354365</v>
      </c>
      <c r="D17" s="32">
        <f t="shared" si="17"/>
        <v>0.1879995497</v>
      </c>
      <c r="E17" s="32">
        <f t="shared" si="17"/>
        <v>0.2937749857</v>
      </c>
      <c r="F17" s="32">
        <f t="shared" si="17"/>
        <v>0.2413094476</v>
      </c>
      <c r="G17" s="32">
        <f t="shared" si="17"/>
        <v>0.2163104612</v>
      </c>
      <c r="H17" s="32">
        <f t="shared" si="17"/>
        <v>0.2063559774</v>
      </c>
      <c r="I17" s="33">
        <f t="shared" si="17"/>
        <v>0.2259615385</v>
      </c>
      <c r="J17" s="33">
        <f t="shared" si="17"/>
        <v>0.2330683625</v>
      </c>
      <c r="K17" s="33">
        <f t="shared" si="17"/>
        <v>0.2361163581</v>
      </c>
      <c r="L17" s="62">
        <f>S5</f>
        <v>0.24</v>
      </c>
      <c r="M17" s="36">
        <f t="shared" ref="M17:P17" si="18">L17</f>
        <v>0.24</v>
      </c>
      <c r="N17" s="36">
        <f t="shared" si="18"/>
        <v>0.24</v>
      </c>
      <c r="O17" s="36">
        <f t="shared" si="18"/>
        <v>0.24</v>
      </c>
      <c r="P17" s="37">
        <f t="shared" si="18"/>
        <v>0.24</v>
      </c>
      <c r="Q17" s="21"/>
      <c r="R17" s="21"/>
      <c r="S17" s="57"/>
      <c r="T17" s="20"/>
      <c r="U17" s="20"/>
      <c r="V17" s="20"/>
      <c r="W17" s="21"/>
      <c r="X17" s="21"/>
      <c r="Y17" s="21"/>
      <c r="Z17" s="21"/>
    </row>
    <row r="18" ht="24.75" customHeight="1">
      <c r="A18" s="30" t="s">
        <v>34</v>
      </c>
      <c r="B18" s="54">
        <f t="shared" ref="B18:K18" si="19">B15+B16</f>
        <v>5116</v>
      </c>
      <c r="C18" s="55">
        <f t="shared" si="19"/>
        <v>5432</v>
      </c>
      <c r="D18" s="55">
        <f t="shared" si="19"/>
        <v>7213</v>
      </c>
      <c r="E18" s="55">
        <f t="shared" si="19"/>
        <v>6183</v>
      </c>
      <c r="F18" s="55">
        <f t="shared" si="19"/>
        <v>7115</v>
      </c>
      <c r="G18" s="55">
        <f t="shared" si="19"/>
        <v>6967</v>
      </c>
      <c r="H18" s="55">
        <f t="shared" si="19"/>
        <v>7442</v>
      </c>
      <c r="I18" s="55">
        <f t="shared" si="19"/>
        <v>7084</v>
      </c>
      <c r="J18" s="55">
        <f t="shared" si="19"/>
        <v>7236</v>
      </c>
      <c r="K18" s="55">
        <f t="shared" si="19"/>
        <v>8088</v>
      </c>
      <c r="L18" s="54">
        <f t="shared" ref="L18:P18" si="20">IFERROR(L15+L16,"")</f>
        <v>8538.804337</v>
      </c>
      <c r="M18" s="55">
        <f t="shared" si="20"/>
        <v>8787.994502</v>
      </c>
      <c r="N18" s="55">
        <f t="shared" si="20"/>
        <v>9132.919768</v>
      </c>
      <c r="O18" s="55">
        <f t="shared" si="20"/>
        <v>9491.036786</v>
      </c>
      <c r="P18" s="56">
        <f t="shared" si="20"/>
        <v>9859.78362</v>
      </c>
      <c r="Q18" s="21"/>
      <c r="R18" s="21"/>
      <c r="S18" s="57"/>
      <c r="T18" s="20"/>
      <c r="U18" s="20"/>
      <c r="V18" s="20"/>
      <c r="W18" s="21"/>
      <c r="X18" s="21"/>
      <c r="Y18" s="21"/>
      <c r="Z18" s="21"/>
    </row>
    <row r="19" ht="24.75" customHeight="1">
      <c r="A19" s="51" t="s">
        <v>35</v>
      </c>
      <c r="B19" s="52">
        <f>IFERROR(VLOOKUP("Minority Interest*",'7.TIKR_IS'!$A:$K,COLUMN(B19),FALSE),"0")</f>
        <v>-350</v>
      </c>
      <c r="C19" s="53">
        <f>IFERROR(VLOOKUP("Minority Interest*",'7.TIKR_IS'!$A:$K,COLUMN(C19),FALSE),"0")</f>
        <v>-363</v>
      </c>
      <c r="D19" s="53">
        <f>IFERROR(VLOOKUP("Minority Interest*",'7.TIKR_IS'!$A:$K,COLUMN(D19),FALSE),"0")</f>
        <v>-433</v>
      </c>
      <c r="E19" s="53">
        <f>IFERROR(VLOOKUP("Minority Interest*",'7.TIKR_IS'!$A:$K,COLUMN(E19),FALSE),"0")</f>
        <v>-419</v>
      </c>
      <c r="F19" s="53">
        <f>IFERROR(VLOOKUP("Minority Interest*",'7.TIKR_IS'!$A:$K,COLUMN(F19),FALSE),"0")</f>
        <v>-401</v>
      </c>
      <c r="G19" s="53">
        <f>IFERROR(VLOOKUP("Minority Interest*",'7.TIKR_IS'!$A:$K,COLUMN(G19),FALSE),"0")</f>
        <v>-492</v>
      </c>
      <c r="H19" s="53">
        <f>IFERROR(VLOOKUP("Minority Interest*",'7.TIKR_IS'!$A:$K,COLUMN(H19),FALSE),"0")</f>
        <v>-572</v>
      </c>
      <c r="I19" s="53">
        <f>IFERROR(VLOOKUP("Minority Interest*",'7.TIKR_IS'!$A:$K,COLUMN(I19),FALSE),"0")</f>
        <v>-627</v>
      </c>
      <c r="J19" s="53">
        <f>IFERROR(VLOOKUP("Minority Interest*",'7.TIKR_IS'!$A:$K,COLUMN(J19),FALSE),"0")</f>
        <v>-653</v>
      </c>
      <c r="K19" s="53">
        <f>IFERROR(VLOOKUP("Minority Interest*",'7.TIKR_IS'!$A:$K,COLUMN(K19),FALSE),"0")</f>
        <v>-625</v>
      </c>
      <c r="L19" s="54">
        <f t="shared" ref="L19:P19" si="21">IFERROR(K19/K18*L18,"")</f>
        <v>-659.835894</v>
      </c>
      <c r="M19" s="55">
        <f t="shared" si="21"/>
        <v>-679.0920579</v>
      </c>
      <c r="N19" s="55">
        <f t="shared" si="21"/>
        <v>-705.7461492</v>
      </c>
      <c r="O19" s="55">
        <f t="shared" si="21"/>
        <v>-733.4196329</v>
      </c>
      <c r="P19" s="56">
        <f t="shared" si="21"/>
        <v>-761.9145354</v>
      </c>
      <c r="Q19" s="21"/>
      <c r="R19" s="21"/>
      <c r="S19" s="57"/>
      <c r="T19" s="20"/>
      <c r="U19" s="20"/>
      <c r="V19" s="20"/>
      <c r="W19" s="21"/>
      <c r="X19" s="21"/>
      <c r="Y19" s="21"/>
      <c r="Z19" s="21"/>
    </row>
    <row r="20" ht="24.75" customHeight="1">
      <c r="A20" s="30" t="s">
        <v>36</v>
      </c>
      <c r="B20" s="54">
        <f t="shared" ref="B20:K20" si="22">B18+B19</f>
        <v>4766</v>
      </c>
      <c r="C20" s="55">
        <f t="shared" si="22"/>
        <v>5069</v>
      </c>
      <c r="D20" s="55">
        <f t="shared" si="22"/>
        <v>6780</v>
      </c>
      <c r="E20" s="55">
        <f t="shared" si="22"/>
        <v>5764</v>
      </c>
      <c r="F20" s="55">
        <f t="shared" si="22"/>
        <v>6714</v>
      </c>
      <c r="G20" s="55">
        <f t="shared" si="22"/>
        <v>6475</v>
      </c>
      <c r="H20" s="55">
        <f t="shared" si="22"/>
        <v>6870</v>
      </c>
      <c r="I20" s="55">
        <f t="shared" si="22"/>
        <v>6457</v>
      </c>
      <c r="J20" s="55">
        <f t="shared" si="22"/>
        <v>6583</v>
      </c>
      <c r="K20" s="55">
        <f t="shared" si="22"/>
        <v>7463</v>
      </c>
      <c r="L20" s="54">
        <f t="shared" ref="L20:P20" si="23">IFERROR(L18+L19,"")</f>
        <v>7878.968443</v>
      </c>
      <c r="M20" s="55">
        <f t="shared" si="23"/>
        <v>8108.902445</v>
      </c>
      <c r="N20" s="55">
        <f t="shared" si="23"/>
        <v>8427.173619</v>
      </c>
      <c r="O20" s="55">
        <f t="shared" si="23"/>
        <v>8757.617153</v>
      </c>
      <c r="P20" s="56">
        <f t="shared" si="23"/>
        <v>9097.869084</v>
      </c>
      <c r="Q20" s="21"/>
      <c r="R20" s="21"/>
      <c r="S20" s="57"/>
      <c r="T20" s="20"/>
      <c r="U20" s="20"/>
      <c r="V20" s="20"/>
      <c r="W20" s="21"/>
      <c r="X20" s="21"/>
      <c r="Y20" s="21"/>
      <c r="Z20" s="21"/>
    </row>
    <row r="21" ht="24.75" customHeight="1">
      <c r="A21" s="30" t="s">
        <v>37</v>
      </c>
      <c r="B21" s="31">
        <f t="shared" ref="B21:P21" si="24">IFERROR(B20/B3,"")</f>
        <v>0.08946538519</v>
      </c>
      <c r="C21" s="32">
        <f t="shared" si="24"/>
        <v>0.09616223702</v>
      </c>
      <c r="D21" s="32">
        <f t="shared" si="24"/>
        <v>0.1262217258</v>
      </c>
      <c r="E21" s="32">
        <f t="shared" si="24"/>
        <v>0.1130595112</v>
      </c>
      <c r="F21" s="32">
        <f t="shared" si="24"/>
        <v>0.1291650635</v>
      </c>
      <c r="G21" s="32">
        <f t="shared" si="24"/>
        <v>0.1276516048</v>
      </c>
      <c r="H21" s="32">
        <f t="shared" si="24"/>
        <v>0.1309968729</v>
      </c>
      <c r="I21" s="32">
        <f t="shared" si="24"/>
        <v>0.1074858922</v>
      </c>
      <c r="J21" s="32">
        <f t="shared" si="24"/>
        <v>0.1104456077</v>
      </c>
      <c r="K21" s="32">
        <f t="shared" si="24"/>
        <v>0.1228254966</v>
      </c>
      <c r="L21" s="31">
        <f t="shared" si="24"/>
        <v>0.1258946351</v>
      </c>
      <c r="M21" s="32">
        <f t="shared" si="24"/>
        <v>0.1257948071</v>
      </c>
      <c r="N21" s="32">
        <f t="shared" si="24"/>
        <v>0.1257040412</v>
      </c>
      <c r="O21" s="32">
        <f t="shared" si="24"/>
        <v>0.1256087561</v>
      </c>
      <c r="P21" s="49">
        <f t="shared" si="24"/>
        <v>0.125470117</v>
      </c>
      <c r="Q21" s="21"/>
      <c r="R21" s="21"/>
      <c r="S21" s="57"/>
      <c r="T21" s="20"/>
      <c r="U21" s="20"/>
      <c r="V21" s="20"/>
      <c r="W21" s="21"/>
      <c r="X21" s="21"/>
      <c r="Y21" s="21"/>
      <c r="Z21" s="21"/>
    </row>
    <row r="22" ht="24.75" customHeight="1">
      <c r="A22" s="30" t="s">
        <v>18</v>
      </c>
      <c r="B22" s="31"/>
      <c r="C22" s="32">
        <f t="shared" ref="C22:P22" si="25">IFERROR((C20-B20)/B20,"")</f>
        <v>0.06357532522</v>
      </c>
      <c r="D22" s="32">
        <f t="shared" si="25"/>
        <v>0.3375419215</v>
      </c>
      <c r="E22" s="32">
        <f t="shared" si="25"/>
        <v>-0.1498525074</v>
      </c>
      <c r="F22" s="32">
        <f t="shared" si="25"/>
        <v>0.1648160999</v>
      </c>
      <c r="G22" s="32">
        <f t="shared" si="25"/>
        <v>-0.03559725946</v>
      </c>
      <c r="H22" s="32">
        <f t="shared" si="25"/>
        <v>0.061003861</v>
      </c>
      <c r="I22" s="32">
        <f t="shared" si="25"/>
        <v>-0.06011644833</v>
      </c>
      <c r="J22" s="32">
        <f t="shared" si="25"/>
        <v>0.01951370606</v>
      </c>
      <c r="K22" s="32">
        <f t="shared" si="25"/>
        <v>0.1336776546</v>
      </c>
      <c r="L22" s="31">
        <f t="shared" si="25"/>
        <v>0.05573743041</v>
      </c>
      <c r="M22" s="32">
        <f t="shared" si="25"/>
        <v>0.02918326214</v>
      </c>
      <c r="N22" s="32">
        <f t="shared" si="25"/>
        <v>0.03924959957</v>
      </c>
      <c r="O22" s="32">
        <f t="shared" si="25"/>
        <v>0.03921166805</v>
      </c>
      <c r="P22" s="49">
        <f t="shared" si="25"/>
        <v>0.03885211301</v>
      </c>
      <c r="Q22" s="21"/>
      <c r="R22" s="21"/>
      <c r="S22" s="57"/>
      <c r="T22" s="20"/>
      <c r="U22" s="20"/>
      <c r="V22" s="20"/>
      <c r="W22" s="21"/>
      <c r="X22" s="21"/>
      <c r="Y22" s="21"/>
      <c r="Z22" s="21"/>
    </row>
    <row r="23" ht="24.75" customHeight="1">
      <c r="A23" s="39" t="s">
        <v>38</v>
      </c>
      <c r="B23" s="66">
        <f t="shared" ref="B23:P23" si="26">IFERROR(B20/B25,"")</f>
        <v>1.669118162</v>
      </c>
      <c r="C23" s="67">
        <f t="shared" si="26"/>
        <v>1.776165948</v>
      </c>
      <c r="D23" s="67">
        <f t="shared" si="26"/>
        <v>2.409381663</v>
      </c>
      <c r="E23" s="67">
        <f t="shared" si="26"/>
        <v>2.138934244</v>
      </c>
      <c r="F23" s="67">
        <f t="shared" si="26"/>
        <v>2.556058933</v>
      </c>
      <c r="G23" s="67">
        <f t="shared" si="26"/>
        <v>2.462164423</v>
      </c>
      <c r="H23" s="67">
        <f t="shared" si="26"/>
        <v>2.63258737</v>
      </c>
      <c r="I23" s="67">
        <f t="shared" si="26"/>
        <v>2.522462692</v>
      </c>
      <c r="J23" s="67">
        <f t="shared" si="26"/>
        <v>2.599510346</v>
      </c>
      <c r="K23" s="67">
        <f t="shared" si="26"/>
        <v>2.976746041</v>
      </c>
      <c r="L23" s="66">
        <f t="shared" si="26"/>
        <v>3.184054931</v>
      </c>
      <c r="M23" s="67">
        <f t="shared" si="26"/>
        <v>3.320137832</v>
      </c>
      <c r="N23" s="67">
        <f t="shared" si="26"/>
        <v>3.495898594</v>
      </c>
      <c r="O23" s="67">
        <f t="shared" si="26"/>
        <v>3.680829392</v>
      </c>
      <c r="P23" s="68">
        <f t="shared" si="26"/>
        <v>3.874202017</v>
      </c>
      <c r="Q23" s="21"/>
      <c r="R23" s="21"/>
      <c r="S23" s="21"/>
      <c r="T23" s="20"/>
      <c r="U23" s="20"/>
      <c r="V23" s="20"/>
      <c r="W23" s="21"/>
      <c r="X23" s="21"/>
      <c r="Y23" s="21"/>
      <c r="Z23" s="21"/>
    </row>
    <row r="24" ht="24.75" customHeight="1">
      <c r="A24" s="30" t="s">
        <v>18</v>
      </c>
      <c r="B24" s="31"/>
      <c r="C24" s="32">
        <f t="shared" ref="C24:P24" si="27">IFERROR((C23-B23)/B23,"")</f>
        <v>0.06413433674</v>
      </c>
      <c r="D24" s="32">
        <f t="shared" si="27"/>
        <v>0.3565070681</v>
      </c>
      <c r="E24" s="32">
        <f t="shared" si="27"/>
        <v>-0.1122476457</v>
      </c>
      <c r="F24" s="32">
        <f t="shared" si="27"/>
        <v>0.1950152001</v>
      </c>
      <c r="G24" s="32">
        <f t="shared" si="27"/>
        <v>-0.03673409439</v>
      </c>
      <c r="H24" s="32">
        <f t="shared" si="27"/>
        <v>0.06921672044</v>
      </c>
      <c r="I24" s="32">
        <f t="shared" si="27"/>
        <v>-0.04183134759</v>
      </c>
      <c r="J24" s="32">
        <f t="shared" si="27"/>
        <v>0.03054461569</v>
      </c>
      <c r="K24" s="32">
        <f t="shared" si="27"/>
        <v>0.1451179819</v>
      </c>
      <c r="L24" s="31">
        <f t="shared" si="27"/>
        <v>0.06964278664</v>
      </c>
      <c r="M24" s="32">
        <f t="shared" si="27"/>
        <v>0.04273886741</v>
      </c>
      <c r="N24" s="32">
        <f t="shared" si="27"/>
        <v>0.05293779085</v>
      </c>
      <c r="O24" s="32">
        <f t="shared" si="27"/>
        <v>0.05289935972</v>
      </c>
      <c r="P24" s="49">
        <f t="shared" si="27"/>
        <v>0.05253506891</v>
      </c>
      <c r="Q24" s="21"/>
      <c r="R24" s="21"/>
      <c r="S24" s="21"/>
      <c r="T24" s="20"/>
      <c r="U24" s="20"/>
      <c r="V24" s="20"/>
      <c r="W24" s="21"/>
      <c r="X24" s="21"/>
      <c r="Y24" s="21"/>
      <c r="Z24" s="21"/>
    </row>
    <row r="25" ht="24.75" customHeight="1">
      <c r="A25" s="51" t="s">
        <v>39</v>
      </c>
      <c r="B25" s="69">
        <f>IFERROR(VLOOKUP("*Diluted Shares Outstanding*",'7.TIKR_IS'!$A:$K,COLUMN(B25),FALSE),"0")</f>
        <v>2855.4</v>
      </c>
      <c r="C25" s="70">
        <f>IFERROR(VLOOKUP("*Diluted Shares Outstanding*",'7.TIKR_IS'!$A:$K,COLUMN(C25),FALSE),"0")</f>
        <v>2853.9</v>
      </c>
      <c r="D25" s="70">
        <f>IFERROR(VLOOKUP("*Diluted Shares Outstanding*",'7.TIKR_IS'!$A:$K,COLUMN(D25),FALSE),"0")</f>
        <v>2814</v>
      </c>
      <c r="E25" s="70">
        <f>IFERROR(VLOOKUP("*Diluted Shares Outstanding*",'7.TIKR_IS'!$A:$K,COLUMN(E25),FALSE),"0")</f>
        <v>2694.8</v>
      </c>
      <c r="F25" s="70">
        <f>IFERROR(VLOOKUP("*Diluted Shares Outstanding*",'7.TIKR_IS'!$A:$K,COLUMN(F25),FALSE),"0")</f>
        <v>2626.7</v>
      </c>
      <c r="G25" s="70">
        <f>IFERROR(VLOOKUP("*Diluted Shares Outstanding*",'7.TIKR_IS'!$A:$K,COLUMN(G25),FALSE),"0")</f>
        <v>2629.8</v>
      </c>
      <c r="H25" s="70">
        <f>IFERROR(VLOOKUP("*Diluted Shares Outstanding*",'7.TIKR_IS'!$A:$K,COLUMN(H25),FALSE),"0")</f>
        <v>2609.6</v>
      </c>
      <c r="I25" s="70">
        <f>IFERROR(VLOOKUP("*Diluted Shares Outstanding*",'7.TIKR_IS'!$A:$K,COLUMN(I25),FALSE),"0")</f>
        <v>2559.8</v>
      </c>
      <c r="J25" s="70">
        <f>IFERROR(VLOOKUP("*Diluted Shares Outstanding*",'7.TIKR_IS'!$A:$K,COLUMN(J25),FALSE),"0")</f>
        <v>2532.4</v>
      </c>
      <c r="K25" s="70">
        <f>IFERROR(VLOOKUP("*Diluted Shares Outstanding*",'7.TIKR_IS'!$A:$K,COLUMN(K25),FALSE),"0")</f>
        <v>2507.1</v>
      </c>
      <c r="L25" s="71">
        <f t="shared" ref="L25:P25" si="28">IFERROR(K25*(1+L26),"")</f>
        <v>2474.5077</v>
      </c>
      <c r="M25" s="72">
        <f t="shared" si="28"/>
        <v>2442.3391</v>
      </c>
      <c r="N25" s="72">
        <f t="shared" si="28"/>
        <v>2410.588692</v>
      </c>
      <c r="O25" s="72">
        <f t="shared" si="28"/>
        <v>2379.251039</v>
      </c>
      <c r="P25" s="73">
        <f t="shared" si="28"/>
        <v>2348.320775</v>
      </c>
      <c r="Q25" s="21"/>
      <c r="R25" s="21"/>
      <c r="S25" s="57"/>
      <c r="T25" s="20"/>
      <c r="U25" s="20"/>
      <c r="V25" s="20"/>
      <c r="W25" s="21"/>
      <c r="X25" s="21"/>
      <c r="Y25" s="21"/>
      <c r="Z25" s="21"/>
    </row>
    <row r="26" ht="24.75" customHeight="1">
      <c r="A26" s="30" t="s">
        <v>18</v>
      </c>
      <c r="B26" s="31"/>
      <c r="C26" s="32">
        <f t="shared" ref="C26:K26" si="29">IFERROR((C25-B25)/B25,"")</f>
        <v>-0.0005253204455</v>
      </c>
      <c r="D26" s="32">
        <f t="shared" si="29"/>
        <v>-0.01398086829</v>
      </c>
      <c r="E26" s="32">
        <f t="shared" si="29"/>
        <v>-0.04235963042</v>
      </c>
      <c r="F26" s="32">
        <f t="shared" si="29"/>
        <v>-0.02527089209</v>
      </c>
      <c r="G26" s="32">
        <f t="shared" si="29"/>
        <v>0.001180188069</v>
      </c>
      <c r="H26" s="32">
        <f t="shared" si="29"/>
        <v>-0.007681192486</v>
      </c>
      <c r="I26" s="33">
        <f t="shared" si="29"/>
        <v>-0.01908338443</v>
      </c>
      <c r="J26" s="33">
        <f t="shared" si="29"/>
        <v>-0.01070396125</v>
      </c>
      <c r="K26" s="33">
        <f t="shared" si="29"/>
        <v>-0.009990522824</v>
      </c>
      <c r="L26" s="62">
        <f>S6</f>
        <v>-0.013</v>
      </c>
      <c r="M26" s="36">
        <f t="shared" ref="M26:P26" si="30">L26</f>
        <v>-0.013</v>
      </c>
      <c r="N26" s="36">
        <f t="shared" si="30"/>
        <v>-0.013</v>
      </c>
      <c r="O26" s="36">
        <f t="shared" si="30"/>
        <v>-0.013</v>
      </c>
      <c r="P26" s="37">
        <f t="shared" si="30"/>
        <v>-0.013</v>
      </c>
      <c r="Q26" s="21"/>
      <c r="R26" s="21"/>
      <c r="S26" s="57"/>
      <c r="T26" s="20"/>
      <c r="U26" s="20"/>
      <c r="V26" s="20"/>
      <c r="W26" s="21"/>
      <c r="X26" s="21"/>
      <c r="Y26" s="21"/>
      <c r="Z26" s="21"/>
    </row>
    <row r="27" ht="15.75" hidden="1" customHeight="1">
      <c r="A27" s="17"/>
      <c r="B27" s="61"/>
      <c r="C27" s="61"/>
      <c r="D27" s="61"/>
      <c r="E27" s="61"/>
      <c r="F27" s="61"/>
      <c r="G27" s="61"/>
      <c r="H27" s="61"/>
      <c r="I27" s="61"/>
      <c r="J27" s="61"/>
      <c r="K27" s="61"/>
      <c r="L27" s="61"/>
      <c r="M27" s="61"/>
      <c r="N27" s="61"/>
      <c r="O27" s="61"/>
      <c r="P27" s="61"/>
      <c r="Q27" s="17"/>
      <c r="R27" s="17"/>
      <c r="S27" s="61"/>
      <c r="T27" s="20"/>
      <c r="U27" s="20"/>
      <c r="V27" s="20"/>
      <c r="W27" s="21"/>
      <c r="X27" s="21"/>
      <c r="Y27" s="21"/>
      <c r="Z27" s="21"/>
    </row>
    <row r="28" ht="9.75" hidden="1" customHeight="1">
      <c r="A28" s="17"/>
      <c r="B28" s="61"/>
      <c r="C28" s="61"/>
      <c r="D28" s="61"/>
      <c r="E28" s="61"/>
      <c r="F28" s="61"/>
      <c r="G28" s="61"/>
      <c r="H28" s="61"/>
      <c r="I28" s="61"/>
      <c r="J28" s="61"/>
      <c r="K28" s="61"/>
      <c r="L28" s="61"/>
      <c r="M28" s="61"/>
      <c r="N28" s="61"/>
      <c r="O28" s="61"/>
      <c r="P28" s="61"/>
      <c r="Q28" s="17"/>
      <c r="R28" s="17"/>
      <c r="S28" s="61"/>
      <c r="T28" s="20"/>
      <c r="U28" s="20"/>
      <c r="V28" s="20"/>
      <c r="W28" s="21"/>
      <c r="X28" s="21"/>
      <c r="Y28" s="21"/>
      <c r="Z28" s="21"/>
    </row>
    <row r="29" ht="19.5" hidden="1" customHeight="1">
      <c r="A29" s="74"/>
      <c r="B29" s="74"/>
      <c r="C29" s="74"/>
      <c r="D29" s="74"/>
      <c r="E29" s="74"/>
      <c r="F29" s="74"/>
      <c r="G29" s="74"/>
      <c r="H29" s="74"/>
      <c r="I29" s="74"/>
      <c r="J29" s="74"/>
      <c r="K29" s="74"/>
      <c r="L29" s="74"/>
      <c r="M29" s="74"/>
      <c r="N29" s="74"/>
      <c r="O29" s="74"/>
      <c r="P29" s="74"/>
      <c r="Q29" s="74"/>
      <c r="R29" s="74"/>
      <c r="S29" s="74"/>
      <c r="T29" s="75"/>
      <c r="U29" s="75"/>
      <c r="V29" s="75"/>
      <c r="W29" s="74"/>
      <c r="X29" s="74"/>
      <c r="Y29" s="74"/>
      <c r="Z29" s="74"/>
    </row>
    <row r="30" ht="19.5" hidden="1" customHeight="1">
      <c r="A30" s="74"/>
      <c r="B30" s="74"/>
      <c r="C30" s="74"/>
      <c r="D30" s="74"/>
      <c r="E30" s="74"/>
      <c r="F30" s="74"/>
      <c r="G30" s="74"/>
      <c r="H30" s="74"/>
      <c r="I30" s="74"/>
      <c r="J30" s="74"/>
      <c r="K30" s="74"/>
      <c r="L30" s="74"/>
      <c r="M30" s="74"/>
      <c r="N30" s="74"/>
      <c r="O30" s="74"/>
      <c r="P30" s="74"/>
      <c r="Q30" s="74"/>
      <c r="R30" s="74"/>
      <c r="S30" s="74"/>
      <c r="T30" s="75"/>
      <c r="U30" s="75"/>
      <c r="V30" s="75"/>
      <c r="W30" s="74"/>
      <c r="X30" s="74"/>
      <c r="Y30" s="74"/>
      <c r="Z30" s="74"/>
    </row>
    <row r="31" ht="19.5" hidden="1" customHeight="1">
      <c r="A31" s="74"/>
      <c r="B31" s="74"/>
      <c r="C31" s="74"/>
      <c r="D31" s="74"/>
      <c r="E31" s="74"/>
      <c r="F31" s="74"/>
      <c r="G31" s="74"/>
      <c r="H31" s="74"/>
      <c r="I31" s="74"/>
      <c r="J31" s="74"/>
      <c r="K31" s="74"/>
      <c r="L31" s="74"/>
      <c r="M31" s="74"/>
      <c r="N31" s="74"/>
      <c r="O31" s="74"/>
      <c r="P31" s="74"/>
      <c r="Q31" s="74"/>
      <c r="R31" s="74"/>
      <c r="S31" s="74"/>
      <c r="T31" s="75"/>
      <c r="U31" s="75"/>
      <c r="V31" s="75"/>
      <c r="W31" s="74"/>
      <c r="X31" s="74"/>
      <c r="Y31" s="74"/>
      <c r="Z31" s="74"/>
    </row>
    <row r="32" ht="19.5" hidden="1" customHeight="1">
      <c r="A32" s="74"/>
      <c r="B32" s="74"/>
      <c r="C32" s="74"/>
      <c r="D32" s="74"/>
      <c r="E32" s="74"/>
      <c r="F32" s="74"/>
      <c r="G32" s="74"/>
      <c r="H32" s="74"/>
      <c r="I32" s="74"/>
      <c r="J32" s="74"/>
      <c r="K32" s="74"/>
      <c r="L32" s="74"/>
      <c r="M32" s="74"/>
      <c r="N32" s="74"/>
      <c r="O32" s="74"/>
      <c r="P32" s="74"/>
      <c r="Q32" s="74"/>
      <c r="R32" s="74"/>
      <c r="S32" s="74"/>
      <c r="T32" s="75"/>
      <c r="U32" s="75"/>
      <c r="V32" s="75"/>
      <c r="W32" s="74"/>
      <c r="X32" s="74"/>
      <c r="Y32" s="74"/>
      <c r="Z32" s="74"/>
    </row>
    <row r="33" ht="15.75" hidden="1" customHeight="1">
      <c r="A33" s="17"/>
      <c r="B33" s="61"/>
      <c r="C33" s="61"/>
      <c r="D33" s="61"/>
      <c r="E33" s="61"/>
      <c r="F33" s="61"/>
      <c r="G33" s="61"/>
      <c r="H33" s="61"/>
      <c r="I33" s="61"/>
      <c r="J33" s="61"/>
      <c r="K33" s="61"/>
      <c r="L33" s="61"/>
      <c r="M33" s="61"/>
      <c r="N33" s="61"/>
      <c r="O33" s="61"/>
      <c r="P33" s="61"/>
      <c r="Q33" s="17"/>
      <c r="R33" s="17"/>
      <c r="S33" s="61"/>
      <c r="T33" s="20"/>
      <c r="U33" s="20"/>
      <c r="V33" s="20"/>
      <c r="W33" s="21"/>
      <c r="X33" s="21"/>
      <c r="Y33" s="21"/>
      <c r="Z33" s="21"/>
    </row>
    <row r="34" ht="15.75" hidden="1" customHeight="1">
      <c r="A34" s="17"/>
      <c r="B34" s="61"/>
      <c r="C34" s="61"/>
      <c r="D34" s="61"/>
      <c r="E34" s="61"/>
      <c r="F34" s="61"/>
      <c r="G34" s="61"/>
      <c r="H34" s="61"/>
      <c r="I34" s="61"/>
      <c r="J34" s="61"/>
      <c r="K34" s="61"/>
      <c r="L34" s="61"/>
      <c r="M34" s="61"/>
      <c r="N34" s="61"/>
      <c r="O34" s="61"/>
      <c r="P34" s="61"/>
      <c r="Q34" s="17"/>
      <c r="R34" s="17"/>
      <c r="S34" s="61"/>
      <c r="T34" s="20"/>
      <c r="U34" s="20"/>
      <c r="V34" s="20"/>
      <c r="W34" s="21"/>
      <c r="X34" s="21"/>
      <c r="Y34" s="21"/>
      <c r="Z34" s="21"/>
    </row>
    <row r="35" ht="15.75" hidden="1" customHeight="1">
      <c r="A35" s="17"/>
      <c r="B35" s="61"/>
      <c r="C35" s="61"/>
      <c r="D35" s="61"/>
      <c r="E35" s="61"/>
      <c r="F35" s="61"/>
      <c r="G35" s="61"/>
      <c r="H35" s="61"/>
      <c r="I35" s="61"/>
      <c r="J35" s="61"/>
      <c r="K35" s="61"/>
      <c r="L35" s="61"/>
      <c r="M35" s="61"/>
      <c r="N35" s="61"/>
      <c r="O35" s="61"/>
      <c r="P35" s="61"/>
      <c r="Q35" s="17"/>
      <c r="R35" s="17"/>
      <c r="S35" s="61"/>
      <c r="T35" s="20"/>
      <c r="U35" s="20"/>
      <c r="V35" s="20"/>
      <c r="W35" s="21"/>
      <c r="X35" s="21"/>
      <c r="Y35" s="21"/>
      <c r="Z35" s="21"/>
    </row>
    <row r="36" ht="15.75" hidden="1" customHeight="1">
      <c r="A36" s="17"/>
      <c r="B36" s="61"/>
      <c r="C36" s="61"/>
      <c r="D36" s="61"/>
      <c r="E36" s="61"/>
      <c r="F36" s="61"/>
      <c r="G36" s="61"/>
      <c r="H36" s="61"/>
      <c r="I36" s="61"/>
      <c r="J36" s="61"/>
      <c r="K36" s="61"/>
      <c r="L36" s="61"/>
      <c r="M36" s="61"/>
      <c r="N36" s="61"/>
      <c r="O36" s="61"/>
      <c r="P36" s="61"/>
      <c r="Q36" s="17"/>
      <c r="R36" s="17"/>
      <c r="S36" s="61"/>
      <c r="T36" s="20"/>
      <c r="U36" s="20"/>
      <c r="V36" s="20"/>
      <c r="W36" s="21"/>
      <c r="X36" s="21"/>
      <c r="Y36" s="21"/>
      <c r="Z36" s="21"/>
    </row>
    <row r="37" ht="15.75" hidden="1" customHeight="1">
      <c r="A37" s="17"/>
      <c r="B37" s="61"/>
      <c r="C37" s="61"/>
      <c r="D37" s="61"/>
      <c r="E37" s="61"/>
      <c r="F37" s="61"/>
      <c r="G37" s="61"/>
      <c r="H37" s="61"/>
      <c r="I37" s="61"/>
      <c r="J37" s="61"/>
      <c r="K37" s="61"/>
      <c r="L37" s="61"/>
      <c r="M37" s="61"/>
      <c r="N37" s="61"/>
      <c r="O37" s="61"/>
      <c r="P37" s="61"/>
      <c r="Q37" s="17"/>
      <c r="R37" s="17"/>
      <c r="S37" s="61"/>
      <c r="T37" s="20"/>
      <c r="U37" s="20"/>
      <c r="V37" s="20"/>
      <c r="W37" s="21"/>
      <c r="X37" s="21"/>
      <c r="Y37" s="21"/>
      <c r="Z37" s="21"/>
    </row>
    <row r="38" ht="15.75" hidden="1" customHeight="1">
      <c r="A38" s="17"/>
      <c r="B38" s="61"/>
      <c r="C38" s="61"/>
      <c r="D38" s="61"/>
      <c r="E38" s="61"/>
      <c r="F38" s="61"/>
      <c r="G38" s="61"/>
      <c r="H38" s="61"/>
      <c r="I38" s="61"/>
      <c r="J38" s="61"/>
      <c r="K38" s="61"/>
      <c r="L38" s="61"/>
      <c r="M38" s="61"/>
      <c r="N38" s="61"/>
      <c r="O38" s="61"/>
      <c r="P38" s="61"/>
      <c r="Q38" s="17"/>
      <c r="R38" s="17"/>
      <c r="S38" s="61"/>
      <c r="T38" s="20"/>
      <c r="U38" s="20"/>
      <c r="V38" s="20"/>
      <c r="W38" s="21"/>
      <c r="X38" s="21"/>
      <c r="Y38" s="21"/>
      <c r="Z38" s="21"/>
    </row>
    <row r="39" ht="17.25" customHeight="1">
      <c r="A39" s="17"/>
      <c r="B39" s="61"/>
      <c r="C39" s="61"/>
      <c r="D39" s="61"/>
      <c r="E39" s="61"/>
      <c r="F39" s="61"/>
      <c r="G39" s="61"/>
      <c r="H39" s="61"/>
      <c r="I39" s="61"/>
      <c r="J39" s="61"/>
      <c r="K39" s="61"/>
      <c r="L39" s="61"/>
      <c r="M39" s="61"/>
      <c r="N39" s="61"/>
      <c r="O39" s="61"/>
      <c r="P39" s="61"/>
      <c r="Q39" s="17"/>
      <c r="R39" s="17"/>
      <c r="S39" s="61"/>
      <c r="T39" s="21"/>
      <c r="U39" s="21"/>
      <c r="V39" s="21"/>
      <c r="W39" s="21"/>
      <c r="X39" s="21"/>
      <c r="Y39" s="21"/>
      <c r="Z39" s="21"/>
    </row>
    <row r="40" ht="17.25" customHeight="1">
      <c r="A40" s="17"/>
      <c r="B40" s="61"/>
      <c r="C40" s="61"/>
      <c r="D40" s="61"/>
      <c r="E40" s="61"/>
      <c r="F40" s="61"/>
      <c r="G40" s="61"/>
      <c r="H40" s="61"/>
      <c r="I40" s="61"/>
      <c r="J40" s="61"/>
      <c r="K40" s="61"/>
      <c r="L40" s="61"/>
      <c r="M40" s="61"/>
      <c r="N40" s="61"/>
      <c r="O40" s="61"/>
      <c r="P40" s="61"/>
      <c r="Q40" s="17"/>
      <c r="R40" s="17"/>
      <c r="S40" s="61"/>
      <c r="T40" s="21"/>
      <c r="U40" s="21"/>
      <c r="V40" s="21"/>
      <c r="W40" s="21"/>
      <c r="X40" s="21"/>
      <c r="Y40" s="21"/>
      <c r="Z40" s="21"/>
    </row>
    <row r="41" ht="17.25" customHeight="1">
      <c r="A41" s="17"/>
      <c r="B41" s="61"/>
      <c r="C41" s="61"/>
      <c r="D41" s="61"/>
      <c r="E41" s="61"/>
      <c r="F41" s="61"/>
      <c r="G41" s="61"/>
      <c r="H41" s="61"/>
      <c r="I41" s="61"/>
      <c r="J41" s="61"/>
      <c r="K41" s="61"/>
      <c r="L41" s="61"/>
      <c r="M41" s="61"/>
      <c r="N41" s="61"/>
      <c r="O41" s="61"/>
      <c r="P41" s="61"/>
      <c r="Q41" s="17"/>
      <c r="R41" s="17"/>
      <c r="S41" s="61"/>
      <c r="T41" s="21"/>
      <c r="U41" s="21"/>
      <c r="V41" s="21"/>
      <c r="W41" s="21"/>
      <c r="X41" s="21"/>
      <c r="Y41" s="21"/>
      <c r="Z41" s="21"/>
    </row>
    <row r="42" ht="17.25" customHeight="1">
      <c r="A42" s="17"/>
      <c r="B42" s="61"/>
      <c r="C42" s="61"/>
      <c r="D42" s="61"/>
      <c r="E42" s="61"/>
      <c r="F42" s="61"/>
      <c r="G42" s="61"/>
      <c r="H42" s="61"/>
      <c r="I42" s="61"/>
      <c r="J42" s="61"/>
      <c r="K42" s="61"/>
      <c r="L42" s="61"/>
      <c r="M42" s="61"/>
      <c r="N42" s="61"/>
      <c r="O42" s="61"/>
      <c r="P42" s="61"/>
      <c r="Q42" s="17"/>
      <c r="R42" s="17"/>
      <c r="S42" s="61"/>
      <c r="T42" s="21"/>
      <c r="U42" s="21"/>
      <c r="V42" s="21"/>
      <c r="W42" s="21"/>
      <c r="X42" s="21"/>
      <c r="Y42" s="21"/>
      <c r="Z42" s="21"/>
    </row>
    <row r="43" ht="17.25" customHeight="1">
      <c r="A43" s="17"/>
      <c r="B43" s="61"/>
      <c r="C43" s="61"/>
      <c r="D43" s="61"/>
      <c r="E43" s="61"/>
      <c r="F43" s="61"/>
      <c r="G43" s="61"/>
      <c r="H43" s="61"/>
      <c r="I43" s="61"/>
      <c r="J43" s="61"/>
      <c r="K43" s="61"/>
      <c r="L43" s="61"/>
      <c r="M43" s="61"/>
      <c r="N43" s="61"/>
      <c r="O43" s="61"/>
      <c r="P43" s="61"/>
      <c r="Q43" s="17"/>
      <c r="R43" s="17"/>
      <c r="S43" s="61"/>
      <c r="T43" s="21"/>
      <c r="U43" s="21"/>
      <c r="V43" s="21"/>
      <c r="W43" s="21"/>
      <c r="X43" s="21"/>
      <c r="Y43" s="21"/>
      <c r="Z43" s="21"/>
    </row>
    <row r="44" ht="17.25" customHeight="1">
      <c r="A44" s="17"/>
      <c r="B44" s="61"/>
      <c r="C44" s="61"/>
      <c r="D44" s="61"/>
      <c r="E44" s="61"/>
      <c r="F44" s="61"/>
      <c r="G44" s="61"/>
      <c r="H44" s="61"/>
      <c r="I44" s="61"/>
      <c r="J44" s="61"/>
      <c r="K44" s="61"/>
      <c r="L44" s="61"/>
      <c r="M44" s="61"/>
      <c r="N44" s="61"/>
      <c r="O44" s="61"/>
      <c r="P44" s="61"/>
      <c r="Q44" s="17"/>
      <c r="R44" s="17"/>
      <c r="S44" s="61"/>
      <c r="T44" s="21"/>
      <c r="U44" s="21"/>
      <c r="V44" s="21"/>
      <c r="W44" s="21"/>
      <c r="X44" s="21"/>
      <c r="Y44" s="21"/>
      <c r="Z44" s="21"/>
    </row>
    <row r="45" ht="17.25" customHeight="1">
      <c r="A45" s="17"/>
      <c r="B45" s="61"/>
      <c r="C45" s="61"/>
      <c r="D45" s="61"/>
      <c r="E45" s="61"/>
      <c r="F45" s="61"/>
      <c r="G45" s="61"/>
      <c r="H45" s="61"/>
      <c r="I45" s="61"/>
      <c r="J45" s="61"/>
      <c r="K45" s="61"/>
      <c r="L45" s="61"/>
      <c r="M45" s="61"/>
      <c r="N45" s="61"/>
      <c r="O45" s="61"/>
      <c r="P45" s="61"/>
      <c r="Q45" s="17"/>
      <c r="R45" s="17"/>
      <c r="S45" s="61"/>
      <c r="T45" s="21"/>
      <c r="U45" s="21"/>
      <c r="V45" s="21"/>
      <c r="W45" s="21"/>
      <c r="X45" s="21"/>
      <c r="Y45" s="21"/>
      <c r="Z45" s="21"/>
    </row>
    <row r="46" ht="17.25" customHeight="1">
      <c r="A46" s="17"/>
      <c r="B46" s="61"/>
      <c r="C46" s="61"/>
      <c r="D46" s="61"/>
      <c r="E46" s="61"/>
      <c r="F46" s="61"/>
      <c r="G46" s="61"/>
      <c r="H46" s="61"/>
      <c r="I46" s="61"/>
      <c r="J46" s="61"/>
      <c r="K46" s="61"/>
      <c r="L46" s="61"/>
      <c r="M46" s="61"/>
      <c r="N46" s="61"/>
      <c r="O46" s="61"/>
      <c r="P46" s="61"/>
      <c r="Q46" s="17"/>
      <c r="R46" s="17"/>
      <c r="S46" s="61"/>
      <c r="T46" s="21"/>
      <c r="U46" s="21"/>
      <c r="V46" s="21"/>
      <c r="W46" s="21"/>
      <c r="X46" s="21"/>
      <c r="Y46" s="21"/>
      <c r="Z46" s="21"/>
    </row>
    <row r="47" ht="17.25" customHeight="1">
      <c r="A47" s="17"/>
      <c r="B47" s="61"/>
      <c r="C47" s="61"/>
      <c r="D47" s="61"/>
      <c r="E47" s="61"/>
      <c r="F47" s="61"/>
      <c r="G47" s="61"/>
      <c r="H47" s="61"/>
      <c r="I47" s="61"/>
      <c r="J47" s="61"/>
      <c r="K47" s="61"/>
      <c r="L47" s="61"/>
      <c r="M47" s="61"/>
      <c r="N47" s="61"/>
      <c r="O47" s="61"/>
      <c r="P47" s="61"/>
      <c r="Q47" s="17"/>
      <c r="R47" s="17"/>
      <c r="S47" s="61"/>
      <c r="T47" s="21"/>
      <c r="U47" s="21"/>
      <c r="V47" s="21"/>
      <c r="W47" s="21"/>
      <c r="X47" s="21"/>
      <c r="Y47" s="21"/>
      <c r="Z47" s="21"/>
    </row>
    <row r="48" ht="17.25" customHeight="1">
      <c r="A48" s="17"/>
      <c r="B48" s="61"/>
      <c r="C48" s="61"/>
      <c r="D48" s="61"/>
      <c r="E48" s="61"/>
      <c r="F48" s="61"/>
      <c r="G48" s="61"/>
      <c r="H48" s="61"/>
      <c r="I48" s="61"/>
      <c r="J48" s="61"/>
      <c r="K48" s="61"/>
      <c r="L48" s="61"/>
      <c r="M48" s="61"/>
      <c r="N48" s="61"/>
      <c r="O48" s="61"/>
      <c r="P48" s="61"/>
      <c r="Q48" s="17"/>
      <c r="R48" s="17"/>
      <c r="S48" s="61"/>
      <c r="T48" s="21"/>
      <c r="U48" s="21"/>
      <c r="V48" s="21"/>
      <c r="W48" s="21"/>
      <c r="X48" s="21"/>
      <c r="Y48" s="21"/>
      <c r="Z48" s="21"/>
    </row>
    <row r="49" ht="17.25" customHeight="1">
      <c r="A49" s="17"/>
      <c r="B49" s="61"/>
      <c r="C49" s="61"/>
      <c r="D49" s="61"/>
      <c r="E49" s="61"/>
      <c r="F49" s="61"/>
      <c r="G49" s="61"/>
      <c r="H49" s="61"/>
      <c r="I49" s="61"/>
      <c r="J49" s="61"/>
      <c r="K49" s="61"/>
      <c r="L49" s="61"/>
      <c r="M49" s="61"/>
      <c r="N49" s="61"/>
      <c r="O49" s="61"/>
      <c r="P49" s="61"/>
      <c r="Q49" s="17"/>
      <c r="R49" s="17"/>
      <c r="S49" s="61"/>
      <c r="T49" s="21"/>
      <c r="U49" s="21"/>
      <c r="V49" s="21"/>
      <c r="W49" s="21"/>
      <c r="X49" s="21"/>
      <c r="Y49" s="21"/>
      <c r="Z49" s="21"/>
    </row>
    <row r="50" ht="17.25" customHeight="1">
      <c r="A50" s="17"/>
      <c r="B50" s="61"/>
      <c r="C50" s="61"/>
      <c r="D50" s="61"/>
      <c r="E50" s="61"/>
      <c r="F50" s="61"/>
      <c r="G50" s="61"/>
      <c r="H50" s="61"/>
      <c r="I50" s="61"/>
      <c r="J50" s="61"/>
      <c r="K50" s="61"/>
      <c r="L50" s="61"/>
      <c r="M50" s="61"/>
      <c r="N50" s="61"/>
      <c r="O50" s="61"/>
      <c r="P50" s="61"/>
      <c r="Q50" s="17"/>
      <c r="R50" s="17"/>
      <c r="S50" s="61"/>
      <c r="T50" s="21"/>
      <c r="U50" s="21"/>
      <c r="V50" s="21"/>
      <c r="W50" s="21"/>
      <c r="X50" s="21"/>
      <c r="Y50" s="21"/>
      <c r="Z50" s="21"/>
    </row>
    <row r="51" ht="17.25" customHeight="1">
      <c r="A51" s="17"/>
      <c r="B51" s="61"/>
      <c r="C51" s="61"/>
      <c r="D51" s="61"/>
      <c r="E51" s="61"/>
      <c r="F51" s="61"/>
      <c r="G51" s="61"/>
      <c r="H51" s="61"/>
      <c r="I51" s="61"/>
      <c r="J51" s="61"/>
      <c r="K51" s="61"/>
      <c r="L51" s="61"/>
      <c r="M51" s="61"/>
      <c r="N51" s="61"/>
      <c r="O51" s="61"/>
      <c r="P51" s="61"/>
      <c r="Q51" s="17"/>
      <c r="R51" s="17"/>
      <c r="S51" s="61"/>
      <c r="T51" s="21"/>
      <c r="U51" s="21"/>
      <c r="V51" s="21"/>
      <c r="W51" s="21"/>
      <c r="X51" s="21"/>
      <c r="Y51" s="21"/>
      <c r="Z51" s="21"/>
    </row>
    <row r="52" ht="17.25" customHeight="1">
      <c r="A52" s="17"/>
      <c r="B52" s="61"/>
      <c r="C52" s="61"/>
      <c r="D52" s="61"/>
      <c r="E52" s="61"/>
      <c r="F52" s="61"/>
      <c r="G52" s="61"/>
      <c r="H52" s="61"/>
      <c r="I52" s="61"/>
      <c r="J52" s="61"/>
      <c r="K52" s="61"/>
      <c r="L52" s="61"/>
      <c r="M52" s="61"/>
      <c r="N52" s="61"/>
      <c r="O52" s="61"/>
      <c r="P52" s="61"/>
      <c r="Q52" s="17"/>
      <c r="R52" s="17"/>
      <c r="S52" s="61"/>
      <c r="T52" s="21"/>
      <c r="U52" s="21"/>
      <c r="V52" s="21"/>
      <c r="W52" s="21"/>
      <c r="X52" s="21"/>
      <c r="Y52" s="21"/>
      <c r="Z52" s="21"/>
    </row>
    <row r="53" ht="17.25" customHeight="1">
      <c r="A53" s="17"/>
      <c r="B53" s="61"/>
      <c r="C53" s="61"/>
      <c r="D53" s="61"/>
      <c r="E53" s="61"/>
      <c r="F53" s="61"/>
      <c r="G53" s="61"/>
      <c r="H53" s="61"/>
      <c r="I53" s="61"/>
      <c r="J53" s="61"/>
      <c r="K53" s="61"/>
      <c r="L53" s="61"/>
      <c r="M53" s="61"/>
      <c r="N53" s="61"/>
      <c r="O53" s="61"/>
      <c r="P53" s="61"/>
      <c r="Q53" s="17"/>
      <c r="R53" s="17"/>
      <c r="S53" s="61"/>
      <c r="T53" s="21"/>
      <c r="U53" s="21"/>
      <c r="V53" s="21"/>
      <c r="W53" s="21"/>
      <c r="X53" s="21"/>
      <c r="Y53" s="21"/>
      <c r="Z53" s="21"/>
    </row>
    <row r="54" ht="17.25" customHeight="1">
      <c r="A54" s="17"/>
      <c r="B54" s="61"/>
      <c r="C54" s="61"/>
      <c r="D54" s="61"/>
      <c r="E54" s="61"/>
      <c r="F54" s="61"/>
      <c r="G54" s="61"/>
      <c r="H54" s="61"/>
      <c r="I54" s="61"/>
      <c r="J54" s="61"/>
      <c r="K54" s="61"/>
      <c r="L54" s="61"/>
      <c r="M54" s="61"/>
      <c r="N54" s="61"/>
      <c r="O54" s="61"/>
      <c r="P54" s="61"/>
      <c r="Q54" s="17"/>
      <c r="R54" s="17"/>
      <c r="S54" s="61"/>
      <c r="T54" s="21"/>
      <c r="U54" s="21"/>
      <c r="V54" s="21"/>
      <c r="W54" s="21"/>
      <c r="X54" s="21"/>
      <c r="Y54" s="21"/>
      <c r="Z54" s="21"/>
    </row>
    <row r="55" ht="17.25" customHeight="1">
      <c r="A55" s="17"/>
      <c r="B55" s="61"/>
      <c r="C55" s="61"/>
      <c r="D55" s="61"/>
      <c r="E55" s="61"/>
      <c r="F55" s="61"/>
      <c r="G55" s="61"/>
      <c r="H55" s="61"/>
      <c r="I55" s="61"/>
      <c r="J55" s="61"/>
      <c r="K55" s="61"/>
      <c r="L55" s="61"/>
      <c r="M55" s="61"/>
      <c r="N55" s="61"/>
      <c r="O55" s="61"/>
      <c r="P55" s="61"/>
      <c r="Q55" s="17"/>
      <c r="R55" s="17"/>
      <c r="S55" s="61"/>
      <c r="T55" s="21"/>
      <c r="U55" s="21"/>
      <c r="V55" s="21"/>
      <c r="W55" s="21"/>
      <c r="X55" s="21"/>
      <c r="Y55" s="21"/>
      <c r="Z55" s="21"/>
    </row>
    <row r="56" ht="17.25" customHeight="1">
      <c r="A56" s="17"/>
      <c r="B56" s="61"/>
      <c r="C56" s="61"/>
      <c r="D56" s="61"/>
      <c r="E56" s="61"/>
      <c r="F56" s="61"/>
      <c r="G56" s="61"/>
      <c r="H56" s="61"/>
      <c r="I56" s="61"/>
      <c r="J56" s="61"/>
      <c r="K56" s="61"/>
      <c r="L56" s="61"/>
      <c r="M56" s="61"/>
      <c r="N56" s="61"/>
      <c r="O56" s="61"/>
      <c r="P56" s="61"/>
      <c r="Q56" s="17"/>
      <c r="R56" s="17"/>
      <c r="S56" s="61"/>
      <c r="T56" s="21"/>
      <c r="U56" s="21"/>
      <c r="V56" s="21"/>
      <c r="W56" s="21"/>
      <c r="X56" s="21"/>
      <c r="Y56" s="21"/>
      <c r="Z56" s="21"/>
    </row>
    <row r="57" ht="17.25" hidden="1" customHeight="1">
      <c r="A57" s="8"/>
      <c r="B57" s="61"/>
      <c r="C57" s="61"/>
      <c r="D57" s="61"/>
      <c r="E57" s="61"/>
      <c r="F57" s="61"/>
      <c r="G57" s="61"/>
      <c r="H57" s="61"/>
      <c r="I57" s="61"/>
      <c r="J57" s="61"/>
      <c r="K57" s="61"/>
      <c r="L57" s="61"/>
      <c r="M57" s="61"/>
      <c r="N57" s="61"/>
      <c r="O57" s="61"/>
      <c r="P57" s="61"/>
      <c r="Q57" s="17"/>
      <c r="R57" s="17"/>
      <c r="S57" s="61"/>
      <c r="T57" s="21"/>
      <c r="U57" s="21"/>
      <c r="V57" s="21"/>
      <c r="W57" s="21"/>
      <c r="X57" s="21"/>
      <c r="Y57" s="21"/>
      <c r="Z57" s="21"/>
    </row>
    <row r="58" ht="17.25" hidden="1" customHeight="1">
      <c r="A58" s="8"/>
      <c r="B58" s="61"/>
      <c r="C58" s="61"/>
      <c r="D58" s="61"/>
      <c r="E58" s="61"/>
      <c r="F58" s="61"/>
      <c r="G58" s="61"/>
      <c r="H58" s="61"/>
      <c r="I58" s="61"/>
      <c r="J58" s="61"/>
      <c r="K58" s="61"/>
      <c r="L58" s="61"/>
      <c r="M58" s="61"/>
      <c r="N58" s="61"/>
      <c r="O58" s="61"/>
      <c r="P58" s="61"/>
      <c r="Q58" s="17"/>
      <c r="R58" s="17"/>
      <c r="S58" s="61"/>
      <c r="T58" s="21"/>
      <c r="U58" s="21"/>
      <c r="V58" s="21"/>
      <c r="W58" s="21"/>
      <c r="X58" s="21"/>
      <c r="Y58" s="21"/>
      <c r="Z58" s="21"/>
    </row>
    <row r="59" ht="17.25" customHeight="1">
      <c r="A59" s="17"/>
      <c r="B59" s="61"/>
      <c r="C59" s="61"/>
      <c r="D59" s="61"/>
      <c r="E59" s="61"/>
      <c r="F59" s="61"/>
      <c r="G59" s="61"/>
      <c r="H59" s="61"/>
      <c r="I59" s="61"/>
      <c r="J59" s="61"/>
      <c r="K59" s="61"/>
      <c r="L59" s="61"/>
      <c r="M59" s="61"/>
      <c r="N59" s="61"/>
      <c r="O59" s="61"/>
      <c r="P59" s="61"/>
      <c r="Q59" s="17"/>
      <c r="R59" s="17"/>
      <c r="S59" s="61"/>
      <c r="T59" s="21"/>
      <c r="U59" s="21"/>
      <c r="V59" s="21"/>
      <c r="W59" s="21"/>
      <c r="X59" s="21"/>
      <c r="Y59" s="21"/>
      <c r="Z59" s="21"/>
    </row>
    <row r="60" ht="17.25" customHeight="1">
      <c r="A60" s="17"/>
      <c r="B60" s="61"/>
      <c r="C60" s="61"/>
      <c r="D60" s="61"/>
      <c r="E60" s="61"/>
      <c r="F60" s="61"/>
      <c r="G60" s="61"/>
      <c r="H60" s="61"/>
      <c r="I60" s="61"/>
      <c r="J60" s="61"/>
      <c r="K60" s="61"/>
      <c r="L60" s="61"/>
      <c r="M60" s="61"/>
      <c r="N60" s="61"/>
      <c r="O60" s="61"/>
      <c r="P60" s="61"/>
      <c r="Q60" s="17"/>
      <c r="R60" s="17"/>
      <c r="S60" s="61"/>
      <c r="T60" s="21"/>
      <c r="U60" s="21"/>
      <c r="V60" s="21"/>
      <c r="W60" s="21"/>
      <c r="X60" s="21"/>
      <c r="Y60" s="21"/>
      <c r="Z60" s="21"/>
    </row>
    <row r="61" ht="17.25" customHeight="1">
      <c r="A61" s="17"/>
      <c r="B61" s="61"/>
      <c r="C61" s="61"/>
      <c r="D61" s="61"/>
      <c r="E61" s="61"/>
      <c r="F61" s="61"/>
      <c r="G61" s="61"/>
      <c r="H61" s="61"/>
      <c r="I61" s="61"/>
      <c r="J61" s="61"/>
      <c r="K61" s="61"/>
      <c r="L61" s="61"/>
      <c r="M61" s="61"/>
      <c r="N61" s="61"/>
      <c r="O61" s="61"/>
      <c r="P61" s="61"/>
      <c r="Q61" s="17"/>
      <c r="R61" s="17"/>
      <c r="S61" s="61"/>
      <c r="T61" s="21"/>
      <c r="U61" s="21"/>
      <c r="V61" s="21"/>
      <c r="W61" s="21"/>
      <c r="X61" s="21"/>
      <c r="Y61" s="21"/>
      <c r="Z61" s="21"/>
    </row>
    <row r="62" ht="17.25" customHeight="1">
      <c r="A62" s="17"/>
      <c r="B62" s="61"/>
      <c r="C62" s="61"/>
      <c r="D62" s="61"/>
      <c r="E62" s="61"/>
      <c r="F62" s="61"/>
      <c r="G62" s="61"/>
      <c r="H62" s="61"/>
      <c r="I62" s="61"/>
      <c r="J62" s="61"/>
      <c r="K62" s="61"/>
      <c r="L62" s="61"/>
      <c r="M62" s="61"/>
      <c r="N62" s="61"/>
      <c r="O62" s="61"/>
      <c r="P62" s="61"/>
      <c r="Q62" s="17"/>
      <c r="R62" s="17"/>
      <c r="S62" s="61"/>
      <c r="T62" s="21"/>
      <c r="U62" s="21"/>
      <c r="V62" s="21"/>
      <c r="W62" s="21"/>
      <c r="X62" s="21"/>
      <c r="Y62" s="21"/>
      <c r="Z62" s="21"/>
    </row>
    <row r="63" ht="17.25" customHeight="1">
      <c r="A63" s="17"/>
      <c r="B63" s="61"/>
      <c r="C63" s="61"/>
      <c r="D63" s="61"/>
      <c r="E63" s="61"/>
      <c r="F63" s="61"/>
      <c r="G63" s="61"/>
      <c r="H63" s="61"/>
      <c r="I63" s="61"/>
      <c r="J63" s="61"/>
      <c r="K63" s="61"/>
      <c r="L63" s="61"/>
      <c r="M63" s="61"/>
      <c r="N63" s="61"/>
      <c r="O63" s="61"/>
      <c r="P63" s="61"/>
      <c r="Q63" s="17"/>
      <c r="R63" s="17"/>
      <c r="S63" s="61"/>
      <c r="T63" s="21"/>
      <c r="U63" s="21"/>
      <c r="V63" s="21"/>
      <c r="W63" s="21"/>
      <c r="X63" s="21"/>
      <c r="Y63" s="21"/>
      <c r="Z63" s="21"/>
    </row>
    <row r="64" ht="17.25" customHeight="1">
      <c r="A64" s="17"/>
      <c r="B64" s="61"/>
      <c r="C64" s="61"/>
      <c r="D64" s="61"/>
      <c r="E64" s="61"/>
      <c r="F64" s="61"/>
      <c r="G64" s="61"/>
      <c r="H64" s="61"/>
      <c r="I64" s="61"/>
      <c r="J64" s="61"/>
      <c r="K64" s="61"/>
      <c r="L64" s="61"/>
      <c r="M64" s="61"/>
      <c r="N64" s="61"/>
      <c r="O64" s="61"/>
      <c r="P64" s="61"/>
      <c r="Q64" s="17"/>
      <c r="R64" s="17"/>
      <c r="S64" s="61"/>
      <c r="T64" s="21"/>
      <c r="U64" s="21"/>
      <c r="V64" s="21"/>
      <c r="W64" s="21"/>
      <c r="X64" s="21"/>
      <c r="Y64" s="21"/>
      <c r="Z64" s="21"/>
    </row>
    <row r="65" ht="17.25" customHeight="1">
      <c r="A65" s="17"/>
      <c r="B65" s="61"/>
      <c r="C65" s="61"/>
      <c r="D65" s="61"/>
      <c r="E65" s="61"/>
      <c r="F65" s="61"/>
      <c r="G65" s="61"/>
      <c r="H65" s="61"/>
      <c r="I65" s="61"/>
      <c r="J65" s="61"/>
      <c r="K65" s="61"/>
      <c r="L65" s="61"/>
      <c r="M65" s="61"/>
      <c r="N65" s="61"/>
      <c r="O65" s="61"/>
      <c r="P65" s="61"/>
      <c r="Q65" s="17"/>
      <c r="R65" s="17"/>
      <c r="S65" s="61"/>
      <c r="T65" s="21"/>
      <c r="U65" s="21"/>
      <c r="V65" s="21"/>
      <c r="W65" s="21"/>
      <c r="X65" s="21"/>
      <c r="Y65" s="21"/>
      <c r="Z65" s="21"/>
    </row>
    <row r="66" ht="17.25" customHeight="1">
      <c r="A66" s="17"/>
      <c r="B66" s="61"/>
      <c r="C66" s="61"/>
      <c r="D66" s="61"/>
      <c r="E66" s="61"/>
      <c r="F66" s="61"/>
      <c r="G66" s="61"/>
      <c r="H66" s="61"/>
      <c r="I66" s="61"/>
      <c r="J66" s="61"/>
      <c r="K66" s="61"/>
      <c r="L66" s="61"/>
      <c r="M66" s="61"/>
      <c r="N66" s="61"/>
      <c r="O66" s="61"/>
      <c r="P66" s="61"/>
      <c r="Q66" s="17"/>
      <c r="R66" s="17"/>
      <c r="S66" s="61"/>
      <c r="T66" s="21"/>
      <c r="U66" s="21"/>
      <c r="V66" s="21"/>
      <c r="W66" s="21"/>
      <c r="X66" s="21"/>
      <c r="Y66" s="21"/>
      <c r="Z66" s="21"/>
    </row>
    <row r="67" ht="17.25" customHeight="1">
      <c r="A67" s="17"/>
      <c r="B67" s="61"/>
      <c r="C67" s="61"/>
      <c r="D67" s="61"/>
      <c r="E67" s="61"/>
      <c r="F67" s="61"/>
      <c r="G67" s="61"/>
      <c r="H67" s="61"/>
      <c r="I67" s="61"/>
      <c r="J67" s="61"/>
      <c r="K67" s="61"/>
      <c r="L67" s="61"/>
      <c r="M67" s="61"/>
      <c r="N67" s="61"/>
      <c r="O67" s="61"/>
      <c r="P67" s="61"/>
      <c r="Q67" s="17"/>
      <c r="R67" s="17"/>
      <c r="S67" s="61"/>
      <c r="T67" s="21"/>
      <c r="U67" s="21"/>
      <c r="V67" s="21"/>
      <c r="W67" s="21"/>
      <c r="X67" s="21"/>
      <c r="Y67" s="21"/>
      <c r="Z67" s="21"/>
    </row>
    <row r="68" ht="17.25" customHeight="1">
      <c r="A68" s="17"/>
      <c r="B68" s="61"/>
      <c r="C68" s="61"/>
      <c r="D68" s="61"/>
      <c r="E68" s="61"/>
      <c r="F68" s="61"/>
      <c r="G68" s="61"/>
      <c r="H68" s="61"/>
      <c r="I68" s="61"/>
      <c r="J68" s="61"/>
      <c r="K68" s="61"/>
      <c r="L68" s="61"/>
      <c r="M68" s="61"/>
      <c r="N68" s="61"/>
      <c r="O68" s="61"/>
      <c r="P68" s="61"/>
      <c r="Q68" s="17"/>
      <c r="R68" s="17"/>
      <c r="S68" s="61"/>
      <c r="T68" s="21"/>
      <c r="U68" s="21"/>
      <c r="V68" s="21"/>
      <c r="W68" s="21"/>
      <c r="X68" s="21"/>
      <c r="Y68" s="21"/>
      <c r="Z68" s="21"/>
    </row>
    <row r="69" ht="17.25" customHeight="1">
      <c r="A69" s="17"/>
      <c r="B69" s="61"/>
      <c r="C69" s="61"/>
      <c r="D69" s="61"/>
      <c r="E69" s="61"/>
      <c r="F69" s="61"/>
      <c r="G69" s="61"/>
      <c r="H69" s="61"/>
      <c r="I69" s="61"/>
      <c r="J69" s="61"/>
      <c r="K69" s="61"/>
      <c r="L69" s="61"/>
      <c r="M69" s="61"/>
      <c r="N69" s="61"/>
      <c r="O69" s="61"/>
      <c r="P69" s="61"/>
      <c r="Q69" s="17"/>
      <c r="R69" s="17"/>
      <c r="S69" s="61"/>
      <c r="T69" s="21"/>
      <c r="U69" s="21"/>
      <c r="V69" s="21"/>
      <c r="W69" s="21"/>
      <c r="X69" s="21"/>
      <c r="Y69" s="21"/>
      <c r="Z69" s="21"/>
    </row>
    <row r="70" ht="17.25" customHeight="1">
      <c r="A70" s="17"/>
      <c r="B70" s="61"/>
      <c r="C70" s="61"/>
      <c r="D70" s="61"/>
      <c r="E70" s="61"/>
      <c r="F70" s="61"/>
      <c r="G70" s="61"/>
      <c r="H70" s="61"/>
      <c r="I70" s="61"/>
      <c r="J70" s="61"/>
      <c r="K70" s="61"/>
      <c r="L70" s="61"/>
      <c r="M70" s="61"/>
      <c r="N70" s="61"/>
      <c r="O70" s="61"/>
      <c r="P70" s="61"/>
      <c r="Q70" s="17"/>
      <c r="R70" s="17"/>
      <c r="S70" s="61"/>
      <c r="T70" s="21"/>
      <c r="U70" s="21"/>
      <c r="V70" s="21"/>
      <c r="W70" s="21"/>
      <c r="X70" s="21"/>
      <c r="Y70" s="21"/>
      <c r="Z70" s="21"/>
    </row>
    <row r="71" ht="17.25" customHeight="1">
      <c r="A71" s="17"/>
      <c r="B71" s="61"/>
      <c r="C71" s="61"/>
      <c r="D71" s="61"/>
      <c r="E71" s="61"/>
      <c r="F71" s="61"/>
      <c r="G71" s="61"/>
      <c r="H71" s="61"/>
      <c r="I71" s="61"/>
      <c r="J71" s="61"/>
      <c r="K71" s="61"/>
      <c r="L71" s="61"/>
      <c r="M71" s="61"/>
      <c r="N71" s="61"/>
      <c r="O71" s="61"/>
      <c r="P71" s="61"/>
      <c r="Q71" s="17"/>
      <c r="R71" s="17"/>
      <c r="S71" s="61"/>
      <c r="T71" s="21"/>
      <c r="U71" s="21"/>
      <c r="V71" s="21"/>
      <c r="W71" s="21"/>
      <c r="X71" s="21"/>
      <c r="Y71" s="21"/>
      <c r="Z71" s="21"/>
    </row>
    <row r="72" ht="17.25" customHeight="1">
      <c r="A72" s="17"/>
      <c r="B72" s="61"/>
      <c r="C72" s="61"/>
      <c r="D72" s="61"/>
      <c r="E72" s="61"/>
      <c r="F72" s="61"/>
      <c r="G72" s="61"/>
      <c r="H72" s="61"/>
      <c r="I72" s="61"/>
      <c r="J72" s="61"/>
      <c r="K72" s="61"/>
      <c r="L72" s="61"/>
      <c r="M72" s="61"/>
      <c r="N72" s="61"/>
      <c r="O72" s="61"/>
      <c r="P72" s="61"/>
      <c r="Q72" s="17"/>
      <c r="R72" s="17"/>
      <c r="S72" s="61"/>
      <c r="T72" s="21"/>
      <c r="U72" s="21"/>
      <c r="V72" s="21"/>
      <c r="W72" s="21"/>
      <c r="X72" s="21"/>
      <c r="Y72" s="21"/>
      <c r="Z72" s="21"/>
    </row>
    <row r="73" ht="17.25" customHeight="1">
      <c r="A73" s="17"/>
      <c r="B73" s="61"/>
      <c r="C73" s="61"/>
      <c r="D73" s="61"/>
      <c r="E73" s="61"/>
      <c r="F73" s="61"/>
      <c r="G73" s="61"/>
      <c r="H73" s="61"/>
      <c r="I73" s="61"/>
      <c r="J73" s="61"/>
      <c r="K73" s="61"/>
      <c r="L73" s="61"/>
      <c r="M73" s="61"/>
      <c r="N73" s="61"/>
      <c r="O73" s="61"/>
      <c r="P73" s="61"/>
      <c r="Q73" s="17"/>
      <c r="R73" s="17"/>
      <c r="S73" s="61"/>
      <c r="T73" s="21"/>
      <c r="U73" s="21"/>
      <c r="V73" s="21"/>
      <c r="W73" s="21"/>
      <c r="X73" s="21"/>
      <c r="Y73" s="21"/>
      <c r="Z73" s="21"/>
    </row>
    <row r="74" ht="17.25" customHeight="1">
      <c r="A74" s="17"/>
      <c r="B74" s="61"/>
      <c r="C74" s="61"/>
      <c r="D74" s="61"/>
      <c r="E74" s="61"/>
      <c r="F74" s="61"/>
      <c r="G74" s="61"/>
      <c r="H74" s="61"/>
      <c r="I74" s="61"/>
      <c r="J74" s="61"/>
      <c r="K74" s="61"/>
      <c r="L74" s="61"/>
      <c r="M74" s="61"/>
      <c r="N74" s="61"/>
      <c r="O74" s="61"/>
      <c r="P74" s="61"/>
      <c r="Q74" s="17"/>
      <c r="R74" s="17"/>
      <c r="S74" s="61"/>
      <c r="T74" s="21"/>
      <c r="U74" s="21"/>
      <c r="V74" s="21"/>
      <c r="W74" s="21"/>
      <c r="X74" s="21"/>
      <c r="Y74" s="21"/>
      <c r="Z74" s="21"/>
    </row>
    <row r="75" ht="17.25" customHeight="1">
      <c r="A75" s="17"/>
      <c r="B75" s="61"/>
      <c r="C75" s="61"/>
      <c r="D75" s="61"/>
      <c r="E75" s="61"/>
      <c r="F75" s="61"/>
      <c r="G75" s="61"/>
      <c r="H75" s="61"/>
      <c r="I75" s="61"/>
      <c r="J75" s="61"/>
      <c r="K75" s="61"/>
      <c r="L75" s="61"/>
      <c r="M75" s="61"/>
      <c r="N75" s="61"/>
      <c r="O75" s="61"/>
      <c r="P75" s="61"/>
      <c r="Q75" s="17"/>
      <c r="R75" s="17"/>
      <c r="S75" s="61"/>
      <c r="T75" s="21"/>
      <c r="U75" s="21"/>
      <c r="V75" s="21"/>
      <c r="W75" s="21"/>
      <c r="X75" s="21"/>
      <c r="Y75" s="21"/>
      <c r="Z75" s="21"/>
    </row>
    <row r="76" ht="17.25" customHeight="1">
      <c r="A76" s="17"/>
      <c r="B76" s="61"/>
      <c r="C76" s="61"/>
      <c r="D76" s="61"/>
      <c r="E76" s="61"/>
      <c r="F76" s="61"/>
      <c r="G76" s="61"/>
      <c r="H76" s="61"/>
      <c r="I76" s="61"/>
      <c r="J76" s="61"/>
      <c r="K76" s="61"/>
      <c r="L76" s="61"/>
      <c r="M76" s="61"/>
      <c r="N76" s="61"/>
      <c r="O76" s="61"/>
      <c r="P76" s="61"/>
      <c r="Q76" s="17"/>
      <c r="R76" s="17"/>
      <c r="S76" s="61"/>
      <c r="T76" s="21"/>
      <c r="U76" s="21"/>
      <c r="V76" s="21"/>
      <c r="W76" s="21"/>
      <c r="X76" s="21"/>
      <c r="Y76" s="21"/>
      <c r="Z76" s="21"/>
    </row>
    <row r="77" ht="17.25" customHeight="1">
      <c r="A77" s="17"/>
      <c r="B77" s="61"/>
      <c r="C77" s="61"/>
      <c r="D77" s="61"/>
      <c r="E77" s="61"/>
      <c r="F77" s="61"/>
      <c r="G77" s="61"/>
      <c r="H77" s="61"/>
      <c r="I77" s="61"/>
      <c r="J77" s="61"/>
      <c r="K77" s="61"/>
      <c r="L77" s="61"/>
      <c r="M77" s="61"/>
      <c r="N77" s="61"/>
      <c r="O77" s="61"/>
      <c r="P77" s="61"/>
      <c r="Q77" s="17"/>
      <c r="R77" s="17"/>
      <c r="S77" s="61"/>
      <c r="T77" s="21"/>
      <c r="U77" s="21"/>
      <c r="V77" s="21"/>
      <c r="W77" s="21"/>
      <c r="X77" s="21"/>
      <c r="Y77" s="21"/>
      <c r="Z77" s="21"/>
    </row>
    <row r="78" ht="17.25" customHeight="1">
      <c r="A78" s="17"/>
      <c r="B78" s="61"/>
      <c r="C78" s="61"/>
      <c r="D78" s="61"/>
      <c r="E78" s="61"/>
      <c r="F78" s="61"/>
      <c r="G78" s="61"/>
      <c r="H78" s="61"/>
      <c r="I78" s="61"/>
      <c r="J78" s="61"/>
      <c r="K78" s="61"/>
      <c r="L78" s="61"/>
      <c r="M78" s="61"/>
      <c r="N78" s="61"/>
      <c r="O78" s="61"/>
      <c r="P78" s="61"/>
      <c r="Q78" s="17"/>
      <c r="R78" s="17"/>
      <c r="S78" s="61"/>
      <c r="T78" s="21"/>
      <c r="U78" s="21"/>
      <c r="V78" s="21"/>
      <c r="W78" s="21"/>
      <c r="X78" s="21"/>
      <c r="Y78" s="21"/>
      <c r="Z78" s="21"/>
    </row>
    <row r="79" ht="17.25" customHeight="1">
      <c r="A79" s="17"/>
      <c r="B79" s="61"/>
      <c r="C79" s="61"/>
      <c r="D79" s="61"/>
      <c r="E79" s="61"/>
      <c r="F79" s="61"/>
      <c r="G79" s="61"/>
      <c r="H79" s="61"/>
      <c r="I79" s="61"/>
      <c r="J79" s="61"/>
      <c r="K79" s="61"/>
      <c r="L79" s="61"/>
      <c r="M79" s="61"/>
      <c r="N79" s="61"/>
      <c r="O79" s="61"/>
      <c r="P79" s="61"/>
      <c r="Q79" s="17"/>
      <c r="R79" s="17"/>
      <c r="S79" s="61"/>
      <c r="T79" s="21"/>
      <c r="U79" s="21"/>
      <c r="V79" s="21"/>
      <c r="W79" s="21"/>
      <c r="X79" s="21"/>
      <c r="Y79" s="21"/>
      <c r="Z79" s="21"/>
    </row>
    <row r="80" ht="17.25" customHeight="1">
      <c r="A80" s="17"/>
      <c r="B80" s="61"/>
      <c r="C80" s="61"/>
      <c r="D80" s="61"/>
      <c r="E80" s="61"/>
      <c r="F80" s="61"/>
      <c r="G80" s="61"/>
      <c r="H80" s="61"/>
      <c r="I80" s="61"/>
      <c r="J80" s="61"/>
      <c r="K80" s="61"/>
      <c r="L80" s="61"/>
      <c r="M80" s="61"/>
      <c r="N80" s="61"/>
      <c r="O80" s="61"/>
      <c r="P80" s="61"/>
      <c r="Q80" s="17"/>
      <c r="R80" s="17"/>
      <c r="S80" s="61"/>
      <c r="T80" s="21"/>
      <c r="U80" s="21"/>
      <c r="V80" s="21"/>
      <c r="W80" s="21"/>
      <c r="X80" s="21"/>
      <c r="Y80" s="21"/>
      <c r="Z80" s="21"/>
    </row>
    <row r="81" ht="17.25" customHeight="1">
      <c r="A81" s="17"/>
      <c r="B81" s="61"/>
      <c r="C81" s="61"/>
      <c r="D81" s="61"/>
      <c r="E81" s="61"/>
      <c r="F81" s="61"/>
      <c r="G81" s="61"/>
      <c r="H81" s="61"/>
      <c r="I81" s="61"/>
      <c r="J81" s="61"/>
      <c r="K81" s="61"/>
      <c r="L81" s="61"/>
      <c r="M81" s="61"/>
      <c r="N81" s="61"/>
      <c r="O81" s="61"/>
      <c r="P81" s="61"/>
      <c r="Q81" s="17"/>
      <c r="R81" s="17"/>
      <c r="S81" s="61"/>
      <c r="T81" s="21"/>
      <c r="U81" s="21"/>
      <c r="V81" s="21"/>
      <c r="W81" s="21"/>
      <c r="X81" s="21"/>
      <c r="Y81" s="21"/>
      <c r="Z81" s="21"/>
    </row>
    <row r="82" ht="17.25" customHeight="1">
      <c r="A82" s="17"/>
      <c r="B82" s="61"/>
      <c r="C82" s="61"/>
      <c r="D82" s="61"/>
      <c r="E82" s="61"/>
      <c r="F82" s="61"/>
      <c r="G82" s="61"/>
      <c r="H82" s="61"/>
      <c r="I82" s="61"/>
      <c r="J82" s="61"/>
      <c r="K82" s="61"/>
      <c r="L82" s="61"/>
      <c r="M82" s="61"/>
      <c r="N82" s="61"/>
      <c r="O82" s="61"/>
      <c r="P82" s="61"/>
      <c r="Q82" s="17"/>
      <c r="R82" s="17"/>
      <c r="S82" s="61"/>
      <c r="T82" s="21"/>
      <c r="U82" s="21"/>
      <c r="V82" s="21"/>
      <c r="W82" s="21"/>
      <c r="X82" s="21"/>
      <c r="Y82" s="21"/>
      <c r="Z82" s="21"/>
    </row>
    <row r="83" ht="17.25" customHeight="1">
      <c r="A83" s="17"/>
      <c r="B83" s="61"/>
      <c r="C83" s="61"/>
      <c r="D83" s="61"/>
      <c r="E83" s="61"/>
      <c r="F83" s="61"/>
      <c r="G83" s="61"/>
      <c r="H83" s="61"/>
      <c r="I83" s="61"/>
      <c r="J83" s="61"/>
      <c r="K83" s="61"/>
      <c r="L83" s="61"/>
      <c r="M83" s="61"/>
      <c r="N83" s="61"/>
      <c r="O83" s="61"/>
      <c r="P83" s="61"/>
      <c r="Q83" s="17"/>
      <c r="R83" s="17"/>
      <c r="S83" s="61"/>
      <c r="T83" s="21"/>
      <c r="U83" s="21"/>
      <c r="V83" s="21"/>
      <c r="W83" s="21"/>
      <c r="X83" s="21"/>
      <c r="Y83" s="21"/>
      <c r="Z83" s="21"/>
    </row>
    <row r="84" ht="17.25" customHeight="1">
      <c r="A84" s="17"/>
      <c r="B84" s="61"/>
      <c r="C84" s="61"/>
      <c r="D84" s="61"/>
      <c r="E84" s="61"/>
      <c r="F84" s="61"/>
      <c r="G84" s="61"/>
      <c r="H84" s="61"/>
      <c r="I84" s="61"/>
      <c r="J84" s="61"/>
      <c r="K84" s="61"/>
      <c r="L84" s="61"/>
      <c r="M84" s="61"/>
      <c r="N84" s="61"/>
      <c r="O84" s="61"/>
      <c r="P84" s="61"/>
      <c r="Q84" s="17"/>
      <c r="R84" s="17"/>
      <c r="S84" s="61"/>
      <c r="T84" s="21"/>
      <c r="U84" s="21"/>
      <c r="V84" s="21"/>
      <c r="W84" s="21"/>
      <c r="X84" s="21"/>
      <c r="Y84" s="21"/>
      <c r="Z84" s="21"/>
    </row>
    <row r="85" ht="17.25" customHeight="1">
      <c r="A85" s="17"/>
      <c r="B85" s="61"/>
      <c r="C85" s="61"/>
      <c r="D85" s="61"/>
      <c r="E85" s="61"/>
      <c r="F85" s="61"/>
      <c r="G85" s="61"/>
      <c r="H85" s="61"/>
      <c r="I85" s="61"/>
      <c r="J85" s="61"/>
      <c r="K85" s="61"/>
      <c r="L85" s="61"/>
      <c r="M85" s="61"/>
      <c r="N85" s="61"/>
      <c r="O85" s="61"/>
      <c r="P85" s="61"/>
      <c r="Q85" s="17"/>
      <c r="R85" s="17"/>
      <c r="S85" s="61"/>
      <c r="T85" s="21"/>
      <c r="U85" s="21"/>
      <c r="V85" s="21"/>
      <c r="W85" s="21"/>
      <c r="X85" s="21"/>
      <c r="Y85" s="21"/>
      <c r="Z85" s="21"/>
    </row>
    <row r="86" ht="17.25" customHeight="1">
      <c r="A86" s="17"/>
      <c r="B86" s="61"/>
      <c r="C86" s="61"/>
      <c r="D86" s="61"/>
      <c r="E86" s="61"/>
      <c r="F86" s="61"/>
      <c r="G86" s="61"/>
      <c r="H86" s="61"/>
      <c r="I86" s="61"/>
      <c r="J86" s="61"/>
      <c r="K86" s="61"/>
      <c r="L86" s="61"/>
      <c r="M86" s="61"/>
      <c r="N86" s="61"/>
      <c r="O86" s="61"/>
      <c r="P86" s="61"/>
      <c r="Q86" s="17"/>
      <c r="R86" s="17"/>
      <c r="S86" s="61"/>
      <c r="T86" s="21"/>
      <c r="U86" s="21"/>
      <c r="V86" s="21"/>
      <c r="W86" s="21"/>
      <c r="X86" s="21"/>
      <c r="Y86" s="21"/>
      <c r="Z86" s="21"/>
    </row>
    <row r="87" ht="17.25" customHeight="1">
      <c r="A87" s="17"/>
      <c r="B87" s="61"/>
      <c r="C87" s="61"/>
      <c r="D87" s="61"/>
      <c r="E87" s="61"/>
      <c r="F87" s="61"/>
      <c r="G87" s="61"/>
      <c r="H87" s="61"/>
      <c r="I87" s="61"/>
      <c r="J87" s="61"/>
      <c r="K87" s="61"/>
      <c r="L87" s="61"/>
      <c r="M87" s="61"/>
      <c r="N87" s="61"/>
      <c r="O87" s="61"/>
      <c r="P87" s="61"/>
      <c r="Q87" s="17"/>
      <c r="R87" s="17"/>
      <c r="S87" s="61"/>
      <c r="T87" s="21"/>
      <c r="U87" s="21"/>
      <c r="V87" s="21"/>
      <c r="W87" s="21"/>
      <c r="X87" s="21"/>
      <c r="Y87" s="21"/>
      <c r="Z87" s="21"/>
    </row>
    <row r="88" ht="17.25" customHeight="1">
      <c r="A88" s="17"/>
      <c r="B88" s="61"/>
      <c r="C88" s="61"/>
      <c r="D88" s="61"/>
      <c r="E88" s="61"/>
      <c r="F88" s="61"/>
      <c r="G88" s="61"/>
      <c r="H88" s="61"/>
      <c r="I88" s="61"/>
      <c r="J88" s="61"/>
      <c r="K88" s="61"/>
      <c r="L88" s="61"/>
      <c r="M88" s="61"/>
      <c r="N88" s="61"/>
      <c r="O88" s="61"/>
      <c r="P88" s="61"/>
      <c r="Q88" s="17"/>
      <c r="R88" s="17"/>
      <c r="S88" s="61"/>
      <c r="T88" s="21"/>
      <c r="U88" s="21"/>
      <c r="V88" s="21"/>
      <c r="W88" s="21"/>
      <c r="X88" s="21"/>
      <c r="Y88" s="21"/>
      <c r="Z88" s="21"/>
    </row>
    <row r="89" ht="17.25" customHeight="1">
      <c r="A89" s="17"/>
      <c r="B89" s="61"/>
      <c r="C89" s="61"/>
      <c r="D89" s="61"/>
      <c r="E89" s="61"/>
      <c r="F89" s="61"/>
      <c r="G89" s="61"/>
      <c r="H89" s="61"/>
      <c r="I89" s="61"/>
      <c r="J89" s="61"/>
      <c r="K89" s="61"/>
      <c r="L89" s="61"/>
      <c r="M89" s="61"/>
      <c r="N89" s="61"/>
      <c r="O89" s="61"/>
      <c r="P89" s="61"/>
      <c r="Q89" s="17"/>
      <c r="R89" s="17"/>
      <c r="S89" s="61"/>
      <c r="T89" s="21"/>
      <c r="U89" s="21"/>
      <c r="V89" s="21"/>
      <c r="W89" s="21"/>
      <c r="X89" s="21"/>
      <c r="Y89" s="21"/>
      <c r="Z89" s="21"/>
    </row>
    <row r="90" ht="17.25" customHeight="1">
      <c r="A90" s="17"/>
      <c r="B90" s="61"/>
      <c r="C90" s="61"/>
      <c r="D90" s="61"/>
      <c r="E90" s="61"/>
      <c r="F90" s="61"/>
      <c r="G90" s="61"/>
      <c r="H90" s="61"/>
      <c r="I90" s="61"/>
      <c r="J90" s="61"/>
      <c r="K90" s="61"/>
      <c r="L90" s="61"/>
      <c r="M90" s="61"/>
      <c r="N90" s="61"/>
      <c r="O90" s="61"/>
      <c r="P90" s="61"/>
      <c r="Q90" s="17"/>
      <c r="R90" s="17"/>
      <c r="S90" s="61"/>
      <c r="T90" s="21"/>
      <c r="U90" s="21"/>
      <c r="V90" s="21"/>
      <c r="W90" s="21"/>
      <c r="X90" s="21"/>
      <c r="Y90" s="21"/>
      <c r="Z90" s="21"/>
    </row>
    <row r="91" ht="17.25" customHeight="1">
      <c r="A91" s="17"/>
      <c r="B91" s="61"/>
      <c r="C91" s="61"/>
      <c r="D91" s="61"/>
      <c r="E91" s="61"/>
      <c r="F91" s="61"/>
      <c r="G91" s="61"/>
      <c r="H91" s="61"/>
      <c r="I91" s="61"/>
      <c r="J91" s="61"/>
      <c r="K91" s="61"/>
      <c r="L91" s="61"/>
      <c r="M91" s="61"/>
      <c r="N91" s="61"/>
      <c r="O91" s="61"/>
      <c r="P91" s="61"/>
      <c r="Q91" s="17"/>
      <c r="R91" s="17"/>
      <c r="S91" s="61"/>
      <c r="T91" s="21"/>
      <c r="U91" s="21"/>
      <c r="V91" s="21"/>
      <c r="W91" s="21"/>
      <c r="X91" s="21"/>
      <c r="Y91" s="21"/>
      <c r="Z91" s="21"/>
    </row>
    <row r="92" ht="17.25" customHeight="1">
      <c r="A92" s="17"/>
      <c r="B92" s="61"/>
      <c r="C92" s="61"/>
      <c r="D92" s="61"/>
      <c r="E92" s="61"/>
      <c r="F92" s="61"/>
      <c r="G92" s="61"/>
      <c r="H92" s="61"/>
      <c r="I92" s="61"/>
      <c r="J92" s="61"/>
      <c r="K92" s="61"/>
      <c r="L92" s="61"/>
      <c r="M92" s="61"/>
      <c r="N92" s="61"/>
      <c r="O92" s="61"/>
      <c r="P92" s="61"/>
      <c r="Q92" s="17"/>
      <c r="R92" s="17"/>
      <c r="S92" s="61"/>
      <c r="T92" s="21"/>
      <c r="U92" s="21"/>
      <c r="V92" s="21"/>
      <c r="W92" s="21"/>
      <c r="X92" s="21"/>
      <c r="Y92" s="21"/>
      <c r="Z92" s="21"/>
    </row>
    <row r="93" ht="17.25" customHeight="1">
      <c r="A93" s="17"/>
      <c r="B93" s="61"/>
      <c r="C93" s="61"/>
      <c r="D93" s="61"/>
      <c r="E93" s="61"/>
      <c r="F93" s="61"/>
      <c r="G93" s="61"/>
      <c r="H93" s="61"/>
      <c r="I93" s="61"/>
      <c r="J93" s="61"/>
      <c r="K93" s="61"/>
      <c r="L93" s="61"/>
      <c r="M93" s="61"/>
      <c r="N93" s="61"/>
      <c r="O93" s="61"/>
      <c r="P93" s="61"/>
      <c r="Q93" s="17"/>
      <c r="R93" s="17"/>
      <c r="S93" s="61"/>
      <c r="T93" s="21"/>
      <c r="U93" s="21"/>
      <c r="V93" s="21"/>
      <c r="W93" s="21"/>
      <c r="X93" s="21"/>
      <c r="Y93" s="21"/>
      <c r="Z93" s="21"/>
    </row>
    <row r="94" ht="17.25" customHeight="1">
      <c r="A94" s="17"/>
      <c r="B94" s="61"/>
      <c r="C94" s="61"/>
      <c r="D94" s="61"/>
      <c r="E94" s="61"/>
      <c r="F94" s="61"/>
      <c r="G94" s="61"/>
      <c r="H94" s="61"/>
      <c r="I94" s="61"/>
      <c r="J94" s="61"/>
      <c r="K94" s="61"/>
      <c r="L94" s="61"/>
      <c r="M94" s="61"/>
      <c r="N94" s="61"/>
      <c r="O94" s="61"/>
      <c r="P94" s="61"/>
      <c r="Q94" s="17"/>
      <c r="R94" s="17"/>
      <c r="S94" s="61"/>
      <c r="T94" s="21"/>
      <c r="U94" s="21"/>
      <c r="V94" s="21"/>
      <c r="W94" s="21"/>
      <c r="X94" s="21"/>
      <c r="Y94" s="21"/>
      <c r="Z94" s="21"/>
    </row>
    <row r="95" ht="17.25" customHeight="1">
      <c r="A95" s="17"/>
      <c r="B95" s="61"/>
      <c r="C95" s="61"/>
      <c r="D95" s="61"/>
      <c r="E95" s="61"/>
      <c r="F95" s="61"/>
      <c r="G95" s="61"/>
      <c r="H95" s="61"/>
      <c r="I95" s="61"/>
      <c r="J95" s="61"/>
      <c r="K95" s="61"/>
      <c r="L95" s="61"/>
      <c r="M95" s="61"/>
      <c r="N95" s="61"/>
      <c r="O95" s="61"/>
      <c r="P95" s="61"/>
      <c r="Q95" s="17"/>
      <c r="R95" s="17"/>
      <c r="S95" s="61"/>
      <c r="T95" s="21"/>
      <c r="U95" s="21"/>
      <c r="V95" s="21"/>
      <c r="W95" s="21"/>
      <c r="X95" s="21"/>
      <c r="Y95" s="21"/>
      <c r="Z95" s="21"/>
    </row>
    <row r="96" ht="17.25" customHeight="1">
      <c r="A96" s="17"/>
      <c r="B96" s="61"/>
      <c r="C96" s="61"/>
      <c r="D96" s="61"/>
      <c r="E96" s="61"/>
      <c r="F96" s="61"/>
      <c r="G96" s="61"/>
      <c r="H96" s="61"/>
      <c r="I96" s="61"/>
      <c r="J96" s="61"/>
      <c r="K96" s="61"/>
      <c r="L96" s="61"/>
      <c r="M96" s="61"/>
      <c r="N96" s="61"/>
      <c r="O96" s="61"/>
      <c r="P96" s="61"/>
      <c r="Q96" s="17"/>
      <c r="R96" s="17"/>
      <c r="S96" s="61"/>
      <c r="T96" s="21"/>
      <c r="U96" s="21"/>
      <c r="V96" s="21"/>
      <c r="W96" s="21"/>
      <c r="X96" s="21"/>
      <c r="Y96" s="21"/>
      <c r="Z96" s="21"/>
    </row>
    <row r="97" ht="17.25" customHeight="1">
      <c r="A97" s="17"/>
      <c r="B97" s="61"/>
      <c r="C97" s="61"/>
      <c r="D97" s="61"/>
      <c r="E97" s="61"/>
      <c r="F97" s="61"/>
      <c r="G97" s="61"/>
      <c r="H97" s="61"/>
      <c r="I97" s="61"/>
      <c r="J97" s="61"/>
      <c r="K97" s="61"/>
      <c r="L97" s="61"/>
      <c r="M97" s="61"/>
      <c r="N97" s="61"/>
      <c r="O97" s="61"/>
      <c r="P97" s="61"/>
      <c r="Q97" s="17"/>
      <c r="R97" s="17"/>
      <c r="S97" s="61"/>
      <c r="T97" s="21"/>
      <c r="U97" s="21"/>
      <c r="V97" s="21"/>
      <c r="W97" s="21"/>
      <c r="X97" s="21"/>
      <c r="Y97" s="21"/>
      <c r="Z97" s="21"/>
    </row>
    <row r="98" ht="17.25" customHeight="1">
      <c r="A98" s="17"/>
      <c r="B98" s="61"/>
      <c r="C98" s="61"/>
      <c r="D98" s="61"/>
      <c r="E98" s="61"/>
      <c r="F98" s="61"/>
      <c r="G98" s="61"/>
      <c r="H98" s="61"/>
      <c r="I98" s="61"/>
      <c r="J98" s="61"/>
      <c r="K98" s="61"/>
      <c r="L98" s="61"/>
      <c r="M98" s="61"/>
      <c r="N98" s="61"/>
      <c r="O98" s="61"/>
      <c r="P98" s="61"/>
      <c r="Q98" s="17"/>
      <c r="R98" s="17"/>
      <c r="S98" s="61"/>
      <c r="T98" s="21"/>
      <c r="U98" s="21"/>
      <c r="V98" s="21"/>
      <c r="W98" s="21"/>
      <c r="X98" s="21"/>
      <c r="Y98" s="21"/>
      <c r="Z98" s="21"/>
    </row>
    <row r="99" ht="17.25" customHeight="1">
      <c r="A99" s="17"/>
      <c r="B99" s="61"/>
      <c r="C99" s="61"/>
      <c r="D99" s="61"/>
      <c r="E99" s="61"/>
      <c r="F99" s="61"/>
      <c r="G99" s="61"/>
      <c r="H99" s="61"/>
      <c r="I99" s="61"/>
      <c r="J99" s="61"/>
      <c r="K99" s="61"/>
      <c r="L99" s="61"/>
      <c r="M99" s="61"/>
      <c r="N99" s="61"/>
      <c r="O99" s="61"/>
      <c r="P99" s="61"/>
      <c r="Q99" s="17"/>
      <c r="R99" s="17"/>
      <c r="S99" s="61"/>
      <c r="T99" s="21"/>
      <c r="U99" s="21"/>
      <c r="V99" s="21"/>
      <c r="W99" s="21"/>
      <c r="X99" s="21"/>
      <c r="Y99" s="21"/>
      <c r="Z99" s="21"/>
    </row>
    <row r="100" ht="17.25" customHeight="1">
      <c r="A100" s="17"/>
      <c r="B100" s="61"/>
      <c r="C100" s="61"/>
      <c r="D100" s="61"/>
      <c r="E100" s="61"/>
      <c r="F100" s="61"/>
      <c r="G100" s="61"/>
      <c r="H100" s="61"/>
      <c r="I100" s="61"/>
      <c r="J100" s="61"/>
      <c r="K100" s="61"/>
      <c r="L100" s="61"/>
      <c r="M100" s="61"/>
      <c r="N100" s="61"/>
      <c r="O100" s="61"/>
      <c r="P100" s="61"/>
      <c r="Q100" s="17"/>
      <c r="R100" s="17"/>
      <c r="S100" s="61"/>
      <c r="T100" s="21"/>
      <c r="U100" s="21"/>
      <c r="V100" s="21"/>
      <c r="W100" s="21"/>
      <c r="X100" s="21"/>
      <c r="Y100" s="21"/>
      <c r="Z100" s="21"/>
    </row>
    <row r="101" ht="17.25" customHeight="1">
      <c r="A101" s="17"/>
      <c r="B101" s="61"/>
      <c r="C101" s="61"/>
      <c r="D101" s="61"/>
      <c r="E101" s="61"/>
      <c r="F101" s="61"/>
      <c r="G101" s="61"/>
      <c r="H101" s="61"/>
      <c r="I101" s="61"/>
      <c r="J101" s="61"/>
      <c r="K101" s="61"/>
      <c r="L101" s="61"/>
      <c r="M101" s="61"/>
      <c r="N101" s="61"/>
      <c r="O101" s="61"/>
      <c r="P101" s="61"/>
      <c r="Q101" s="17"/>
      <c r="R101" s="17"/>
      <c r="S101" s="61"/>
      <c r="T101" s="21"/>
      <c r="U101" s="21"/>
      <c r="V101" s="21"/>
      <c r="W101" s="21"/>
      <c r="X101" s="21"/>
      <c r="Y101" s="21"/>
      <c r="Z101" s="21"/>
    </row>
    <row r="102" ht="17.25" customHeight="1">
      <c r="A102" s="17"/>
      <c r="B102" s="61"/>
      <c r="C102" s="61"/>
      <c r="D102" s="61"/>
      <c r="E102" s="61"/>
      <c r="F102" s="61"/>
      <c r="G102" s="61"/>
      <c r="H102" s="61"/>
      <c r="I102" s="61"/>
      <c r="J102" s="61"/>
      <c r="K102" s="61"/>
      <c r="L102" s="61"/>
      <c r="M102" s="61"/>
      <c r="N102" s="61"/>
      <c r="O102" s="61"/>
      <c r="P102" s="61"/>
      <c r="Q102" s="17"/>
      <c r="R102" s="17"/>
      <c r="S102" s="61"/>
      <c r="T102" s="21"/>
      <c r="U102" s="21"/>
      <c r="V102" s="21"/>
      <c r="W102" s="21"/>
      <c r="X102" s="21"/>
      <c r="Y102" s="21"/>
      <c r="Z102" s="21"/>
    </row>
    <row r="103" ht="17.25" customHeight="1">
      <c r="A103" s="17"/>
      <c r="B103" s="61"/>
      <c r="C103" s="61"/>
      <c r="D103" s="61"/>
      <c r="E103" s="61"/>
      <c r="F103" s="61"/>
      <c r="G103" s="61"/>
      <c r="H103" s="61"/>
      <c r="I103" s="61"/>
      <c r="J103" s="61"/>
      <c r="K103" s="61"/>
      <c r="L103" s="61"/>
      <c r="M103" s="61"/>
      <c r="N103" s="61"/>
      <c r="O103" s="61"/>
      <c r="P103" s="61"/>
      <c r="Q103" s="17"/>
      <c r="R103" s="17"/>
      <c r="S103" s="61"/>
      <c r="T103" s="21"/>
      <c r="U103" s="21"/>
      <c r="V103" s="21"/>
      <c r="W103" s="21"/>
      <c r="X103" s="21"/>
      <c r="Y103" s="21"/>
      <c r="Z103" s="21"/>
    </row>
    <row r="104" ht="17.25" customHeight="1">
      <c r="A104" s="17"/>
      <c r="B104" s="61"/>
      <c r="C104" s="61"/>
      <c r="D104" s="61"/>
      <c r="E104" s="61"/>
      <c r="F104" s="61"/>
      <c r="G104" s="61"/>
      <c r="H104" s="61"/>
      <c r="I104" s="61"/>
      <c r="J104" s="61"/>
      <c r="K104" s="61"/>
      <c r="L104" s="61"/>
      <c r="M104" s="61"/>
      <c r="N104" s="61"/>
      <c r="O104" s="61"/>
      <c r="P104" s="61"/>
      <c r="Q104" s="17"/>
      <c r="R104" s="17"/>
      <c r="S104" s="61"/>
      <c r="T104" s="21"/>
      <c r="U104" s="21"/>
      <c r="V104" s="21"/>
      <c r="W104" s="21"/>
      <c r="X104" s="21"/>
      <c r="Y104" s="21"/>
      <c r="Z104" s="21"/>
    </row>
    <row r="105" ht="17.25" customHeight="1">
      <c r="A105" s="17"/>
      <c r="B105" s="61"/>
      <c r="C105" s="61"/>
      <c r="D105" s="61"/>
      <c r="E105" s="61"/>
      <c r="F105" s="61"/>
      <c r="G105" s="61"/>
      <c r="H105" s="61"/>
      <c r="I105" s="61"/>
      <c r="J105" s="61"/>
      <c r="K105" s="61"/>
      <c r="L105" s="61"/>
      <c r="M105" s="61"/>
      <c r="N105" s="61"/>
      <c r="O105" s="61"/>
      <c r="P105" s="61"/>
      <c r="Q105" s="17"/>
      <c r="R105" s="17"/>
      <c r="S105" s="61"/>
      <c r="T105" s="21"/>
      <c r="U105" s="21"/>
      <c r="V105" s="21"/>
      <c r="W105" s="21"/>
      <c r="X105" s="21"/>
      <c r="Y105" s="21"/>
      <c r="Z105" s="21"/>
    </row>
    <row r="106" ht="17.25" customHeight="1">
      <c r="A106" s="17"/>
      <c r="B106" s="61"/>
      <c r="C106" s="61"/>
      <c r="D106" s="61"/>
      <c r="E106" s="61"/>
      <c r="F106" s="61"/>
      <c r="G106" s="61"/>
      <c r="H106" s="61"/>
      <c r="I106" s="61"/>
      <c r="J106" s="61"/>
      <c r="K106" s="61"/>
      <c r="L106" s="61"/>
      <c r="M106" s="61"/>
      <c r="N106" s="61"/>
      <c r="O106" s="61"/>
      <c r="P106" s="61"/>
      <c r="Q106" s="17"/>
      <c r="R106" s="17"/>
      <c r="S106" s="61"/>
      <c r="T106" s="21"/>
      <c r="U106" s="21"/>
      <c r="V106" s="21"/>
      <c r="W106" s="21"/>
      <c r="X106" s="21"/>
      <c r="Y106" s="21"/>
      <c r="Z106" s="21"/>
    </row>
    <row r="107" ht="17.25" customHeight="1">
      <c r="A107" s="17"/>
      <c r="B107" s="61"/>
      <c r="C107" s="61"/>
      <c r="D107" s="61"/>
      <c r="E107" s="61"/>
      <c r="F107" s="61"/>
      <c r="G107" s="61"/>
      <c r="H107" s="61"/>
      <c r="I107" s="61"/>
      <c r="J107" s="61"/>
      <c r="K107" s="61"/>
      <c r="L107" s="61"/>
      <c r="M107" s="61"/>
      <c r="N107" s="61"/>
      <c r="O107" s="61"/>
      <c r="P107" s="61"/>
      <c r="Q107" s="17"/>
      <c r="R107" s="17"/>
      <c r="S107" s="61"/>
      <c r="T107" s="21"/>
      <c r="U107" s="21"/>
      <c r="V107" s="21"/>
      <c r="W107" s="21"/>
      <c r="X107" s="21"/>
      <c r="Y107" s="21"/>
      <c r="Z107" s="21"/>
    </row>
    <row r="108" ht="17.25" customHeight="1">
      <c r="A108" s="17"/>
      <c r="B108" s="61"/>
      <c r="C108" s="61"/>
      <c r="D108" s="61"/>
      <c r="E108" s="61"/>
      <c r="F108" s="61"/>
      <c r="G108" s="61"/>
      <c r="H108" s="61"/>
      <c r="I108" s="61"/>
      <c r="J108" s="61"/>
      <c r="K108" s="61"/>
      <c r="L108" s="61"/>
      <c r="M108" s="61"/>
      <c r="N108" s="61"/>
      <c r="O108" s="61"/>
      <c r="P108" s="61"/>
      <c r="Q108" s="17"/>
      <c r="R108" s="17"/>
      <c r="S108" s="61"/>
      <c r="T108" s="21"/>
      <c r="U108" s="21"/>
      <c r="V108" s="21"/>
      <c r="W108" s="21"/>
      <c r="X108" s="21"/>
      <c r="Y108" s="21"/>
      <c r="Z108" s="21"/>
    </row>
    <row r="109" ht="17.25" customHeight="1">
      <c r="A109" s="17"/>
      <c r="B109" s="61"/>
      <c r="C109" s="61"/>
      <c r="D109" s="61"/>
      <c r="E109" s="61"/>
      <c r="F109" s="61"/>
      <c r="G109" s="61"/>
      <c r="H109" s="61"/>
      <c r="I109" s="61"/>
      <c r="J109" s="61"/>
      <c r="K109" s="61"/>
      <c r="L109" s="61"/>
      <c r="M109" s="61"/>
      <c r="N109" s="61"/>
      <c r="O109" s="61"/>
      <c r="P109" s="61"/>
      <c r="Q109" s="17"/>
      <c r="R109" s="17"/>
      <c r="S109" s="61"/>
      <c r="T109" s="21"/>
      <c r="U109" s="21"/>
      <c r="V109" s="21"/>
      <c r="W109" s="21"/>
      <c r="X109" s="21"/>
      <c r="Y109" s="21"/>
      <c r="Z109" s="21"/>
    </row>
    <row r="110" ht="17.25" customHeight="1">
      <c r="A110" s="17"/>
      <c r="B110" s="61"/>
      <c r="C110" s="61"/>
      <c r="D110" s="61"/>
      <c r="E110" s="61"/>
      <c r="F110" s="61"/>
      <c r="G110" s="61"/>
      <c r="H110" s="61"/>
      <c r="I110" s="61"/>
      <c r="J110" s="61"/>
      <c r="K110" s="61"/>
      <c r="L110" s="61"/>
      <c r="M110" s="61"/>
      <c r="N110" s="61"/>
      <c r="O110" s="61"/>
      <c r="P110" s="61"/>
      <c r="Q110" s="17"/>
      <c r="R110" s="17"/>
      <c r="S110" s="61"/>
      <c r="T110" s="21"/>
      <c r="U110" s="21"/>
      <c r="V110" s="21"/>
      <c r="W110" s="21"/>
      <c r="X110" s="21"/>
      <c r="Y110" s="21"/>
      <c r="Z110" s="21"/>
    </row>
    <row r="111" ht="17.25" customHeight="1">
      <c r="A111" s="17"/>
      <c r="B111" s="61"/>
      <c r="C111" s="61"/>
      <c r="D111" s="61"/>
      <c r="E111" s="61"/>
      <c r="F111" s="61"/>
      <c r="G111" s="61"/>
      <c r="H111" s="61"/>
      <c r="I111" s="61"/>
      <c r="J111" s="61"/>
      <c r="K111" s="61"/>
      <c r="L111" s="61"/>
      <c r="M111" s="61"/>
      <c r="N111" s="61"/>
      <c r="O111" s="61"/>
      <c r="P111" s="61"/>
      <c r="Q111" s="17"/>
      <c r="R111" s="17"/>
      <c r="S111" s="61"/>
      <c r="T111" s="21"/>
      <c r="U111" s="21"/>
      <c r="V111" s="21"/>
      <c r="W111" s="21"/>
      <c r="X111" s="21"/>
      <c r="Y111" s="21"/>
      <c r="Z111" s="21"/>
    </row>
    <row r="112" ht="17.25" customHeight="1">
      <c r="A112" s="17"/>
      <c r="B112" s="61"/>
      <c r="C112" s="61"/>
      <c r="D112" s="61"/>
      <c r="E112" s="61"/>
      <c r="F112" s="61"/>
      <c r="G112" s="61"/>
      <c r="H112" s="61"/>
      <c r="I112" s="61"/>
      <c r="J112" s="61"/>
      <c r="K112" s="61"/>
      <c r="L112" s="61"/>
      <c r="M112" s="61"/>
      <c r="N112" s="61"/>
      <c r="O112" s="61"/>
      <c r="P112" s="61"/>
      <c r="Q112" s="17"/>
      <c r="R112" s="17"/>
      <c r="S112" s="61"/>
      <c r="T112" s="21"/>
      <c r="U112" s="21"/>
      <c r="V112" s="21"/>
      <c r="W112" s="21"/>
      <c r="X112" s="21"/>
      <c r="Y112" s="21"/>
      <c r="Z112" s="21"/>
    </row>
    <row r="113" ht="17.25" customHeight="1">
      <c r="A113" s="17"/>
      <c r="B113" s="61"/>
      <c r="C113" s="61"/>
      <c r="D113" s="61"/>
      <c r="E113" s="61"/>
      <c r="F113" s="61"/>
      <c r="G113" s="61"/>
      <c r="H113" s="61"/>
      <c r="I113" s="61"/>
      <c r="J113" s="61"/>
      <c r="K113" s="61"/>
      <c r="L113" s="61"/>
      <c r="M113" s="61"/>
      <c r="N113" s="61"/>
      <c r="O113" s="61"/>
      <c r="P113" s="61"/>
      <c r="Q113" s="17"/>
      <c r="R113" s="17"/>
      <c r="S113" s="61"/>
      <c r="T113" s="21"/>
      <c r="U113" s="21"/>
      <c r="V113" s="21"/>
      <c r="W113" s="21"/>
      <c r="X113" s="21"/>
      <c r="Y113" s="21"/>
      <c r="Z113" s="21"/>
    </row>
    <row r="114" ht="17.25" customHeight="1">
      <c r="A114" s="17"/>
      <c r="B114" s="61"/>
      <c r="C114" s="61"/>
      <c r="D114" s="61"/>
      <c r="E114" s="61"/>
      <c r="F114" s="61"/>
      <c r="G114" s="61"/>
      <c r="H114" s="61"/>
      <c r="I114" s="61"/>
      <c r="J114" s="61"/>
      <c r="K114" s="61"/>
      <c r="L114" s="61"/>
      <c r="M114" s="61"/>
      <c r="N114" s="61"/>
      <c r="O114" s="61"/>
      <c r="P114" s="61"/>
      <c r="Q114" s="17"/>
      <c r="R114" s="17"/>
      <c r="S114" s="61"/>
      <c r="T114" s="21"/>
      <c r="U114" s="21"/>
      <c r="V114" s="21"/>
      <c r="W114" s="21"/>
      <c r="X114" s="21"/>
      <c r="Y114" s="21"/>
      <c r="Z114" s="21"/>
    </row>
    <row r="115" ht="17.25" customHeight="1">
      <c r="A115" s="17"/>
      <c r="B115" s="61"/>
      <c r="C115" s="61"/>
      <c r="D115" s="61"/>
      <c r="E115" s="61"/>
      <c r="F115" s="61"/>
      <c r="G115" s="61"/>
      <c r="H115" s="61"/>
      <c r="I115" s="61"/>
      <c r="J115" s="61"/>
      <c r="K115" s="61"/>
      <c r="L115" s="61"/>
      <c r="M115" s="61"/>
      <c r="N115" s="61"/>
      <c r="O115" s="61"/>
      <c r="P115" s="61"/>
      <c r="Q115" s="17"/>
      <c r="R115" s="17"/>
      <c r="S115" s="61"/>
      <c r="T115" s="21"/>
      <c r="U115" s="21"/>
      <c r="V115" s="21"/>
      <c r="W115" s="21"/>
      <c r="X115" s="21"/>
      <c r="Y115" s="21"/>
      <c r="Z115" s="21"/>
    </row>
    <row r="116" ht="17.25" customHeight="1">
      <c r="A116" s="17"/>
      <c r="B116" s="61"/>
      <c r="C116" s="61"/>
      <c r="D116" s="61"/>
      <c r="E116" s="61"/>
      <c r="F116" s="61"/>
      <c r="G116" s="61"/>
      <c r="H116" s="61"/>
      <c r="I116" s="61"/>
      <c r="J116" s="61"/>
      <c r="K116" s="61"/>
      <c r="L116" s="61"/>
      <c r="M116" s="61"/>
      <c r="N116" s="61"/>
      <c r="O116" s="61"/>
      <c r="P116" s="61"/>
      <c r="Q116" s="17"/>
      <c r="R116" s="17"/>
      <c r="S116" s="61"/>
      <c r="T116" s="21"/>
      <c r="U116" s="21"/>
      <c r="V116" s="21"/>
      <c r="W116" s="21"/>
      <c r="X116" s="21"/>
      <c r="Y116" s="21"/>
      <c r="Z116" s="21"/>
    </row>
    <row r="117" ht="17.25" customHeight="1">
      <c r="A117" s="17"/>
      <c r="B117" s="61"/>
      <c r="C117" s="61"/>
      <c r="D117" s="61"/>
      <c r="E117" s="61"/>
      <c r="F117" s="61"/>
      <c r="G117" s="61"/>
      <c r="H117" s="61"/>
      <c r="I117" s="61"/>
      <c r="J117" s="61"/>
      <c r="K117" s="61"/>
      <c r="L117" s="61"/>
      <c r="M117" s="61"/>
      <c r="N117" s="61"/>
      <c r="O117" s="61"/>
      <c r="P117" s="61"/>
      <c r="Q117" s="17"/>
      <c r="R117" s="17"/>
      <c r="S117" s="61"/>
      <c r="T117" s="21"/>
      <c r="U117" s="21"/>
      <c r="V117" s="21"/>
      <c r="W117" s="21"/>
      <c r="X117" s="21"/>
      <c r="Y117" s="21"/>
      <c r="Z117" s="21"/>
    </row>
    <row r="118" ht="17.25" customHeight="1">
      <c r="A118" s="17"/>
      <c r="B118" s="61"/>
      <c r="C118" s="61"/>
      <c r="D118" s="61"/>
      <c r="E118" s="61"/>
      <c r="F118" s="61"/>
      <c r="G118" s="61"/>
      <c r="H118" s="61"/>
      <c r="I118" s="61"/>
      <c r="J118" s="61"/>
      <c r="K118" s="61"/>
      <c r="L118" s="61"/>
      <c r="M118" s="61"/>
      <c r="N118" s="61"/>
      <c r="O118" s="61"/>
      <c r="P118" s="61"/>
      <c r="Q118" s="17"/>
      <c r="R118" s="17"/>
      <c r="S118" s="61"/>
      <c r="T118" s="21"/>
      <c r="U118" s="21"/>
      <c r="V118" s="21"/>
      <c r="W118" s="21"/>
      <c r="X118" s="21"/>
      <c r="Y118" s="21"/>
      <c r="Z118" s="21"/>
    </row>
    <row r="119" ht="17.25" customHeight="1">
      <c r="A119" s="17"/>
      <c r="B119" s="61"/>
      <c r="C119" s="61"/>
      <c r="D119" s="61"/>
      <c r="E119" s="61"/>
      <c r="F119" s="61"/>
      <c r="G119" s="61"/>
      <c r="H119" s="61"/>
      <c r="I119" s="61"/>
      <c r="J119" s="61"/>
      <c r="K119" s="61"/>
      <c r="L119" s="61"/>
      <c r="M119" s="61"/>
      <c r="N119" s="61"/>
      <c r="O119" s="61"/>
      <c r="P119" s="61"/>
      <c r="Q119" s="17"/>
      <c r="R119" s="17"/>
      <c r="S119" s="61"/>
      <c r="T119" s="21"/>
      <c r="U119" s="21"/>
      <c r="V119" s="21"/>
      <c r="W119" s="21"/>
      <c r="X119" s="21"/>
      <c r="Y119" s="21"/>
      <c r="Z119" s="21"/>
    </row>
    <row r="120" ht="17.25" customHeight="1">
      <c r="A120" s="17"/>
      <c r="B120" s="61"/>
      <c r="C120" s="61"/>
      <c r="D120" s="61"/>
      <c r="E120" s="61"/>
      <c r="F120" s="61"/>
      <c r="G120" s="61"/>
      <c r="H120" s="61"/>
      <c r="I120" s="61"/>
      <c r="J120" s="61"/>
      <c r="K120" s="61"/>
      <c r="L120" s="61"/>
      <c r="M120" s="61"/>
      <c r="N120" s="61"/>
      <c r="O120" s="61"/>
      <c r="P120" s="61"/>
      <c r="Q120" s="17"/>
      <c r="R120" s="17"/>
      <c r="S120" s="61"/>
      <c r="T120" s="21"/>
      <c r="U120" s="21"/>
      <c r="V120" s="21"/>
      <c r="W120" s="21"/>
      <c r="X120" s="21"/>
      <c r="Y120" s="21"/>
      <c r="Z120" s="21"/>
    </row>
    <row r="121" ht="17.25" customHeight="1">
      <c r="A121" s="17"/>
      <c r="B121" s="61"/>
      <c r="C121" s="61"/>
      <c r="D121" s="61"/>
      <c r="E121" s="61"/>
      <c r="F121" s="61"/>
      <c r="G121" s="61"/>
      <c r="H121" s="61"/>
      <c r="I121" s="61"/>
      <c r="J121" s="61"/>
      <c r="K121" s="61"/>
      <c r="L121" s="61"/>
      <c r="M121" s="61"/>
      <c r="N121" s="61"/>
      <c r="O121" s="61"/>
      <c r="P121" s="61"/>
      <c r="Q121" s="17"/>
      <c r="R121" s="17"/>
      <c r="S121" s="61"/>
      <c r="T121" s="21"/>
      <c r="U121" s="21"/>
      <c r="V121" s="21"/>
      <c r="W121" s="21"/>
      <c r="X121" s="21"/>
      <c r="Y121" s="21"/>
      <c r="Z121" s="21"/>
    </row>
    <row r="122" ht="17.25" customHeight="1">
      <c r="A122" s="17"/>
      <c r="B122" s="61"/>
      <c r="C122" s="61"/>
      <c r="D122" s="61"/>
      <c r="E122" s="61"/>
      <c r="F122" s="61"/>
      <c r="G122" s="61"/>
      <c r="H122" s="61"/>
      <c r="I122" s="61"/>
      <c r="J122" s="61"/>
      <c r="K122" s="61"/>
      <c r="L122" s="61"/>
      <c r="M122" s="61"/>
      <c r="N122" s="61"/>
      <c r="O122" s="61"/>
      <c r="P122" s="61"/>
      <c r="Q122" s="17"/>
      <c r="R122" s="17"/>
      <c r="S122" s="61"/>
      <c r="T122" s="21"/>
      <c r="U122" s="21"/>
      <c r="V122" s="21"/>
      <c r="W122" s="21"/>
      <c r="X122" s="21"/>
      <c r="Y122" s="21"/>
      <c r="Z122" s="21"/>
    </row>
    <row r="123" ht="17.25" customHeight="1">
      <c r="A123" s="17"/>
      <c r="B123" s="61"/>
      <c r="C123" s="61"/>
      <c r="D123" s="61"/>
      <c r="E123" s="61"/>
      <c r="F123" s="61"/>
      <c r="G123" s="61"/>
      <c r="H123" s="61"/>
      <c r="I123" s="61"/>
      <c r="J123" s="61"/>
      <c r="K123" s="61"/>
      <c r="L123" s="61"/>
      <c r="M123" s="61"/>
      <c r="N123" s="61"/>
      <c r="O123" s="61"/>
      <c r="P123" s="61"/>
      <c r="Q123" s="17"/>
      <c r="R123" s="17"/>
      <c r="S123" s="61"/>
      <c r="T123" s="21"/>
      <c r="U123" s="21"/>
      <c r="V123" s="21"/>
      <c r="W123" s="21"/>
      <c r="X123" s="21"/>
      <c r="Y123" s="21"/>
      <c r="Z123" s="21"/>
    </row>
    <row r="124" ht="17.25" customHeight="1">
      <c r="A124" s="17"/>
      <c r="B124" s="61"/>
      <c r="C124" s="61"/>
      <c r="D124" s="61"/>
      <c r="E124" s="61"/>
      <c r="F124" s="61"/>
      <c r="G124" s="61"/>
      <c r="H124" s="61"/>
      <c r="I124" s="61"/>
      <c r="J124" s="61"/>
      <c r="K124" s="61"/>
      <c r="L124" s="61"/>
      <c r="M124" s="61"/>
      <c r="N124" s="61"/>
      <c r="O124" s="61"/>
      <c r="P124" s="61"/>
      <c r="Q124" s="17"/>
      <c r="R124" s="17"/>
      <c r="S124" s="61"/>
      <c r="T124" s="21"/>
      <c r="U124" s="21"/>
      <c r="V124" s="21"/>
      <c r="W124" s="21"/>
      <c r="X124" s="21"/>
      <c r="Y124" s="21"/>
      <c r="Z124" s="21"/>
    </row>
    <row r="125" ht="17.25" customHeight="1">
      <c r="A125" s="17"/>
      <c r="B125" s="61"/>
      <c r="C125" s="61"/>
      <c r="D125" s="61"/>
      <c r="E125" s="61"/>
      <c r="F125" s="61"/>
      <c r="G125" s="61"/>
      <c r="H125" s="61"/>
      <c r="I125" s="61"/>
      <c r="J125" s="61"/>
      <c r="K125" s="61"/>
      <c r="L125" s="61"/>
      <c r="M125" s="61"/>
      <c r="N125" s="61"/>
      <c r="O125" s="61"/>
      <c r="P125" s="61"/>
      <c r="Q125" s="17"/>
      <c r="R125" s="17"/>
      <c r="S125" s="61"/>
      <c r="T125" s="21"/>
      <c r="U125" s="21"/>
      <c r="V125" s="21"/>
      <c r="W125" s="21"/>
      <c r="X125" s="21"/>
      <c r="Y125" s="21"/>
      <c r="Z125" s="21"/>
    </row>
    <row r="126" ht="17.25" customHeight="1">
      <c r="A126" s="17"/>
      <c r="B126" s="61"/>
      <c r="C126" s="61"/>
      <c r="D126" s="61"/>
      <c r="E126" s="61"/>
      <c r="F126" s="61"/>
      <c r="G126" s="61"/>
      <c r="H126" s="61"/>
      <c r="I126" s="61"/>
      <c r="J126" s="61"/>
      <c r="K126" s="61"/>
      <c r="L126" s="61"/>
      <c r="M126" s="61"/>
      <c r="N126" s="61"/>
      <c r="O126" s="61"/>
      <c r="P126" s="61"/>
      <c r="Q126" s="17"/>
      <c r="R126" s="17"/>
      <c r="S126" s="61"/>
      <c r="T126" s="21"/>
      <c r="U126" s="21"/>
      <c r="V126" s="21"/>
      <c r="W126" s="21"/>
      <c r="X126" s="21"/>
      <c r="Y126" s="21"/>
      <c r="Z126" s="21"/>
    </row>
    <row r="127" ht="17.25" customHeight="1">
      <c r="A127" s="17"/>
      <c r="B127" s="61"/>
      <c r="C127" s="61"/>
      <c r="D127" s="61"/>
      <c r="E127" s="61"/>
      <c r="F127" s="61"/>
      <c r="G127" s="61"/>
      <c r="H127" s="61"/>
      <c r="I127" s="61"/>
      <c r="J127" s="61"/>
      <c r="K127" s="61"/>
      <c r="L127" s="61"/>
      <c r="M127" s="61"/>
      <c r="N127" s="61"/>
      <c r="O127" s="61"/>
      <c r="P127" s="61"/>
      <c r="Q127" s="17"/>
      <c r="R127" s="17"/>
      <c r="S127" s="61"/>
      <c r="T127" s="21"/>
      <c r="U127" s="21"/>
      <c r="V127" s="21"/>
      <c r="W127" s="21"/>
      <c r="X127" s="21"/>
      <c r="Y127" s="21"/>
      <c r="Z127" s="21"/>
    </row>
    <row r="128" ht="17.25" customHeight="1">
      <c r="A128" s="17"/>
      <c r="B128" s="61"/>
      <c r="C128" s="61"/>
      <c r="D128" s="61"/>
      <c r="E128" s="61"/>
      <c r="F128" s="61"/>
      <c r="G128" s="61"/>
      <c r="H128" s="61"/>
      <c r="I128" s="61"/>
      <c r="J128" s="61"/>
      <c r="K128" s="61"/>
      <c r="L128" s="61"/>
      <c r="M128" s="61"/>
      <c r="N128" s="61"/>
      <c r="O128" s="61"/>
      <c r="P128" s="61"/>
      <c r="Q128" s="17"/>
      <c r="R128" s="17"/>
      <c r="S128" s="61"/>
      <c r="T128" s="21"/>
      <c r="U128" s="21"/>
      <c r="V128" s="21"/>
      <c r="W128" s="21"/>
      <c r="X128" s="21"/>
      <c r="Y128" s="21"/>
      <c r="Z128" s="21"/>
    </row>
    <row r="129" ht="17.25" customHeight="1">
      <c r="A129" s="17"/>
      <c r="B129" s="61"/>
      <c r="C129" s="61"/>
      <c r="D129" s="61"/>
      <c r="E129" s="61"/>
      <c r="F129" s="61"/>
      <c r="G129" s="61"/>
      <c r="H129" s="61"/>
      <c r="I129" s="61"/>
      <c r="J129" s="61"/>
      <c r="K129" s="61"/>
      <c r="L129" s="61"/>
      <c r="M129" s="61"/>
      <c r="N129" s="61"/>
      <c r="O129" s="61"/>
      <c r="P129" s="61"/>
      <c r="Q129" s="17"/>
      <c r="R129" s="17"/>
      <c r="S129" s="61"/>
      <c r="T129" s="21"/>
      <c r="U129" s="21"/>
      <c r="V129" s="21"/>
      <c r="W129" s="21"/>
      <c r="X129" s="21"/>
      <c r="Y129" s="21"/>
      <c r="Z129" s="21"/>
    </row>
    <row r="130" ht="17.25" customHeight="1">
      <c r="A130" s="17"/>
      <c r="B130" s="61"/>
      <c r="C130" s="61"/>
      <c r="D130" s="61"/>
      <c r="E130" s="61"/>
      <c r="F130" s="61"/>
      <c r="G130" s="61"/>
      <c r="H130" s="61"/>
      <c r="I130" s="61"/>
      <c r="J130" s="61"/>
      <c r="K130" s="61"/>
      <c r="L130" s="61"/>
      <c r="M130" s="61"/>
      <c r="N130" s="61"/>
      <c r="O130" s="61"/>
      <c r="P130" s="61"/>
      <c r="Q130" s="17"/>
      <c r="R130" s="17"/>
      <c r="S130" s="61"/>
      <c r="T130" s="21"/>
      <c r="U130" s="21"/>
      <c r="V130" s="21"/>
      <c r="W130" s="21"/>
      <c r="X130" s="21"/>
      <c r="Y130" s="21"/>
      <c r="Z130" s="21"/>
    </row>
    <row r="131" ht="17.25" customHeight="1">
      <c r="A131" s="17"/>
      <c r="B131" s="61"/>
      <c r="C131" s="61"/>
      <c r="D131" s="61"/>
      <c r="E131" s="61"/>
      <c r="F131" s="61"/>
      <c r="G131" s="61"/>
      <c r="H131" s="61"/>
      <c r="I131" s="61"/>
      <c r="J131" s="61"/>
      <c r="K131" s="61"/>
      <c r="L131" s="61"/>
      <c r="M131" s="61"/>
      <c r="N131" s="61"/>
      <c r="O131" s="61"/>
      <c r="P131" s="61"/>
      <c r="Q131" s="17"/>
      <c r="R131" s="17"/>
      <c r="S131" s="61"/>
      <c r="T131" s="21"/>
      <c r="U131" s="21"/>
      <c r="V131" s="21"/>
      <c r="W131" s="21"/>
      <c r="X131" s="21"/>
      <c r="Y131" s="21"/>
      <c r="Z131" s="21"/>
    </row>
    <row r="132" ht="17.25" customHeight="1">
      <c r="A132" s="17"/>
      <c r="B132" s="61"/>
      <c r="C132" s="61"/>
      <c r="D132" s="61"/>
      <c r="E132" s="61"/>
      <c r="F132" s="61"/>
      <c r="G132" s="61"/>
      <c r="H132" s="61"/>
      <c r="I132" s="61"/>
      <c r="J132" s="61"/>
      <c r="K132" s="61"/>
      <c r="L132" s="61"/>
      <c r="M132" s="61"/>
      <c r="N132" s="61"/>
      <c r="O132" s="61"/>
      <c r="P132" s="61"/>
      <c r="Q132" s="17"/>
      <c r="R132" s="17"/>
      <c r="S132" s="61"/>
      <c r="T132" s="21"/>
      <c r="U132" s="21"/>
      <c r="V132" s="21"/>
      <c r="W132" s="21"/>
      <c r="X132" s="21"/>
      <c r="Y132" s="21"/>
      <c r="Z132" s="21"/>
    </row>
    <row r="133" ht="17.25" customHeight="1">
      <c r="A133" s="17"/>
      <c r="B133" s="61"/>
      <c r="C133" s="61"/>
      <c r="D133" s="61"/>
      <c r="E133" s="61"/>
      <c r="F133" s="61"/>
      <c r="G133" s="61"/>
      <c r="H133" s="61"/>
      <c r="I133" s="61"/>
      <c r="J133" s="61"/>
      <c r="K133" s="61"/>
      <c r="L133" s="61"/>
      <c r="M133" s="61"/>
      <c r="N133" s="61"/>
      <c r="O133" s="61"/>
      <c r="P133" s="61"/>
      <c r="Q133" s="17"/>
      <c r="R133" s="17"/>
      <c r="S133" s="61"/>
      <c r="T133" s="21"/>
      <c r="U133" s="21"/>
      <c r="V133" s="21"/>
      <c r="W133" s="21"/>
      <c r="X133" s="21"/>
      <c r="Y133" s="21"/>
      <c r="Z133" s="21"/>
    </row>
    <row r="134" ht="17.25" customHeight="1">
      <c r="A134" s="17"/>
      <c r="B134" s="61"/>
      <c r="C134" s="61"/>
      <c r="D134" s="61"/>
      <c r="E134" s="61"/>
      <c r="F134" s="61"/>
      <c r="G134" s="61"/>
      <c r="H134" s="61"/>
      <c r="I134" s="61"/>
      <c r="J134" s="61"/>
      <c r="K134" s="61"/>
      <c r="L134" s="61"/>
      <c r="M134" s="61"/>
      <c r="N134" s="61"/>
      <c r="O134" s="61"/>
      <c r="P134" s="61"/>
      <c r="Q134" s="17"/>
      <c r="R134" s="17"/>
      <c r="S134" s="61"/>
      <c r="T134" s="21"/>
      <c r="U134" s="21"/>
      <c r="V134" s="21"/>
      <c r="W134" s="21"/>
      <c r="X134" s="21"/>
      <c r="Y134" s="21"/>
      <c r="Z134" s="21"/>
    </row>
    <row r="135" ht="17.25" customHeight="1">
      <c r="A135" s="17"/>
      <c r="B135" s="61"/>
      <c r="C135" s="61"/>
      <c r="D135" s="61"/>
      <c r="E135" s="61"/>
      <c r="F135" s="61"/>
      <c r="G135" s="61"/>
      <c r="H135" s="61"/>
      <c r="I135" s="61"/>
      <c r="J135" s="61"/>
      <c r="K135" s="61"/>
      <c r="L135" s="61"/>
      <c r="M135" s="61"/>
      <c r="N135" s="61"/>
      <c r="O135" s="61"/>
      <c r="P135" s="61"/>
      <c r="Q135" s="17"/>
      <c r="R135" s="17"/>
      <c r="S135" s="61"/>
      <c r="T135" s="21"/>
      <c r="U135" s="21"/>
      <c r="V135" s="21"/>
      <c r="W135" s="21"/>
      <c r="X135" s="21"/>
      <c r="Y135" s="21"/>
      <c r="Z135" s="21"/>
    </row>
    <row r="136" ht="17.25" customHeight="1">
      <c r="A136" s="17"/>
      <c r="B136" s="61"/>
      <c r="C136" s="61"/>
      <c r="D136" s="61"/>
      <c r="E136" s="61"/>
      <c r="F136" s="61"/>
      <c r="G136" s="61"/>
      <c r="H136" s="61"/>
      <c r="I136" s="61"/>
      <c r="J136" s="61"/>
      <c r="K136" s="61"/>
      <c r="L136" s="61"/>
      <c r="M136" s="61"/>
      <c r="N136" s="61"/>
      <c r="O136" s="61"/>
      <c r="P136" s="61"/>
      <c r="Q136" s="17"/>
      <c r="R136" s="17"/>
      <c r="S136" s="61"/>
      <c r="T136" s="21"/>
      <c r="U136" s="21"/>
      <c r="V136" s="21"/>
      <c r="W136" s="21"/>
      <c r="X136" s="21"/>
      <c r="Y136" s="21"/>
      <c r="Z136" s="21"/>
    </row>
    <row r="137" ht="17.25" customHeight="1">
      <c r="A137" s="17"/>
      <c r="B137" s="61"/>
      <c r="C137" s="61"/>
      <c r="D137" s="61"/>
      <c r="E137" s="61"/>
      <c r="F137" s="61"/>
      <c r="G137" s="61"/>
      <c r="H137" s="61"/>
      <c r="I137" s="61"/>
      <c r="J137" s="61"/>
      <c r="K137" s="61"/>
      <c r="L137" s="61"/>
      <c r="M137" s="61"/>
      <c r="N137" s="61"/>
      <c r="O137" s="61"/>
      <c r="P137" s="61"/>
      <c r="Q137" s="17"/>
      <c r="R137" s="17"/>
      <c r="S137" s="61"/>
      <c r="T137" s="21"/>
      <c r="U137" s="21"/>
      <c r="V137" s="21"/>
      <c r="W137" s="21"/>
      <c r="X137" s="21"/>
      <c r="Y137" s="21"/>
      <c r="Z137" s="21"/>
    </row>
    <row r="138" ht="17.25" customHeight="1">
      <c r="A138" s="17"/>
      <c r="B138" s="61"/>
      <c r="C138" s="61"/>
      <c r="D138" s="61"/>
      <c r="E138" s="61"/>
      <c r="F138" s="61"/>
      <c r="G138" s="61"/>
      <c r="H138" s="61"/>
      <c r="I138" s="61"/>
      <c r="J138" s="61"/>
      <c r="K138" s="61"/>
      <c r="L138" s="61"/>
      <c r="M138" s="61"/>
      <c r="N138" s="61"/>
      <c r="O138" s="61"/>
      <c r="P138" s="61"/>
      <c r="Q138" s="17"/>
      <c r="R138" s="17"/>
      <c r="S138" s="61"/>
      <c r="T138" s="21"/>
      <c r="U138" s="21"/>
      <c r="V138" s="21"/>
      <c r="W138" s="21"/>
      <c r="X138" s="21"/>
      <c r="Y138" s="21"/>
      <c r="Z138" s="21"/>
    </row>
    <row r="139" ht="17.25" customHeight="1">
      <c r="A139" s="17"/>
      <c r="B139" s="61"/>
      <c r="C139" s="61"/>
      <c r="D139" s="61"/>
      <c r="E139" s="61"/>
      <c r="F139" s="61"/>
      <c r="G139" s="61"/>
      <c r="H139" s="61"/>
      <c r="I139" s="61"/>
      <c r="J139" s="61"/>
      <c r="K139" s="61"/>
      <c r="L139" s="61"/>
      <c r="M139" s="61"/>
      <c r="N139" s="61"/>
      <c r="O139" s="61"/>
      <c r="P139" s="61"/>
      <c r="Q139" s="17"/>
      <c r="R139" s="17"/>
      <c r="S139" s="61"/>
      <c r="T139" s="21"/>
      <c r="U139" s="21"/>
      <c r="V139" s="21"/>
      <c r="W139" s="21"/>
      <c r="X139" s="21"/>
      <c r="Y139" s="21"/>
      <c r="Z139" s="21"/>
    </row>
    <row r="140" ht="17.25" customHeight="1">
      <c r="A140" s="17"/>
      <c r="B140" s="61"/>
      <c r="C140" s="61"/>
      <c r="D140" s="61"/>
      <c r="E140" s="61"/>
      <c r="F140" s="61"/>
      <c r="G140" s="61"/>
      <c r="H140" s="61"/>
      <c r="I140" s="61"/>
      <c r="J140" s="61"/>
      <c r="K140" s="61"/>
      <c r="L140" s="61"/>
      <c r="M140" s="61"/>
      <c r="N140" s="61"/>
      <c r="O140" s="61"/>
      <c r="P140" s="61"/>
      <c r="Q140" s="17"/>
      <c r="R140" s="17"/>
      <c r="S140" s="61"/>
      <c r="T140" s="21"/>
      <c r="U140" s="21"/>
      <c r="V140" s="21"/>
      <c r="W140" s="21"/>
      <c r="X140" s="21"/>
      <c r="Y140" s="21"/>
      <c r="Z140" s="21"/>
    </row>
    <row r="141" ht="17.25" customHeight="1">
      <c r="A141" s="17"/>
      <c r="B141" s="61"/>
      <c r="C141" s="61"/>
      <c r="D141" s="61"/>
      <c r="E141" s="61"/>
      <c r="F141" s="61"/>
      <c r="G141" s="61"/>
      <c r="H141" s="61"/>
      <c r="I141" s="61"/>
      <c r="J141" s="61"/>
      <c r="K141" s="61"/>
      <c r="L141" s="61"/>
      <c r="M141" s="61"/>
      <c r="N141" s="61"/>
      <c r="O141" s="61"/>
      <c r="P141" s="61"/>
      <c r="Q141" s="17"/>
      <c r="R141" s="17"/>
      <c r="S141" s="61"/>
      <c r="T141" s="21"/>
      <c r="U141" s="21"/>
      <c r="V141" s="21"/>
      <c r="W141" s="21"/>
      <c r="X141" s="21"/>
      <c r="Y141" s="21"/>
      <c r="Z141" s="21"/>
    </row>
    <row r="142" ht="17.25" customHeight="1">
      <c r="A142" s="17"/>
      <c r="B142" s="61"/>
      <c r="C142" s="61"/>
      <c r="D142" s="61"/>
      <c r="E142" s="61"/>
      <c r="F142" s="61"/>
      <c r="G142" s="61"/>
      <c r="H142" s="61"/>
      <c r="I142" s="61"/>
      <c r="J142" s="61"/>
      <c r="K142" s="61"/>
      <c r="L142" s="61"/>
      <c r="M142" s="61"/>
      <c r="N142" s="61"/>
      <c r="O142" s="61"/>
      <c r="P142" s="61"/>
      <c r="Q142" s="17"/>
      <c r="R142" s="17"/>
      <c r="S142" s="61"/>
      <c r="T142" s="21"/>
      <c r="U142" s="21"/>
      <c r="V142" s="21"/>
      <c r="W142" s="21"/>
      <c r="X142" s="21"/>
      <c r="Y142" s="21"/>
      <c r="Z142" s="21"/>
    </row>
    <row r="143" ht="17.25" customHeight="1">
      <c r="A143" s="17"/>
      <c r="B143" s="61"/>
      <c r="C143" s="61"/>
      <c r="D143" s="61"/>
      <c r="E143" s="61"/>
      <c r="F143" s="61"/>
      <c r="G143" s="61"/>
      <c r="H143" s="61"/>
      <c r="I143" s="61"/>
      <c r="J143" s="61"/>
      <c r="K143" s="61"/>
      <c r="L143" s="61"/>
      <c r="M143" s="61"/>
      <c r="N143" s="61"/>
      <c r="O143" s="61"/>
      <c r="P143" s="61"/>
      <c r="Q143" s="17"/>
      <c r="R143" s="17"/>
      <c r="S143" s="61"/>
      <c r="T143" s="21"/>
      <c r="U143" s="21"/>
      <c r="V143" s="21"/>
      <c r="W143" s="21"/>
      <c r="X143" s="21"/>
      <c r="Y143" s="21"/>
      <c r="Z143" s="21"/>
    </row>
    <row r="144" ht="17.25" customHeight="1">
      <c r="A144" s="17"/>
      <c r="B144" s="61"/>
      <c r="C144" s="61"/>
      <c r="D144" s="61"/>
      <c r="E144" s="61"/>
      <c r="F144" s="61"/>
      <c r="G144" s="61"/>
      <c r="H144" s="61"/>
      <c r="I144" s="61"/>
      <c r="J144" s="61"/>
      <c r="K144" s="61"/>
      <c r="L144" s="61"/>
      <c r="M144" s="61"/>
      <c r="N144" s="61"/>
      <c r="O144" s="61"/>
      <c r="P144" s="61"/>
      <c r="Q144" s="17"/>
      <c r="R144" s="17"/>
      <c r="S144" s="61"/>
      <c r="T144" s="21"/>
      <c r="U144" s="21"/>
      <c r="V144" s="21"/>
      <c r="W144" s="21"/>
      <c r="X144" s="21"/>
      <c r="Y144" s="21"/>
      <c r="Z144" s="21"/>
    </row>
    <row r="145" ht="17.25" customHeight="1">
      <c r="A145" s="17"/>
      <c r="B145" s="61"/>
      <c r="C145" s="61"/>
      <c r="D145" s="61"/>
      <c r="E145" s="61"/>
      <c r="F145" s="61"/>
      <c r="G145" s="61"/>
      <c r="H145" s="61"/>
      <c r="I145" s="61"/>
      <c r="J145" s="61"/>
      <c r="K145" s="61"/>
      <c r="L145" s="61"/>
      <c r="M145" s="61"/>
      <c r="N145" s="61"/>
      <c r="O145" s="61"/>
      <c r="P145" s="61"/>
      <c r="Q145" s="17"/>
      <c r="R145" s="17"/>
      <c r="S145" s="61"/>
      <c r="T145" s="21"/>
      <c r="U145" s="21"/>
      <c r="V145" s="21"/>
      <c r="W145" s="21"/>
      <c r="X145" s="21"/>
      <c r="Y145" s="21"/>
      <c r="Z145" s="21"/>
    </row>
    <row r="146" ht="17.25" customHeight="1">
      <c r="A146" s="17"/>
      <c r="B146" s="61"/>
      <c r="C146" s="61"/>
      <c r="D146" s="61"/>
      <c r="E146" s="61"/>
      <c r="F146" s="61"/>
      <c r="G146" s="61"/>
      <c r="H146" s="61"/>
      <c r="I146" s="61"/>
      <c r="J146" s="61"/>
      <c r="K146" s="61"/>
      <c r="L146" s="61"/>
      <c r="M146" s="61"/>
      <c r="N146" s="61"/>
      <c r="O146" s="61"/>
      <c r="P146" s="61"/>
      <c r="Q146" s="17"/>
      <c r="R146" s="17"/>
      <c r="S146" s="61"/>
      <c r="T146" s="21"/>
      <c r="U146" s="21"/>
      <c r="V146" s="21"/>
      <c r="W146" s="21"/>
      <c r="X146" s="21"/>
      <c r="Y146" s="21"/>
      <c r="Z146" s="21"/>
    </row>
    <row r="147" ht="17.25" customHeight="1">
      <c r="A147" s="17"/>
      <c r="B147" s="61"/>
      <c r="C147" s="61"/>
      <c r="D147" s="61"/>
      <c r="E147" s="61"/>
      <c r="F147" s="61"/>
      <c r="G147" s="61"/>
      <c r="H147" s="61"/>
      <c r="I147" s="61"/>
      <c r="J147" s="61"/>
      <c r="K147" s="61"/>
      <c r="L147" s="61"/>
      <c r="M147" s="61"/>
      <c r="N147" s="61"/>
      <c r="O147" s="61"/>
      <c r="P147" s="61"/>
      <c r="Q147" s="17"/>
      <c r="R147" s="17"/>
      <c r="S147" s="61"/>
      <c r="T147" s="21"/>
      <c r="U147" s="21"/>
      <c r="V147" s="21"/>
      <c r="W147" s="21"/>
      <c r="X147" s="21"/>
      <c r="Y147" s="21"/>
      <c r="Z147" s="21"/>
    </row>
    <row r="148" ht="17.25" customHeight="1">
      <c r="A148" s="17"/>
      <c r="B148" s="61"/>
      <c r="C148" s="61"/>
      <c r="D148" s="61"/>
      <c r="E148" s="61"/>
      <c r="F148" s="61"/>
      <c r="G148" s="61"/>
      <c r="H148" s="61"/>
      <c r="I148" s="61"/>
      <c r="J148" s="61"/>
      <c r="K148" s="61"/>
      <c r="L148" s="61"/>
      <c r="M148" s="61"/>
      <c r="N148" s="61"/>
      <c r="O148" s="61"/>
      <c r="P148" s="61"/>
      <c r="Q148" s="17"/>
      <c r="R148" s="17"/>
      <c r="S148" s="61"/>
      <c r="T148" s="21"/>
      <c r="U148" s="21"/>
      <c r="V148" s="21"/>
      <c r="W148" s="21"/>
      <c r="X148" s="21"/>
      <c r="Y148" s="21"/>
      <c r="Z148" s="21"/>
    </row>
    <row r="149" ht="17.25" customHeight="1">
      <c r="A149" s="17"/>
      <c r="B149" s="61"/>
      <c r="C149" s="61"/>
      <c r="D149" s="61"/>
      <c r="E149" s="61"/>
      <c r="F149" s="61"/>
      <c r="G149" s="61"/>
      <c r="H149" s="61"/>
      <c r="I149" s="61"/>
      <c r="J149" s="61"/>
      <c r="K149" s="61"/>
      <c r="L149" s="61"/>
      <c r="M149" s="61"/>
      <c r="N149" s="61"/>
      <c r="O149" s="61"/>
      <c r="P149" s="61"/>
      <c r="Q149" s="17"/>
      <c r="R149" s="17"/>
      <c r="S149" s="61"/>
      <c r="T149" s="21"/>
      <c r="U149" s="21"/>
      <c r="V149" s="21"/>
      <c r="W149" s="21"/>
      <c r="X149" s="21"/>
      <c r="Y149" s="21"/>
      <c r="Z149" s="21"/>
    </row>
    <row r="150" ht="17.25" customHeight="1">
      <c r="A150" s="17"/>
      <c r="B150" s="61"/>
      <c r="C150" s="61"/>
      <c r="D150" s="61"/>
      <c r="E150" s="61"/>
      <c r="F150" s="61"/>
      <c r="G150" s="61"/>
      <c r="H150" s="61"/>
      <c r="I150" s="61"/>
      <c r="J150" s="61"/>
      <c r="K150" s="61"/>
      <c r="L150" s="61"/>
      <c r="M150" s="61"/>
      <c r="N150" s="61"/>
      <c r="O150" s="61"/>
      <c r="P150" s="61"/>
      <c r="Q150" s="17"/>
      <c r="R150" s="17"/>
      <c r="S150" s="61"/>
      <c r="T150" s="21"/>
      <c r="U150" s="21"/>
      <c r="V150" s="21"/>
      <c r="W150" s="21"/>
      <c r="X150" s="21"/>
      <c r="Y150" s="21"/>
      <c r="Z150" s="21"/>
    </row>
    <row r="151" ht="17.25" customHeight="1">
      <c r="A151" s="17"/>
      <c r="B151" s="61"/>
      <c r="C151" s="61"/>
      <c r="D151" s="61"/>
      <c r="E151" s="61"/>
      <c r="F151" s="61"/>
      <c r="G151" s="61"/>
      <c r="H151" s="61"/>
      <c r="I151" s="61"/>
      <c r="J151" s="61"/>
      <c r="K151" s="61"/>
      <c r="L151" s="61"/>
      <c r="M151" s="61"/>
      <c r="N151" s="61"/>
      <c r="O151" s="61"/>
      <c r="P151" s="61"/>
      <c r="Q151" s="17"/>
      <c r="R151" s="17"/>
      <c r="S151" s="61"/>
      <c r="T151" s="21"/>
      <c r="U151" s="21"/>
      <c r="V151" s="21"/>
      <c r="W151" s="21"/>
      <c r="X151" s="21"/>
      <c r="Y151" s="21"/>
      <c r="Z151" s="21"/>
    </row>
    <row r="152" ht="17.25" customHeight="1">
      <c r="A152" s="17"/>
      <c r="B152" s="61"/>
      <c r="C152" s="61"/>
      <c r="D152" s="61"/>
      <c r="E152" s="61"/>
      <c r="F152" s="61"/>
      <c r="G152" s="61"/>
      <c r="H152" s="61"/>
      <c r="I152" s="61"/>
      <c r="J152" s="61"/>
      <c r="K152" s="61"/>
      <c r="L152" s="61"/>
      <c r="M152" s="61"/>
      <c r="N152" s="61"/>
      <c r="O152" s="61"/>
      <c r="P152" s="61"/>
      <c r="Q152" s="17"/>
      <c r="R152" s="17"/>
      <c r="S152" s="61"/>
      <c r="T152" s="21"/>
      <c r="U152" s="21"/>
      <c r="V152" s="21"/>
      <c r="W152" s="21"/>
      <c r="X152" s="21"/>
      <c r="Y152" s="21"/>
      <c r="Z152" s="21"/>
    </row>
    <row r="153" ht="17.25" customHeight="1">
      <c r="A153" s="17"/>
      <c r="B153" s="61"/>
      <c r="C153" s="61"/>
      <c r="D153" s="61"/>
      <c r="E153" s="61"/>
      <c r="F153" s="61"/>
      <c r="G153" s="61"/>
      <c r="H153" s="61"/>
      <c r="I153" s="61"/>
      <c r="J153" s="61"/>
      <c r="K153" s="61"/>
      <c r="L153" s="61"/>
      <c r="M153" s="61"/>
      <c r="N153" s="61"/>
      <c r="O153" s="61"/>
      <c r="P153" s="61"/>
      <c r="Q153" s="17"/>
      <c r="R153" s="17"/>
      <c r="S153" s="61"/>
      <c r="T153" s="21"/>
      <c r="U153" s="21"/>
      <c r="V153" s="21"/>
      <c r="W153" s="21"/>
      <c r="X153" s="21"/>
      <c r="Y153" s="21"/>
      <c r="Z153" s="21"/>
    </row>
    <row r="154" ht="17.25" customHeight="1">
      <c r="A154" s="17"/>
      <c r="B154" s="61"/>
      <c r="C154" s="61"/>
      <c r="D154" s="61"/>
      <c r="E154" s="61"/>
      <c r="F154" s="61"/>
      <c r="G154" s="61"/>
      <c r="H154" s="61"/>
      <c r="I154" s="61"/>
      <c r="J154" s="61"/>
      <c r="K154" s="61"/>
      <c r="L154" s="61"/>
      <c r="M154" s="61"/>
      <c r="N154" s="61"/>
      <c r="O154" s="61"/>
      <c r="P154" s="61"/>
      <c r="Q154" s="17"/>
      <c r="R154" s="17"/>
      <c r="S154" s="61"/>
      <c r="T154" s="21"/>
      <c r="U154" s="21"/>
      <c r="V154" s="21"/>
      <c r="W154" s="21"/>
      <c r="X154" s="21"/>
      <c r="Y154" s="21"/>
      <c r="Z154" s="21"/>
    </row>
    <row r="155" ht="17.25" customHeight="1">
      <c r="A155" s="17"/>
      <c r="B155" s="61"/>
      <c r="C155" s="61"/>
      <c r="D155" s="61"/>
      <c r="E155" s="61"/>
      <c r="F155" s="61"/>
      <c r="G155" s="61"/>
      <c r="H155" s="61"/>
      <c r="I155" s="61"/>
      <c r="J155" s="61"/>
      <c r="K155" s="61"/>
      <c r="L155" s="61"/>
      <c r="M155" s="61"/>
      <c r="N155" s="61"/>
      <c r="O155" s="61"/>
      <c r="P155" s="61"/>
      <c r="Q155" s="17"/>
      <c r="R155" s="17"/>
      <c r="S155" s="61"/>
      <c r="T155" s="21"/>
      <c r="U155" s="21"/>
      <c r="V155" s="21"/>
      <c r="W155" s="21"/>
      <c r="X155" s="21"/>
      <c r="Y155" s="21"/>
      <c r="Z155" s="21"/>
    </row>
    <row r="156" ht="17.25" customHeight="1">
      <c r="A156" s="17"/>
      <c r="B156" s="61"/>
      <c r="C156" s="61"/>
      <c r="D156" s="61"/>
      <c r="E156" s="61"/>
      <c r="F156" s="61"/>
      <c r="G156" s="61"/>
      <c r="H156" s="61"/>
      <c r="I156" s="61"/>
      <c r="J156" s="61"/>
      <c r="K156" s="61"/>
      <c r="L156" s="61"/>
      <c r="M156" s="61"/>
      <c r="N156" s="61"/>
      <c r="O156" s="61"/>
      <c r="P156" s="61"/>
      <c r="Q156" s="17"/>
      <c r="R156" s="17"/>
      <c r="S156" s="61"/>
      <c r="T156" s="21"/>
      <c r="U156" s="21"/>
      <c r="V156" s="21"/>
      <c r="W156" s="21"/>
      <c r="X156" s="21"/>
      <c r="Y156" s="21"/>
      <c r="Z156" s="21"/>
    </row>
    <row r="157" ht="17.25" customHeight="1">
      <c r="A157" s="17"/>
      <c r="B157" s="61"/>
      <c r="C157" s="61"/>
      <c r="D157" s="61"/>
      <c r="E157" s="61"/>
      <c r="F157" s="61"/>
      <c r="G157" s="61"/>
      <c r="H157" s="61"/>
      <c r="I157" s="61"/>
      <c r="J157" s="61"/>
      <c r="K157" s="61"/>
      <c r="L157" s="61"/>
      <c r="M157" s="61"/>
      <c r="N157" s="61"/>
      <c r="O157" s="61"/>
      <c r="P157" s="61"/>
      <c r="Q157" s="17"/>
      <c r="R157" s="17"/>
      <c r="S157" s="61"/>
      <c r="T157" s="21"/>
      <c r="U157" s="21"/>
      <c r="V157" s="21"/>
      <c r="W157" s="21"/>
      <c r="X157" s="21"/>
      <c r="Y157" s="21"/>
      <c r="Z157" s="21"/>
    </row>
    <row r="158" ht="17.25" customHeight="1">
      <c r="A158" s="17"/>
      <c r="B158" s="61"/>
      <c r="C158" s="61"/>
      <c r="D158" s="61"/>
      <c r="E158" s="61"/>
      <c r="F158" s="61"/>
      <c r="G158" s="61"/>
      <c r="H158" s="61"/>
      <c r="I158" s="61"/>
      <c r="J158" s="61"/>
      <c r="K158" s="61"/>
      <c r="L158" s="61"/>
      <c r="M158" s="61"/>
      <c r="N158" s="61"/>
      <c r="O158" s="61"/>
      <c r="P158" s="61"/>
      <c r="Q158" s="17"/>
      <c r="R158" s="17"/>
      <c r="S158" s="61"/>
      <c r="T158" s="21"/>
      <c r="U158" s="21"/>
      <c r="V158" s="21"/>
      <c r="W158" s="21"/>
      <c r="X158" s="21"/>
      <c r="Y158" s="21"/>
      <c r="Z158" s="21"/>
    </row>
    <row r="159" ht="17.25" customHeight="1">
      <c r="A159" s="17"/>
      <c r="B159" s="61"/>
      <c r="C159" s="61"/>
      <c r="D159" s="61"/>
      <c r="E159" s="61"/>
      <c r="F159" s="61"/>
      <c r="G159" s="61"/>
      <c r="H159" s="61"/>
      <c r="I159" s="61"/>
      <c r="J159" s="61"/>
      <c r="K159" s="61"/>
      <c r="L159" s="61"/>
      <c r="M159" s="61"/>
      <c r="N159" s="61"/>
      <c r="O159" s="61"/>
      <c r="P159" s="61"/>
      <c r="Q159" s="17"/>
      <c r="R159" s="17"/>
      <c r="S159" s="61"/>
      <c r="T159" s="21"/>
      <c r="U159" s="21"/>
      <c r="V159" s="21"/>
      <c r="W159" s="21"/>
      <c r="X159" s="21"/>
      <c r="Y159" s="21"/>
      <c r="Z159" s="21"/>
    </row>
    <row r="160" ht="17.25" customHeight="1">
      <c r="A160" s="17"/>
      <c r="B160" s="61"/>
      <c r="C160" s="61"/>
      <c r="D160" s="61"/>
      <c r="E160" s="61"/>
      <c r="F160" s="61"/>
      <c r="G160" s="61"/>
      <c r="H160" s="61"/>
      <c r="I160" s="61"/>
      <c r="J160" s="61"/>
      <c r="K160" s="61"/>
      <c r="L160" s="61"/>
      <c r="M160" s="61"/>
      <c r="N160" s="61"/>
      <c r="O160" s="61"/>
      <c r="P160" s="61"/>
      <c r="Q160" s="17"/>
      <c r="R160" s="17"/>
      <c r="S160" s="61"/>
      <c r="T160" s="21"/>
      <c r="U160" s="21"/>
      <c r="V160" s="21"/>
      <c r="W160" s="21"/>
      <c r="X160" s="21"/>
      <c r="Y160" s="21"/>
      <c r="Z160" s="21"/>
    </row>
    <row r="161" ht="17.25" customHeight="1">
      <c r="A161" s="17"/>
      <c r="B161" s="61"/>
      <c r="C161" s="61"/>
      <c r="D161" s="61"/>
      <c r="E161" s="61"/>
      <c r="F161" s="61"/>
      <c r="G161" s="61"/>
      <c r="H161" s="61"/>
      <c r="I161" s="61"/>
      <c r="J161" s="61"/>
      <c r="K161" s="61"/>
      <c r="L161" s="61"/>
      <c r="M161" s="61"/>
      <c r="N161" s="61"/>
      <c r="O161" s="61"/>
      <c r="P161" s="61"/>
      <c r="Q161" s="17"/>
      <c r="R161" s="17"/>
      <c r="S161" s="61"/>
      <c r="T161" s="21"/>
      <c r="U161" s="21"/>
      <c r="V161" s="21"/>
      <c r="W161" s="21"/>
      <c r="X161" s="21"/>
      <c r="Y161" s="21"/>
      <c r="Z161" s="21"/>
    </row>
    <row r="162" ht="17.25" customHeight="1">
      <c r="A162" s="17"/>
      <c r="B162" s="61"/>
      <c r="C162" s="61"/>
      <c r="D162" s="61"/>
      <c r="E162" s="61"/>
      <c r="F162" s="61"/>
      <c r="G162" s="61"/>
      <c r="H162" s="61"/>
      <c r="I162" s="61"/>
      <c r="J162" s="61"/>
      <c r="K162" s="61"/>
      <c r="L162" s="61"/>
      <c r="M162" s="61"/>
      <c r="N162" s="61"/>
      <c r="O162" s="61"/>
      <c r="P162" s="61"/>
      <c r="Q162" s="17"/>
      <c r="R162" s="17"/>
      <c r="S162" s="61"/>
      <c r="T162" s="21"/>
      <c r="U162" s="21"/>
      <c r="V162" s="21"/>
      <c r="W162" s="21"/>
      <c r="X162" s="21"/>
      <c r="Y162" s="21"/>
      <c r="Z162" s="21"/>
    </row>
    <row r="163" ht="17.25" customHeight="1">
      <c r="A163" s="17"/>
      <c r="B163" s="61"/>
      <c r="C163" s="61"/>
      <c r="D163" s="61"/>
      <c r="E163" s="61"/>
      <c r="F163" s="61"/>
      <c r="G163" s="61"/>
      <c r="H163" s="61"/>
      <c r="I163" s="61"/>
      <c r="J163" s="61"/>
      <c r="K163" s="61"/>
      <c r="L163" s="61"/>
      <c r="M163" s="61"/>
      <c r="N163" s="61"/>
      <c r="O163" s="61"/>
      <c r="P163" s="61"/>
      <c r="Q163" s="17"/>
      <c r="R163" s="17"/>
      <c r="S163" s="61"/>
      <c r="T163" s="21"/>
      <c r="U163" s="21"/>
      <c r="V163" s="21"/>
      <c r="W163" s="21"/>
      <c r="X163" s="21"/>
      <c r="Y163" s="21"/>
      <c r="Z163" s="21"/>
    </row>
    <row r="164" ht="17.25" customHeight="1">
      <c r="A164" s="17"/>
      <c r="B164" s="61"/>
      <c r="C164" s="61"/>
      <c r="D164" s="61"/>
      <c r="E164" s="61"/>
      <c r="F164" s="61"/>
      <c r="G164" s="61"/>
      <c r="H164" s="61"/>
      <c r="I164" s="61"/>
      <c r="J164" s="61"/>
      <c r="K164" s="61"/>
      <c r="L164" s="61"/>
      <c r="M164" s="61"/>
      <c r="N164" s="61"/>
      <c r="O164" s="61"/>
      <c r="P164" s="61"/>
      <c r="Q164" s="17"/>
      <c r="R164" s="17"/>
      <c r="S164" s="61"/>
      <c r="T164" s="21"/>
      <c r="U164" s="21"/>
      <c r="V164" s="21"/>
      <c r="W164" s="21"/>
      <c r="X164" s="21"/>
      <c r="Y164" s="21"/>
      <c r="Z164" s="21"/>
    </row>
    <row r="165" ht="17.25" customHeight="1">
      <c r="A165" s="17"/>
      <c r="B165" s="61"/>
      <c r="C165" s="61"/>
      <c r="D165" s="61"/>
      <c r="E165" s="61"/>
      <c r="F165" s="61"/>
      <c r="G165" s="61"/>
      <c r="H165" s="61"/>
      <c r="I165" s="61"/>
      <c r="J165" s="61"/>
      <c r="K165" s="61"/>
      <c r="L165" s="61"/>
      <c r="M165" s="61"/>
      <c r="N165" s="61"/>
      <c r="O165" s="61"/>
      <c r="P165" s="61"/>
      <c r="Q165" s="17"/>
      <c r="R165" s="17"/>
      <c r="S165" s="61"/>
      <c r="T165" s="21"/>
      <c r="U165" s="21"/>
      <c r="V165" s="21"/>
      <c r="W165" s="21"/>
      <c r="X165" s="21"/>
      <c r="Y165" s="21"/>
      <c r="Z165" s="21"/>
    </row>
    <row r="166" ht="17.25" customHeight="1">
      <c r="A166" s="17"/>
      <c r="B166" s="61"/>
      <c r="C166" s="61"/>
      <c r="D166" s="61"/>
      <c r="E166" s="61"/>
      <c r="F166" s="61"/>
      <c r="G166" s="61"/>
      <c r="H166" s="61"/>
      <c r="I166" s="61"/>
      <c r="J166" s="61"/>
      <c r="K166" s="61"/>
      <c r="L166" s="61"/>
      <c r="M166" s="61"/>
      <c r="N166" s="61"/>
      <c r="O166" s="61"/>
      <c r="P166" s="61"/>
      <c r="Q166" s="17"/>
      <c r="R166" s="17"/>
      <c r="S166" s="61"/>
      <c r="T166" s="21"/>
      <c r="U166" s="21"/>
      <c r="V166" s="21"/>
      <c r="W166" s="21"/>
      <c r="X166" s="21"/>
      <c r="Y166" s="21"/>
      <c r="Z166" s="21"/>
    </row>
    <row r="167" ht="17.25" customHeight="1">
      <c r="A167" s="17"/>
      <c r="B167" s="61"/>
      <c r="C167" s="61"/>
      <c r="D167" s="61"/>
      <c r="E167" s="61"/>
      <c r="F167" s="61"/>
      <c r="G167" s="61"/>
      <c r="H167" s="61"/>
      <c r="I167" s="61"/>
      <c r="J167" s="61"/>
      <c r="K167" s="61"/>
      <c r="L167" s="61"/>
      <c r="M167" s="61"/>
      <c r="N167" s="61"/>
      <c r="O167" s="61"/>
      <c r="P167" s="61"/>
      <c r="Q167" s="17"/>
      <c r="R167" s="17"/>
      <c r="S167" s="61"/>
      <c r="T167" s="21"/>
      <c r="U167" s="21"/>
      <c r="V167" s="21"/>
      <c r="W167" s="21"/>
      <c r="X167" s="21"/>
      <c r="Y167" s="21"/>
      <c r="Z167" s="21"/>
    </row>
    <row r="168" ht="17.25" customHeight="1">
      <c r="A168" s="17"/>
      <c r="B168" s="61"/>
      <c r="C168" s="61"/>
      <c r="D168" s="61"/>
      <c r="E168" s="61"/>
      <c r="F168" s="61"/>
      <c r="G168" s="61"/>
      <c r="H168" s="61"/>
      <c r="I168" s="61"/>
      <c r="J168" s="61"/>
      <c r="K168" s="61"/>
      <c r="L168" s="61"/>
      <c r="M168" s="61"/>
      <c r="N168" s="61"/>
      <c r="O168" s="61"/>
      <c r="P168" s="61"/>
      <c r="Q168" s="17"/>
      <c r="R168" s="17"/>
      <c r="S168" s="61"/>
      <c r="T168" s="21"/>
      <c r="U168" s="21"/>
      <c r="V168" s="21"/>
      <c r="W168" s="21"/>
      <c r="X168" s="21"/>
      <c r="Y168" s="21"/>
      <c r="Z168" s="21"/>
    </row>
    <row r="169" ht="17.25" customHeight="1">
      <c r="A169" s="17"/>
      <c r="B169" s="61"/>
      <c r="C169" s="61"/>
      <c r="D169" s="61"/>
      <c r="E169" s="61"/>
      <c r="F169" s="61"/>
      <c r="G169" s="61"/>
      <c r="H169" s="61"/>
      <c r="I169" s="61"/>
      <c r="J169" s="61"/>
      <c r="K169" s="61"/>
      <c r="L169" s="61"/>
      <c r="M169" s="61"/>
      <c r="N169" s="61"/>
      <c r="O169" s="61"/>
      <c r="P169" s="61"/>
      <c r="Q169" s="17"/>
      <c r="R169" s="17"/>
      <c r="S169" s="61"/>
      <c r="T169" s="21"/>
      <c r="U169" s="21"/>
      <c r="V169" s="21"/>
      <c r="W169" s="21"/>
      <c r="X169" s="21"/>
      <c r="Y169" s="21"/>
      <c r="Z169" s="21"/>
    </row>
    <row r="170" ht="17.25" customHeight="1">
      <c r="A170" s="17"/>
      <c r="B170" s="61"/>
      <c r="C170" s="61"/>
      <c r="D170" s="61"/>
      <c r="E170" s="61"/>
      <c r="F170" s="61"/>
      <c r="G170" s="61"/>
      <c r="H170" s="61"/>
      <c r="I170" s="61"/>
      <c r="J170" s="61"/>
      <c r="K170" s="61"/>
      <c r="L170" s="61"/>
      <c r="M170" s="61"/>
      <c r="N170" s="61"/>
      <c r="O170" s="61"/>
      <c r="P170" s="61"/>
      <c r="Q170" s="17"/>
      <c r="R170" s="17"/>
      <c r="S170" s="61"/>
      <c r="T170" s="21"/>
      <c r="U170" s="21"/>
      <c r="V170" s="21"/>
      <c r="W170" s="21"/>
      <c r="X170" s="21"/>
      <c r="Y170" s="21"/>
      <c r="Z170" s="21"/>
    </row>
    <row r="171" ht="17.25" customHeight="1">
      <c r="A171" s="17"/>
      <c r="B171" s="61"/>
      <c r="C171" s="61"/>
      <c r="D171" s="61"/>
      <c r="E171" s="61"/>
      <c r="F171" s="61"/>
      <c r="G171" s="61"/>
      <c r="H171" s="61"/>
      <c r="I171" s="61"/>
      <c r="J171" s="61"/>
      <c r="K171" s="61"/>
      <c r="L171" s="61"/>
      <c r="M171" s="61"/>
      <c r="N171" s="61"/>
      <c r="O171" s="61"/>
      <c r="P171" s="61"/>
      <c r="Q171" s="17"/>
      <c r="R171" s="17"/>
      <c r="S171" s="61"/>
      <c r="T171" s="21"/>
      <c r="U171" s="21"/>
      <c r="V171" s="21"/>
      <c r="W171" s="21"/>
      <c r="X171" s="21"/>
      <c r="Y171" s="21"/>
      <c r="Z171" s="21"/>
    </row>
    <row r="172" ht="17.25" customHeight="1">
      <c r="A172" s="17"/>
      <c r="B172" s="61"/>
      <c r="C172" s="61"/>
      <c r="D172" s="61"/>
      <c r="E172" s="61"/>
      <c r="F172" s="61"/>
      <c r="G172" s="61"/>
      <c r="H172" s="61"/>
      <c r="I172" s="61"/>
      <c r="J172" s="61"/>
      <c r="K172" s="61"/>
      <c r="L172" s="61"/>
      <c r="M172" s="61"/>
      <c r="N172" s="61"/>
      <c r="O172" s="61"/>
      <c r="P172" s="61"/>
      <c r="Q172" s="17"/>
      <c r="R172" s="17"/>
      <c r="S172" s="61"/>
      <c r="T172" s="21"/>
      <c r="U172" s="21"/>
      <c r="V172" s="21"/>
      <c r="W172" s="21"/>
      <c r="X172" s="21"/>
      <c r="Y172" s="21"/>
      <c r="Z172" s="21"/>
    </row>
    <row r="173" ht="17.25" customHeight="1">
      <c r="A173" s="17"/>
      <c r="B173" s="61"/>
      <c r="C173" s="61"/>
      <c r="D173" s="61"/>
      <c r="E173" s="61"/>
      <c r="F173" s="61"/>
      <c r="G173" s="61"/>
      <c r="H173" s="61"/>
      <c r="I173" s="61"/>
      <c r="J173" s="61"/>
      <c r="K173" s="61"/>
      <c r="L173" s="61"/>
      <c r="M173" s="61"/>
      <c r="N173" s="61"/>
      <c r="O173" s="61"/>
      <c r="P173" s="61"/>
      <c r="Q173" s="17"/>
      <c r="R173" s="17"/>
      <c r="S173" s="61"/>
      <c r="T173" s="21"/>
      <c r="U173" s="21"/>
      <c r="V173" s="21"/>
      <c r="W173" s="21"/>
      <c r="X173" s="21"/>
      <c r="Y173" s="21"/>
      <c r="Z173" s="21"/>
    </row>
    <row r="174" ht="17.25" customHeight="1">
      <c r="A174" s="17"/>
      <c r="B174" s="61"/>
      <c r="C174" s="61"/>
      <c r="D174" s="61"/>
      <c r="E174" s="61"/>
      <c r="F174" s="61"/>
      <c r="G174" s="61"/>
      <c r="H174" s="61"/>
      <c r="I174" s="61"/>
      <c r="J174" s="61"/>
      <c r="K174" s="61"/>
      <c r="L174" s="61"/>
      <c r="M174" s="61"/>
      <c r="N174" s="61"/>
      <c r="O174" s="61"/>
      <c r="P174" s="61"/>
      <c r="Q174" s="17"/>
      <c r="R174" s="17"/>
      <c r="S174" s="61"/>
      <c r="T174" s="21"/>
      <c r="U174" s="21"/>
      <c r="V174" s="21"/>
      <c r="W174" s="21"/>
      <c r="X174" s="21"/>
      <c r="Y174" s="21"/>
      <c r="Z174" s="21"/>
    </row>
    <row r="175" ht="17.25" customHeight="1">
      <c r="A175" s="17"/>
      <c r="B175" s="61"/>
      <c r="C175" s="61"/>
      <c r="D175" s="61"/>
      <c r="E175" s="61"/>
      <c r="F175" s="61"/>
      <c r="G175" s="61"/>
      <c r="H175" s="61"/>
      <c r="I175" s="61"/>
      <c r="J175" s="61"/>
      <c r="K175" s="61"/>
      <c r="L175" s="61"/>
      <c r="M175" s="61"/>
      <c r="N175" s="61"/>
      <c r="O175" s="61"/>
      <c r="P175" s="61"/>
      <c r="Q175" s="17"/>
      <c r="R175" s="17"/>
      <c r="S175" s="61"/>
      <c r="T175" s="21"/>
      <c r="U175" s="21"/>
      <c r="V175" s="21"/>
      <c r="W175" s="21"/>
      <c r="X175" s="21"/>
      <c r="Y175" s="21"/>
      <c r="Z175" s="21"/>
    </row>
    <row r="176" ht="17.25" customHeight="1">
      <c r="A176" s="17"/>
      <c r="B176" s="61"/>
      <c r="C176" s="61"/>
      <c r="D176" s="61"/>
      <c r="E176" s="61"/>
      <c r="F176" s="61"/>
      <c r="G176" s="61"/>
      <c r="H176" s="61"/>
      <c r="I176" s="61"/>
      <c r="J176" s="61"/>
      <c r="K176" s="61"/>
      <c r="L176" s="61"/>
      <c r="M176" s="61"/>
      <c r="N176" s="61"/>
      <c r="O176" s="61"/>
      <c r="P176" s="61"/>
      <c r="Q176" s="17"/>
      <c r="R176" s="17"/>
      <c r="S176" s="61"/>
      <c r="T176" s="21"/>
      <c r="U176" s="21"/>
      <c r="V176" s="21"/>
      <c r="W176" s="21"/>
      <c r="X176" s="21"/>
      <c r="Y176" s="21"/>
      <c r="Z176" s="21"/>
    </row>
    <row r="177" ht="17.25" customHeight="1">
      <c r="A177" s="17"/>
      <c r="B177" s="61"/>
      <c r="C177" s="61"/>
      <c r="D177" s="61"/>
      <c r="E177" s="61"/>
      <c r="F177" s="61"/>
      <c r="G177" s="61"/>
      <c r="H177" s="61"/>
      <c r="I177" s="61"/>
      <c r="J177" s="61"/>
      <c r="K177" s="61"/>
      <c r="L177" s="61"/>
      <c r="M177" s="61"/>
      <c r="N177" s="61"/>
      <c r="O177" s="61"/>
      <c r="P177" s="61"/>
      <c r="Q177" s="17"/>
      <c r="R177" s="17"/>
      <c r="S177" s="61"/>
      <c r="T177" s="21"/>
      <c r="U177" s="21"/>
      <c r="V177" s="21"/>
      <c r="W177" s="21"/>
      <c r="X177" s="21"/>
      <c r="Y177" s="21"/>
      <c r="Z177" s="21"/>
    </row>
    <row r="178" ht="17.25" customHeight="1">
      <c r="A178" s="17"/>
      <c r="B178" s="61"/>
      <c r="C178" s="61"/>
      <c r="D178" s="61"/>
      <c r="E178" s="61"/>
      <c r="F178" s="61"/>
      <c r="G178" s="61"/>
      <c r="H178" s="61"/>
      <c r="I178" s="61"/>
      <c r="J178" s="61"/>
      <c r="K178" s="61"/>
      <c r="L178" s="61"/>
      <c r="M178" s="61"/>
      <c r="N178" s="61"/>
      <c r="O178" s="61"/>
      <c r="P178" s="61"/>
      <c r="Q178" s="17"/>
      <c r="R178" s="17"/>
      <c r="S178" s="61"/>
      <c r="T178" s="21"/>
      <c r="U178" s="21"/>
      <c r="V178" s="21"/>
      <c r="W178" s="21"/>
      <c r="X178" s="21"/>
      <c r="Y178" s="21"/>
      <c r="Z178" s="21"/>
    </row>
    <row r="179" ht="17.25" customHeight="1">
      <c r="A179" s="17"/>
      <c r="B179" s="61"/>
      <c r="C179" s="61"/>
      <c r="D179" s="61"/>
      <c r="E179" s="61"/>
      <c r="F179" s="61"/>
      <c r="G179" s="61"/>
      <c r="H179" s="61"/>
      <c r="I179" s="61"/>
      <c r="J179" s="61"/>
      <c r="K179" s="61"/>
      <c r="L179" s="61"/>
      <c r="M179" s="61"/>
      <c r="N179" s="61"/>
      <c r="O179" s="61"/>
      <c r="P179" s="61"/>
      <c r="Q179" s="17"/>
      <c r="R179" s="17"/>
      <c r="S179" s="61"/>
      <c r="T179" s="21"/>
      <c r="U179" s="21"/>
      <c r="V179" s="21"/>
      <c r="W179" s="21"/>
      <c r="X179" s="21"/>
      <c r="Y179" s="21"/>
      <c r="Z179" s="21"/>
    </row>
    <row r="180" ht="17.25" customHeight="1">
      <c r="A180" s="17"/>
      <c r="B180" s="61"/>
      <c r="C180" s="61"/>
      <c r="D180" s="61"/>
      <c r="E180" s="61"/>
      <c r="F180" s="61"/>
      <c r="G180" s="61"/>
      <c r="H180" s="61"/>
      <c r="I180" s="61"/>
      <c r="J180" s="61"/>
      <c r="K180" s="61"/>
      <c r="L180" s="61"/>
      <c r="M180" s="61"/>
      <c r="N180" s="61"/>
      <c r="O180" s="61"/>
      <c r="P180" s="61"/>
      <c r="Q180" s="17"/>
      <c r="R180" s="17"/>
      <c r="S180" s="61"/>
      <c r="T180" s="21"/>
      <c r="U180" s="21"/>
      <c r="V180" s="21"/>
      <c r="W180" s="21"/>
      <c r="X180" s="21"/>
      <c r="Y180" s="21"/>
      <c r="Z180" s="21"/>
    </row>
    <row r="181" ht="17.25" customHeight="1">
      <c r="A181" s="17"/>
      <c r="B181" s="61"/>
      <c r="C181" s="61"/>
      <c r="D181" s="61"/>
      <c r="E181" s="61"/>
      <c r="F181" s="61"/>
      <c r="G181" s="61"/>
      <c r="H181" s="61"/>
      <c r="I181" s="61"/>
      <c r="J181" s="61"/>
      <c r="K181" s="61"/>
      <c r="L181" s="61"/>
      <c r="M181" s="61"/>
      <c r="N181" s="61"/>
      <c r="O181" s="61"/>
      <c r="P181" s="61"/>
      <c r="Q181" s="17"/>
      <c r="R181" s="17"/>
      <c r="S181" s="61"/>
      <c r="T181" s="21"/>
      <c r="U181" s="21"/>
      <c r="V181" s="21"/>
      <c r="W181" s="21"/>
      <c r="X181" s="21"/>
      <c r="Y181" s="21"/>
      <c r="Z181" s="21"/>
    </row>
    <row r="182" ht="17.25" customHeight="1">
      <c r="A182" s="17"/>
      <c r="B182" s="61"/>
      <c r="C182" s="61"/>
      <c r="D182" s="61"/>
      <c r="E182" s="61"/>
      <c r="F182" s="61"/>
      <c r="G182" s="61"/>
      <c r="H182" s="61"/>
      <c r="I182" s="61"/>
      <c r="J182" s="61"/>
      <c r="K182" s="61"/>
      <c r="L182" s="61"/>
      <c r="M182" s="61"/>
      <c r="N182" s="61"/>
      <c r="O182" s="61"/>
      <c r="P182" s="61"/>
      <c r="Q182" s="17"/>
      <c r="R182" s="17"/>
      <c r="S182" s="61"/>
      <c r="T182" s="21"/>
      <c r="U182" s="21"/>
      <c r="V182" s="21"/>
      <c r="W182" s="21"/>
      <c r="X182" s="21"/>
      <c r="Y182" s="21"/>
      <c r="Z182" s="21"/>
    </row>
    <row r="183" ht="17.25" customHeight="1">
      <c r="A183" s="17"/>
      <c r="B183" s="61"/>
      <c r="C183" s="61"/>
      <c r="D183" s="61"/>
      <c r="E183" s="61"/>
      <c r="F183" s="61"/>
      <c r="G183" s="61"/>
      <c r="H183" s="61"/>
      <c r="I183" s="61"/>
      <c r="J183" s="61"/>
      <c r="K183" s="61"/>
      <c r="L183" s="61"/>
      <c r="M183" s="61"/>
      <c r="N183" s="61"/>
      <c r="O183" s="61"/>
      <c r="P183" s="61"/>
      <c r="Q183" s="17"/>
      <c r="R183" s="17"/>
      <c r="S183" s="61"/>
      <c r="T183" s="21"/>
      <c r="U183" s="21"/>
      <c r="V183" s="21"/>
      <c r="W183" s="21"/>
      <c r="X183" s="21"/>
      <c r="Y183" s="21"/>
      <c r="Z183" s="21"/>
    </row>
    <row r="184" ht="17.25" customHeight="1">
      <c r="A184" s="17"/>
      <c r="B184" s="61"/>
      <c r="C184" s="61"/>
      <c r="D184" s="61"/>
      <c r="E184" s="61"/>
      <c r="F184" s="61"/>
      <c r="G184" s="61"/>
      <c r="H184" s="61"/>
      <c r="I184" s="61"/>
      <c r="J184" s="61"/>
      <c r="K184" s="61"/>
      <c r="L184" s="61"/>
      <c r="M184" s="61"/>
      <c r="N184" s="61"/>
      <c r="O184" s="61"/>
      <c r="P184" s="61"/>
      <c r="Q184" s="17"/>
      <c r="R184" s="17"/>
      <c r="S184" s="61"/>
      <c r="T184" s="21"/>
      <c r="U184" s="21"/>
      <c r="V184" s="21"/>
      <c r="W184" s="21"/>
      <c r="X184" s="21"/>
      <c r="Y184" s="21"/>
      <c r="Z184" s="21"/>
    </row>
    <row r="185" ht="17.25" customHeight="1">
      <c r="A185" s="17"/>
      <c r="B185" s="61"/>
      <c r="C185" s="61"/>
      <c r="D185" s="61"/>
      <c r="E185" s="61"/>
      <c r="F185" s="61"/>
      <c r="G185" s="61"/>
      <c r="H185" s="61"/>
      <c r="I185" s="61"/>
      <c r="J185" s="61"/>
      <c r="K185" s="61"/>
      <c r="L185" s="61"/>
      <c r="M185" s="61"/>
      <c r="N185" s="61"/>
      <c r="O185" s="61"/>
      <c r="P185" s="61"/>
      <c r="Q185" s="17"/>
      <c r="R185" s="17"/>
      <c r="S185" s="61"/>
      <c r="T185" s="21"/>
      <c r="U185" s="21"/>
      <c r="V185" s="21"/>
      <c r="W185" s="21"/>
      <c r="X185" s="21"/>
      <c r="Y185" s="21"/>
      <c r="Z185" s="21"/>
    </row>
    <row r="186" ht="17.25" customHeight="1">
      <c r="A186" s="17"/>
      <c r="B186" s="61"/>
      <c r="C186" s="61"/>
      <c r="D186" s="61"/>
      <c r="E186" s="61"/>
      <c r="F186" s="61"/>
      <c r="G186" s="61"/>
      <c r="H186" s="61"/>
      <c r="I186" s="61"/>
      <c r="J186" s="61"/>
      <c r="K186" s="61"/>
      <c r="L186" s="61"/>
      <c r="M186" s="61"/>
      <c r="N186" s="61"/>
      <c r="O186" s="61"/>
      <c r="P186" s="61"/>
      <c r="Q186" s="17"/>
      <c r="R186" s="17"/>
      <c r="S186" s="61"/>
      <c r="T186" s="21"/>
      <c r="U186" s="21"/>
      <c r="V186" s="21"/>
      <c r="W186" s="21"/>
      <c r="X186" s="21"/>
      <c r="Y186" s="21"/>
      <c r="Z186" s="21"/>
    </row>
    <row r="187" ht="17.25" customHeight="1">
      <c r="A187" s="17"/>
      <c r="B187" s="61"/>
      <c r="C187" s="61"/>
      <c r="D187" s="61"/>
      <c r="E187" s="61"/>
      <c r="F187" s="61"/>
      <c r="G187" s="61"/>
      <c r="H187" s="61"/>
      <c r="I187" s="61"/>
      <c r="J187" s="61"/>
      <c r="K187" s="61"/>
      <c r="L187" s="61"/>
      <c r="M187" s="61"/>
      <c r="N187" s="61"/>
      <c r="O187" s="61"/>
      <c r="P187" s="61"/>
      <c r="Q187" s="17"/>
      <c r="R187" s="17"/>
      <c r="S187" s="61"/>
      <c r="T187" s="21"/>
      <c r="U187" s="21"/>
      <c r="V187" s="21"/>
      <c r="W187" s="21"/>
      <c r="X187" s="21"/>
      <c r="Y187" s="21"/>
      <c r="Z187" s="21"/>
    </row>
    <row r="188" ht="17.25" customHeight="1">
      <c r="A188" s="17"/>
      <c r="B188" s="61"/>
      <c r="C188" s="61"/>
      <c r="D188" s="61"/>
      <c r="E188" s="61"/>
      <c r="F188" s="61"/>
      <c r="G188" s="61"/>
      <c r="H188" s="61"/>
      <c r="I188" s="61"/>
      <c r="J188" s="61"/>
      <c r="K188" s="61"/>
      <c r="L188" s="61"/>
      <c r="M188" s="61"/>
      <c r="N188" s="61"/>
      <c r="O188" s="61"/>
      <c r="P188" s="61"/>
      <c r="Q188" s="17"/>
      <c r="R188" s="17"/>
      <c r="S188" s="61"/>
      <c r="T188" s="21"/>
      <c r="U188" s="21"/>
      <c r="V188" s="21"/>
      <c r="W188" s="21"/>
      <c r="X188" s="21"/>
      <c r="Y188" s="21"/>
      <c r="Z188" s="21"/>
    </row>
    <row r="189" ht="17.25" customHeight="1">
      <c r="A189" s="17"/>
      <c r="B189" s="61"/>
      <c r="C189" s="61"/>
      <c r="D189" s="61"/>
      <c r="E189" s="61"/>
      <c r="F189" s="61"/>
      <c r="G189" s="61"/>
      <c r="H189" s="61"/>
      <c r="I189" s="61"/>
      <c r="J189" s="61"/>
      <c r="K189" s="61"/>
      <c r="L189" s="61"/>
      <c r="M189" s="61"/>
      <c r="N189" s="61"/>
      <c r="O189" s="61"/>
      <c r="P189" s="61"/>
      <c r="Q189" s="17"/>
      <c r="R189" s="17"/>
      <c r="S189" s="61"/>
      <c r="T189" s="21"/>
      <c r="U189" s="21"/>
      <c r="V189" s="21"/>
      <c r="W189" s="21"/>
      <c r="X189" s="21"/>
      <c r="Y189" s="21"/>
      <c r="Z189" s="21"/>
    </row>
    <row r="190" ht="17.25" customHeight="1">
      <c r="A190" s="17"/>
      <c r="B190" s="61"/>
      <c r="C190" s="61"/>
      <c r="D190" s="61"/>
      <c r="E190" s="61"/>
      <c r="F190" s="61"/>
      <c r="G190" s="61"/>
      <c r="H190" s="61"/>
      <c r="I190" s="61"/>
      <c r="J190" s="61"/>
      <c r="K190" s="61"/>
      <c r="L190" s="61"/>
      <c r="M190" s="61"/>
      <c r="N190" s="61"/>
      <c r="O190" s="61"/>
      <c r="P190" s="61"/>
      <c r="Q190" s="17"/>
      <c r="R190" s="17"/>
      <c r="S190" s="61"/>
      <c r="T190" s="21"/>
      <c r="U190" s="21"/>
      <c r="V190" s="21"/>
      <c r="W190" s="21"/>
      <c r="X190" s="21"/>
      <c r="Y190" s="21"/>
      <c r="Z190" s="21"/>
    </row>
    <row r="191" ht="17.25" customHeight="1">
      <c r="A191" s="17"/>
      <c r="B191" s="61"/>
      <c r="C191" s="61"/>
      <c r="D191" s="61"/>
      <c r="E191" s="61"/>
      <c r="F191" s="61"/>
      <c r="G191" s="61"/>
      <c r="H191" s="61"/>
      <c r="I191" s="61"/>
      <c r="J191" s="61"/>
      <c r="K191" s="61"/>
      <c r="L191" s="61"/>
      <c r="M191" s="61"/>
      <c r="N191" s="61"/>
      <c r="O191" s="61"/>
      <c r="P191" s="61"/>
      <c r="Q191" s="17"/>
      <c r="R191" s="17"/>
      <c r="S191" s="61"/>
      <c r="T191" s="21"/>
      <c r="U191" s="21"/>
      <c r="V191" s="21"/>
      <c r="W191" s="21"/>
      <c r="X191" s="21"/>
      <c r="Y191" s="21"/>
      <c r="Z191" s="21"/>
    </row>
    <row r="192" ht="17.25" customHeight="1">
      <c r="A192" s="17"/>
      <c r="B192" s="61"/>
      <c r="C192" s="61"/>
      <c r="D192" s="61"/>
      <c r="E192" s="61"/>
      <c r="F192" s="61"/>
      <c r="G192" s="61"/>
      <c r="H192" s="61"/>
      <c r="I192" s="61"/>
      <c r="J192" s="61"/>
      <c r="K192" s="61"/>
      <c r="L192" s="61"/>
      <c r="M192" s="61"/>
      <c r="N192" s="61"/>
      <c r="O192" s="61"/>
      <c r="P192" s="61"/>
      <c r="Q192" s="17"/>
      <c r="R192" s="17"/>
      <c r="S192" s="61"/>
      <c r="T192" s="21"/>
      <c r="U192" s="21"/>
      <c r="V192" s="21"/>
      <c r="W192" s="21"/>
      <c r="X192" s="21"/>
      <c r="Y192" s="21"/>
      <c r="Z192" s="21"/>
    </row>
    <row r="193" ht="17.25" customHeight="1">
      <c r="A193" s="17"/>
      <c r="B193" s="61"/>
      <c r="C193" s="61"/>
      <c r="D193" s="61"/>
      <c r="E193" s="61"/>
      <c r="F193" s="61"/>
      <c r="G193" s="61"/>
      <c r="H193" s="61"/>
      <c r="I193" s="61"/>
      <c r="J193" s="61"/>
      <c r="K193" s="61"/>
      <c r="L193" s="61"/>
      <c r="M193" s="61"/>
      <c r="N193" s="61"/>
      <c r="O193" s="61"/>
      <c r="P193" s="61"/>
      <c r="Q193" s="17"/>
      <c r="R193" s="17"/>
      <c r="S193" s="61"/>
      <c r="T193" s="21"/>
      <c r="U193" s="21"/>
      <c r="V193" s="21"/>
      <c r="W193" s="21"/>
      <c r="X193" s="21"/>
      <c r="Y193" s="21"/>
      <c r="Z193" s="21"/>
    </row>
    <row r="194" ht="17.25" customHeight="1">
      <c r="A194" s="17"/>
      <c r="B194" s="61"/>
      <c r="C194" s="61"/>
      <c r="D194" s="61"/>
      <c r="E194" s="61"/>
      <c r="F194" s="61"/>
      <c r="G194" s="61"/>
      <c r="H194" s="61"/>
      <c r="I194" s="61"/>
      <c r="J194" s="61"/>
      <c r="K194" s="61"/>
      <c r="L194" s="61"/>
      <c r="M194" s="61"/>
      <c r="N194" s="61"/>
      <c r="O194" s="61"/>
      <c r="P194" s="61"/>
      <c r="Q194" s="17"/>
      <c r="R194" s="17"/>
      <c r="S194" s="61"/>
      <c r="T194" s="21"/>
      <c r="U194" s="21"/>
      <c r="V194" s="21"/>
      <c r="W194" s="21"/>
      <c r="X194" s="21"/>
      <c r="Y194" s="21"/>
      <c r="Z194" s="21"/>
    </row>
    <row r="195" ht="17.25" customHeight="1">
      <c r="A195" s="17"/>
      <c r="B195" s="61"/>
      <c r="C195" s="61"/>
      <c r="D195" s="61"/>
      <c r="E195" s="61"/>
      <c r="F195" s="61"/>
      <c r="G195" s="61"/>
      <c r="H195" s="61"/>
      <c r="I195" s="61"/>
      <c r="J195" s="61"/>
      <c r="K195" s="61"/>
      <c r="L195" s="61"/>
      <c r="M195" s="61"/>
      <c r="N195" s="61"/>
      <c r="O195" s="61"/>
      <c r="P195" s="61"/>
      <c r="Q195" s="17"/>
      <c r="R195" s="17"/>
      <c r="S195" s="61"/>
      <c r="T195" s="21"/>
      <c r="U195" s="21"/>
      <c r="V195" s="21"/>
      <c r="W195" s="21"/>
      <c r="X195" s="21"/>
      <c r="Y195" s="21"/>
      <c r="Z195" s="21"/>
    </row>
    <row r="196" ht="17.25" customHeight="1">
      <c r="A196" s="17"/>
      <c r="B196" s="61"/>
      <c r="C196" s="61"/>
      <c r="D196" s="61"/>
      <c r="E196" s="61"/>
      <c r="F196" s="61"/>
      <c r="G196" s="61"/>
      <c r="H196" s="61"/>
      <c r="I196" s="61"/>
      <c r="J196" s="61"/>
      <c r="K196" s="61"/>
      <c r="L196" s="61"/>
      <c r="M196" s="61"/>
      <c r="N196" s="61"/>
      <c r="O196" s="61"/>
      <c r="P196" s="61"/>
      <c r="Q196" s="17"/>
      <c r="R196" s="17"/>
      <c r="S196" s="61"/>
      <c r="T196" s="21"/>
      <c r="U196" s="21"/>
      <c r="V196" s="21"/>
      <c r="W196" s="21"/>
      <c r="X196" s="21"/>
      <c r="Y196" s="21"/>
      <c r="Z196" s="21"/>
    </row>
    <row r="197" ht="17.25" customHeight="1">
      <c r="A197" s="17"/>
      <c r="B197" s="61"/>
      <c r="C197" s="61"/>
      <c r="D197" s="61"/>
      <c r="E197" s="61"/>
      <c r="F197" s="61"/>
      <c r="G197" s="61"/>
      <c r="H197" s="61"/>
      <c r="I197" s="61"/>
      <c r="J197" s="61"/>
      <c r="K197" s="61"/>
      <c r="L197" s="61"/>
      <c r="M197" s="61"/>
      <c r="N197" s="61"/>
      <c r="O197" s="61"/>
      <c r="P197" s="61"/>
      <c r="Q197" s="17"/>
      <c r="R197" s="17"/>
      <c r="S197" s="61"/>
      <c r="T197" s="21"/>
      <c r="U197" s="21"/>
      <c r="V197" s="21"/>
      <c r="W197" s="21"/>
      <c r="X197" s="21"/>
      <c r="Y197" s="21"/>
      <c r="Z197" s="21"/>
    </row>
    <row r="198" ht="17.25" customHeight="1">
      <c r="A198" s="17"/>
      <c r="B198" s="61"/>
      <c r="C198" s="61"/>
      <c r="D198" s="61"/>
      <c r="E198" s="61"/>
      <c r="F198" s="61"/>
      <c r="G198" s="61"/>
      <c r="H198" s="61"/>
      <c r="I198" s="61"/>
      <c r="J198" s="61"/>
      <c r="K198" s="61"/>
      <c r="L198" s="61"/>
      <c r="M198" s="61"/>
      <c r="N198" s="61"/>
      <c r="O198" s="61"/>
      <c r="P198" s="61"/>
      <c r="Q198" s="17"/>
      <c r="R198" s="17"/>
      <c r="S198" s="61"/>
      <c r="T198" s="21"/>
      <c r="U198" s="21"/>
      <c r="V198" s="21"/>
      <c r="W198" s="21"/>
      <c r="X198" s="21"/>
      <c r="Y198" s="21"/>
      <c r="Z198" s="21"/>
    </row>
    <row r="199" ht="17.25" customHeight="1">
      <c r="A199" s="17"/>
      <c r="B199" s="61"/>
      <c r="C199" s="61"/>
      <c r="D199" s="61"/>
      <c r="E199" s="61"/>
      <c r="F199" s="61"/>
      <c r="G199" s="61"/>
      <c r="H199" s="61"/>
      <c r="I199" s="61"/>
      <c r="J199" s="61"/>
      <c r="K199" s="61"/>
      <c r="L199" s="61"/>
      <c r="M199" s="61"/>
      <c r="N199" s="61"/>
      <c r="O199" s="61"/>
      <c r="P199" s="61"/>
      <c r="Q199" s="17"/>
      <c r="R199" s="17"/>
      <c r="S199" s="61"/>
      <c r="T199" s="21"/>
      <c r="U199" s="21"/>
      <c r="V199" s="21"/>
      <c r="W199" s="21"/>
      <c r="X199" s="21"/>
      <c r="Y199" s="21"/>
      <c r="Z199" s="21"/>
    </row>
    <row r="200" ht="17.25" customHeight="1">
      <c r="A200" s="17"/>
      <c r="B200" s="61"/>
      <c r="C200" s="61"/>
      <c r="D200" s="61"/>
      <c r="E200" s="61"/>
      <c r="F200" s="61"/>
      <c r="G200" s="61"/>
      <c r="H200" s="61"/>
      <c r="I200" s="61"/>
      <c r="J200" s="61"/>
      <c r="K200" s="61"/>
      <c r="L200" s="61"/>
      <c r="M200" s="61"/>
      <c r="N200" s="61"/>
      <c r="O200" s="61"/>
      <c r="P200" s="61"/>
      <c r="Q200" s="17"/>
      <c r="R200" s="17"/>
      <c r="S200" s="61"/>
      <c r="T200" s="21"/>
      <c r="U200" s="21"/>
      <c r="V200" s="21"/>
      <c r="W200" s="21"/>
      <c r="X200" s="21"/>
      <c r="Y200" s="21"/>
      <c r="Z200" s="21"/>
    </row>
    <row r="201" ht="17.25" customHeight="1">
      <c r="A201" s="17"/>
      <c r="B201" s="61"/>
      <c r="C201" s="61"/>
      <c r="D201" s="61"/>
      <c r="E201" s="61"/>
      <c r="F201" s="61"/>
      <c r="G201" s="61"/>
      <c r="H201" s="61"/>
      <c r="I201" s="61"/>
      <c r="J201" s="61"/>
      <c r="K201" s="61"/>
      <c r="L201" s="61"/>
      <c r="M201" s="61"/>
      <c r="N201" s="61"/>
      <c r="O201" s="61"/>
      <c r="P201" s="61"/>
      <c r="Q201" s="17"/>
      <c r="R201" s="17"/>
      <c r="S201" s="61"/>
      <c r="T201" s="21"/>
      <c r="U201" s="21"/>
      <c r="V201" s="21"/>
      <c r="W201" s="21"/>
      <c r="X201" s="21"/>
      <c r="Y201" s="21"/>
      <c r="Z201" s="21"/>
    </row>
    <row r="202" ht="17.25" customHeight="1">
      <c r="A202" s="17"/>
      <c r="B202" s="61"/>
      <c r="C202" s="61"/>
      <c r="D202" s="61"/>
      <c r="E202" s="61"/>
      <c r="F202" s="61"/>
      <c r="G202" s="61"/>
      <c r="H202" s="61"/>
      <c r="I202" s="61"/>
      <c r="J202" s="61"/>
      <c r="K202" s="61"/>
      <c r="L202" s="61"/>
      <c r="M202" s="61"/>
      <c r="N202" s="61"/>
      <c r="O202" s="61"/>
      <c r="P202" s="61"/>
      <c r="Q202" s="17"/>
      <c r="R202" s="17"/>
      <c r="S202" s="61"/>
      <c r="T202" s="21"/>
      <c r="U202" s="21"/>
      <c r="V202" s="21"/>
      <c r="W202" s="21"/>
      <c r="X202" s="21"/>
      <c r="Y202" s="21"/>
      <c r="Z202" s="21"/>
    </row>
    <row r="203" ht="17.25" customHeight="1">
      <c r="A203" s="17"/>
      <c r="B203" s="61"/>
      <c r="C203" s="61"/>
      <c r="D203" s="61"/>
      <c r="E203" s="61"/>
      <c r="F203" s="61"/>
      <c r="G203" s="61"/>
      <c r="H203" s="61"/>
      <c r="I203" s="61"/>
      <c r="J203" s="61"/>
      <c r="K203" s="61"/>
      <c r="L203" s="61"/>
      <c r="M203" s="61"/>
      <c r="N203" s="61"/>
      <c r="O203" s="61"/>
      <c r="P203" s="61"/>
      <c r="Q203" s="17"/>
      <c r="R203" s="17"/>
      <c r="S203" s="61"/>
      <c r="T203" s="21"/>
      <c r="U203" s="21"/>
      <c r="V203" s="21"/>
      <c r="W203" s="21"/>
      <c r="X203" s="21"/>
      <c r="Y203" s="21"/>
      <c r="Z203" s="21"/>
    </row>
    <row r="204" ht="17.25" customHeight="1">
      <c r="A204" s="17"/>
      <c r="B204" s="61"/>
      <c r="C204" s="61"/>
      <c r="D204" s="61"/>
      <c r="E204" s="61"/>
      <c r="F204" s="61"/>
      <c r="G204" s="61"/>
      <c r="H204" s="61"/>
      <c r="I204" s="61"/>
      <c r="J204" s="61"/>
      <c r="K204" s="61"/>
      <c r="L204" s="61"/>
      <c r="M204" s="61"/>
      <c r="N204" s="61"/>
      <c r="O204" s="61"/>
      <c r="P204" s="61"/>
      <c r="Q204" s="17"/>
      <c r="R204" s="17"/>
      <c r="S204" s="61"/>
      <c r="T204" s="21"/>
      <c r="U204" s="21"/>
      <c r="V204" s="21"/>
      <c r="W204" s="21"/>
      <c r="X204" s="21"/>
      <c r="Y204" s="21"/>
      <c r="Z204" s="21"/>
    </row>
    <row r="205" ht="17.25" customHeight="1">
      <c r="A205" s="17"/>
      <c r="B205" s="61"/>
      <c r="C205" s="61"/>
      <c r="D205" s="61"/>
      <c r="E205" s="61"/>
      <c r="F205" s="61"/>
      <c r="G205" s="61"/>
      <c r="H205" s="61"/>
      <c r="I205" s="61"/>
      <c r="J205" s="61"/>
      <c r="K205" s="61"/>
      <c r="L205" s="61"/>
      <c r="M205" s="61"/>
      <c r="N205" s="61"/>
      <c r="O205" s="61"/>
      <c r="P205" s="61"/>
      <c r="Q205" s="17"/>
      <c r="R205" s="17"/>
      <c r="S205" s="61"/>
      <c r="T205" s="21"/>
      <c r="U205" s="21"/>
      <c r="V205" s="21"/>
      <c r="W205" s="21"/>
      <c r="X205" s="21"/>
      <c r="Y205" s="21"/>
      <c r="Z205" s="21"/>
    </row>
    <row r="206" ht="17.25" customHeight="1">
      <c r="A206" s="17"/>
      <c r="B206" s="61"/>
      <c r="C206" s="61"/>
      <c r="D206" s="61"/>
      <c r="E206" s="61"/>
      <c r="F206" s="61"/>
      <c r="G206" s="61"/>
      <c r="H206" s="61"/>
      <c r="I206" s="61"/>
      <c r="J206" s="61"/>
      <c r="K206" s="61"/>
      <c r="L206" s="61"/>
      <c r="M206" s="61"/>
      <c r="N206" s="61"/>
      <c r="O206" s="61"/>
      <c r="P206" s="61"/>
      <c r="Q206" s="17"/>
      <c r="R206" s="17"/>
      <c r="S206" s="61"/>
      <c r="T206" s="21"/>
      <c r="U206" s="21"/>
      <c r="V206" s="21"/>
      <c r="W206" s="21"/>
      <c r="X206" s="21"/>
      <c r="Y206" s="21"/>
      <c r="Z206" s="21"/>
    </row>
    <row r="207" ht="17.25" customHeight="1">
      <c r="A207" s="17"/>
      <c r="B207" s="61"/>
      <c r="C207" s="61"/>
      <c r="D207" s="61"/>
      <c r="E207" s="61"/>
      <c r="F207" s="61"/>
      <c r="G207" s="61"/>
      <c r="H207" s="61"/>
      <c r="I207" s="61"/>
      <c r="J207" s="61"/>
      <c r="K207" s="61"/>
      <c r="L207" s="61"/>
      <c r="M207" s="61"/>
      <c r="N207" s="61"/>
      <c r="O207" s="61"/>
      <c r="P207" s="61"/>
      <c r="Q207" s="17"/>
      <c r="R207" s="17"/>
      <c r="S207" s="61"/>
      <c r="T207" s="21"/>
      <c r="U207" s="21"/>
      <c r="V207" s="21"/>
      <c r="W207" s="21"/>
      <c r="X207" s="21"/>
      <c r="Y207" s="21"/>
      <c r="Z207" s="21"/>
    </row>
    <row r="208" ht="17.25" customHeight="1">
      <c r="A208" s="17"/>
      <c r="B208" s="61"/>
      <c r="C208" s="61"/>
      <c r="D208" s="61"/>
      <c r="E208" s="61"/>
      <c r="F208" s="61"/>
      <c r="G208" s="61"/>
      <c r="H208" s="61"/>
      <c r="I208" s="61"/>
      <c r="J208" s="61"/>
      <c r="K208" s="61"/>
      <c r="L208" s="61"/>
      <c r="M208" s="61"/>
      <c r="N208" s="61"/>
      <c r="O208" s="61"/>
      <c r="P208" s="61"/>
      <c r="Q208" s="17"/>
      <c r="R208" s="17"/>
      <c r="S208" s="61"/>
      <c r="T208" s="21"/>
      <c r="U208" s="21"/>
      <c r="V208" s="21"/>
      <c r="W208" s="21"/>
      <c r="X208" s="21"/>
      <c r="Y208" s="21"/>
      <c r="Z208" s="21"/>
    </row>
    <row r="209" ht="17.25" customHeight="1">
      <c r="A209" s="17"/>
      <c r="B209" s="61"/>
      <c r="C209" s="61"/>
      <c r="D209" s="61"/>
      <c r="E209" s="61"/>
      <c r="F209" s="61"/>
      <c r="G209" s="61"/>
      <c r="H209" s="61"/>
      <c r="I209" s="61"/>
      <c r="J209" s="61"/>
      <c r="K209" s="61"/>
      <c r="L209" s="61"/>
      <c r="M209" s="61"/>
      <c r="N209" s="61"/>
      <c r="O209" s="61"/>
      <c r="P209" s="61"/>
      <c r="Q209" s="17"/>
      <c r="R209" s="17"/>
      <c r="S209" s="61"/>
      <c r="T209" s="21"/>
      <c r="U209" s="21"/>
      <c r="V209" s="21"/>
      <c r="W209" s="21"/>
      <c r="X209" s="21"/>
      <c r="Y209" s="21"/>
      <c r="Z209" s="21"/>
    </row>
    <row r="210" ht="17.25" customHeight="1">
      <c r="A210" s="17"/>
      <c r="B210" s="61"/>
      <c r="C210" s="61"/>
      <c r="D210" s="61"/>
      <c r="E210" s="61"/>
      <c r="F210" s="61"/>
      <c r="G210" s="61"/>
      <c r="H210" s="61"/>
      <c r="I210" s="61"/>
      <c r="J210" s="61"/>
      <c r="K210" s="61"/>
      <c r="L210" s="61"/>
      <c r="M210" s="61"/>
      <c r="N210" s="61"/>
      <c r="O210" s="61"/>
      <c r="P210" s="61"/>
      <c r="Q210" s="17"/>
      <c r="R210" s="17"/>
      <c r="S210" s="61"/>
      <c r="T210" s="21"/>
      <c r="U210" s="21"/>
      <c r="V210" s="21"/>
      <c r="W210" s="21"/>
      <c r="X210" s="21"/>
      <c r="Y210" s="21"/>
      <c r="Z210" s="21"/>
    </row>
    <row r="211" ht="17.25" customHeight="1">
      <c r="A211" s="17"/>
      <c r="B211" s="61"/>
      <c r="C211" s="61"/>
      <c r="D211" s="61"/>
      <c r="E211" s="61"/>
      <c r="F211" s="61"/>
      <c r="G211" s="61"/>
      <c r="H211" s="61"/>
      <c r="I211" s="61"/>
      <c r="J211" s="61"/>
      <c r="K211" s="61"/>
      <c r="L211" s="61"/>
      <c r="M211" s="61"/>
      <c r="N211" s="61"/>
      <c r="O211" s="61"/>
      <c r="P211" s="61"/>
      <c r="Q211" s="17"/>
      <c r="R211" s="17"/>
      <c r="S211" s="61"/>
      <c r="T211" s="21"/>
      <c r="U211" s="21"/>
      <c r="V211" s="21"/>
      <c r="W211" s="21"/>
      <c r="X211" s="21"/>
      <c r="Y211" s="21"/>
      <c r="Z211" s="21"/>
    </row>
    <row r="212" ht="17.25" customHeight="1">
      <c r="A212" s="17"/>
      <c r="B212" s="61"/>
      <c r="C212" s="61"/>
      <c r="D212" s="61"/>
      <c r="E212" s="61"/>
      <c r="F212" s="61"/>
      <c r="G212" s="61"/>
      <c r="H212" s="61"/>
      <c r="I212" s="61"/>
      <c r="J212" s="61"/>
      <c r="K212" s="61"/>
      <c r="L212" s="61"/>
      <c r="M212" s="61"/>
      <c r="N212" s="61"/>
      <c r="O212" s="61"/>
      <c r="P212" s="61"/>
      <c r="Q212" s="17"/>
      <c r="R212" s="17"/>
      <c r="S212" s="61"/>
      <c r="T212" s="21"/>
      <c r="U212" s="21"/>
      <c r="V212" s="21"/>
      <c r="W212" s="21"/>
      <c r="X212" s="21"/>
      <c r="Y212" s="21"/>
      <c r="Z212" s="21"/>
    </row>
    <row r="213" ht="17.25" customHeight="1">
      <c r="A213" s="17"/>
      <c r="B213" s="61"/>
      <c r="C213" s="61"/>
      <c r="D213" s="61"/>
      <c r="E213" s="61"/>
      <c r="F213" s="61"/>
      <c r="G213" s="61"/>
      <c r="H213" s="61"/>
      <c r="I213" s="61"/>
      <c r="J213" s="61"/>
      <c r="K213" s="61"/>
      <c r="L213" s="61"/>
      <c r="M213" s="61"/>
      <c r="N213" s="61"/>
      <c r="O213" s="61"/>
      <c r="P213" s="61"/>
      <c r="Q213" s="17"/>
      <c r="R213" s="17"/>
      <c r="S213" s="61"/>
      <c r="T213" s="21"/>
      <c r="U213" s="21"/>
      <c r="V213" s="21"/>
      <c r="W213" s="21"/>
      <c r="X213" s="21"/>
      <c r="Y213" s="21"/>
      <c r="Z213" s="21"/>
    </row>
    <row r="214" ht="17.25" customHeight="1">
      <c r="A214" s="17"/>
      <c r="B214" s="61"/>
      <c r="C214" s="61"/>
      <c r="D214" s="61"/>
      <c r="E214" s="61"/>
      <c r="F214" s="61"/>
      <c r="G214" s="61"/>
      <c r="H214" s="61"/>
      <c r="I214" s="61"/>
      <c r="J214" s="61"/>
      <c r="K214" s="61"/>
      <c r="L214" s="61"/>
      <c r="M214" s="61"/>
      <c r="N214" s="61"/>
      <c r="O214" s="61"/>
      <c r="P214" s="61"/>
      <c r="Q214" s="17"/>
      <c r="R214" s="17"/>
      <c r="S214" s="61"/>
      <c r="T214" s="21"/>
      <c r="U214" s="21"/>
      <c r="V214" s="21"/>
      <c r="W214" s="21"/>
      <c r="X214" s="21"/>
      <c r="Y214" s="21"/>
      <c r="Z214" s="21"/>
    </row>
    <row r="215" ht="17.25" customHeight="1">
      <c r="A215" s="17"/>
      <c r="B215" s="61"/>
      <c r="C215" s="61"/>
      <c r="D215" s="61"/>
      <c r="E215" s="61"/>
      <c r="F215" s="61"/>
      <c r="G215" s="61"/>
      <c r="H215" s="61"/>
      <c r="I215" s="61"/>
      <c r="J215" s="61"/>
      <c r="K215" s="61"/>
      <c r="L215" s="61"/>
      <c r="M215" s="61"/>
      <c r="N215" s="61"/>
      <c r="O215" s="61"/>
      <c r="P215" s="61"/>
      <c r="Q215" s="17"/>
      <c r="R215" s="17"/>
      <c r="S215" s="61"/>
      <c r="T215" s="21"/>
      <c r="U215" s="21"/>
      <c r="V215" s="21"/>
      <c r="W215" s="21"/>
      <c r="X215" s="21"/>
      <c r="Y215" s="21"/>
      <c r="Z215" s="21"/>
    </row>
    <row r="216" ht="17.25" customHeight="1">
      <c r="A216" s="17"/>
      <c r="B216" s="61"/>
      <c r="C216" s="61"/>
      <c r="D216" s="61"/>
      <c r="E216" s="61"/>
      <c r="F216" s="61"/>
      <c r="G216" s="61"/>
      <c r="H216" s="61"/>
      <c r="I216" s="61"/>
      <c r="J216" s="61"/>
      <c r="K216" s="61"/>
      <c r="L216" s="61"/>
      <c r="M216" s="61"/>
      <c r="N216" s="61"/>
      <c r="O216" s="61"/>
      <c r="P216" s="61"/>
      <c r="Q216" s="17"/>
      <c r="R216" s="17"/>
      <c r="S216" s="61"/>
      <c r="T216" s="21"/>
      <c r="U216" s="21"/>
      <c r="V216" s="21"/>
      <c r="W216" s="21"/>
      <c r="X216" s="21"/>
      <c r="Y216" s="21"/>
      <c r="Z216" s="21"/>
    </row>
    <row r="217" ht="17.25" customHeight="1">
      <c r="A217" s="17"/>
      <c r="B217" s="61"/>
      <c r="C217" s="61"/>
      <c r="D217" s="61"/>
      <c r="E217" s="61"/>
      <c r="F217" s="61"/>
      <c r="G217" s="61"/>
      <c r="H217" s="61"/>
      <c r="I217" s="61"/>
      <c r="J217" s="61"/>
      <c r="K217" s="61"/>
      <c r="L217" s="61"/>
      <c r="M217" s="61"/>
      <c r="N217" s="61"/>
      <c r="O217" s="61"/>
      <c r="P217" s="61"/>
      <c r="Q217" s="17"/>
      <c r="R217" s="17"/>
      <c r="S217" s="61"/>
      <c r="T217" s="21"/>
      <c r="U217" s="21"/>
      <c r="V217" s="21"/>
      <c r="W217" s="21"/>
      <c r="X217" s="21"/>
      <c r="Y217" s="21"/>
      <c r="Z217" s="21"/>
    </row>
    <row r="218" ht="17.25" customHeight="1">
      <c r="A218" s="17"/>
      <c r="B218" s="61"/>
      <c r="C218" s="61"/>
      <c r="D218" s="61"/>
      <c r="E218" s="61"/>
      <c r="F218" s="61"/>
      <c r="G218" s="61"/>
      <c r="H218" s="61"/>
      <c r="I218" s="61"/>
      <c r="J218" s="61"/>
      <c r="K218" s="61"/>
      <c r="L218" s="61"/>
      <c r="M218" s="61"/>
      <c r="N218" s="61"/>
      <c r="O218" s="61"/>
      <c r="P218" s="61"/>
      <c r="Q218" s="17"/>
      <c r="R218" s="17"/>
      <c r="S218" s="61"/>
      <c r="T218" s="21"/>
      <c r="U218" s="21"/>
      <c r="V218" s="21"/>
      <c r="W218" s="21"/>
      <c r="X218" s="21"/>
      <c r="Y218" s="21"/>
      <c r="Z218" s="21"/>
    </row>
    <row r="219" ht="17.25" customHeight="1">
      <c r="A219" s="17"/>
      <c r="B219" s="61"/>
      <c r="C219" s="61"/>
      <c r="D219" s="61"/>
      <c r="E219" s="61"/>
      <c r="F219" s="61"/>
      <c r="G219" s="61"/>
      <c r="H219" s="61"/>
      <c r="I219" s="61"/>
      <c r="J219" s="61"/>
      <c r="K219" s="61"/>
      <c r="L219" s="61"/>
      <c r="M219" s="61"/>
      <c r="N219" s="61"/>
      <c r="O219" s="61"/>
      <c r="P219" s="61"/>
      <c r="Q219" s="17"/>
      <c r="R219" s="17"/>
      <c r="S219" s="61"/>
      <c r="T219" s="21"/>
      <c r="U219" s="21"/>
      <c r="V219" s="21"/>
      <c r="W219" s="21"/>
      <c r="X219" s="21"/>
      <c r="Y219" s="21"/>
      <c r="Z219" s="21"/>
    </row>
    <row r="220" ht="17.25" customHeight="1">
      <c r="A220" s="17"/>
      <c r="B220" s="61"/>
      <c r="C220" s="61"/>
      <c r="D220" s="61"/>
      <c r="E220" s="61"/>
      <c r="F220" s="61"/>
      <c r="G220" s="61"/>
      <c r="H220" s="61"/>
      <c r="I220" s="61"/>
      <c r="J220" s="61"/>
      <c r="K220" s="61"/>
      <c r="L220" s="61"/>
      <c r="M220" s="61"/>
      <c r="N220" s="61"/>
      <c r="O220" s="61"/>
      <c r="P220" s="61"/>
      <c r="Q220" s="17"/>
      <c r="R220" s="17"/>
      <c r="S220" s="61"/>
      <c r="T220" s="21"/>
      <c r="U220" s="21"/>
      <c r="V220" s="21"/>
      <c r="W220" s="21"/>
      <c r="X220" s="21"/>
      <c r="Y220" s="21"/>
      <c r="Z220" s="21"/>
    </row>
    <row r="221" ht="17.25" customHeight="1">
      <c r="A221" s="17"/>
      <c r="B221" s="61"/>
      <c r="C221" s="61"/>
      <c r="D221" s="61"/>
      <c r="E221" s="61"/>
      <c r="F221" s="61"/>
      <c r="G221" s="61"/>
      <c r="H221" s="61"/>
      <c r="I221" s="61"/>
      <c r="J221" s="61"/>
      <c r="K221" s="61"/>
      <c r="L221" s="61"/>
      <c r="M221" s="61"/>
      <c r="N221" s="61"/>
      <c r="O221" s="61"/>
      <c r="P221" s="61"/>
      <c r="Q221" s="17"/>
      <c r="R221" s="17"/>
      <c r="S221" s="61"/>
      <c r="T221" s="21"/>
      <c r="U221" s="21"/>
      <c r="V221" s="21"/>
      <c r="W221" s="21"/>
      <c r="X221" s="21"/>
      <c r="Y221" s="21"/>
      <c r="Z221" s="21"/>
    </row>
    <row r="222" ht="17.25" customHeight="1">
      <c r="A222" s="17"/>
      <c r="B222" s="61"/>
      <c r="C222" s="61"/>
      <c r="D222" s="61"/>
      <c r="E222" s="61"/>
      <c r="F222" s="61"/>
      <c r="G222" s="61"/>
      <c r="H222" s="61"/>
      <c r="I222" s="61"/>
      <c r="J222" s="61"/>
      <c r="K222" s="61"/>
      <c r="L222" s="61"/>
      <c r="M222" s="61"/>
      <c r="N222" s="61"/>
      <c r="O222" s="61"/>
      <c r="P222" s="61"/>
      <c r="Q222" s="17"/>
      <c r="R222" s="17"/>
      <c r="S222" s="61"/>
      <c r="T222" s="21"/>
      <c r="U222" s="21"/>
      <c r="V222" s="21"/>
      <c r="W222" s="21"/>
      <c r="X222" s="21"/>
      <c r="Y222" s="21"/>
      <c r="Z222" s="21"/>
    </row>
    <row r="223" ht="17.25" customHeight="1">
      <c r="A223" s="17"/>
      <c r="B223" s="61"/>
      <c r="C223" s="61"/>
      <c r="D223" s="61"/>
      <c r="E223" s="61"/>
      <c r="F223" s="61"/>
      <c r="G223" s="61"/>
      <c r="H223" s="61"/>
      <c r="I223" s="61"/>
      <c r="J223" s="61"/>
      <c r="K223" s="61"/>
      <c r="L223" s="61"/>
      <c r="M223" s="61"/>
      <c r="N223" s="61"/>
      <c r="O223" s="61"/>
      <c r="P223" s="61"/>
      <c r="Q223" s="17"/>
      <c r="R223" s="17"/>
      <c r="S223" s="61"/>
      <c r="T223" s="21"/>
      <c r="U223" s="21"/>
      <c r="V223" s="21"/>
      <c r="W223" s="21"/>
      <c r="X223" s="21"/>
      <c r="Y223" s="21"/>
      <c r="Z223" s="21"/>
    </row>
    <row r="224" ht="17.25" customHeight="1">
      <c r="A224" s="17"/>
      <c r="B224" s="61"/>
      <c r="C224" s="61"/>
      <c r="D224" s="61"/>
      <c r="E224" s="61"/>
      <c r="F224" s="61"/>
      <c r="G224" s="61"/>
      <c r="H224" s="61"/>
      <c r="I224" s="61"/>
      <c r="J224" s="61"/>
      <c r="K224" s="61"/>
      <c r="L224" s="61"/>
      <c r="M224" s="61"/>
      <c r="N224" s="61"/>
      <c r="O224" s="61"/>
      <c r="P224" s="61"/>
      <c r="Q224" s="17"/>
      <c r="R224" s="17"/>
      <c r="S224" s="61"/>
      <c r="T224" s="21"/>
      <c r="U224" s="21"/>
      <c r="V224" s="21"/>
      <c r="W224" s="21"/>
      <c r="X224" s="21"/>
      <c r="Y224" s="21"/>
      <c r="Z224" s="21"/>
    </row>
    <row r="225" ht="17.25" customHeight="1">
      <c r="A225" s="17"/>
      <c r="B225" s="61"/>
      <c r="C225" s="61"/>
      <c r="D225" s="61"/>
      <c r="E225" s="61"/>
      <c r="F225" s="61"/>
      <c r="G225" s="61"/>
      <c r="H225" s="61"/>
      <c r="I225" s="61"/>
      <c r="J225" s="61"/>
      <c r="K225" s="61"/>
      <c r="L225" s="61"/>
      <c r="M225" s="61"/>
      <c r="N225" s="61"/>
      <c r="O225" s="61"/>
      <c r="P225" s="61"/>
      <c r="Q225" s="17"/>
      <c r="R225" s="17"/>
      <c r="S225" s="61"/>
      <c r="T225" s="21"/>
      <c r="U225" s="21"/>
      <c r="V225" s="21"/>
      <c r="W225" s="21"/>
      <c r="X225" s="21"/>
      <c r="Y225" s="21"/>
      <c r="Z225" s="21"/>
    </row>
    <row r="226" ht="17.25" customHeight="1">
      <c r="A226" s="17"/>
      <c r="B226" s="61"/>
      <c r="C226" s="61"/>
      <c r="D226" s="61"/>
      <c r="E226" s="61"/>
      <c r="F226" s="61"/>
      <c r="G226" s="61"/>
      <c r="H226" s="61"/>
      <c r="I226" s="61"/>
      <c r="J226" s="61"/>
      <c r="K226" s="61"/>
      <c r="L226" s="61"/>
      <c r="M226" s="61"/>
      <c r="N226" s="61"/>
      <c r="O226" s="61"/>
      <c r="P226" s="61"/>
      <c r="Q226" s="17"/>
      <c r="R226" s="17"/>
      <c r="S226" s="61"/>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6" t="str">
        <f>IF('1.IS'!A1&lt;&gt;"",'1.IS'!A1,"")</f>
        <v/>
      </c>
      <c r="B1" s="10" t="s">
        <v>40</v>
      </c>
      <c r="C1" s="61"/>
      <c r="D1" s="61"/>
      <c r="E1" s="61"/>
      <c r="F1" s="61"/>
      <c r="G1" s="61"/>
      <c r="H1" s="61"/>
      <c r="I1" s="61"/>
      <c r="J1" s="61"/>
      <c r="K1" s="61"/>
      <c r="L1" s="61"/>
      <c r="M1" s="61"/>
      <c r="N1" s="61"/>
      <c r="O1" s="11" t="s">
        <v>14</v>
      </c>
      <c r="Q1" s="61"/>
      <c r="R1" s="17"/>
      <c r="S1" s="17"/>
      <c r="T1" s="17"/>
      <c r="U1" s="17"/>
      <c r="V1" s="17"/>
      <c r="W1" s="17"/>
      <c r="X1" s="17"/>
      <c r="Y1" s="17"/>
      <c r="Z1" s="17"/>
    </row>
    <row r="2" ht="34.5" customHeight="1">
      <c r="A2" s="77" t="s">
        <v>41</v>
      </c>
      <c r="B2" s="78">
        <f>'1.IS'!B$2</f>
        <v>2015</v>
      </c>
      <c r="C2" s="78">
        <f>'1.IS'!C$2</f>
        <v>2016</v>
      </c>
      <c r="D2" s="78">
        <f>'1.IS'!D$2</f>
        <v>2018</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80"/>
      <c r="R2" s="21"/>
      <c r="S2" s="21"/>
      <c r="T2" s="21"/>
      <c r="U2" s="21"/>
      <c r="V2" s="21"/>
      <c r="W2" s="21"/>
      <c r="X2" s="21"/>
      <c r="Y2" s="21"/>
      <c r="Z2" s="21"/>
    </row>
    <row r="3" ht="27.75" customHeight="1">
      <c r="A3" s="81" t="s">
        <v>20</v>
      </c>
      <c r="B3" s="82">
        <f>'1.IS'!B5</f>
        <v>8764</v>
      </c>
      <c r="C3" s="83">
        <f>'1.IS'!C5</f>
        <v>9171</v>
      </c>
      <c r="D3" s="83">
        <f>'1.IS'!D5</f>
        <v>11429</v>
      </c>
      <c r="E3" s="83">
        <f>'1.IS'!E5</f>
        <v>11337</v>
      </c>
      <c r="F3" s="83">
        <f>'1.IS'!F5</f>
        <v>11881</v>
      </c>
      <c r="G3" s="83">
        <f>'1.IS'!G5</f>
        <v>11376</v>
      </c>
      <c r="H3" s="83">
        <f>'1.IS'!H5</f>
        <v>11383</v>
      </c>
      <c r="I3" s="83">
        <f>'1.IS'!I5</f>
        <v>11145</v>
      </c>
      <c r="J3" s="83">
        <f>'1.IS'!J5</f>
        <v>11459</v>
      </c>
      <c r="K3" s="83">
        <f>'1.IS'!K5</f>
        <v>12874</v>
      </c>
      <c r="L3" s="82">
        <f>'1.IS'!L5</f>
        <v>13407</v>
      </c>
      <c r="M3" s="83">
        <f>'1.IS'!M5</f>
        <v>13959</v>
      </c>
      <c r="N3" s="83">
        <f>'1.IS'!N5</f>
        <v>14659</v>
      </c>
      <c r="O3" s="83">
        <f>'1.IS'!O5</f>
        <v>15400</v>
      </c>
      <c r="P3" s="84">
        <f>'1.IS'!P5</f>
        <v>16250</v>
      </c>
      <c r="Q3" s="85"/>
      <c r="R3" s="21"/>
      <c r="S3" s="21"/>
      <c r="T3" s="21"/>
      <c r="U3" s="21"/>
      <c r="V3" s="21"/>
      <c r="W3" s="21"/>
      <c r="X3" s="21"/>
      <c r="Y3" s="21"/>
      <c r="Z3" s="21"/>
    </row>
    <row r="4" ht="24.75" customHeight="1">
      <c r="A4" s="86" t="s">
        <v>42</v>
      </c>
      <c r="B4" s="87">
        <f>IFERROR(VLOOKUP("CapEx Mantenimiento",'TIKR_Cálculos'!$A:$K,COLUMN(B4),FALSE),"0")</f>
        <v>-1097</v>
      </c>
      <c r="C4" s="88">
        <f>IFERROR(VLOOKUP("CapEx Mantenimiento",'TIKR_Cálculos'!$A:$K,COLUMN(C4),FALSE),"0")</f>
        <v>-1154</v>
      </c>
      <c r="D4" s="88">
        <f>IFERROR(VLOOKUP("CapEx Mantenimiento",'TIKR_Cálculos'!$A:$K,COLUMN(D4),FALSE),"0")</f>
        <v>-1621</v>
      </c>
      <c r="E4" s="88">
        <f>IFERROR(VLOOKUP("CapEx Mantenimiento",'TIKR_Cálculos'!$A:$K,COLUMN(E4),FALSE),"0")</f>
        <v>-1424</v>
      </c>
      <c r="F4" s="88">
        <f>IFERROR(VLOOKUP("CapEx Mantenimiento",'TIKR_Cálculos'!$A:$K,COLUMN(F4),FALSE),"0")</f>
        <v>-1429</v>
      </c>
      <c r="G4" s="88">
        <f>IFERROR(VLOOKUP("CapEx Mantenimiento",'TIKR_Cálculos'!$A:$K,COLUMN(G4),FALSE),"0")</f>
        <v>-932</v>
      </c>
      <c r="H4" s="88">
        <f>IFERROR(VLOOKUP("CapEx Mantenimiento",'TIKR_Cálculos'!$A:$K,COLUMN(H4),FALSE),"0")</f>
        <v>-1239</v>
      </c>
      <c r="I4" s="88">
        <f>IFERROR(VLOOKUP("CapEx Mantenimiento",'TIKR_Cálculos'!$A:$K,COLUMN(I4),FALSE),"0")</f>
        <v>-1270</v>
      </c>
      <c r="J4" s="88">
        <f>IFERROR(VLOOKUP("CapEx Mantenimiento",'TIKR_Cálculos'!$A:$K,COLUMN(J4),FALSE),"0")</f>
        <v>-1350</v>
      </c>
      <c r="K4" s="88">
        <f>IFERROR(VLOOKUP("CapEx Mantenimiento",'TIKR_Cálculos'!$A:$K,COLUMN(K4),FALSE),"0")</f>
        <v>-1624</v>
      </c>
      <c r="L4" s="89">
        <f>IFERROR(__xludf.DUMMYFUNCTION("IFERROR(-L22*'1.IS'!L3,"""")"),-1672.72)</f>
        <v>-1672.72</v>
      </c>
      <c r="M4" s="90">
        <f>IFERROR(__xludf.DUMMYFUNCTION("IFERROR(-M22*'1.IS'!M3,"""")"),-1722.9016000000001)</f>
        <v>-1722.9016</v>
      </c>
      <c r="N4" s="90">
        <f>IFERROR(__xludf.DUMMYFUNCTION("IFERROR(-N22*'1.IS'!N3,"""")"),-1791.8176640000004)</f>
        <v>-1791.817664</v>
      </c>
      <c r="O4" s="90">
        <f>IFERROR(__xludf.DUMMYFUNCTION("IFERROR(-O22*'1.IS'!O3,"""")"),-1863.4903705600004)</f>
        <v>-1863.490371</v>
      </c>
      <c r="P4" s="91">
        <f>IFERROR(__xludf.DUMMYFUNCTION("IFERROR(-P22*'1.IS'!P3,"""")"),-1938.0299853824004)</f>
        <v>-1938.029985</v>
      </c>
      <c r="Q4" s="92"/>
      <c r="R4" s="21"/>
      <c r="S4" s="21"/>
      <c r="T4" s="21"/>
      <c r="U4" s="21"/>
      <c r="V4" s="21"/>
      <c r="W4" s="21"/>
      <c r="X4" s="21"/>
      <c r="Y4" s="21"/>
      <c r="Z4" s="21"/>
    </row>
    <row r="5" ht="24.75" customHeight="1">
      <c r="A5" s="4" t="s">
        <v>43</v>
      </c>
      <c r="B5" s="89">
        <f>'1.IS'!B14</f>
        <v>-317</v>
      </c>
      <c r="C5" s="90">
        <f>'1.IS'!C14</f>
        <v>-353</v>
      </c>
      <c r="D5" s="90">
        <f>'1.IS'!D14</f>
        <v>-521</v>
      </c>
      <c r="E5" s="90">
        <f>'1.IS'!E14</f>
        <v>-574</v>
      </c>
      <c r="F5" s="90">
        <f>'1.IS'!F14</f>
        <v>-539</v>
      </c>
      <c r="G5" s="90">
        <f>'1.IS'!G14</f>
        <v>-468</v>
      </c>
      <c r="H5" s="90">
        <f>'1.IS'!H14</f>
        <v>-260</v>
      </c>
      <c r="I5" s="90">
        <f>'1.IS'!I14</f>
        <v>-484</v>
      </c>
      <c r="J5" s="90">
        <f>'1.IS'!J14</f>
        <v>-633</v>
      </c>
      <c r="K5" s="90">
        <f>'1.IS'!K14</f>
        <v>-662</v>
      </c>
      <c r="L5" s="89">
        <f>'1.IS'!L14</f>
        <v>-655.6588353</v>
      </c>
      <c r="M5" s="90">
        <f>'1.IS'!M14</f>
        <v>-684.5048698</v>
      </c>
      <c r="N5" s="90">
        <f>'1.IS'!N14</f>
        <v>-720.5620578</v>
      </c>
      <c r="O5" s="90">
        <f>'1.IS'!O14</f>
        <v>-758.857925</v>
      </c>
      <c r="P5" s="91">
        <f>'1.IS'!P14</f>
        <v>-803.5472915</v>
      </c>
      <c r="Q5" s="92"/>
      <c r="R5" s="21"/>
      <c r="S5" s="21"/>
      <c r="T5" s="21"/>
      <c r="U5" s="21"/>
      <c r="V5" s="21"/>
      <c r="W5" s="21"/>
      <c r="X5" s="21"/>
      <c r="Y5" s="21"/>
      <c r="Z5" s="21"/>
    </row>
    <row r="6" ht="24.75" customHeight="1">
      <c r="A6" s="4" t="s">
        <v>44</v>
      </c>
      <c r="B6" s="89">
        <f>'1.IS'!B16</f>
        <v>-1961</v>
      </c>
      <c r="C6" s="90">
        <f>'1.IS'!C16</f>
        <v>-1922</v>
      </c>
      <c r="D6" s="90">
        <f>'1.IS'!D16</f>
        <v>-1670</v>
      </c>
      <c r="E6" s="90">
        <f>'1.IS'!E16</f>
        <v>-2572</v>
      </c>
      <c r="F6" s="90">
        <f>'1.IS'!F16</f>
        <v>-2263</v>
      </c>
      <c r="G6" s="90">
        <f>'1.IS'!G16</f>
        <v>-1923</v>
      </c>
      <c r="H6" s="90">
        <f>'1.IS'!H16</f>
        <v>-1935</v>
      </c>
      <c r="I6" s="90">
        <f>'1.IS'!I16</f>
        <v>-2068</v>
      </c>
      <c r="J6" s="90">
        <f>'1.IS'!J16</f>
        <v>-2199</v>
      </c>
      <c r="K6" s="90">
        <f>'1.IS'!K16</f>
        <v>-2500</v>
      </c>
      <c r="L6" s="89">
        <f>'1.IS'!L16</f>
        <v>-2696.464528</v>
      </c>
      <c r="M6" s="90">
        <f>'1.IS'!M16</f>
        <v>-2775.156159</v>
      </c>
      <c r="N6" s="90">
        <f>'1.IS'!N16</f>
        <v>-2884.079927</v>
      </c>
      <c r="O6" s="90">
        <f>'1.IS'!O16</f>
        <v>-2997.169511</v>
      </c>
      <c r="P6" s="91">
        <f>'1.IS'!P16</f>
        <v>-3113.61588</v>
      </c>
      <c r="Q6" s="92"/>
      <c r="R6" s="21"/>
      <c r="S6" s="21"/>
      <c r="T6" s="21"/>
      <c r="U6" s="21"/>
      <c r="V6" s="21"/>
      <c r="W6" s="21"/>
      <c r="X6" s="21"/>
      <c r="Y6" s="21"/>
      <c r="Z6" s="21"/>
    </row>
    <row r="7" ht="24.75" customHeight="1">
      <c r="A7" s="86" t="s">
        <v>45</v>
      </c>
      <c r="B7" s="87">
        <f>IFERROR(VLOOKUP("Inventory*",'8.TIKR_BS'!$A:$K,COLUMN(B7),FALSE),"0")</f>
        <v>4335</v>
      </c>
      <c r="C7" s="88">
        <f>IFERROR(VLOOKUP("Inventory*",'8.TIKR_BS'!$A:$K,COLUMN(C7),FALSE),"0")</f>
        <v>4278</v>
      </c>
      <c r="D7" s="88">
        <f>IFERROR(VLOOKUP("Inventory*",'8.TIKR_BS'!$A:$K,COLUMN(D7),FALSE),"0")</f>
        <v>3962</v>
      </c>
      <c r="E7" s="88">
        <f>IFERROR(VLOOKUP("Inventory*",'8.TIKR_BS'!$A:$K,COLUMN(E7),FALSE),"0")</f>
        <v>4301</v>
      </c>
      <c r="F7" s="88">
        <f>IFERROR(VLOOKUP("Inventory*",'8.TIKR_BS'!$A:$K,COLUMN(F7),FALSE),"0")</f>
        <v>4164</v>
      </c>
      <c r="G7" s="88">
        <f>IFERROR(VLOOKUP("Inventory*",'8.TIKR_BS'!$A:$K,COLUMN(G7),FALSE),"0")</f>
        <v>4462</v>
      </c>
      <c r="H7" s="88">
        <f>IFERROR(VLOOKUP("Inventory*",'8.TIKR_BS'!$A:$K,COLUMN(H7),FALSE),"0")</f>
        <v>4683</v>
      </c>
      <c r="I7" s="88">
        <f>IFERROR(VLOOKUP("Inventory*",'8.TIKR_BS'!$A:$K,COLUMN(I7),FALSE),"0")</f>
        <v>5931</v>
      </c>
      <c r="J7" s="88">
        <f>IFERROR(VLOOKUP("Inventory*",'8.TIKR_BS'!$A:$K,COLUMN(J7),FALSE),"0")</f>
        <v>5119</v>
      </c>
      <c r="K7" s="88">
        <f>IFERROR(VLOOKUP("Inventory*",'8.TIKR_BS'!$A:$K,COLUMN(K7),FALSE),"0")</f>
        <v>5177</v>
      </c>
      <c r="L7" s="89"/>
      <c r="M7" s="90"/>
      <c r="N7" s="90"/>
      <c r="O7" s="90"/>
      <c r="P7" s="91"/>
      <c r="Q7" s="92"/>
      <c r="R7" s="21"/>
      <c r="S7" s="21"/>
      <c r="T7" s="21"/>
      <c r="U7" s="21"/>
      <c r="V7" s="21"/>
      <c r="W7" s="21"/>
      <c r="X7" s="21"/>
      <c r="Y7" s="21"/>
      <c r="Z7" s="21"/>
    </row>
    <row r="8" ht="24.75" customHeight="1">
      <c r="A8" s="86" t="s">
        <v>46</v>
      </c>
      <c r="B8" s="87">
        <f>IFERROR(VLOOKUP("Accounts Receivable*",'8.TIKR_BS'!$A:$K,COLUMN(B8),FALSE),"0")</f>
        <v>2917</v>
      </c>
      <c r="C8" s="88">
        <f>IFERROR(VLOOKUP("Accounts Receivable*",'8.TIKR_BS'!$A:$K,COLUMN(C8),FALSE),"0")</f>
        <v>3329</v>
      </c>
      <c r="D8" s="88">
        <f>IFERROR(VLOOKUP("Accounts Receivable*",'8.TIKR_BS'!$A:$K,COLUMN(D8),FALSE),"0")</f>
        <v>5219</v>
      </c>
      <c r="E8" s="88">
        <f>IFERROR(VLOOKUP("Accounts Receivable*",'8.TIKR_BS'!$A:$K,COLUMN(E8),FALSE),"0")</f>
        <v>4350</v>
      </c>
      <c r="F8" s="88">
        <f>IFERROR(VLOOKUP("Accounts Receivable*",'8.TIKR_BS'!$A:$K,COLUMN(F8),FALSE),"0")</f>
        <v>4916</v>
      </c>
      <c r="G8" s="88">
        <f>IFERROR(VLOOKUP("Accounts Receivable*",'8.TIKR_BS'!$A:$K,COLUMN(G8),FALSE),"0")</f>
        <v>3433</v>
      </c>
      <c r="H8" s="88">
        <f>IFERROR(VLOOKUP("Accounts Receivable*",'8.TIKR_BS'!$A:$K,COLUMN(H8),FALSE),"0")</f>
        <v>3582</v>
      </c>
      <c r="I8" s="88">
        <f>IFERROR(VLOOKUP("Accounts Receivable*",'8.TIKR_BS'!$A:$K,COLUMN(I8),FALSE),"0")</f>
        <v>4544</v>
      </c>
      <c r="J8" s="88">
        <f>IFERROR(VLOOKUP("Accounts Receivable*",'8.TIKR_BS'!$A:$K,COLUMN(J8),FALSE),"0")</f>
        <v>4023</v>
      </c>
      <c r="K8" s="88">
        <f>IFERROR(VLOOKUP("Accounts Receivable*",'8.TIKR_BS'!$A:$K,COLUMN(K8),FALSE),"0")</f>
        <v>5808</v>
      </c>
      <c r="L8" s="89"/>
      <c r="M8" s="90"/>
      <c r="N8" s="90"/>
      <c r="O8" s="90"/>
      <c r="P8" s="91"/>
      <c r="Q8" s="92"/>
      <c r="R8" s="21"/>
      <c r="S8" s="21"/>
      <c r="T8" s="21"/>
      <c r="U8" s="21"/>
      <c r="V8" s="21"/>
      <c r="W8" s="21"/>
      <c r="X8" s="21"/>
      <c r="Y8" s="21"/>
      <c r="Z8" s="21"/>
    </row>
    <row r="9" ht="24.75" customHeight="1">
      <c r="A9" s="86" t="s">
        <v>47</v>
      </c>
      <c r="B9" s="87">
        <f>IFERROR(VLOOKUP("Accounts Payable*",'8.TIKR_BS'!$A:$K,COLUMN(B9),FALSE),"0")</f>
        <v>8296</v>
      </c>
      <c r="C9" s="88">
        <f>IFERROR(VLOOKUP("Accounts Payable*",'8.TIKR_BS'!$A:$K,COLUMN(C9),FALSE),"0")</f>
        <v>8591</v>
      </c>
      <c r="D9" s="88">
        <f>IFERROR(VLOOKUP("Accounts Payable*",'8.TIKR_BS'!$A:$K,COLUMN(D9),FALSE),"0")</f>
        <v>13426</v>
      </c>
      <c r="E9" s="88">
        <f>IFERROR(VLOOKUP("Accounts Payable*",'8.TIKR_BS'!$A:$K,COLUMN(E9),FALSE),"0")</f>
        <v>9121</v>
      </c>
      <c r="F9" s="88">
        <f>IFERROR(VLOOKUP("Accounts Payable*",'8.TIKR_BS'!$A:$K,COLUMN(F9),FALSE),"0")</f>
        <v>9190</v>
      </c>
      <c r="G9" s="88">
        <f>IFERROR(VLOOKUP("Accounts Payable*",'8.TIKR_BS'!$A:$K,COLUMN(G9),FALSE),"0")</f>
        <v>8375</v>
      </c>
      <c r="H9" s="88">
        <f>IFERROR(VLOOKUP("Accounts Payable*",'8.TIKR_BS'!$A:$K,COLUMN(H9),FALSE),"0")</f>
        <v>8896</v>
      </c>
      <c r="I9" s="88">
        <f>IFERROR(VLOOKUP("Accounts Payable*",'8.TIKR_BS'!$A:$K,COLUMN(I9),FALSE),"0")</f>
        <v>11100</v>
      </c>
      <c r="J9" s="88">
        <f>IFERROR(VLOOKUP("Accounts Payable*",'8.TIKR_BS'!$A:$K,COLUMN(J9),FALSE),"0")</f>
        <v>10355</v>
      </c>
      <c r="K9" s="88">
        <f>IFERROR(VLOOKUP("Accounts Payable*",'8.TIKR_BS'!$A:$K,COLUMN(K9),FALSE),"0")</f>
        <v>16634</v>
      </c>
      <c r="L9" s="89"/>
      <c r="M9" s="90"/>
      <c r="N9" s="90"/>
      <c r="O9" s="90"/>
      <c r="P9" s="91"/>
      <c r="Q9" s="92"/>
      <c r="R9" s="21"/>
      <c r="S9" s="21"/>
      <c r="T9" s="21"/>
      <c r="U9" s="21"/>
      <c r="V9" s="21"/>
      <c r="W9" s="21"/>
      <c r="X9" s="21"/>
      <c r="Y9" s="21"/>
      <c r="Z9" s="21"/>
    </row>
    <row r="10" ht="24.75" customHeight="1">
      <c r="A10" s="86" t="s">
        <v>48</v>
      </c>
      <c r="B10" s="87">
        <f>IFERROR(VLOOKUP("Unearned Revenue Current*",'8.TIKR_BS'!$A:$K,COLUMN(B9),FALSE),"0")+IFERROR(VLOOKUP("Unearned Revenue Non Current*",'8.TIKR_BS'!$A:$K,COLUMN(B9),FALSE),"0")</f>
        <v>0</v>
      </c>
      <c r="C10" s="88">
        <f>IFERROR(VLOOKUP("Unearned Revenue Current*",'8.TIKR_BS'!$A:$K,COLUMN(C9),FALSE),"0")+IFERROR(VLOOKUP("Unearned Revenue Non Current*",'8.TIKR_BS'!$A:$K,COLUMN(C9),FALSE),"0")</f>
        <v>0</v>
      </c>
      <c r="D10" s="88">
        <f>IFERROR(VLOOKUP("Unearned Revenue Current*",'8.TIKR_BS'!$A:$K,COLUMN(D9),FALSE),"0")+IFERROR(VLOOKUP("Unearned Revenue Non Current*",'8.TIKR_BS'!$A:$K,COLUMN(D9),FALSE),"0")</f>
        <v>0</v>
      </c>
      <c r="E10" s="88">
        <f>IFERROR(VLOOKUP("Unearned Revenue Current*",'8.TIKR_BS'!$A:$K,COLUMN(E9),FALSE),"0")+IFERROR(VLOOKUP("Unearned Revenue Non Current*",'8.TIKR_BS'!$A:$K,COLUMN(E9),FALSE),"0")</f>
        <v>0</v>
      </c>
      <c r="F10" s="88">
        <f>IFERROR(VLOOKUP("Unearned Revenue Current*",'8.TIKR_BS'!$A:$K,COLUMN(F9),FALSE),"0")+IFERROR(VLOOKUP("Unearned Revenue Non Current*",'8.TIKR_BS'!$A:$K,COLUMN(F9),FALSE),"0")</f>
        <v>0</v>
      </c>
      <c r="G10" s="88">
        <f>IFERROR(VLOOKUP("Unearned Revenue Current*",'8.TIKR_BS'!$A:$K,COLUMN(G9),FALSE),"0")+IFERROR(VLOOKUP("Unearned Revenue Non Current*",'8.TIKR_BS'!$A:$K,COLUMN(G9),FALSE),"0")</f>
        <v>0</v>
      </c>
      <c r="H10" s="88">
        <f>IFERROR(VLOOKUP("Unearned Revenue Current*",'8.TIKR_BS'!$A:$K,COLUMN(H9),FALSE),"0")+IFERROR(VLOOKUP("Unearned Revenue Non Current*",'8.TIKR_BS'!$A:$K,COLUMN(H9),FALSE),"0")</f>
        <v>0</v>
      </c>
      <c r="I10" s="88">
        <f>IFERROR(VLOOKUP("Unearned Revenue Current*",'8.TIKR_BS'!$A:$K,COLUMN(I9),FALSE),"0")+IFERROR(VLOOKUP("Unearned Revenue Non Current*",'8.TIKR_BS'!$A:$K,COLUMN(I9),FALSE),"0")</f>
        <v>0</v>
      </c>
      <c r="J10" s="88">
        <f>IFERROR(VLOOKUP("Unearned Revenue Current*",'8.TIKR_BS'!$A:$K,COLUMN(J9),FALSE),"0")+IFERROR(VLOOKUP("Unearned Revenue Non Current*",'8.TIKR_BS'!$A:$K,COLUMN(J9),FALSE),"0")</f>
        <v>0</v>
      </c>
      <c r="K10" s="88">
        <f>IFERROR(VLOOKUP("Unearned Revenue Current*",'8.TIKR_BS'!$A:$K,COLUMN(K9),FALSE),"0")+IFERROR(VLOOKUP("Unearned Revenue Non Current*",'8.TIKR_BS'!$A:$K,COLUMN(K9),FALSE),"0")</f>
        <v>0</v>
      </c>
      <c r="L10" s="89"/>
      <c r="M10" s="90"/>
      <c r="N10" s="90"/>
      <c r="O10" s="90"/>
      <c r="P10" s="91"/>
      <c r="Q10" s="92"/>
      <c r="R10" s="21"/>
      <c r="S10" s="21"/>
      <c r="T10" s="21"/>
      <c r="U10" s="21"/>
      <c r="V10" s="21"/>
      <c r="W10" s="21"/>
      <c r="X10" s="21"/>
      <c r="Y10" s="21"/>
      <c r="Z10" s="21"/>
    </row>
    <row r="11" ht="24.75" customHeight="1">
      <c r="A11" s="4" t="s">
        <v>49</v>
      </c>
      <c r="B11" s="89">
        <f t="shared" ref="B11:K11" si="1">B7+B8-B9-B10</f>
        <v>-1044</v>
      </c>
      <c r="C11" s="90">
        <f t="shared" si="1"/>
        <v>-984</v>
      </c>
      <c r="D11" s="90">
        <f t="shared" si="1"/>
        <v>-4245</v>
      </c>
      <c r="E11" s="90">
        <f t="shared" si="1"/>
        <v>-470</v>
      </c>
      <c r="F11" s="90">
        <f t="shared" si="1"/>
        <v>-110</v>
      </c>
      <c r="G11" s="90">
        <f t="shared" si="1"/>
        <v>-480</v>
      </c>
      <c r="H11" s="90">
        <f t="shared" si="1"/>
        <v>-631</v>
      </c>
      <c r="I11" s="90">
        <f t="shared" si="1"/>
        <v>-625</v>
      </c>
      <c r="J11" s="90">
        <f t="shared" si="1"/>
        <v>-1213</v>
      </c>
      <c r="K11" s="90">
        <f t="shared" si="1"/>
        <v>-5649</v>
      </c>
      <c r="L11" s="89">
        <f t="shared" ref="L11:P11" si="2">IFERROR(IF(AND(L7&lt;&gt;"",L8&lt;&gt;"",L10&lt;&gt;""),L7+L8-L9-L10,K11+L12),"")</f>
        <v>-6233.585954</v>
      </c>
      <c r="M11" s="90">
        <f t="shared" si="2"/>
        <v>-6835.709487</v>
      </c>
      <c r="N11" s="90">
        <f t="shared" si="2"/>
        <v>-7461.917962</v>
      </c>
      <c r="O11" s="90">
        <f t="shared" si="2"/>
        <v>-8113.174775</v>
      </c>
      <c r="P11" s="91">
        <f t="shared" si="2"/>
        <v>-8790.481861</v>
      </c>
      <c r="Q11" s="92"/>
      <c r="R11" s="64" t="s">
        <v>50</v>
      </c>
      <c r="S11" s="21"/>
      <c r="T11" s="21"/>
      <c r="U11" s="21"/>
      <c r="V11" s="21"/>
      <c r="W11" s="21"/>
      <c r="X11" s="21"/>
      <c r="Y11" s="21"/>
      <c r="Z11" s="21"/>
    </row>
    <row r="12" ht="24.75" customHeight="1">
      <c r="A12" s="4" t="s">
        <v>51</v>
      </c>
      <c r="B12" s="89"/>
      <c r="C12" s="90">
        <f t="shared" ref="C12:K12" si="3">IF(B9&gt;0,C11-B11,0)</f>
        <v>60</v>
      </c>
      <c r="D12" s="90">
        <f t="shared" si="3"/>
        <v>-3261</v>
      </c>
      <c r="E12" s="90">
        <f t="shared" si="3"/>
        <v>3775</v>
      </c>
      <c r="F12" s="90">
        <f t="shared" si="3"/>
        <v>360</v>
      </c>
      <c r="G12" s="90">
        <f t="shared" si="3"/>
        <v>-370</v>
      </c>
      <c r="H12" s="90">
        <f t="shared" si="3"/>
        <v>-151</v>
      </c>
      <c r="I12" s="90">
        <f t="shared" si="3"/>
        <v>6</v>
      </c>
      <c r="J12" s="90">
        <f t="shared" si="3"/>
        <v>-588</v>
      </c>
      <c r="K12" s="90">
        <f t="shared" si="3"/>
        <v>-4436</v>
      </c>
      <c r="L12" s="93">
        <f>IFERROR((SUM(C12:K12)/SUM('1.IS'!C3:K3))*'1.IS'!L3,"")</f>
        <v>-584.5859543</v>
      </c>
      <c r="M12" s="94">
        <f>IFERROR(IF(AND(M7&lt;&gt;"",M8&lt;&gt;"",M10&lt;&gt;""),(M7+M8-M9-M10)-(L7+L8-L9-L10),(L12/'1.IS'!L3)*'1.IS'!M3),"")</f>
        <v>-602.123533</v>
      </c>
      <c r="N12" s="94">
        <f>IFERROR(IF(AND(N7&lt;&gt;"",N8&lt;&gt;"",N10&lt;&gt;""),(N7+N8-N9-N10)-(M7+M8-M9-M10),(M12/'1.IS'!M3)*'1.IS'!N3),"")</f>
        <v>-626.2084743</v>
      </c>
      <c r="O12" s="94">
        <f>IFERROR(IF(AND(O7&lt;&gt;"",O8&lt;&gt;"",O10&lt;&gt;""),(O7+O8-O9-O10)-(N7+N8-N9-N10),(N12/'1.IS'!N3)*'1.IS'!O3),"")</f>
        <v>-651.2568133</v>
      </c>
      <c r="P12" s="95">
        <f>IFERROR(IF(AND(P7&lt;&gt;"",P8&lt;&gt;"",P10&lt;&gt;""),(P7+P8-P9-P10)-(O7+O8-O9-O10),(O12/'1.IS'!O3)*'1.IS'!P3),"")</f>
        <v>-677.3070858</v>
      </c>
      <c r="Q12" s="92"/>
      <c r="S12" s="21"/>
      <c r="T12" s="21"/>
      <c r="U12" s="21"/>
      <c r="V12" s="21"/>
      <c r="W12" s="21"/>
      <c r="X12" s="21"/>
      <c r="Y12" s="21"/>
      <c r="Z12" s="21"/>
    </row>
    <row r="13" ht="24.75" customHeight="1">
      <c r="A13" s="4" t="s">
        <v>52</v>
      </c>
      <c r="B13" s="89">
        <f>'1.IS'!B19</f>
        <v>-350</v>
      </c>
      <c r="C13" s="90">
        <f>'1.IS'!C19</f>
        <v>-363</v>
      </c>
      <c r="D13" s="90">
        <f>'1.IS'!D19</f>
        <v>-433</v>
      </c>
      <c r="E13" s="90">
        <f>'1.IS'!E19</f>
        <v>-419</v>
      </c>
      <c r="F13" s="90">
        <f>'1.IS'!F19</f>
        <v>-401</v>
      </c>
      <c r="G13" s="90">
        <f>'1.IS'!G19</f>
        <v>-492</v>
      </c>
      <c r="H13" s="90">
        <f>'1.IS'!H19</f>
        <v>-572</v>
      </c>
      <c r="I13" s="90">
        <f>'1.IS'!I19</f>
        <v>-627</v>
      </c>
      <c r="J13" s="90">
        <f>'1.IS'!J19</f>
        <v>-653</v>
      </c>
      <c r="K13" s="90">
        <f>'1.IS'!K19</f>
        <v>-625</v>
      </c>
      <c r="L13" s="89">
        <f>'1.IS'!L19</f>
        <v>-659.835894</v>
      </c>
      <c r="M13" s="90">
        <f>'1.IS'!M19</f>
        <v>-679.0920579</v>
      </c>
      <c r="N13" s="90">
        <f>'1.IS'!N19</f>
        <v>-705.7461492</v>
      </c>
      <c r="O13" s="90">
        <f>'1.IS'!O19</f>
        <v>-733.4196329</v>
      </c>
      <c r="P13" s="91">
        <f>'1.IS'!P19</f>
        <v>-761.9145354</v>
      </c>
      <c r="Q13" s="92"/>
      <c r="S13" s="21"/>
      <c r="T13" s="21"/>
      <c r="U13" s="21"/>
      <c r="V13" s="21"/>
      <c r="W13" s="21"/>
      <c r="X13" s="21"/>
      <c r="Y13" s="21"/>
      <c r="Z13" s="21"/>
    </row>
    <row r="14" ht="24.75" customHeight="1">
      <c r="A14" s="96" t="s">
        <v>53</v>
      </c>
      <c r="B14" s="97">
        <f t="shared" ref="B14:K14" si="4">B3+B4+B5+B6-B12+B13</f>
        <v>5039</v>
      </c>
      <c r="C14" s="98">
        <f t="shared" si="4"/>
        <v>5319</v>
      </c>
      <c r="D14" s="98">
        <f t="shared" si="4"/>
        <v>10445</v>
      </c>
      <c r="E14" s="98">
        <f t="shared" si="4"/>
        <v>2573</v>
      </c>
      <c r="F14" s="98">
        <f t="shared" si="4"/>
        <v>6889</v>
      </c>
      <c r="G14" s="98">
        <f t="shared" si="4"/>
        <v>7931</v>
      </c>
      <c r="H14" s="98">
        <f t="shared" si="4"/>
        <v>7528</v>
      </c>
      <c r="I14" s="98">
        <f t="shared" si="4"/>
        <v>6690</v>
      </c>
      <c r="J14" s="98">
        <f t="shared" si="4"/>
        <v>7212</v>
      </c>
      <c r="K14" s="98">
        <f t="shared" si="4"/>
        <v>11899</v>
      </c>
      <c r="L14" s="97">
        <f t="shared" ref="L14:P14" si="5">IFERROR(L3+L4+L5+L6-L12+L13,"")</f>
        <v>8306.906698</v>
      </c>
      <c r="M14" s="98">
        <f t="shared" si="5"/>
        <v>8699.468847</v>
      </c>
      <c r="N14" s="98">
        <f t="shared" si="5"/>
        <v>9183.002677</v>
      </c>
      <c r="O14" s="98">
        <f t="shared" si="5"/>
        <v>9698.319373</v>
      </c>
      <c r="P14" s="99">
        <f t="shared" si="5"/>
        <v>10310.19939</v>
      </c>
      <c r="Q14" s="92"/>
      <c r="R14" s="21"/>
      <c r="S14" s="21"/>
      <c r="T14" s="21"/>
      <c r="U14" s="21"/>
      <c r="V14" s="21"/>
      <c r="W14" s="21"/>
      <c r="X14" s="21"/>
      <c r="Y14" s="21"/>
      <c r="Z14" s="21"/>
    </row>
    <row r="15" ht="24.75" customHeight="1">
      <c r="A15" s="100" t="s">
        <v>54</v>
      </c>
      <c r="B15" s="101">
        <f>IFERROR(B14/'1.IS'!B3,"")</f>
        <v>0.09459002853</v>
      </c>
      <c r="C15" s="102">
        <f>IFERROR(C14/'1.IS'!C3,"")</f>
        <v>0.1009049001</v>
      </c>
      <c r="D15" s="102">
        <f>IFERROR(D14/'1.IS'!D3,"")</f>
        <v>0.1944522014</v>
      </c>
      <c r="E15" s="102">
        <f>IFERROR(E14/'1.IS'!E3,"")</f>
        <v>0.05046879291</v>
      </c>
      <c r="F15" s="102">
        <f>IFERROR(F14/'1.IS'!F3,"")</f>
        <v>0.132531743</v>
      </c>
      <c r="G15" s="102">
        <f>IFERROR(G14/'1.IS'!G3,"")</f>
        <v>0.1563559656</v>
      </c>
      <c r="H15" s="102">
        <f>IFERROR(H14/'1.IS'!H3,"")</f>
        <v>0.1435435894</v>
      </c>
      <c r="I15" s="102">
        <f>IFERROR(I14/'1.IS'!I3,"")</f>
        <v>0.1113645065</v>
      </c>
      <c r="J15" s="102">
        <f>IFERROR(J14/'1.IS'!J3,"")</f>
        <v>0.1209985907</v>
      </c>
      <c r="K15" s="102">
        <f>IFERROR(K14/'1.IS'!K3,"")</f>
        <v>0.1958328533</v>
      </c>
      <c r="L15" s="101">
        <f>IFERROR(L14/'1.IS'!L3,"")</f>
        <v>0.1327324757</v>
      </c>
      <c r="M15" s="102">
        <f>IFERROR(M14/'1.IS'!M3,"")</f>
        <v>0.1349563659</v>
      </c>
      <c r="N15" s="102">
        <f>IFERROR(N14/'1.IS'!N3,"")</f>
        <v>0.1369783749</v>
      </c>
      <c r="O15" s="102">
        <f>IFERROR(O14/'1.IS'!O3,"")</f>
        <v>0.1391010604</v>
      </c>
      <c r="P15" s="103">
        <f>IFERROR(P14/'1.IS'!P3,"")</f>
        <v>0.1421895515</v>
      </c>
      <c r="Q15" s="92"/>
      <c r="R15" s="21"/>
      <c r="S15" s="21"/>
      <c r="T15" s="21"/>
      <c r="U15" s="21"/>
      <c r="V15" s="21"/>
      <c r="W15" s="21"/>
      <c r="X15" s="21"/>
      <c r="Y15" s="21"/>
      <c r="Z15" s="21"/>
    </row>
    <row r="16" ht="24.75" customHeight="1">
      <c r="A16" s="100" t="s">
        <v>18</v>
      </c>
      <c r="B16" s="104"/>
      <c r="C16" s="102">
        <f t="shared" ref="C16:P16" si="6">IFERROR((C14-B14)/B14,"")</f>
        <v>0.05556658067</v>
      </c>
      <c r="D16" s="102">
        <f t="shared" si="6"/>
        <v>0.963714984</v>
      </c>
      <c r="E16" s="102">
        <f t="shared" si="6"/>
        <v>-0.7536620393</v>
      </c>
      <c r="F16" s="102">
        <f t="shared" si="6"/>
        <v>1.677419355</v>
      </c>
      <c r="G16" s="102">
        <f t="shared" si="6"/>
        <v>0.1512556249</v>
      </c>
      <c r="H16" s="102">
        <f t="shared" si="6"/>
        <v>-0.05081326441</v>
      </c>
      <c r="I16" s="102">
        <f t="shared" si="6"/>
        <v>-0.1113177471</v>
      </c>
      <c r="J16" s="102">
        <f t="shared" si="6"/>
        <v>0.07802690583</v>
      </c>
      <c r="K16" s="102">
        <f t="shared" si="6"/>
        <v>0.6498890738</v>
      </c>
      <c r="L16" s="101">
        <f t="shared" si="6"/>
        <v>-0.3018819483</v>
      </c>
      <c r="M16" s="102">
        <f t="shared" si="6"/>
        <v>0.04725732013</v>
      </c>
      <c r="N16" s="102">
        <f t="shared" si="6"/>
        <v>0.05558199455</v>
      </c>
      <c r="O16" s="102">
        <f t="shared" si="6"/>
        <v>0.05611636139</v>
      </c>
      <c r="P16" s="103">
        <f t="shared" si="6"/>
        <v>0.06309134569</v>
      </c>
      <c r="Q16" s="92"/>
      <c r="R16" s="21"/>
      <c r="S16" s="21"/>
      <c r="T16" s="21"/>
      <c r="U16" s="21"/>
      <c r="V16" s="21"/>
      <c r="W16" s="21"/>
      <c r="X16" s="21"/>
      <c r="Y16" s="21"/>
      <c r="Z16" s="21"/>
    </row>
    <row r="17" ht="24.75" customHeight="1">
      <c r="A17" s="100" t="s">
        <v>55</v>
      </c>
      <c r="B17" s="105">
        <f>IFERROR(B14/'1.IS'!B25,"")</f>
        <v>1.764726483</v>
      </c>
      <c r="C17" s="106">
        <f>IFERROR(C14/'1.IS'!C25,"")</f>
        <v>1.863765374</v>
      </c>
      <c r="D17" s="106">
        <f>IFERROR(D14/'1.IS'!D25,"")</f>
        <v>3.711798152</v>
      </c>
      <c r="E17" s="106">
        <f>IFERROR(E14/'1.IS'!E25,"")</f>
        <v>0.9548018406</v>
      </c>
      <c r="F17" s="106">
        <f>IFERROR(F14/'1.IS'!F25,"")</f>
        <v>2.622682453</v>
      </c>
      <c r="G17" s="106">
        <f>IFERROR(G14/'1.IS'!G25,"")</f>
        <v>3.015818693</v>
      </c>
      <c r="H17" s="106">
        <f>IFERROR(H14/'1.IS'!H25,"")</f>
        <v>2.884733292</v>
      </c>
      <c r="I17" s="106">
        <f>IFERROR(I14/'1.IS'!I25,"")</f>
        <v>2.613485429</v>
      </c>
      <c r="J17" s="106">
        <f>IFERROR(J14/'1.IS'!J25,"")</f>
        <v>2.847891328</v>
      </c>
      <c r="K17" s="106">
        <f>IFERROR(K14/'1.IS'!K25,"")</f>
        <v>4.746121016</v>
      </c>
      <c r="L17" s="105">
        <f>IFERROR(L14/'1.IS'!L25,"")</f>
        <v>3.356993675</v>
      </c>
      <c r="M17" s="106">
        <f>IFERROR(M14/'1.IS'!M25,"")</f>
        <v>3.561941438</v>
      </c>
      <c r="N17" s="106">
        <f>IFERROR(N14/'1.IS'!N25,"")</f>
        <v>3.80944402</v>
      </c>
      <c r="O17" s="106">
        <f>IFERROR(O14/'1.IS'!O25,"")</f>
        <v>4.076206847</v>
      </c>
      <c r="P17" s="107">
        <f>IFERROR(P14/'1.IS'!P25,"")</f>
        <v>4.390456152</v>
      </c>
      <c r="Q17" s="108"/>
      <c r="R17" s="21"/>
      <c r="S17" s="21"/>
      <c r="T17" s="21"/>
      <c r="U17" s="21"/>
      <c r="V17" s="21"/>
      <c r="W17" s="21"/>
      <c r="X17" s="21"/>
      <c r="Y17" s="21"/>
      <c r="Z17" s="21"/>
    </row>
    <row r="18" ht="24.75" customHeight="1">
      <c r="A18" s="100" t="s">
        <v>18</v>
      </c>
      <c r="B18" s="109"/>
      <c r="C18" s="110">
        <f t="shared" ref="C18:P18" si="7">IFERROR((C17-B17)/B17,"")</f>
        <v>0.05612138283</v>
      </c>
      <c r="D18" s="110">
        <f t="shared" si="7"/>
        <v>0.9915587039</v>
      </c>
      <c r="E18" s="110">
        <f t="shared" si="7"/>
        <v>-0.7427656889</v>
      </c>
      <c r="F18" s="110">
        <f t="shared" si="7"/>
        <v>1.746834308</v>
      </c>
      <c r="G18" s="110">
        <f t="shared" si="7"/>
        <v>0.1498985284</v>
      </c>
      <c r="H18" s="110">
        <f t="shared" si="7"/>
        <v>-0.04346594219</v>
      </c>
      <c r="I18" s="110">
        <f t="shared" si="7"/>
        <v>-0.09402874942</v>
      </c>
      <c r="J18" s="110">
        <f t="shared" si="7"/>
        <v>0.08969091516</v>
      </c>
      <c r="K18" s="110">
        <f t="shared" si="7"/>
        <v>0.6665386663</v>
      </c>
      <c r="L18" s="109">
        <f t="shared" si="7"/>
        <v>-0.2926868777</v>
      </c>
      <c r="M18" s="110">
        <f t="shared" si="7"/>
        <v>0.0610509829</v>
      </c>
      <c r="N18" s="110">
        <f t="shared" si="7"/>
        <v>0.06948530349</v>
      </c>
      <c r="O18" s="110">
        <f t="shared" si="7"/>
        <v>0.0700267086</v>
      </c>
      <c r="P18" s="111">
        <f t="shared" si="7"/>
        <v>0.07709356199</v>
      </c>
      <c r="Q18" s="108"/>
      <c r="R18" s="21"/>
      <c r="S18" s="21"/>
      <c r="T18" s="21"/>
      <c r="U18" s="21"/>
      <c r="V18" s="21"/>
      <c r="W18" s="21"/>
      <c r="X18" s="21"/>
      <c r="Y18" s="21"/>
      <c r="Z18" s="21"/>
    </row>
    <row r="19" ht="24.75" customHeight="1">
      <c r="A19" s="112" t="s">
        <v>56</v>
      </c>
      <c r="B19" s="113">
        <f>IFERROR(VLOOKUP("Net Change in Cash*",'9.TIKR_CF'!$A:$K,COLUMN(B19),FALSE),"0")</f>
        <v>218</v>
      </c>
      <c r="C19" s="114">
        <f>IFERROR(VLOOKUP("Net Change in Cash*",'9.TIKR_CF'!$A:$K,COLUMN(C19),FALSE),"0")</f>
        <v>1070</v>
      </c>
      <c r="D19" s="114">
        <f>IFERROR(VLOOKUP("Net Change in Cash*",'9.TIKR_CF'!$A:$K,COLUMN(D19),FALSE),"0")</f>
        <v>-29</v>
      </c>
      <c r="E19" s="114">
        <f>IFERROR(VLOOKUP("Net Change in Cash*",'9.TIKR_CF'!$A:$K,COLUMN(E19),FALSE),"0")</f>
        <v>-79</v>
      </c>
      <c r="F19" s="114">
        <f>IFERROR(VLOOKUP("Net Change in Cash*",'9.TIKR_CF'!$A:$K,COLUMN(F19),FALSE),"0")</f>
        <v>1026</v>
      </c>
      <c r="G19" s="114">
        <f>IFERROR(VLOOKUP("Net Change in Cash*",'9.TIKR_CF'!$A:$K,COLUMN(G19),FALSE),"0")</f>
        <v>1359</v>
      </c>
      <c r="H19" s="114">
        <f>IFERROR(VLOOKUP("Net Change in Cash*",'9.TIKR_CF'!$A:$K,COLUMN(H19),FALSE),"0")</f>
        <v>-2088</v>
      </c>
      <c r="I19" s="114">
        <f>IFERROR(VLOOKUP("Net Change in Cash*",'9.TIKR_CF'!$A:$K,COLUMN(I19),FALSE),"0")</f>
        <v>838</v>
      </c>
      <c r="J19" s="114">
        <f>IFERROR(VLOOKUP("Net Change in Cash*",'9.TIKR_CF'!$A:$K,COLUMN(J19),FALSE),"0")</f>
        <v>-180</v>
      </c>
      <c r="K19" s="114">
        <f>IFERROR(VLOOKUP("Net Change in Cash*",'9.TIKR_CF'!$A:$K,COLUMN(K19),FALSE),"0")</f>
        <v>1905</v>
      </c>
      <c r="L19" s="113">
        <f>IF('4.Valoración'!L4&gt;0,IFERROR('4.Valoración'!L4-'4.Valoración'!K4,0),IFERROR('4.Valoración'!K4-'4.Valoración'!L4,0))</f>
        <v>733.1885565</v>
      </c>
      <c r="M19" s="114">
        <f>IF('4.Valoración'!M4&gt;0,IFERROR('4.Valoración'!M4-'4.Valoración'!L4,0),IFERROR('4.Valoración'!L4-'4.Valoración'!M4,0))</f>
        <v>979.0903322</v>
      </c>
      <c r="N19" s="114">
        <f>IF('4.Valoración'!N4&gt;0,IFERROR('4.Valoración'!N4-'4.Valoración'!M4,0),IFERROR('4.Valoración'!M4-'4.Valoración'!N4,0))</f>
        <v>1241.600059</v>
      </c>
      <c r="O19" s="114">
        <f>IF('4.Valoración'!O4&gt;0,IFERROR('4.Valoración'!O4-'4.Valoración'!N4,0),IFERROR('4.Valoración'!N4-'4.Valoración'!O4,0))</f>
        <v>1314.322348</v>
      </c>
      <c r="P19" s="115">
        <f>IF('4.Valoración'!P4&gt;0,IFERROR('4.Valoración'!P4-'4.Valoración'!O4,0),IFERROR('4.Valoración'!O4-'4.Valoración'!P4,0))</f>
        <v>1507.657214</v>
      </c>
      <c r="Q19" s="108"/>
      <c r="R19" s="21"/>
      <c r="S19" s="21"/>
      <c r="T19" s="21"/>
      <c r="U19" s="21"/>
      <c r="V19" s="21"/>
      <c r="W19" s="21"/>
      <c r="X19" s="21"/>
      <c r="Y19" s="21"/>
      <c r="Z19" s="21"/>
    </row>
    <row r="20" ht="24.75" customHeight="1">
      <c r="A20" s="4"/>
      <c r="B20" s="116"/>
      <c r="C20" s="116"/>
      <c r="D20" s="116"/>
      <c r="E20" s="116"/>
      <c r="F20" s="116"/>
      <c r="G20" s="116"/>
      <c r="H20" s="116"/>
      <c r="I20" s="116"/>
      <c r="J20" s="116"/>
      <c r="K20" s="116"/>
      <c r="L20" s="116"/>
      <c r="M20" s="116"/>
      <c r="N20" s="116"/>
      <c r="O20" s="116"/>
      <c r="P20" s="116"/>
      <c r="Q20" s="57"/>
      <c r="R20" s="21"/>
      <c r="S20" s="21"/>
      <c r="T20" s="21"/>
      <c r="U20" s="21"/>
      <c r="V20" s="21"/>
      <c r="W20" s="21"/>
      <c r="X20" s="21"/>
      <c r="Y20" s="21"/>
      <c r="Z20" s="21"/>
    </row>
    <row r="21" ht="34.5" customHeight="1">
      <c r="A21" s="77" t="s">
        <v>57</v>
      </c>
      <c r="B21" s="78">
        <f>'1.IS'!B$2</f>
        <v>2015</v>
      </c>
      <c r="C21" s="78">
        <f>'1.IS'!C$2</f>
        <v>2016</v>
      </c>
      <c r="D21" s="78">
        <f>'1.IS'!D$2</f>
        <v>2018</v>
      </c>
      <c r="E21" s="78">
        <f>'1.IS'!E$2</f>
        <v>2018</v>
      </c>
      <c r="F21" s="78">
        <f>'1.IS'!F$2</f>
        <v>2019</v>
      </c>
      <c r="G21" s="78">
        <f>'1.IS'!G$2</f>
        <v>2020</v>
      </c>
      <c r="H21" s="78">
        <f>'1.IS'!H$2</f>
        <v>2021</v>
      </c>
      <c r="I21" s="78">
        <f>'1.IS'!I$2</f>
        <v>2022</v>
      </c>
      <c r="J21" s="78">
        <f>'1.IS'!J$2</f>
        <v>2023</v>
      </c>
      <c r="K21" s="78">
        <f>'1.IS'!K$2</f>
        <v>2024</v>
      </c>
      <c r="L21" s="79" t="str">
        <f>'1.IS'!L$2</f>
        <v>2025e</v>
      </c>
      <c r="M21" s="79" t="str">
        <f>'1.IS'!M$2</f>
        <v>2026e</v>
      </c>
      <c r="N21" s="79" t="str">
        <f>'1.IS'!N$2</f>
        <v>2027e</v>
      </c>
      <c r="O21" s="79" t="str">
        <f>'1.IS'!O$2</f>
        <v>2028e</v>
      </c>
      <c r="P21" s="79" t="str">
        <f>'1.IS'!P$2</f>
        <v>2029e</v>
      </c>
      <c r="Q21" s="117" t="str">
        <f>"Promedio "&amp;CHAR(10)&amp;$B$2&amp;"-"&amp;$K$2</f>
        <v>Promedio 
2015-2024</v>
      </c>
      <c r="R21" s="21"/>
      <c r="S21" s="21"/>
      <c r="T21" s="21"/>
      <c r="U21" s="21"/>
      <c r="V21" s="21"/>
      <c r="W21" s="21"/>
      <c r="X21" s="21"/>
      <c r="Y21" s="21"/>
      <c r="Z21" s="21"/>
    </row>
    <row r="22" ht="24.75" customHeight="1">
      <c r="A22" s="4" t="s">
        <v>58</v>
      </c>
      <c r="B22" s="101">
        <f>IFERROR(ABS(B4)/'1.IS'!B$3,"")</f>
        <v>0.0205924313</v>
      </c>
      <c r="C22" s="102">
        <f>IFERROR(ABS(C4)/'1.IS'!C$3,"")</f>
        <v>0.02189213287</v>
      </c>
      <c r="D22" s="102">
        <f>IFERROR(ABS(D4)/'1.IS'!D$3,"")</f>
        <v>0.03017779019</v>
      </c>
      <c r="E22" s="102">
        <f>IFERROR(ABS(E4)/'1.IS'!E$3,"")</f>
        <v>0.02793142678</v>
      </c>
      <c r="F22" s="102">
        <f>IFERROR(ABS(F4)/'1.IS'!F$3,"")</f>
        <v>0.02749134282</v>
      </c>
      <c r="G22" s="102">
        <f>IFERROR(ABS(G4)/'1.IS'!G$3,"")</f>
        <v>0.01837394527</v>
      </c>
      <c r="H22" s="102">
        <f>IFERROR(ABS(H4)/'1.IS'!H$3,"")</f>
        <v>0.02362520021</v>
      </c>
      <c r="I22" s="118">
        <f>IFERROR(ABS(I4)/'1.IS'!I$3,"")</f>
        <v>0.02114094518</v>
      </c>
      <c r="J22" s="118">
        <f>IFERROR(ABS(J4)/'1.IS'!J$3,"")</f>
        <v>0.02264948661</v>
      </c>
      <c r="K22" s="118">
        <f>IFERROR(ABS(K4)/'1.IS'!K$3,"")</f>
        <v>0.02672767071</v>
      </c>
      <c r="L22" s="119">
        <f>IFERROR(ABS((K4*'1.IS'!L4)+'2.FCF'!K4)/'1.IS'!L$3,"")</f>
        <v>0.02672767071</v>
      </c>
      <c r="M22" s="120">
        <f t="shared" ref="M22:P22" si="8">$L$22</f>
        <v>0.02672767071</v>
      </c>
      <c r="N22" s="120">
        <f t="shared" si="8"/>
        <v>0.02672767071</v>
      </c>
      <c r="O22" s="120">
        <f t="shared" si="8"/>
        <v>0.02672767071</v>
      </c>
      <c r="P22" s="121">
        <f t="shared" si="8"/>
        <v>0.02672767071</v>
      </c>
      <c r="Q22" s="122">
        <f t="shared" ref="Q22:Q25" si="9">IFERROR(AVERAGE(B22:K22),"")</f>
        <v>0.02406023719</v>
      </c>
      <c r="R22" s="21"/>
      <c r="S22" s="21"/>
      <c r="T22" s="21"/>
      <c r="U22" s="21"/>
      <c r="V22" s="21"/>
      <c r="W22" s="21"/>
      <c r="X22" s="21"/>
      <c r="Y22" s="21"/>
      <c r="Z22" s="21"/>
    </row>
    <row r="23" ht="24.75" customHeight="1">
      <c r="A23" s="4" t="s">
        <v>59</v>
      </c>
      <c r="B23" s="101">
        <f>IFERROR((B7+B8-B9)/'1.IS'!B$3,"")</f>
        <v>-0.01959753717</v>
      </c>
      <c r="C23" s="102">
        <f>IFERROR((C7+C8-C9)/'1.IS'!C$3,"")</f>
        <v>-0.01866712196</v>
      </c>
      <c r="D23" s="102">
        <f>IFERROR((D7+D8-D9)/'1.IS'!D$3,"")</f>
        <v>-0.07902820441</v>
      </c>
      <c r="E23" s="102">
        <f>IFERROR((E7+E8-E9)/'1.IS'!E$3,"")</f>
        <v>-0.009218940018</v>
      </c>
      <c r="F23" s="102">
        <f>IFERROR((F7+F8-F9)/'1.IS'!F$3,"")</f>
        <v>-0.002116198538</v>
      </c>
      <c r="G23" s="102">
        <f>IFERROR((G7+G8-G9)/'1.IS'!G$3,"")</f>
        <v>-0.009462976106</v>
      </c>
      <c r="H23" s="102">
        <f>IFERROR((H7+H8-H9)/'1.IS'!H$3,"")</f>
        <v>-0.01203188163</v>
      </c>
      <c r="I23" s="118">
        <f>IFERROR((I7+I8-I9)/'1.IS'!I$3,"")</f>
        <v>-0.01040400846</v>
      </c>
      <c r="J23" s="118">
        <f>IFERROR((J7+J8-J9)/'1.IS'!J$3,"")</f>
        <v>-0.02035098316</v>
      </c>
      <c r="K23" s="118">
        <f>IFERROR((K7+K8-K9)/'1.IS'!K$3,"")</f>
        <v>-0.0929708201</v>
      </c>
      <c r="L23" s="123">
        <f>IFERROR(L11/'1.IS'!L$3,"")</f>
        <v>-0.09960377871</v>
      </c>
      <c r="M23" s="118">
        <f>IFERROR(M11/'1.IS'!M$3,"")</f>
        <v>-0.1060435444</v>
      </c>
      <c r="N23" s="118">
        <f>IFERROR(N11/'1.IS'!N$3,"")</f>
        <v>-0.1113057931</v>
      </c>
      <c r="O23" s="118">
        <f>IFERROR(O11/'1.IS'!O$3,"")</f>
        <v>-0.1163656476</v>
      </c>
      <c r="P23" s="118">
        <f>IFERROR(P11/'1.IS'!P$3,"")</f>
        <v>-0.1212308924</v>
      </c>
      <c r="Q23" s="122">
        <f t="shared" si="9"/>
        <v>-0.02738486715</v>
      </c>
      <c r="R23" s="21"/>
      <c r="S23" s="21"/>
      <c r="T23" s="21"/>
      <c r="U23" s="21"/>
      <c r="V23" s="21"/>
      <c r="W23" s="21"/>
      <c r="X23" s="21"/>
      <c r="Y23" s="21"/>
      <c r="Z23" s="21"/>
    </row>
    <row r="24" ht="24.75" customHeight="1">
      <c r="A24" s="4" t="s">
        <v>60</v>
      </c>
      <c r="B24" s="101">
        <f>IFERROR(B14/'1.IS'!B$3,"")</f>
        <v>0.09459002853</v>
      </c>
      <c r="C24" s="102">
        <f>IFERROR(C14/'1.IS'!C$3,"")</f>
        <v>0.1009049001</v>
      </c>
      <c r="D24" s="102">
        <f>IFERROR(D14/'1.IS'!D$3,"")</f>
        <v>0.1944522014</v>
      </c>
      <c r="E24" s="102">
        <f>IFERROR(E14/'1.IS'!E$3,"")</f>
        <v>0.05046879291</v>
      </c>
      <c r="F24" s="102">
        <f>IFERROR(F14/'1.IS'!F$3,"")</f>
        <v>0.132531743</v>
      </c>
      <c r="G24" s="102">
        <f>IFERROR(G14/'1.IS'!G$3,"")</f>
        <v>0.1563559656</v>
      </c>
      <c r="H24" s="102">
        <f>IFERROR(H14/'1.IS'!H$3,"")</f>
        <v>0.1435435894</v>
      </c>
      <c r="I24" s="118">
        <f>IFERROR(I14/'1.IS'!I$3,"")</f>
        <v>0.1113645065</v>
      </c>
      <c r="J24" s="118">
        <f>IFERROR(J14/'1.IS'!J$3,"")</f>
        <v>0.1209985907</v>
      </c>
      <c r="K24" s="118">
        <f>IFERROR(K14/'1.IS'!K$3,"")</f>
        <v>0.1958328533</v>
      </c>
      <c r="L24" s="123">
        <f>IFERROR(L14/'1.IS'!L$3,"")</f>
        <v>0.1327324757</v>
      </c>
      <c r="M24" s="118">
        <f>IFERROR(M14/'1.IS'!M$3,"")</f>
        <v>0.1349563659</v>
      </c>
      <c r="N24" s="118">
        <f>IFERROR(N14/'1.IS'!N$3,"")</f>
        <v>0.1369783749</v>
      </c>
      <c r="O24" s="118">
        <f>IFERROR(O14/'1.IS'!O$3,"")</f>
        <v>0.1391010604</v>
      </c>
      <c r="P24" s="118">
        <f>IFERROR(P14/'1.IS'!P$3,"")</f>
        <v>0.1421895515</v>
      </c>
      <c r="Q24" s="122">
        <f t="shared" si="9"/>
        <v>0.1301043171</v>
      </c>
      <c r="R24" s="21"/>
      <c r="S24" s="21"/>
      <c r="T24" s="21"/>
      <c r="U24" s="21"/>
      <c r="V24" s="21"/>
      <c r="W24" s="21"/>
      <c r="X24" s="21"/>
      <c r="Y24" s="21"/>
      <c r="Z24" s="21"/>
    </row>
    <row r="25" ht="24.75" customHeight="1">
      <c r="A25" s="124" t="s">
        <v>61</v>
      </c>
      <c r="B25" s="125">
        <f t="shared" ref="B25:P25" si="10">IFERROR(B14/B3,"")</f>
        <v>0.5749657691</v>
      </c>
      <c r="C25" s="126">
        <f t="shared" si="10"/>
        <v>0.5799803729</v>
      </c>
      <c r="D25" s="126">
        <f t="shared" si="10"/>
        <v>0.9139032286</v>
      </c>
      <c r="E25" s="126">
        <f t="shared" si="10"/>
        <v>0.2269559848</v>
      </c>
      <c r="F25" s="126">
        <f t="shared" si="10"/>
        <v>0.5798333474</v>
      </c>
      <c r="G25" s="126">
        <f t="shared" si="10"/>
        <v>0.6971694796</v>
      </c>
      <c r="H25" s="126">
        <f t="shared" si="10"/>
        <v>0.6613370816</v>
      </c>
      <c r="I25" s="126">
        <f t="shared" si="10"/>
        <v>0.600269179</v>
      </c>
      <c r="J25" s="126">
        <f t="shared" si="10"/>
        <v>0.629374291</v>
      </c>
      <c r="K25" s="126">
        <f t="shared" si="10"/>
        <v>0.9242659624</v>
      </c>
      <c r="L25" s="125">
        <f t="shared" si="10"/>
        <v>0.6195947414</v>
      </c>
      <c r="M25" s="126">
        <f t="shared" si="10"/>
        <v>0.6232157638</v>
      </c>
      <c r="N25" s="126">
        <f t="shared" si="10"/>
        <v>0.6264412768</v>
      </c>
      <c r="O25" s="126">
        <f t="shared" si="10"/>
        <v>0.6297609983</v>
      </c>
      <c r="P25" s="126">
        <f t="shared" si="10"/>
        <v>0.6344738088</v>
      </c>
      <c r="Q25" s="127">
        <f t="shared" si="9"/>
        <v>0.6388054696</v>
      </c>
      <c r="R25" s="17"/>
      <c r="S25" s="17"/>
      <c r="T25" s="17"/>
      <c r="U25" s="17"/>
      <c r="V25" s="17"/>
      <c r="W25" s="17"/>
      <c r="X25" s="17"/>
      <c r="Y25" s="17"/>
      <c r="Z25" s="17"/>
    </row>
    <row r="26" ht="24.75" customHeight="1">
      <c r="A26" s="100"/>
      <c r="B26" s="110"/>
      <c r="C26" s="110"/>
      <c r="D26" s="110"/>
      <c r="E26" s="110"/>
      <c r="F26" s="110"/>
      <c r="G26" s="110"/>
      <c r="H26" s="110"/>
      <c r="I26" s="110"/>
      <c r="J26" s="110"/>
      <c r="K26" s="110"/>
      <c r="L26" s="110"/>
      <c r="M26" s="110"/>
      <c r="N26" s="110"/>
      <c r="O26" s="110"/>
      <c r="P26" s="110"/>
      <c r="Q26" s="128"/>
      <c r="R26" s="17"/>
      <c r="S26" s="17"/>
      <c r="T26" s="17"/>
      <c r="U26" s="17"/>
      <c r="V26" s="17"/>
      <c r="W26" s="17"/>
      <c r="X26" s="17"/>
      <c r="Y26" s="17"/>
      <c r="Z26" s="17"/>
    </row>
    <row r="27" ht="34.5" customHeight="1">
      <c r="A27" s="77" t="s">
        <v>62</v>
      </c>
      <c r="B27" s="78">
        <f>'1.IS'!B$2</f>
        <v>2015</v>
      </c>
      <c r="C27" s="78">
        <f>'1.IS'!C$2</f>
        <v>2016</v>
      </c>
      <c r="D27" s="78">
        <f>'1.IS'!D$2</f>
        <v>2018</v>
      </c>
      <c r="E27" s="78">
        <f>'1.IS'!E$2</f>
        <v>2018</v>
      </c>
      <c r="F27" s="78">
        <f>'1.IS'!F$2</f>
        <v>2019</v>
      </c>
      <c r="G27" s="78">
        <f>'1.IS'!G$2</f>
        <v>2020</v>
      </c>
      <c r="H27" s="78">
        <f>'1.IS'!H$2</f>
        <v>2021</v>
      </c>
      <c r="I27" s="78">
        <f>'1.IS'!I$2</f>
        <v>2022</v>
      </c>
      <c r="J27" s="78">
        <f>'1.IS'!J$2</f>
        <v>2023</v>
      </c>
      <c r="K27" s="78">
        <f>'1.IS'!K$2</f>
        <v>2024</v>
      </c>
      <c r="L27" s="129" t="str">
        <f>"Promedio "&amp;CHAR(10)&amp;$B$2&amp;"-"&amp;$K$2</f>
        <v>Promedio 
2015-2024</v>
      </c>
      <c r="M27" s="130"/>
      <c r="N27" s="110"/>
      <c r="O27" s="110"/>
      <c r="P27" s="110"/>
      <c r="Q27" s="128"/>
      <c r="R27" s="17"/>
      <c r="S27" s="17"/>
      <c r="T27" s="17"/>
      <c r="U27" s="17"/>
      <c r="V27" s="17"/>
      <c r="W27" s="17"/>
      <c r="X27" s="17"/>
      <c r="Y27" s="17"/>
      <c r="Z27" s="17"/>
    </row>
    <row r="28" ht="24.75" customHeight="1">
      <c r="A28" s="4" t="s">
        <v>63</v>
      </c>
      <c r="B28" s="101">
        <f>IF(B14&gt;0,IFERROR('TIKR_Cálculos'!B40/B$14,""),"-")</f>
        <v>0.1938876761</v>
      </c>
      <c r="C28" s="102">
        <f>IF(C14&gt;0,IFERROR('TIKR_Cálculos'!C40/C$14,""),"-")</f>
        <v>0.1361158112</v>
      </c>
      <c r="D28" s="102">
        <f>IF(D14&gt;0,IFERROR('TIKR_Cálculos'!D40/D$14,""),"-")</f>
        <v>0</v>
      </c>
      <c r="E28" s="102">
        <f>IF(E14&gt;0,IFERROR('TIKR_Cálculos'!E40/E$14,""),"-")</f>
        <v>0</v>
      </c>
      <c r="F28" s="102">
        <f>IF(F14&gt;0,IFERROR('TIKR_Cálculos'!F40/F$14,""),"-")</f>
        <v>0</v>
      </c>
      <c r="G28" s="102">
        <f>IF(G14&gt;0,IFERROR('TIKR_Cálculos'!G40/G$14,""),"-")</f>
        <v>0</v>
      </c>
      <c r="H28" s="102">
        <f>IF(H14&gt;0,IFERROR('TIKR_Cálculos'!H40/H$14,""),"-")</f>
        <v>0</v>
      </c>
      <c r="I28" s="102">
        <f>IF(I14&gt;0,IFERROR('TIKR_Cálculos'!I40/I$14,""),"-")</f>
        <v>0.0533632287</v>
      </c>
      <c r="J28" s="102">
        <f>IF(J14&gt;0,IFERROR('TIKR_Cálculos'!J40/J$14,""),"-")</f>
        <v>0.04894620078</v>
      </c>
      <c r="K28" s="102">
        <f>IF(K14&gt;0,IFERROR('TIKR_Cálculos'!K40/K$14,""),"-")</f>
        <v>0.02605260946</v>
      </c>
      <c r="L28" s="131">
        <f t="shared" ref="L28:L32" si="11">IFERROR(AVERAGE(B28:K28),"")</f>
        <v>0.04583655263</v>
      </c>
      <c r="M28" s="132"/>
      <c r="N28" s="21"/>
      <c r="O28" s="110"/>
      <c r="P28" s="110"/>
      <c r="Q28" s="128"/>
      <c r="R28" s="17"/>
      <c r="S28" s="17"/>
      <c r="T28" s="17"/>
      <c r="U28" s="17"/>
      <c r="V28" s="17"/>
      <c r="W28" s="17"/>
      <c r="X28" s="17"/>
      <c r="Y28" s="17"/>
      <c r="Z28" s="17"/>
    </row>
    <row r="29" ht="24.75" customHeight="1">
      <c r="A29" s="4" t="s">
        <v>64</v>
      </c>
      <c r="B29" s="101">
        <f>IF(B14&gt;0,IFERROR('TIKR_Cálculos'!B43/B$14,""),"-")</f>
        <v>0.376463584</v>
      </c>
      <c r="C29" s="102">
        <f>IF(C14&gt;0,IFERROR('TIKR_Cálculos'!C43/C$14,""),"-")</f>
        <v>0.3254371122</v>
      </c>
      <c r="D29" s="102">
        <f>IF(D14&gt;0,IFERROR('TIKR_Cálculos'!D43/D$14,""),"-")</f>
        <v>0.4687410244</v>
      </c>
      <c r="E29" s="102">
        <f>IF(E14&gt;0,IFERROR('TIKR_Cálculos'!E43/E$14,""),"-")</f>
        <v>0.5192382433</v>
      </c>
      <c r="F29" s="102">
        <f>IF(F14&gt;0,IFERROR('TIKR_Cálculos'!F43/F$14,""),"-")</f>
        <v>0.1628683408</v>
      </c>
      <c r="G29" s="102">
        <f>IF(G14&gt;0,IFERROR('TIKR_Cálculos'!G43/G$14,""),"-")</f>
        <v>0.1798007817</v>
      </c>
      <c r="H29" s="102">
        <f>IF(H14&gt;0,IFERROR('TIKR_Cálculos'!H43/H$14,""),"-")</f>
        <v>0.2830765143</v>
      </c>
      <c r="I29" s="102">
        <f>IF(I14&gt;0,IFERROR('TIKR_Cálculos'!I43/I$14,""),"-")</f>
        <v>0.1463378176</v>
      </c>
      <c r="J29" s="102">
        <f>IF(J14&gt;0,IFERROR('TIKR_Cálculos'!J43/J$14,""),"-")</f>
        <v>0.09761508597</v>
      </c>
      <c r="K29" s="102">
        <f>IF(K14&gt;0,IFERROR('TIKR_Cálculos'!K43/K$14,""),"-")</f>
        <v>0.06681233717</v>
      </c>
      <c r="L29" s="133">
        <f t="shared" si="11"/>
        <v>0.2626390842</v>
      </c>
      <c r="M29" s="132"/>
      <c r="N29" s="21"/>
      <c r="O29" s="110"/>
      <c r="P29" s="110"/>
      <c r="Q29" s="128"/>
      <c r="R29" s="17"/>
      <c r="S29" s="17"/>
      <c r="T29" s="17"/>
      <c r="U29" s="17"/>
      <c r="V29" s="17"/>
      <c r="W29" s="17"/>
      <c r="X29" s="17"/>
      <c r="Y29" s="17"/>
      <c r="Z29" s="17"/>
    </row>
    <row r="30" ht="24.75" customHeight="1">
      <c r="A30" s="4" t="s">
        <v>65</v>
      </c>
      <c r="B30" s="101">
        <f>IF(B14&gt;0,IFERROR('TIKR_Cálculos'!B41/B$14,""),"-")</f>
        <v>0.6610438579</v>
      </c>
      <c r="C30" s="102">
        <f>IF(C14&gt;0,IFERROR('TIKR_Cálculos'!C41/C$14,""),"-")</f>
        <v>0.6785109983</v>
      </c>
      <c r="D30" s="102">
        <f>IF(D14&gt;0,IFERROR('TIKR_Cálculos'!D41/D$14,""),"-")</f>
        <v>0.3749162279</v>
      </c>
      <c r="E30" s="102">
        <f>IF(E14&gt;0,IFERROR('TIKR_Cálculos'!E41/E$14,""),"-")</f>
        <v>1.58025651</v>
      </c>
      <c r="F30" s="102">
        <f>IF(F14&gt;0,IFERROR('TIKR_Cálculos'!F41/F$14,""),"-")</f>
        <v>0.6109740165</v>
      </c>
      <c r="G30" s="102">
        <f>IF(G14&gt;0,IFERROR('TIKR_Cálculos'!G41/G$14,""),"-")</f>
        <v>0.5395284327</v>
      </c>
      <c r="H30" s="102">
        <f>IF(H14&gt;0,IFERROR('TIKR_Cálculos'!H41/H$14,""),"-")</f>
        <v>0.5955100956</v>
      </c>
      <c r="I30" s="102">
        <f>IF(I14&gt;0,IFERROR('TIKR_Cálculos'!I41/I$14,""),"-")</f>
        <v>0.6470852018</v>
      </c>
      <c r="J30" s="102">
        <f>IF(J14&gt;0,IFERROR('TIKR_Cálculos'!J41/J$14,""),"-")</f>
        <v>0.604963949</v>
      </c>
      <c r="K30" s="102">
        <f>IF(K14&gt;0,IFERROR('TIKR_Cálculos'!K41/K$14,""),"-")</f>
        <v>0.3629716783</v>
      </c>
      <c r="L30" s="133">
        <f t="shared" si="11"/>
        <v>0.6655760968</v>
      </c>
      <c r="M30" s="132"/>
      <c r="N30" s="21"/>
      <c r="O30" s="61"/>
      <c r="P30" s="61"/>
      <c r="Q30" s="61"/>
      <c r="R30" s="17"/>
      <c r="S30" s="17"/>
      <c r="T30" s="17"/>
      <c r="U30" s="17"/>
      <c r="V30" s="17"/>
      <c r="W30" s="17"/>
      <c r="X30" s="17"/>
      <c r="Y30" s="17"/>
      <c r="Z30" s="17"/>
    </row>
    <row r="31" ht="24.75" customHeight="1">
      <c r="A31" s="4" t="s">
        <v>66</v>
      </c>
      <c r="B31" s="101">
        <f>IF(B14&gt;0,IFERROR('TIKR_Cálculos'!B42/B$14,""),"-")</f>
        <v>0.05477277238</v>
      </c>
      <c r="C31" s="102">
        <f>IF(C14&gt;0,IFERROR('TIKR_Cálculos'!C42/C$14,""),"-")</f>
        <v>0.04831735289</v>
      </c>
      <c r="D31" s="102">
        <f>IF(D14&gt;0,IFERROR('TIKR_Cálculos'!D42/D$14,""),"-")</f>
        <v>0.4995691719</v>
      </c>
      <c r="E31" s="102">
        <f>IF(E14&gt;0,IFERROR('TIKR_Cálculos'!E42/E$14,""),"-")</f>
        <v>2.43956471</v>
      </c>
      <c r="F31" s="102">
        <f>IF(F14&gt;0,IFERROR('TIKR_Cálculos'!F42/F$14,""),"-")</f>
        <v>0.02917694876</v>
      </c>
      <c r="G31" s="102">
        <f>IF(G14&gt;0,IFERROR('TIKR_Cálculos'!G42/G$14,""),"-")</f>
        <v>0</v>
      </c>
      <c r="H31" s="102">
        <f>IF(H14&gt;0,IFERROR('TIKR_Cálculos'!H42/H$14,""),"-")</f>
        <v>0.4009032944</v>
      </c>
      <c r="I31" s="102">
        <f>IF(I14&gt;0,IFERROR('TIKR_Cálculos'!I42/I$14,""),"-")</f>
        <v>0.2255605381</v>
      </c>
      <c r="J31" s="102">
        <f>IF(J14&gt;0,IFERROR('TIKR_Cálculos'!J42/J$14,""),"-")</f>
        <v>0.2089572934</v>
      </c>
      <c r="K31" s="102">
        <f>IF(K14&gt;0,IFERROR('TIKR_Cálculos'!K42/K$14,""),"-")</f>
        <v>0.1267333389</v>
      </c>
      <c r="L31" s="133">
        <f t="shared" si="11"/>
        <v>0.4033555421</v>
      </c>
      <c r="M31" s="132"/>
      <c r="N31" s="21"/>
      <c r="O31" s="61"/>
      <c r="P31" s="61"/>
      <c r="Q31" s="61"/>
      <c r="R31" s="17"/>
      <c r="S31" s="17"/>
      <c r="T31" s="17"/>
      <c r="U31" s="17"/>
      <c r="V31" s="17"/>
      <c r="W31" s="17"/>
      <c r="X31" s="17"/>
      <c r="Y31" s="17"/>
      <c r="Z31" s="17"/>
    </row>
    <row r="32" ht="24.75" customHeight="1">
      <c r="A32" s="134" t="s">
        <v>67</v>
      </c>
      <c r="B32" s="135">
        <f>IF(B14&gt;0,IFERROR(IF('TIKR_Cálculos'!B44&gt;0,'TIKR_Cálculos'!B44,0)/B14,""),"-")</f>
        <v>0</v>
      </c>
      <c r="C32" s="136">
        <f>IF(C14&gt;0,IFERROR(IF('TIKR_Cálculos'!C44&gt;0,'TIKR_Cálculos'!C44,0)/C14,""),"-")</f>
        <v>0</v>
      </c>
      <c r="D32" s="136">
        <f>IF(D14&gt;0,IFERROR(IF('TIKR_Cálculos'!D44&gt;0,'TIKR_Cálculos'!D44,0)/D14,""),"-")</f>
        <v>0</v>
      </c>
      <c r="E32" s="136">
        <f>IF(E14&gt;0,IFERROR(IF('TIKR_Cálculos'!E44&gt;0,'TIKR_Cálculos'!E44,0)/E14,""),"-")</f>
        <v>0.1966575981</v>
      </c>
      <c r="F32" s="136">
        <f>IF(F14&gt;0,IFERROR(IF('TIKR_Cálculos'!F44&gt;0,'TIKR_Cálculos'!F44,0)/F14,""),"-")</f>
        <v>0</v>
      </c>
      <c r="G32" s="136">
        <f>IF(G14&gt;0,IFERROR(IF('TIKR_Cálculos'!G44&gt;0,'TIKR_Cálculos'!G44,0)/G14,""),"-")</f>
        <v>0.02282183836</v>
      </c>
      <c r="H32" s="136">
        <f>IF(H14&gt;0,IFERROR(IF('TIKR_Cálculos'!H44&gt;0,'TIKR_Cálculos'!H44,0)/H14,""),"-")</f>
        <v>0</v>
      </c>
      <c r="I32" s="136">
        <f>IF(I14&gt;0,IFERROR(IF('TIKR_Cálculos'!I44&gt;0,'TIKR_Cálculos'!I44,0)/I14,""),"-")</f>
        <v>0.2581464873</v>
      </c>
      <c r="J32" s="136">
        <f>IF(J14&gt;0,IFERROR(IF('TIKR_Cálculos'!J44&gt;0,'TIKR_Cálculos'!J44,0)/J14,""),"-")</f>
        <v>0</v>
      </c>
      <c r="K32" s="136">
        <f>IF(K14&gt;0,IFERROR(IF('TIKR_Cálculos'!K44&gt;0,'TIKR_Cálculos'!K44,0)/K14,""),"-")</f>
        <v>0</v>
      </c>
      <c r="L32" s="127">
        <f t="shared" si="11"/>
        <v>0.04776259238</v>
      </c>
      <c r="M32" s="132"/>
      <c r="N32" s="17"/>
      <c r="O32" s="61"/>
      <c r="P32" s="61"/>
      <c r="Q32" s="61"/>
      <c r="R32" s="17"/>
      <c r="S32" s="17"/>
      <c r="T32" s="17"/>
      <c r="U32" s="17"/>
      <c r="V32" s="17"/>
      <c r="W32" s="17"/>
      <c r="X32" s="17"/>
      <c r="Y32" s="17"/>
      <c r="Z32" s="17"/>
    </row>
    <row r="33" ht="24.75" customHeight="1">
      <c r="A33" s="81" t="s">
        <v>68</v>
      </c>
      <c r="B33" s="128">
        <f t="shared" ref="B33:L33" si="12">SUM(B28:B32)</f>
        <v>1.28616789</v>
      </c>
      <c r="C33" s="128">
        <f t="shared" si="12"/>
        <v>1.188381275</v>
      </c>
      <c r="D33" s="128">
        <f t="shared" si="12"/>
        <v>1.343226424</v>
      </c>
      <c r="E33" s="128">
        <f t="shared" si="12"/>
        <v>4.735717062</v>
      </c>
      <c r="F33" s="128">
        <f t="shared" si="12"/>
        <v>0.8030193061</v>
      </c>
      <c r="G33" s="128">
        <f t="shared" si="12"/>
        <v>0.7421510528</v>
      </c>
      <c r="H33" s="128">
        <f t="shared" si="12"/>
        <v>1.279489904</v>
      </c>
      <c r="I33" s="128">
        <f t="shared" si="12"/>
        <v>1.330493274</v>
      </c>
      <c r="J33" s="128">
        <f t="shared" si="12"/>
        <v>0.9604825291</v>
      </c>
      <c r="K33" s="128">
        <f t="shared" si="12"/>
        <v>0.5825699639</v>
      </c>
      <c r="L33" s="128">
        <f t="shared" si="12"/>
        <v>1.425169868</v>
      </c>
      <c r="M33" s="137"/>
      <c r="N33" s="61"/>
      <c r="O33" s="61"/>
      <c r="P33" s="61"/>
      <c r="Q33" s="61"/>
      <c r="R33" s="17"/>
      <c r="S33" s="17"/>
      <c r="T33" s="17"/>
      <c r="U33" s="17"/>
      <c r="V33" s="17"/>
      <c r="W33" s="17"/>
      <c r="X33" s="17"/>
      <c r="Y33" s="17"/>
      <c r="Z33" s="17"/>
    </row>
    <row r="34" ht="17.25" customHeight="1">
      <c r="A34" s="17"/>
      <c r="B34" s="61"/>
      <c r="C34" s="61"/>
      <c r="D34" s="61"/>
      <c r="E34" s="61"/>
      <c r="F34" s="61"/>
      <c r="G34" s="61"/>
      <c r="H34" s="61"/>
      <c r="I34" s="61"/>
      <c r="J34" s="61"/>
      <c r="K34" s="61"/>
      <c r="L34" s="61"/>
      <c r="M34" s="61"/>
      <c r="N34" s="61"/>
      <c r="O34" s="61"/>
      <c r="P34" s="61"/>
      <c r="Q34" s="61"/>
      <c r="R34" s="17"/>
      <c r="S34" s="17"/>
      <c r="T34" s="17"/>
      <c r="U34" s="17"/>
      <c r="V34" s="17"/>
      <c r="W34" s="17"/>
      <c r="X34" s="17"/>
      <c r="Y34" s="17"/>
      <c r="Z34" s="17"/>
    </row>
    <row r="35" ht="39.75" customHeight="1">
      <c r="A35" s="17"/>
      <c r="B35" s="61"/>
      <c r="C35" s="61"/>
      <c r="D35" s="61"/>
      <c r="E35" s="61"/>
      <c r="F35" s="61"/>
      <c r="G35" s="61"/>
      <c r="H35" s="61"/>
      <c r="I35" s="61"/>
      <c r="J35" s="61"/>
      <c r="K35" s="61"/>
      <c r="L35" s="17"/>
      <c r="M35" s="17"/>
      <c r="N35" s="110"/>
      <c r="O35" s="110"/>
      <c r="P35" s="110"/>
      <c r="Q35" s="128"/>
      <c r="R35" s="17"/>
      <c r="S35" s="17"/>
      <c r="T35" s="17"/>
      <c r="U35" s="17"/>
      <c r="V35" s="17"/>
      <c r="W35" s="17"/>
      <c r="X35" s="17"/>
      <c r="Y35" s="17"/>
      <c r="Z35" s="17"/>
    </row>
    <row r="36" ht="24.75" customHeight="1">
      <c r="A36" s="17"/>
      <c r="B36" s="61"/>
      <c r="C36" s="61"/>
      <c r="D36" s="61"/>
      <c r="E36" s="61"/>
      <c r="F36" s="61"/>
      <c r="G36" s="61"/>
      <c r="H36" s="61"/>
      <c r="I36" s="61"/>
      <c r="J36" s="61"/>
      <c r="K36" s="61"/>
      <c r="L36" s="17"/>
      <c r="M36" s="17"/>
      <c r="N36" s="110"/>
      <c r="O36" s="110"/>
      <c r="P36" s="110"/>
      <c r="Q36" s="128"/>
      <c r="R36" s="17"/>
      <c r="S36" s="17"/>
      <c r="T36" s="17"/>
      <c r="U36" s="17"/>
      <c r="V36" s="17"/>
      <c r="W36" s="17"/>
      <c r="X36" s="17"/>
      <c r="Y36" s="17"/>
      <c r="Z36" s="17"/>
    </row>
    <row r="37" ht="24.75" customHeight="1">
      <c r="A37" s="17"/>
      <c r="B37" s="61"/>
      <c r="C37" s="61"/>
      <c r="D37" s="61"/>
      <c r="E37" s="61"/>
      <c r="F37" s="61"/>
      <c r="G37" s="61"/>
      <c r="H37" s="61"/>
      <c r="I37" s="61"/>
      <c r="J37" s="61"/>
      <c r="K37" s="61"/>
      <c r="L37" s="17"/>
      <c r="M37" s="17"/>
      <c r="N37" s="21"/>
      <c r="O37" s="110"/>
      <c r="P37" s="110"/>
      <c r="Q37" s="128"/>
      <c r="R37" s="17"/>
      <c r="S37" s="17"/>
      <c r="T37" s="17"/>
      <c r="U37" s="17"/>
      <c r="V37" s="17"/>
      <c r="W37" s="17"/>
      <c r="X37" s="17"/>
      <c r="Y37" s="17"/>
      <c r="Z37" s="17"/>
    </row>
    <row r="38" ht="24.75" customHeight="1">
      <c r="A38" s="17"/>
      <c r="B38" s="61"/>
      <c r="C38" s="61"/>
      <c r="D38" s="61"/>
      <c r="E38" s="61"/>
      <c r="F38" s="61"/>
      <c r="G38" s="61"/>
      <c r="H38" s="61"/>
      <c r="I38" s="61"/>
      <c r="J38" s="61"/>
      <c r="K38" s="61"/>
      <c r="L38" s="17"/>
      <c r="M38" s="17"/>
      <c r="N38" s="21"/>
      <c r="O38" s="110"/>
      <c r="P38" s="110"/>
      <c r="Q38" s="128"/>
      <c r="R38" s="17"/>
      <c r="S38" s="17"/>
      <c r="T38" s="17"/>
      <c r="U38" s="17"/>
      <c r="V38" s="17"/>
      <c r="W38" s="17"/>
      <c r="X38" s="17"/>
      <c r="Y38" s="17"/>
      <c r="Z38" s="17"/>
    </row>
    <row r="39" ht="24.75" customHeight="1">
      <c r="A39" s="17"/>
      <c r="B39" s="61"/>
      <c r="C39" s="61"/>
      <c r="D39" s="61"/>
      <c r="E39" s="61"/>
      <c r="F39" s="61"/>
      <c r="G39" s="61"/>
      <c r="H39" s="61"/>
      <c r="I39" s="61"/>
      <c r="J39" s="61"/>
      <c r="K39" s="61"/>
      <c r="L39" s="17"/>
      <c r="M39" s="17"/>
      <c r="N39" s="21"/>
      <c r="O39" s="61"/>
      <c r="P39" s="61"/>
      <c r="Q39" s="61"/>
      <c r="R39" s="17"/>
      <c r="S39" s="17"/>
      <c r="T39" s="17"/>
      <c r="U39" s="17"/>
      <c r="V39" s="17"/>
      <c r="W39" s="17"/>
      <c r="X39" s="17"/>
      <c r="Y39" s="17"/>
      <c r="Z39" s="17"/>
    </row>
    <row r="40" ht="24.75" customHeight="1">
      <c r="A40" s="17"/>
      <c r="B40" s="61"/>
      <c r="C40" s="61"/>
      <c r="D40" s="61"/>
      <c r="E40" s="61"/>
      <c r="F40" s="61"/>
      <c r="G40" s="61"/>
      <c r="H40" s="61"/>
      <c r="I40" s="61"/>
      <c r="J40" s="61"/>
      <c r="K40" s="61"/>
      <c r="L40" s="128"/>
      <c r="M40" s="128"/>
      <c r="N40" s="61"/>
      <c r="O40" s="61"/>
      <c r="P40" s="61"/>
      <c r="Q40" s="61"/>
      <c r="R40" s="17"/>
      <c r="S40" s="17"/>
      <c r="T40" s="17"/>
      <c r="U40" s="17"/>
      <c r="V40" s="17"/>
      <c r="W40" s="17"/>
      <c r="X40" s="17"/>
      <c r="Y40" s="17"/>
      <c r="Z40" s="17"/>
    </row>
    <row r="41" ht="39.75" customHeight="1">
      <c r="A41" s="17"/>
      <c r="B41" s="61"/>
      <c r="C41" s="61"/>
      <c r="D41" s="61"/>
      <c r="E41" s="61"/>
      <c r="F41" s="61"/>
      <c r="G41" s="61"/>
      <c r="H41" s="61"/>
      <c r="I41" s="61"/>
      <c r="J41" s="61"/>
      <c r="K41" s="61"/>
      <c r="L41" s="17"/>
      <c r="M41" s="17"/>
      <c r="N41" s="110"/>
      <c r="O41" s="110"/>
      <c r="P41" s="110"/>
      <c r="Q41" s="128"/>
      <c r="R41" s="17"/>
      <c r="S41" s="17"/>
      <c r="T41" s="17"/>
      <c r="U41" s="17"/>
      <c r="V41" s="17"/>
      <c r="W41" s="17"/>
      <c r="X41" s="17"/>
      <c r="Y41" s="17"/>
      <c r="Z41" s="17"/>
    </row>
    <row r="42" ht="24.75" customHeight="1">
      <c r="A42" s="17"/>
      <c r="B42" s="61"/>
      <c r="C42" s="61"/>
      <c r="D42" s="61"/>
      <c r="E42" s="61"/>
      <c r="F42" s="61"/>
      <c r="G42" s="61"/>
      <c r="H42" s="61"/>
      <c r="I42" s="61"/>
      <c r="J42" s="61"/>
      <c r="K42" s="61"/>
      <c r="L42" s="137"/>
      <c r="M42" s="128"/>
      <c r="N42" s="21"/>
      <c r="O42" s="61"/>
      <c r="P42" s="61"/>
      <c r="Q42" s="61"/>
      <c r="R42" s="17"/>
      <c r="S42" s="17"/>
      <c r="T42" s="17"/>
      <c r="U42" s="17"/>
      <c r="V42" s="17"/>
      <c r="W42" s="17"/>
      <c r="X42" s="17"/>
      <c r="Y42" s="17"/>
      <c r="Z42" s="17"/>
    </row>
    <row r="43" ht="24.75" customHeight="1">
      <c r="A43" s="17"/>
      <c r="B43" s="61"/>
      <c r="C43" s="61"/>
      <c r="D43" s="61"/>
      <c r="E43" s="61"/>
      <c r="F43" s="61"/>
      <c r="G43" s="61"/>
      <c r="H43" s="61"/>
      <c r="I43" s="61"/>
      <c r="J43" s="61"/>
      <c r="K43" s="61"/>
      <c r="L43" s="137"/>
      <c r="M43" s="128"/>
      <c r="N43" s="21"/>
      <c r="O43" s="61"/>
      <c r="P43" s="61"/>
      <c r="Q43" s="61"/>
      <c r="R43" s="17"/>
      <c r="S43" s="17"/>
      <c r="T43" s="17"/>
      <c r="U43" s="17"/>
      <c r="V43" s="17"/>
      <c r="W43" s="17"/>
      <c r="X43" s="17"/>
      <c r="Y43" s="17"/>
      <c r="Z43" s="17"/>
    </row>
    <row r="44" ht="24.7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24.7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24.7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24.7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24.7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24.7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24.7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24.7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24.7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24.7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24.7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24.7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24.7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24.7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24.7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24.7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24.7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130"/>
      <c r="M63" s="130"/>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137"/>
      <c r="M64" s="137"/>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137"/>
      <c r="M65" s="137"/>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137"/>
      <c r="M66" s="137"/>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137"/>
      <c r="M67" s="137"/>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137"/>
      <c r="M68" s="137"/>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7.25" customHeight="1">
      <c r="A221" s="17"/>
      <c r="B221" s="61"/>
      <c r="C221" s="61"/>
      <c r="D221" s="61"/>
      <c r="E221" s="61"/>
      <c r="F221" s="61"/>
      <c r="G221" s="61"/>
      <c r="H221" s="61"/>
      <c r="I221" s="61"/>
      <c r="J221" s="61"/>
      <c r="K221" s="61"/>
      <c r="L221" s="61"/>
      <c r="M221" s="61"/>
      <c r="N221" s="61"/>
      <c r="O221" s="61"/>
      <c r="P221" s="61"/>
      <c r="Q221" s="61"/>
      <c r="R221" s="17"/>
      <c r="S221" s="17"/>
      <c r="T221" s="17"/>
      <c r="U221" s="17"/>
      <c r="V221" s="17"/>
      <c r="W221" s="17"/>
      <c r="X221" s="17"/>
      <c r="Y221" s="17"/>
      <c r="Z221" s="17"/>
    </row>
    <row r="222" ht="17.25" customHeight="1">
      <c r="A222" s="17"/>
      <c r="B222" s="61"/>
      <c r="C222" s="61"/>
      <c r="D222" s="61"/>
      <c r="E222" s="61"/>
      <c r="F222" s="61"/>
      <c r="G222" s="61"/>
      <c r="H222" s="61"/>
      <c r="I222" s="61"/>
      <c r="J222" s="61"/>
      <c r="K222" s="61"/>
      <c r="L222" s="61"/>
      <c r="M222" s="61"/>
      <c r="N222" s="61"/>
      <c r="O222" s="61"/>
      <c r="P222" s="61"/>
      <c r="Q222" s="61"/>
      <c r="R222" s="17"/>
      <c r="S222" s="17"/>
      <c r="T222" s="17"/>
      <c r="U222" s="17"/>
      <c r="V222" s="17"/>
      <c r="W222" s="17"/>
      <c r="X222" s="17"/>
      <c r="Y222" s="17"/>
      <c r="Z222" s="17"/>
    </row>
    <row r="223" ht="17.25" customHeight="1">
      <c r="A223" s="17"/>
      <c r="B223" s="61"/>
      <c r="C223" s="61"/>
      <c r="D223" s="61"/>
      <c r="E223" s="61"/>
      <c r="F223" s="61"/>
      <c r="G223" s="61"/>
      <c r="H223" s="61"/>
      <c r="I223" s="61"/>
      <c r="J223" s="61"/>
      <c r="K223" s="61"/>
      <c r="L223" s="61"/>
      <c r="M223" s="61"/>
      <c r="N223" s="61"/>
      <c r="O223" s="61"/>
      <c r="P223" s="61"/>
      <c r="Q223" s="61"/>
      <c r="R223" s="17"/>
      <c r="S223" s="17"/>
      <c r="T223" s="17"/>
      <c r="U223" s="17"/>
      <c r="V223" s="17"/>
      <c r="W223" s="17"/>
      <c r="X223" s="17"/>
      <c r="Y223" s="17"/>
      <c r="Z223" s="17"/>
    </row>
    <row r="224" ht="17.25" customHeight="1">
      <c r="A224" s="17"/>
      <c r="B224" s="61"/>
      <c r="C224" s="61"/>
      <c r="D224" s="61"/>
      <c r="E224" s="61"/>
      <c r="F224" s="61"/>
      <c r="G224" s="61"/>
      <c r="H224" s="61"/>
      <c r="I224" s="61"/>
      <c r="J224" s="61"/>
      <c r="K224" s="61"/>
      <c r="L224" s="61"/>
      <c r="M224" s="61"/>
      <c r="N224" s="61"/>
      <c r="O224" s="61"/>
      <c r="P224" s="61"/>
      <c r="Q224" s="61"/>
      <c r="R224" s="17"/>
      <c r="S224" s="17"/>
      <c r="T224" s="17"/>
      <c r="U224" s="17"/>
      <c r="V224" s="17"/>
      <c r="W224" s="17"/>
      <c r="X224" s="17"/>
      <c r="Y224" s="17"/>
      <c r="Z224" s="17"/>
    </row>
    <row r="225" ht="17.25" customHeight="1">
      <c r="A225" s="17"/>
      <c r="B225" s="61"/>
      <c r="C225" s="61"/>
      <c r="D225" s="61"/>
      <c r="E225" s="61"/>
      <c r="F225" s="61"/>
      <c r="G225" s="61"/>
      <c r="H225" s="61"/>
      <c r="I225" s="61"/>
      <c r="J225" s="61"/>
      <c r="K225" s="61"/>
      <c r="L225" s="61"/>
      <c r="M225" s="61"/>
      <c r="N225" s="61"/>
      <c r="O225" s="61"/>
      <c r="P225" s="61"/>
      <c r="Q225" s="61"/>
      <c r="R225" s="17"/>
      <c r="S225" s="17"/>
      <c r="T225" s="17"/>
      <c r="U225" s="17"/>
      <c r="V225" s="17"/>
      <c r="W225" s="17"/>
      <c r="X225" s="17"/>
      <c r="Y225" s="17"/>
      <c r="Z225" s="17"/>
    </row>
    <row r="226" ht="17.25" customHeight="1">
      <c r="A226" s="17"/>
      <c r="B226" s="61"/>
      <c r="C226" s="61"/>
      <c r="D226" s="61"/>
      <c r="E226" s="61"/>
      <c r="F226" s="61"/>
      <c r="G226" s="61"/>
      <c r="H226" s="61"/>
      <c r="I226" s="61"/>
      <c r="J226" s="61"/>
      <c r="K226" s="61"/>
      <c r="L226" s="61"/>
      <c r="M226" s="61"/>
      <c r="N226" s="61"/>
      <c r="O226" s="61"/>
      <c r="P226" s="61"/>
      <c r="Q226" s="61"/>
      <c r="R226" s="17"/>
      <c r="S226" s="17"/>
      <c r="T226" s="17"/>
      <c r="U226" s="17"/>
      <c r="V226" s="17"/>
      <c r="W226" s="17"/>
      <c r="X226" s="17"/>
      <c r="Y226" s="17"/>
      <c r="Z226" s="17"/>
    </row>
    <row r="227" ht="17.25" customHeight="1">
      <c r="A227" s="17"/>
      <c r="B227" s="61"/>
      <c r="C227" s="61"/>
      <c r="D227" s="61"/>
      <c r="E227" s="61"/>
      <c r="F227" s="61"/>
      <c r="G227" s="61"/>
      <c r="H227" s="61"/>
      <c r="I227" s="61"/>
      <c r="J227" s="61"/>
      <c r="K227" s="61"/>
      <c r="L227" s="61"/>
      <c r="M227" s="61"/>
      <c r="N227" s="61"/>
      <c r="O227" s="61"/>
      <c r="P227" s="61"/>
      <c r="Q227" s="61"/>
      <c r="R227" s="17"/>
      <c r="S227" s="17"/>
      <c r="T227" s="17"/>
      <c r="U227" s="17"/>
      <c r="V227" s="17"/>
      <c r="W227" s="17"/>
      <c r="X227" s="17"/>
      <c r="Y227" s="17"/>
      <c r="Z227" s="17"/>
    </row>
    <row r="228" ht="17.25" customHeight="1">
      <c r="A228" s="17"/>
      <c r="B228" s="61"/>
      <c r="C228" s="61"/>
      <c r="D228" s="61"/>
      <c r="E228" s="61"/>
      <c r="F228" s="61"/>
      <c r="G228" s="61"/>
      <c r="H228" s="61"/>
      <c r="I228" s="61"/>
      <c r="J228" s="61"/>
      <c r="K228" s="61"/>
      <c r="L228" s="61"/>
      <c r="M228" s="61"/>
      <c r="N228" s="61"/>
      <c r="O228" s="61"/>
      <c r="P228" s="61"/>
      <c r="Q228" s="61"/>
      <c r="R228" s="17"/>
      <c r="S228" s="17"/>
      <c r="T228" s="17"/>
      <c r="U228" s="17"/>
      <c r="V228" s="17"/>
      <c r="W228" s="17"/>
      <c r="X228" s="17"/>
      <c r="Y228" s="17"/>
      <c r="Z228" s="17"/>
    </row>
    <row r="229" ht="17.25" customHeight="1">
      <c r="A229" s="17"/>
      <c r="B229" s="61"/>
      <c r="C229" s="61"/>
      <c r="D229" s="61"/>
      <c r="E229" s="61"/>
      <c r="F229" s="61"/>
      <c r="G229" s="61"/>
      <c r="H229" s="61"/>
      <c r="I229" s="61"/>
      <c r="J229" s="61"/>
      <c r="K229" s="61"/>
      <c r="L229" s="61"/>
      <c r="M229" s="61"/>
      <c r="N229" s="61"/>
      <c r="O229" s="61"/>
      <c r="P229" s="61"/>
      <c r="Q229" s="61"/>
      <c r="R229" s="17"/>
      <c r="S229" s="17"/>
      <c r="T229" s="17"/>
      <c r="U229" s="17"/>
      <c r="V229" s="17"/>
      <c r="W229" s="17"/>
      <c r="X229" s="17"/>
      <c r="Y229" s="17"/>
      <c r="Z229" s="17"/>
    </row>
    <row r="230" ht="17.25" customHeight="1">
      <c r="A230" s="17"/>
      <c r="B230" s="61"/>
      <c r="C230" s="61"/>
      <c r="D230" s="61"/>
      <c r="E230" s="61"/>
      <c r="F230" s="61"/>
      <c r="G230" s="61"/>
      <c r="H230" s="61"/>
      <c r="I230" s="61"/>
      <c r="J230" s="61"/>
      <c r="K230" s="61"/>
      <c r="L230" s="61"/>
      <c r="M230" s="61"/>
      <c r="N230" s="61"/>
      <c r="O230" s="61"/>
      <c r="P230" s="61"/>
      <c r="Q230" s="61"/>
      <c r="R230" s="17"/>
      <c r="S230" s="17"/>
      <c r="T230" s="17"/>
      <c r="U230" s="17"/>
      <c r="V230" s="17"/>
      <c r="W230" s="17"/>
      <c r="X230" s="17"/>
      <c r="Y230" s="17"/>
      <c r="Z230" s="17"/>
    </row>
    <row r="231" ht="17.25" customHeight="1">
      <c r="A231" s="17"/>
      <c r="B231" s="61"/>
      <c r="C231" s="61"/>
      <c r="D231" s="61"/>
      <c r="E231" s="61"/>
      <c r="F231" s="61"/>
      <c r="G231" s="61"/>
      <c r="H231" s="61"/>
      <c r="I231" s="61"/>
      <c r="J231" s="61"/>
      <c r="K231" s="61"/>
      <c r="L231" s="61"/>
      <c r="M231" s="61"/>
      <c r="N231" s="61"/>
      <c r="O231" s="61"/>
      <c r="P231" s="61"/>
      <c r="Q231" s="61"/>
      <c r="R231" s="17"/>
      <c r="S231" s="17"/>
      <c r="T231" s="17"/>
      <c r="U231" s="17"/>
      <c r="V231" s="17"/>
      <c r="W231" s="17"/>
      <c r="X231" s="17"/>
      <c r="Y231" s="17"/>
      <c r="Z231" s="17"/>
    </row>
    <row r="232" ht="17.25" customHeight="1">
      <c r="A232" s="17"/>
      <c r="B232" s="61"/>
      <c r="C232" s="61"/>
      <c r="D232" s="61"/>
      <c r="E232" s="61"/>
      <c r="F232" s="61"/>
      <c r="G232" s="61"/>
      <c r="H232" s="61"/>
      <c r="I232" s="61"/>
      <c r="J232" s="61"/>
      <c r="K232" s="61"/>
      <c r="L232" s="61"/>
      <c r="M232" s="61"/>
      <c r="N232" s="61"/>
      <c r="O232" s="61"/>
      <c r="P232" s="61"/>
      <c r="Q232" s="61"/>
      <c r="R232" s="17"/>
      <c r="S232" s="17"/>
      <c r="T232" s="17"/>
      <c r="U232" s="17"/>
      <c r="V232" s="17"/>
      <c r="W232" s="17"/>
      <c r="X232" s="17"/>
      <c r="Y232" s="17"/>
      <c r="Z232" s="17"/>
    </row>
    <row r="233" ht="17.25" customHeight="1">
      <c r="A233" s="17"/>
      <c r="B233" s="61"/>
      <c r="C233" s="61"/>
      <c r="D233" s="61"/>
      <c r="E233" s="61"/>
      <c r="F233" s="61"/>
      <c r="G233" s="61"/>
      <c r="H233" s="61"/>
      <c r="I233" s="61"/>
      <c r="J233" s="61"/>
      <c r="K233" s="61"/>
      <c r="L233" s="61"/>
      <c r="M233" s="61"/>
      <c r="N233" s="61"/>
      <c r="O233" s="61"/>
      <c r="P233" s="61"/>
      <c r="Q233" s="61"/>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6" t="str">
        <f>IF('1.IS'!A1&lt;&gt;"",'1.IS'!A1,"")</f>
        <v/>
      </c>
      <c r="B1" s="10" t="s">
        <v>69</v>
      </c>
      <c r="C1" s="61"/>
      <c r="D1" s="61"/>
      <c r="E1" s="61"/>
      <c r="F1" s="61"/>
      <c r="G1" s="61"/>
      <c r="H1" s="61"/>
      <c r="I1" s="61"/>
      <c r="J1" s="61"/>
      <c r="K1" s="61"/>
      <c r="L1" s="61"/>
      <c r="M1" s="61"/>
      <c r="N1" s="61"/>
      <c r="O1" s="11" t="s">
        <v>14</v>
      </c>
      <c r="Q1" s="61"/>
      <c r="R1" s="61"/>
      <c r="S1" s="61"/>
      <c r="T1" s="61"/>
      <c r="U1" s="61"/>
      <c r="V1" s="138"/>
      <c r="W1" s="17"/>
      <c r="X1" s="17"/>
      <c r="Y1" s="17"/>
      <c r="Z1" s="17"/>
    </row>
    <row r="2" ht="34.5" customHeight="1">
      <c r="A2" s="77" t="s">
        <v>70</v>
      </c>
      <c r="B2" s="78">
        <f>'1.IS'!B$2</f>
        <v>2015</v>
      </c>
      <c r="C2" s="78">
        <f>'1.IS'!C$2</f>
        <v>2016</v>
      </c>
      <c r="D2" s="78">
        <f>'1.IS'!D$2</f>
        <v>2018</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80"/>
      <c r="R2" s="80"/>
      <c r="S2" s="21"/>
      <c r="T2" s="21"/>
      <c r="U2" s="21"/>
      <c r="V2" s="21"/>
      <c r="W2" s="21"/>
      <c r="X2" s="21"/>
      <c r="Y2" s="21"/>
      <c r="Z2" s="21"/>
    </row>
    <row r="3" ht="24.75" customHeight="1">
      <c r="A3" s="139" t="s">
        <v>71</v>
      </c>
      <c r="B3" s="89">
        <f>IFERROR('1.IS'!B9*(1-'1.IS'!B17),"")</f>
        <v>5345.160944</v>
      </c>
      <c r="C3" s="90">
        <f>IFERROR('1.IS'!C9*(1-'1.IS'!C17),"")</f>
        <v>5692.741909</v>
      </c>
      <c r="D3" s="90">
        <f>IFERROR('1.IS'!D9*(1-'1.IS'!D17),"")</f>
        <v>7636.052235</v>
      </c>
      <c r="E3" s="90">
        <f>IFERROR('1.IS'!E9*(1-'1.IS'!E17),"")</f>
        <v>6588.373158</v>
      </c>
      <c r="F3" s="90">
        <f>IFERROR('1.IS'!F9*(1-'1.IS'!F17),"")</f>
        <v>7523.934208</v>
      </c>
      <c r="G3" s="90">
        <f>IFERROR('1.IS'!G9*(1-'1.IS'!G17),"")</f>
        <v>7333.766704</v>
      </c>
      <c r="H3" s="90">
        <f>IFERROR('1.IS'!H9*(1-'1.IS'!H17),"")</f>
        <v>7648.347446</v>
      </c>
      <c r="I3" s="90">
        <f>IFERROR('1.IS'!I9*(1-'1.IS'!I17),"")</f>
        <v>7458.634615</v>
      </c>
      <c r="J3" s="90">
        <f>IFERROR('1.IS'!J9*(1-'1.IS'!J17),"")</f>
        <v>7721.467727</v>
      </c>
      <c r="K3" s="90">
        <f>IFERROR('1.IS'!K9*(1-'1.IS'!K17),"")</f>
        <v>8593.690971</v>
      </c>
      <c r="L3" s="140">
        <f>IFERROR('1.IS'!L9*(1-'1.IS'!L17),"")</f>
        <v>9037.105052</v>
      </c>
      <c r="M3" s="141">
        <f>IFERROR('1.IS'!M9*(1-'1.IS'!M17),"")</f>
        <v>9308.218204</v>
      </c>
      <c r="N3" s="141">
        <f>IFERROR('1.IS'!N9*(1-'1.IS'!N17),"")</f>
        <v>9680.546932</v>
      </c>
      <c r="O3" s="141">
        <f>IFERROR('1.IS'!O9*(1-'1.IS'!O17),"")</f>
        <v>10067.76881</v>
      </c>
      <c r="P3" s="142">
        <f>IFERROR('1.IS'!P9*(1-'1.IS'!P17),"")</f>
        <v>10470.47956</v>
      </c>
      <c r="Q3" s="141"/>
      <c r="R3" s="141"/>
      <c r="S3" s="21"/>
      <c r="T3" s="21"/>
      <c r="U3" s="21"/>
      <c r="V3" s="143"/>
      <c r="W3" s="21"/>
      <c r="X3" s="21"/>
      <c r="Y3" s="21"/>
      <c r="Z3" s="21"/>
    </row>
    <row r="4" ht="24.75" customHeight="1">
      <c r="A4" s="144" t="s">
        <v>72</v>
      </c>
      <c r="B4" s="87">
        <f>IFERROR(VLOOKUP("Cash And Equivalents*",'8.TIKR_BS'!$A:$K,COLUMN(B4),FALSE),"0")</f>
        <v>2302</v>
      </c>
      <c r="C4" s="88">
        <f>IFERROR(VLOOKUP("Cash And Equivalents*",'8.TIKR_BS'!$A:$K,COLUMN(C4),FALSE),"0")</f>
        <v>3382</v>
      </c>
      <c r="D4" s="88">
        <f>IFERROR(VLOOKUP("Cash And Equivalents*",'8.TIKR_BS'!$A:$K,COLUMN(D4),FALSE),"0")</f>
        <v>3317</v>
      </c>
      <c r="E4" s="88">
        <f>IFERROR(VLOOKUP("Cash And Equivalents*",'8.TIKR_BS'!$A:$K,COLUMN(E4),FALSE),"0")</f>
        <v>3230</v>
      </c>
      <c r="F4" s="88">
        <f>IFERROR(VLOOKUP("Cash And Equivalents*",'8.TIKR_BS'!$A:$K,COLUMN(F4),FALSE),"0")</f>
        <v>4185</v>
      </c>
      <c r="G4" s="88">
        <f>IFERROR(VLOOKUP("Cash And Equivalents*",'8.TIKR_BS'!$A:$K,COLUMN(G4),FALSE),"0")</f>
        <v>5548</v>
      </c>
      <c r="H4" s="88">
        <f>IFERROR(VLOOKUP("Cash And Equivalents*",'8.TIKR_BS'!$A:$K,COLUMN(H4),FALSE),"0")</f>
        <v>3415</v>
      </c>
      <c r="I4" s="88">
        <f>IFERROR(VLOOKUP("Cash And Equivalents*",'8.TIKR_BS'!$A:$K,COLUMN(I4),FALSE),"0")</f>
        <v>4326</v>
      </c>
      <c r="J4" s="88">
        <f>IFERROR(VLOOKUP("Cash And Equivalents*",'8.TIKR_BS'!$A:$K,COLUMN(J4),FALSE),"0")</f>
        <v>4159</v>
      </c>
      <c r="K4" s="88">
        <f>IFERROR(VLOOKUP("Cash And Equivalents*",'8.TIKR_BS'!$A:$K,COLUMN(K4),FALSE),"0")</f>
        <v>6136</v>
      </c>
      <c r="L4" s="140">
        <f>IFERROR('TIKR_Cálculos'!C32,0)</f>
        <v>2896.843984</v>
      </c>
      <c r="M4" s="141">
        <f>IFERROR('TIKR_Cálculos'!D32,0)</f>
        <v>2983.749304</v>
      </c>
      <c r="N4" s="141">
        <f>IFERROR('TIKR_Cálculos'!E32,0)</f>
        <v>3103.099276</v>
      </c>
      <c r="O4" s="141">
        <f>IFERROR('TIKR_Cálculos'!F32,0)</f>
        <v>3227.223247</v>
      </c>
      <c r="P4" s="142">
        <f>IFERROR('TIKR_Cálculos'!G32,0)</f>
        <v>3356.312177</v>
      </c>
      <c r="Q4" s="141"/>
      <c r="R4" s="141"/>
      <c r="S4" s="21"/>
      <c r="T4" s="21"/>
      <c r="U4" s="21"/>
      <c r="V4" s="143"/>
      <c r="W4" s="21"/>
      <c r="X4" s="21"/>
      <c r="Y4" s="21"/>
      <c r="Z4" s="21"/>
    </row>
    <row r="5" ht="24.75" customHeight="1">
      <c r="A5" s="144" t="s">
        <v>73</v>
      </c>
      <c r="B5" s="87">
        <f>IFERROR(VLOOKUP("Total Cash And Short Term Investments*",'8.TIKR_BS'!$A:$K,COLUMN(B5),FALSE)-B4,"0")</f>
        <v>720</v>
      </c>
      <c r="C5" s="88">
        <f>IFERROR(VLOOKUP("Total Cash And Short Term Investments*",'8.TIKR_BS'!$A:$K,COLUMN(C5),FALSE)-C4,"0")</f>
        <v>746</v>
      </c>
      <c r="D5" s="88">
        <f>IFERROR(VLOOKUP("Total Cash And Short Term Investments*",'8.TIKR_BS'!$A:$K,COLUMN(D5),FALSE)-D4,"0")</f>
        <v>770</v>
      </c>
      <c r="E5" s="88">
        <f>IFERROR(VLOOKUP("Total Cash And Short Term Investments*",'8.TIKR_BS'!$A:$K,COLUMN(E5),FALSE)-E4,"0")</f>
        <v>1048</v>
      </c>
      <c r="F5" s="88">
        <f>IFERROR(VLOOKUP("Total Cash And Short Term Investments*",'8.TIKR_BS'!$A:$K,COLUMN(F5),FALSE)-F4,"0")</f>
        <v>1095</v>
      </c>
      <c r="G5" s="88">
        <f>IFERROR(VLOOKUP("Total Cash And Short Term Investments*",'8.TIKR_BS'!$A:$K,COLUMN(G5),FALSE)-G4,"0")</f>
        <v>754</v>
      </c>
      <c r="H5" s="88">
        <f>IFERROR(VLOOKUP("Total Cash And Short Term Investments*",'8.TIKR_BS'!$A:$K,COLUMN(H5),FALSE)-H4,"0")</f>
        <v>1091</v>
      </c>
      <c r="I5" s="88">
        <f>IFERROR(VLOOKUP("Total Cash And Short Term Investments*",'8.TIKR_BS'!$A:$K,COLUMN(I5),FALSE)-I4,"0")</f>
        <v>1272</v>
      </c>
      <c r="J5" s="88">
        <f>IFERROR(VLOOKUP("Total Cash And Short Term Investments*",'8.TIKR_BS'!$A:$K,COLUMN(J5),FALSE)-J4,"0")</f>
        <v>1694</v>
      </c>
      <c r="K5" s="88">
        <f>IFERROR(VLOOKUP("Total Cash And Short Term Investments*",'8.TIKR_BS'!$A:$K,COLUMN(K5),FALSE)-K4,"0")</f>
        <v>1384</v>
      </c>
      <c r="L5" s="140">
        <f>IFERROR('TIKR_Cálculos'!C33,0)</f>
        <v>653.3950578</v>
      </c>
      <c r="M5" s="141">
        <f>IFERROR('TIKR_Cálculos'!D33,0)</f>
        <v>672.9969095</v>
      </c>
      <c r="N5" s="141">
        <f>IFERROR('TIKR_Cálculos'!E33,0)</f>
        <v>699.9167859</v>
      </c>
      <c r="O5" s="141">
        <f>IFERROR('TIKR_Cálculos'!F33,0)</f>
        <v>727.9134573</v>
      </c>
      <c r="P5" s="142">
        <f>IFERROR('TIKR_Cálculos'!G33,0)</f>
        <v>757.0299956</v>
      </c>
      <c r="Q5" s="141"/>
      <c r="R5" s="141"/>
      <c r="S5" s="21"/>
      <c r="T5" s="21"/>
      <c r="U5" s="21"/>
      <c r="V5" s="143"/>
      <c r="W5" s="21"/>
      <c r="X5" s="21"/>
      <c r="Y5" s="21"/>
      <c r="Z5" s="21"/>
    </row>
    <row r="6" ht="24.75" customHeight="1">
      <c r="A6" s="144" t="s">
        <v>74</v>
      </c>
      <c r="B6" s="87">
        <f>IFERROR(VLOOKUP("Short-term Borrowings*",'8.TIKR_BS'!$A:$K,COLUMN(B6),FALSE),"0")+IFERROR(VLOOKUP("Current Portion of Long-Term Debt*",'8.TIKR_BS'!$A:$K,COLUMN(B6),FALSE),"0")+IFERROR(VLOOKUP("Finance Division Debt Current*",'8.TIKR_BS'!$A:$K,COLUMN(B6),FALSE),"0")</f>
        <v>4752</v>
      </c>
      <c r="C6" s="88">
        <f>IFERROR(VLOOKUP("Short-term Borrowings*",'8.TIKR_BS'!$A:$K,COLUMN(C6),FALSE),"0")+IFERROR(VLOOKUP("Current Portion of Long-Term Debt*",'8.TIKR_BS'!$A:$K,COLUMN(C6),FALSE),"0")+IFERROR(VLOOKUP("Finance Division Debt Current*",'8.TIKR_BS'!$A:$K,COLUMN(C6),FALSE),"0")</f>
        <v>5441</v>
      </c>
      <c r="D6" s="88">
        <f>IFERROR(VLOOKUP("Short-term Borrowings*",'8.TIKR_BS'!$A:$K,COLUMN(D6),FALSE),"0")+IFERROR(VLOOKUP("Current Portion of Long-Term Debt*",'8.TIKR_BS'!$A:$K,COLUMN(D6),FALSE),"0")+IFERROR(VLOOKUP("Finance Division Debt Current*",'8.TIKR_BS'!$A:$K,COLUMN(D6),FALSE),"0")</f>
        <v>8378</v>
      </c>
      <c r="E6" s="88">
        <f>IFERROR(VLOOKUP("Short-term Borrowings*",'8.TIKR_BS'!$A:$K,COLUMN(E6),FALSE),"0")+IFERROR(VLOOKUP("Current Portion of Long-Term Debt*",'8.TIKR_BS'!$A:$K,COLUMN(E6),FALSE),"0")+IFERROR(VLOOKUP("Finance Division Debt Current*",'8.TIKR_BS'!$A:$K,COLUMN(E6),FALSE),"0")</f>
        <v>3223</v>
      </c>
      <c r="F6" s="88">
        <f>IFERROR(VLOOKUP("Short-term Borrowings*",'8.TIKR_BS'!$A:$K,COLUMN(F6),FALSE),"0")+IFERROR(VLOOKUP("Current Portion of Long-Term Debt*",'8.TIKR_BS'!$A:$K,COLUMN(F6),FALSE),"0")+IFERROR(VLOOKUP("Finance Division Debt Current*",'8.TIKR_BS'!$A:$K,COLUMN(F6),FALSE),"0")</f>
        <v>4308</v>
      </c>
      <c r="G6" s="88">
        <f>IFERROR(VLOOKUP("Short-term Borrowings*",'8.TIKR_BS'!$A:$K,COLUMN(G6),FALSE),"0")+IFERROR(VLOOKUP("Current Portion of Long-Term Debt*",'8.TIKR_BS'!$A:$K,COLUMN(G6),FALSE),"0")+IFERROR(VLOOKUP("Finance Division Debt Current*",'8.TIKR_BS'!$A:$K,COLUMN(G6),FALSE),"0")</f>
        <v>4081</v>
      </c>
      <c r="H6" s="88">
        <f>IFERROR(VLOOKUP("Short-term Borrowings*",'8.TIKR_BS'!$A:$K,COLUMN(H6),FALSE),"0")+IFERROR(VLOOKUP("Current Portion of Long-Term Debt*",'8.TIKR_BS'!$A:$K,COLUMN(H6),FALSE),"0")+IFERROR(VLOOKUP("Finance Division Debt Current*",'8.TIKR_BS'!$A:$K,COLUMN(H6),FALSE),"0")</f>
        <v>6887</v>
      </c>
      <c r="I6" s="88">
        <f>IFERROR(VLOOKUP("Short-term Borrowings*",'8.TIKR_BS'!$A:$K,COLUMN(I6),FALSE),"0")+IFERROR(VLOOKUP("Current Portion of Long-Term Debt*",'8.TIKR_BS'!$A:$K,COLUMN(I6),FALSE),"0")+IFERROR(VLOOKUP("Finance Division Debt Current*",'8.TIKR_BS'!$A:$K,COLUMN(I6),FALSE),"0")</f>
        <v>5435</v>
      </c>
      <c r="J6" s="88">
        <f>IFERROR(VLOOKUP("Short-term Borrowings*",'8.TIKR_BS'!$A:$K,COLUMN(J6),FALSE),"0")+IFERROR(VLOOKUP("Current Portion of Long-Term Debt*",'8.TIKR_BS'!$A:$K,COLUMN(J6),FALSE),"0")+IFERROR(VLOOKUP("Finance Division Debt Current*",'8.TIKR_BS'!$A:$K,COLUMN(J6),FALSE),"0")</f>
        <v>4753</v>
      </c>
      <c r="K6" s="88">
        <f>IFERROR(VLOOKUP("Short-term Borrowings*",'8.TIKR_BS'!$A:$K,COLUMN(K6),FALSE),"0")+IFERROR(VLOOKUP("Current Portion of Long-Term Debt*",'8.TIKR_BS'!$A:$K,COLUMN(K6),FALSE),"0")+IFERROR(VLOOKUP("Finance Division Debt Current*",'8.TIKR_BS'!$A:$K,COLUMN(K6),FALSE),"0")</f>
        <v>6987</v>
      </c>
      <c r="L6" s="140">
        <f>IFERROR('TIKR_Cálculos'!C35,0)</f>
        <v>6247.184795</v>
      </c>
      <c r="M6" s="141">
        <f>IFERROR('TIKR_Cálculos'!D35,0)</f>
        <v>6504.397147</v>
      </c>
      <c r="N6" s="141">
        <f>IFERROR('TIKR_Cálculos'!E35,0)</f>
        <v>6830.572232</v>
      </c>
      <c r="O6" s="141">
        <f>IFERROR('TIKR_Cálculos'!F35,0)</f>
        <v>7175.851857</v>
      </c>
      <c r="P6" s="142">
        <f>IFERROR('TIKR_Cálculos'!G35,0)</f>
        <v>7571.921602</v>
      </c>
      <c r="Q6" s="141"/>
      <c r="R6" s="141"/>
      <c r="S6" s="21"/>
      <c r="T6" s="21"/>
      <c r="U6" s="21"/>
      <c r="V6" s="143"/>
      <c r="W6" s="21"/>
      <c r="X6" s="21"/>
      <c r="Y6" s="21"/>
      <c r="Z6" s="21"/>
    </row>
    <row r="7" ht="24.75" customHeight="1">
      <c r="A7" s="144" t="s">
        <v>75</v>
      </c>
      <c r="B7" s="87">
        <f>IFERROR(VLOOKUP("Long-term Borrowings*",'8.TIKR_BS'!$A:$K,COLUMN(B7),FALSE),"0")+IFERROR(VLOOKUP("Long-Term Debt*",'8.TIKR_BS'!$A:$K,COLUMN(B7),FALSE),"0")+IFERROR(VLOOKUP("Finance Division Debt Non Current*",'8.TIKR_BS'!$A:$K,COLUMN(B7),FALSE),"0")</f>
        <v>9696</v>
      </c>
      <c r="C7" s="88">
        <f>IFERROR(VLOOKUP("Long-term Borrowings*",'8.TIKR_BS'!$A:$K,COLUMN(C7),FALSE),"0")+IFERROR(VLOOKUP("Long-Term Debt*",'8.TIKR_BS'!$A:$K,COLUMN(C7),FALSE),"0")+IFERROR(VLOOKUP("Finance Division Debt Non Current*",'8.TIKR_BS'!$A:$K,COLUMN(C7),FALSE),"0")</f>
        <v>11011</v>
      </c>
      <c r="D7" s="88">
        <f>IFERROR(VLOOKUP("Long-term Borrowings*",'8.TIKR_BS'!$A:$K,COLUMN(D7),FALSE),"0")+IFERROR(VLOOKUP("Long-Term Debt*",'8.TIKR_BS'!$A:$K,COLUMN(D7),FALSE),"0")+IFERROR(VLOOKUP("Finance Division Debt Non Current*",'8.TIKR_BS'!$A:$K,COLUMN(D7),FALSE),"0")</f>
        <v>18039</v>
      </c>
      <c r="E7" s="88">
        <f>IFERROR(VLOOKUP("Long-term Borrowings*",'8.TIKR_BS'!$A:$K,COLUMN(E7),FALSE),"0")+IFERROR(VLOOKUP("Long-Term Debt*",'8.TIKR_BS'!$A:$K,COLUMN(E7),FALSE),"0")+IFERROR(VLOOKUP("Finance Division Debt Non Current*",'8.TIKR_BS'!$A:$K,COLUMN(E7),FALSE),"0")</f>
        <v>21534</v>
      </c>
      <c r="F7" s="88">
        <f>IFERROR(VLOOKUP("Long-term Borrowings*",'8.TIKR_BS'!$A:$K,COLUMN(F7),FALSE),"0")+IFERROR(VLOOKUP("Long-Term Debt*",'8.TIKR_BS'!$A:$K,COLUMN(F7),FALSE),"0")+IFERROR(VLOOKUP("Finance Division Debt Non Current*",'8.TIKR_BS'!$A:$K,COLUMN(F7),FALSE),"0")</f>
        <v>22030</v>
      </c>
      <c r="G7" s="88">
        <f>IFERROR(VLOOKUP("Long-term Borrowings*",'8.TIKR_BS'!$A:$K,COLUMN(G7),FALSE),"0")+IFERROR(VLOOKUP("Long-Term Debt*",'8.TIKR_BS'!$A:$K,COLUMN(G7),FALSE),"0")+IFERROR(VLOOKUP("Finance Division Debt Non Current*",'8.TIKR_BS'!$A:$K,COLUMN(G7),FALSE),"0")</f>
        <v>21453</v>
      </c>
      <c r="H7" s="88">
        <f>IFERROR(VLOOKUP("Long-term Borrowings*",'8.TIKR_BS'!$A:$K,COLUMN(H7),FALSE),"0")+IFERROR(VLOOKUP("Long-Term Debt*",'8.TIKR_BS'!$A:$K,COLUMN(H7),FALSE),"0")+IFERROR(VLOOKUP("Finance Division Debt Non Current*",'8.TIKR_BS'!$A:$K,COLUMN(H7),FALSE),"0")</f>
        <v>21597</v>
      </c>
      <c r="I7" s="88">
        <f>IFERROR(VLOOKUP("Long-term Borrowings*",'8.TIKR_BS'!$A:$K,COLUMN(I7),FALSE),"0")+IFERROR(VLOOKUP("Long-Term Debt*",'8.TIKR_BS'!$A:$K,COLUMN(I7),FALSE),"0")+IFERROR(VLOOKUP("Finance Division Debt Non Current*",'8.TIKR_BS'!$A:$K,COLUMN(I7),FALSE),"0")</f>
        <v>22645</v>
      </c>
      <c r="J7" s="88">
        <f>IFERROR(VLOOKUP("Long-term Borrowings*",'8.TIKR_BS'!$A:$K,COLUMN(J7),FALSE),"0")+IFERROR(VLOOKUP("Long-Term Debt*",'8.TIKR_BS'!$A:$K,COLUMN(J7),FALSE),"0")+IFERROR(VLOOKUP("Finance Division Debt Non Current*",'8.TIKR_BS'!$A:$K,COLUMN(J7),FALSE),"0")</f>
        <v>23474</v>
      </c>
      <c r="K7" s="88">
        <f>IFERROR(VLOOKUP("Long-term Borrowings*",'8.TIKR_BS'!$A:$K,COLUMN(K7),FALSE),"0")+IFERROR(VLOOKUP("Long-Term Debt*",'8.TIKR_BS'!$A:$K,COLUMN(K7),FALSE),"0")+IFERROR(VLOOKUP("Finance Division Debt Non Current*",'8.TIKR_BS'!$A:$K,COLUMN(K7),FALSE),"0")</f>
        <v>23580</v>
      </c>
      <c r="L7" s="140">
        <f>IFERROR('TIKR_Cálculos'!C36,0)</f>
        <v>21083.2428</v>
      </c>
      <c r="M7" s="141">
        <f>IFERROR('TIKR_Cálculos'!D36,0)</f>
        <v>21951.29308</v>
      </c>
      <c r="N7" s="141">
        <f>IFERROR('TIKR_Cálculos'!E36,0)</f>
        <v>23052.08147</v>
      </c>
      <c r="O7" s="141">
        <f>IFERROR('TIKR_Cálculos'!F36,0)</f>
        <v>24217.34461</v>
      </c>
      <c r="P7" s="142">
        <f>IFERROR('TIKR_Cálculos'!G36,0)</f>
        <v>25554.01623</v>
      </c>
      <c r="Q7" s="141"/>
      <c r="R7" s="141"/>
      <c r="S7" s="141"/>
      <c r="T7" s="141"/>
      <c r="U7" s="141"/>
      <c r="V7" s="143"/>
      <c r="W7" s="21"/>
      <c r="X7" s="21"/>
      <c r="Y7" s="21"/>
      <c r="Z7" s="21"/>
    </row>
    <row r="8" ht="24.75" customHeight="1">
      <c r="A8" s="144" t="s">
        <v>76</v>
      </c>
      <c r="B8" s="87">
        <f>IFERROR(VLOOKUP("Current Portion of Capital Lease Obligations*",'8.TIKR_BS'!$A:$K,COLUMN(B8),FALSE),"0")</f>
        <v>37</v>
      </c>
      <c r="C8" s="88">
        <f>IFERROR(VLOOKUP("Current Portion of Capital Lease Obligations*",'8.TIKR_BS'!$A:$K,COLUMN(C8),FALSE),"0")</f>
        <v>9</v>
      </c>
      <c r="D8" s="88" t="str">
        <f>IFERROR(VLOOKUP("Current Portion of Capital Lease Obligations*",'8.TIKR_BS'!$A:$K,COLUMN(D8),FALSE),"0")</f>
        <v/>
      </c>
      <c r="E8" s="88">
        <f>IFERROR(VLOOKUP("Current Portion of Capital Lease Obligations*",'8.TIKR_BS'!$A:$K,COLUMN(E8),FALSE),"0")</f>
        <v>390</v>
      </c>
      <c r="F8" s="88">
        <f>IFERROR(VLOOKUP("Current Portion of Capital Lease Obligations*",'8.TIKR_BS'!$A:$K,COLUMN(F8),FALSE),"0")</f>
        <v>383</v>
      </c>
      <c r="G8" s="88">
        <f>IFERROR(VLOOKUP("Current Portion of Capital Lease Obligations*",'8.TIKR_BS'!$A:$K,COLUMN(G8),FALSE),"0")</f>
        <v>380</v>
      </c>
      <c r="H8" s="88">
        <f>IFERROR(VLOOKUP("Current Portion of Capital Lease Obligations*",'8.TIKR_BS'!$A:$K,COLUMN(H8),FALSE),"0")</f>
        <v>365</v>
      </c>
      <c r="I8" s="88">
        <f>IFERROR(VLOOKUP("Current Portion of Capital Lease Obligations*",'8.TIKR_BS'!$A:$K,COLUMN(I8),FALSE),"0")</f>
        <v>340</v>
      </c>
      <c r="J8" s="88">
        <f>IFERROR(VLOOKUP("Current Portion of Capital Lease Obligations*",'8.TIKR_BS'!$A:$K,COLUMN(J8),FALSE),"0")</f>
        <v>334</v>
      </c>
      <c r="K8" s="88" t="str">
        <f>IFERROR(VLOOKUP("Current Portion of Capital Lease Obligations*",'8.TIKR_BS'!$A:$K,COLUMN(K8),FALSE),"0")</f>
        <v/>
      </c>
      <c r="L8" s="140">
        <f>IFERROR(K8*'1.IS'!L4+K8,"")</f>
        <v>0</v>
      </c>
      <c r="M8" s="141">
        <f>IFERROR(L8*'1.IS'!M4+L8,"")</f>
        <v>0</v>
      </c>
      <c r="N8" s="141">
        <f>IFERROR(M8*'1.IS'!N4+M8,"")</f>
        <v>0</v>
      </c>
      <c r="O8" s="141">
        <f>IFERROR(N8*'1.IS'!O4+N8,"")</f>
        <v>0</v>
      </c>
      <c r="P8" s="142">
        <f>IFERROR(O8*'1.IS'!P4+O8,"")</f>
        <v>0</v>
      </c>
      <c r="Q8" s="141"/>
      <c r="R8" s="141"/>
      <c r="S8" s="141"/>
      <c r="T8" s="141"/>
      <c r="U8" s="141"/>
      <c r="V8" s="143"/>
      <c r="W8" s="21"/>
      <c r="X8" s="21"/>
      <c r="Y8" s="21"/>
      <c r="Z8" s="21"/>
    </row>
    <row r="9" ht="24.75" customHeight="1">
      <c r="A9" s="144" t="s">
        <v>77</v>
      </c>
      <c r="B9" s="87">
        <f>IFERROR(VLOOKUP("Capital Leases*",'8.TIKR_BS'!$A:$K,COLUMN(B9),FALSE),"0")</f>
        <v>158</v>
      </c>
      <c r="C9" s="88">
        <f>IFERROR(VLOOKUP("Capital Leases*",'8.TIKR_BS'!$A:$K,COLUMN(C9),FALSE),"0")</f>
        <v>134</v>
      </c>
      <c r="D9" s="88" t="str">
        <f>IFERROR(VLOOKUP("Capital Leases*",'8.TIKR_BS'!$A:$K,COLUMN(D9),FALSE),"0")</f>
        <v/>
      </c>
      <c r="E9" s="88">
        <f>IFERROR(VLOOKUP("Capital Leases*",'8.TIKR_BS'!$A:$K,COLUMN(E9),FALSE),"0")</f>
        <v>1591</v>
      </c>
      <c r="F9" s="88">
        <f>IFERROR(VLOOKUP("Capital Leases*",'8.TIKR_BS'!$A:$K,COLUMN(F9),FALSE),"0")</f>
        <v>1536</v>
      </c>
      <c r="G9" s="88">
        <f>IFERROR(VLOOKUP("Capital Leases*",'8.TIKR_BS'!$A:$K,COLUMN(G9),FALSE),"0")</f>
        <v>1391</v>
      </c>
      <c r="H9" s="88">
        <f>IFERROR(VLOOKUP("Capital Leases*",'8.TIKR_BS'!$A:$K,COLUMN(H9),FALSE),"0")</f>
        <v>1284</v>
      </c>
      <c r="I9" s="88">
        <f>IFERROR(VLOOKUP("Capital Leases*",'8.TIKR_BS'!$A:$K,COLUMN(I9),FALSE),"0")</f>
        <v>1068</v>
      </c>
      <c r="J9" s="88">
        <f>IFERROR(VLOOKUP("Capital Leases*",'8.TIKR_BS'!$A:$K,COLUMN(J9),FALSE),"0")</f>
        <v>1061</v>
      </c>
      <c r="K9" s="88">
        <f>IFERROR(VLOOKUP("Capital Leases*",'8.TIKR_BS'!$A:$K,COLUMN(K9),FALSE),"0")</f>
        <v>1486</v>
      </c>
      <c r="L9" s="140">
        <f>IFERROR(K9*'1.IS'!L4+K9,"")</f>
        <v>1530.58</v>
      </c>
      <c r="M9" s="141">
        <f>IFERROR(L9*'1.IS'!M4+L9,"")</f>
        <v>1576.4974</v>
      </c>
      <c r="N9" s="141">
        <f>IFERROR(M9*'1.IS'!N4+M9,"")</f>
        <v>1639.557296</v>
      </c>
      <c r="O9" s="141">
        <f>IFERROR(N9*'1.IS'!O4+N9,"")</f>
        <v>1705.139588</v>
      </c>
      <c r="P9" s="142">
        <f>IFERROR(O9*'1.IS'!P4+O9,"")</f>
        <v>1773.345171</v>
      </c>
      <c r="Q9" s="141"/>
      <c r="R9" s="141"/>
      <c r="S9" s="141"/>
      <c r="T9" s="141"/>
      <c r="U9" s="141"/>
      <c r="V9" s="143"/>
      <c r="W9" s="21"/>
      <c r="X9" s="21"/>
      <c r="Y9" s="21"/>
      <c r="Z9" s="21"/>
    </row>
    <row r="10" ht="24.75" customHeight="1">
      <c r="A10" s="144" t="s">
        <v>78</v>
      </c>
      <c r="B10" s="87">
        <f>IFERROR(VLOOKUP("Total Equity*",'8.TIKR_BS'!$A:$K,COLUMN(B10),FALSE),"0")</f>
        <v>16082</v>
      </c>
      <c r="C10" s="88">
        <f>IFERROR(VLOOKUP("Total Equity*",'8.TIKR_BS'!$A:$K,COLUMN(C10),FALSE),"0")</f>
        <v>16980</v>
      </c>
      <c r="D10" s="88">
        <f>IFERROR(VLOOKUP("Total Equity*",'8.TIKR_BS'!$A:$K,COLUMN(D10),FALSE),"0")</f>
        <v>14198</v>
      </c>
      <c r="E10" s="88">
        <f>IFERROR(VLOOKUP("Total Equity*",'8.TIKR_BS'!$A:$K,COLUMN(E10),FALSE),"0")</f>
        <v>12117</v>
      </c>
      <c r="F10" s="88">
        <f>IFERROR(VLOOKUP("Total Equity*",'8.TIKR_BS'!$A:$K,COLUMN(F10),FALSE),"0")</f>
        <v>13886</v>
      </c>
      <c r="G10" s="88">
        <f>IFERROR(VLOOKUP("Total Equity*",'8.TIKR_BS'!$A:$K,COLUMN(G10),FALSE),"0")</f>
        <v>17655</v>
      </c>
      <c r="H10" s="88">
        <f>IFERROR(VLOOKUP("Total Equity*",'8.TIKR_BS'!$A:$K,COLUMN(H10),FALSE),"0")</f>
        <v>19746</v>
      </c>
      <c r="I10" s="88">
        <f>IFERROR(VLOOKUP("Total Equity*",'8.TIKR_BS'!$A:$K,COLUMN(I10),FALSE),"0")</f>
        <v>21701</v>
      </c>
      <c r="J10" s="88">
        <f>IFERROR(VLOOKUP("Total Equity*",'8.TIKR_BS'!$A:$K,COLUMN(J10),FALSE),"0")</f>
        <v>20764</v>
      </c>
      <c r="K10" s="88">
        <f>IFERROR(VLOOKUP("Total Equity*",'8.TIKR_BS'!$A:$K,COLUMN(K10),FALSE),"0")</f>
        <v>22555</v>
      </c>
      <c r="L10" s="140">
        <f>IFERROR(K10+'1.IS'!L20+'1.IS'!L26*'4.Valoración'!L3-AVERAGE('2.FCF'!$J$30:$K$30)*'2.FCF'!L14,"")</f>
        <v>24959.67225</v>
      </c>
      <c r="M10" s="141">
        <f>IFERROR(L10+'1.IS'!M20+'1.IS'!M26*'4.Valoración'!M3-AVERAGE('2.FCF'!$J$30:$K$30)*'2.FCF'!M14,"")</f>
        <v>27423.19332</v>
      </c>
      <c r="N10" s="141">
        <f>IFERROR(M10+'1.IS'!N20+'1.IS'!N26*'4.Valoración'!N3-AVERAGE('2.FCF'!$J$30:$K$30)*'2.FCF'!N14,"")</f>
        <v>29989.62729</v>
      </c>
      <c r="O10" s="141">
        <f>IFERROR(N10+'1.IS'!O20+'1.IS'!O26*'4.Valoración'!O3-AVERAGE('2.FCF'!$J$30:$K$30)*'2.FCF'!O14,"")</f>
        <v>32655.52211</v>
      </c>
      <c r="P10" s="142">
        <f>IFERROR(O10+'1.IS'!P20+'1.IS'!P26*'4.Valoración'!P3-AVERAGE('2.FCF'!$J$30:$K$30)*'2.FCF'!P14,"")</f>
        <v>35383.71325</v>
      </c>
      <c r="Q10" s="141"/>
      <c r="R10" s="141"/>
      <c r="S10" s="141"/>
      <c r="T10" s="141"/>
      <c r="U10" s="141"/>
      <c r="V10" s="143"/>
      <c r="W10" s="21"/>
      <c r="X10" s="21"/>
      <c r="Y10" s="21"/>
      <c r="Z10" s="21"/>
    </row>
    <row r="11" ht="24.75" customHeight="1">
      <c r="A11" s="145" t="s">
        <v>79</v>
      </c>
      <c r="B11" s="146">
        <f t="shared" ref="B11:K11" si="1">B10+B6+B7+B8+B9-B5</f>
        <v>30005</v>
      </c>
      <c r="C11" s="147">
        <f t="shared" si="1"/>
        <v>32829</v>
      </c>
      <c r="D11" s="147">
        <f t="shared" si="1"/>
        <v>39845</v>
      </c>
      <c r="E11" s="147">
        <f t="shared" si="1"/>
        <v>37807</v>
      </c>
      <c r="F11" s="147">
        <f t="shared" si="1"/>
        <v>41048</v>
      </c>
      <c r="G11" s="147">
        <f t="shared" si="1"/>
        <v>44206</v>
      </c>
      <c r="H11" s="147">
        <f t="shared" si="1"/>
        <v>48788</v>
      </c>
      <c r="I11" s="147">
        <f t="shared" si="1"/>
        <v>49917</v>
      </c>
      <c r="J11" s="147">
        <f t="shared" si="1"/>
        <v>48692</v>
      </c>
      <c r="K11" s="147">
        <f t="shared" si="1"/>
        <v>53224</v>
      </c>
      <c r="L11" s="148">
        <f t="shared" ref="L11:P11" si="2">IFERROR(L10+L6+L7+L8+L9-L5,"")</f>
        <v>53167.28479</v>
      </c>
      <c r="M11" s="149">
        <f t="shared" si="2"/>
        <v>56782.38403</v>
      </c>
      <c r="N11" s="149">
        <f t="shared" si="2"/>
        <v>60811.9215</v>
      </c>
      <c r="O11" s="149">
        <f t="shared" si="2"/>
        <v>65025.94471</v>
      </c>
      <c r="P11" s="150">
        <f t="shared" si="2"/>
        <v>69525.96626</v>
      </c>
      <c r="Q11" s="141"/>
      <c r="R11" s="141"/>
      <c r="S11" s="141"/>
      <c r="T11" s="141"/>
      <c r="U11" s="141"/>
      <c r="V11" s="143"/>
      <c r="W11" s="21"/>
      <c r="X11" s="21"/>
      <c r="Y11" s="21"/>
      <c r="Z11" s="21"/>
    </row>
    <row r="12" ht="30.0" customHeight="1">
      <c r="A12" s="17"/>
      <c r="B12" s="61"/>
      <c r="C12" s="61"/>
      <c r="D12" s="61"/>
      <c r="E12" s="61"/>
      <c r="F12" s="61"/>
      <c r="G12" s="61"/>
      <c r="H12" s="61"/>
      <c r="I12" s="61"/>
      <c r="J12" s="61"/>
      <c r="K12" s="61"/>
      <c r="L12" s="61"/>
      <c r="M12" s="61"/>
      <c r="N12" s="61"/>
      <c r="O12" s="61"/>
      <c r="P12" s="61"/>
      <c r="Q12" s="61"/>
      <c r="R12" s="61"/>
      <c r="S12" s="61"/>
      <c r="T12" s="61"/>
      <c r="U12" s="61"/>
      <c r="V12" s="138"/>
      <c r="W12" s="17"/>
      <c r="X12" s="17"/>
      <c r="Y12" s="17"/>
      <c r="Z12" s="17"/>
    </row>
    <row r="13" ht="34.5" customHeight="1">
      <c r="A13" s="151" t="s">
        <v>80</v>
      </c>
      <c r="B13" s="152">
        <f>'1.IS'!B$2</f>
        <v>2015</v>
      </c>
      <c r="C13" s="152">
        <f>'1.IS'!C$2</f>
        <v>2016</v>
      </c>
      <c r="D13" s="152">
        <f>'1.IS'!D$2</f>
        <v>2018</v>
      </c>
      <c r="E13" s="152">
        <f>'1.IS'!E$2</f>
        <v>2018</v>
      </c>
      <c r="F13" s="152">
        <f>'1.IS'!F$2</f>
        <v>2019</v>
      </c>
      <c r="G13" s="152">
        <f>'1.IS'!G$2</f>
        <v>2020</v>
      </c>
      <c r="H13" s="152">
        <f>'1.IS'!H$2</f>
        <v>2021</v>
      </c>
      <c r="I13" s="152">
        <f>'1.IS'!I$2</f>
        <v>2022</v>
      </c>
      <c r="J13" s="152">
        <f>'1.IS'!J$2</f>
        <v>2023</v>
      </c>
      <c r="K13" s="152">
        <f>'1.IS'!K$2</f>
        <v>2024</v>
      </c>
      <c r="L13" s="153" t="str">
        <f>'1.IS'!L$2</f>
        <v>2025e</v>
      </c>
      <c r="M13" s="153" t="str">
        <f>'1.IS'!M$2</f>
        <v>2026e</v>
      </c>
      <c r="N13" s="153" t="str">
        <f>'1.IS'!N$2</f>
        <v>2027e</v>
      </c>
      <c r="O13" s="153" t="str">
        <f>'1.IS'!O$2</f>
        <v>2028e</v>
      </c>
      <c r="P13" s="153" t="str">
        <f>'1.IS'!P$2</f>
        <v>2029e</v>
      </c>
      <c r="Q13" s="154" t="str">
        <f>"Promedio "&amp;CHAR(10)&amp;B$2&amp;" - "&amp;K$2</f>
        <v>Promedio 
2015 - 2024</v>
      </c>
      <c r="R13" s="155"/>
      <c r="S13" s="155"/>
      <c r="T13" s="155"/>
      <c r="U13" s="155"/>
      <c r="V13" s="155"/>
      <c r="W13" s="155"/>
      <c r="X13" s="155"/>
      <c r="Y13" s="155"/>
      <c r="Z13" s="155"/>
    </row>
    <row r="14" ht="24.75" customHeight="1">
      <c r="A14" s="156" t="s">
        <v>81</v>
      </c>
      <c r="B14" s="101">
        <f>IFERROR('1.IS'!B20/B10,"")</f>
        <v>0.2963561746</v>
      </c>
      <c r="C14" s="102">
        <f>IFERROR('1.IS'!C20/C10,"")</f>
        <v>0.2985276796</v>
      </c>
      <c r="D14" s="102">
        <f>IFERROR('1.IS'!D20/D10,"")</f>
        <v>0.4775320468</v>
      </c>
      <c r="E14" s="102">
        <f>IFERROR('1.IS'!E20/E10,"")</f>
        <v>0.4756953041</v>
      </c>
      <c r="F14" s="102">
        <f>IFERROR('1.IS'!F20/F10,"")</f>
        <v>0.4835085698</v>
      </c>
      <c r="G14" s="102">
        <f>IFERROR('1.IS'!G20/G10,"")</f>
        <v>0.3667516284</v>
      </c>
      <c r="H14" s="102">
        <f>IFERROR('1.IS'!H20/H10,"")</f>
        <v>0.3479185658</v>
      </c>
      <c r="I14" s="102">
        <f>IFERROR('1.IS'!I20/I10,"")</f>
        <v>0.297543892</v>
      </c>
      <c r="J14" s="102">
        <f>IFERROR('1.IS'!J20/J10,"")</f>
        <v>0.3170391061</v>
      </c>
      <c r="K14" s="102">
        <f>IFERROR('1.IS'!K20/K10,"")</f>
        <v>0.3308800709</v>
      </c>
      <c r="L14" s="157">
        <f>IFERROR('1.IS'!L20/L10,"")</f>
        <v>0.3156679449</v>
      </c>
      <c r="M14" s="158">
        <f>IFERROR('1.IS'!M20/M10,"")</f>
        <v>0.2956950473</v>
      </c>
      <c r="N14" s="158">
        <f>IFERROR('1.IS'!N20/N10,"")</f>
        <v>0.281002946</v>
      </c>
      <c r="O14" s="158">
        <f>IFERROR('1.IS'!O20/O10,"")</f>
        <v>0.2681818139</v>
      </c>
      <c r="P14" s="159">
        <f>IFERROR('1.IS'!P20/P10,"")</f>
        <v>0.2571202468</v>
      </c>
      <c r="Q14" s="160">
        <f t="shared" ref="Q14:Q16" si="4">IFERROR(AVERAGE(B14:K14),"")</f>
        <v>0.3691753038</v>
      </c>
      <c r="R14" s="137"/>
      <c r="S14" s="137"/>
      <c r="T14" s="137"/>
      <c r="U14" s="137"/>
      <c r="V14" s="116"/>
      <c r="W14" s="116"/>
      <c r="X14" s="116"/>
      <c r="Y14" s="116"/>
      <c r="Z14" s="116"/>
    </row>
    <row r="15" ht="24.75" customHeight="1">
      <c r="A15" s="96" t="s">
        <v>82</v>
      </c>
      <c r="B15" s="101">
        <f t="shared" ref="B15:P15" si="3">IFERROR(B3/B11,"")</f>
        <v>0.1781423411</v>
      </c>
      <c r="C15" s="102">
        <f t="shared" si="3"/>
        <v>0.1734058884</v>
      </c>
      <c r="D15" s="102">
        <f t="shared" si="3"/>
        <v>0.1916439261</v>
      </c>
      <c r="E15" s="102">
        <f t="shared" si="3"/>
        <v>0.1742633152</v>
      </c>
      <c r="F15" s="102">
        <f t="shared" si="3"/>
        <v>0.183296</v>
      </c>
      <c r="G15" s="102">
        <f t="shared" si="3"/>
        <v>0.1658998033</v>
      </c>
      <c r="H15" s="102">
        <f t="shared" si="3"/>
        <v>0.1567669805</v>
      </c>
      <c r="I15" s="118">
        <f t="shared" si="3"/>
        <v>0.1494207307</v>
      </c>
      <c r="J15" s="118">
        <f t="shared" si="3"/>
        <v>0.1585777484</v>
      </c>
      <c r="K15" s="118">
        <f t="shared" si="3"/>
        <v>0.1614627042</v>
      </c>
      <c r="L15" s="161">
        <f t="shared" si="3"/>
        <v>0.1699749214</v>
      </c>
      <c r="M15" s="118">
        <f t="shared" si="3"/>
        <v>0.1639279217</v>
      </c>
      <c r="N15" s="118">
        <f t="shared" si="3"/>
        <v>0.1591883087</v>
      </c>
      <c r="O15" s="118">
        <f t="shared" si="3"/>
        <v>0.1548269518</v>
      </c>
      <c r="P15" s="162">
        <f t="shared" si="3"/>
        <v>0.1505981164</v>
      </c>
      <c r="Q15" s="122">
        <f t="shared" si="4"/>
        <v>0.1692879438</v>
      </c>
      <c r="R15" s="137"/>
      <c r="S15" s="137"/>
      <c r="T15" s="137"/>
      <c r="U15" s="137"/>
      <c r="V15" s="116"/>
      <c r="W15" s="116"/>
      <c r="X15" s="116"/>
      <c r="Y15" s="116"/>
      <c r="Z15" s="116"/>
    </row>
    <row r="16" ht="24.75" customHeight="1">
      <c r="A16" s="163" t="s">
        <v>83</v>
      </c>
      <c r="B16" s="135">
        <f>IF('2.FCF'!B14&gt;0,IFERROR('TIKR_Cálculos'!B12/'2.FCF'!B14,""),0%)</f>
        <v>0.5703512602</v>
      </c>
      <c r="C16" s="136">
        <f>IF('2.FCF'!C14&gt;0,IFERROR('TIKR_Cálculos'!C12/'2.FCF'!C14,""),0%)</f>
        <v>0.4615529235</v>
      </c>
      <c r="D16" s="136">
        <f>IF('2.FCF'!D14&gt;0,IFERROR('TIKR_Cálculos'!D12/'2.FCF'!D14,""),0%)</f>
        <v>0.4687410244</v>
      </c>
      <c r="E16" s="136">
        <f>IF('2.FCF'!E14&gt;0,IFERROR('TIKR_Cálculos'!E12/'2.FCF'!E14,""),0%)</f>
        <v>0.5192382433</v>
      </c>
      <c r="F16" s="136">
        <f>IF('2.FCF'!F14&gt;0,IFERROR('TIKR_Cálculos'!F12/'2.FCF'!F14,""),0%)</f>
        <v>0.1628683408</v>
      </c>
      <c r="G16" s="136">
        <f>IF('2.FCF'!G14&gt;0,IFERROR('TIKR_Cálculos'!G12/'2.FCF'!G14,""),0%)</f>
        <v>0.1798007817</v>
      </c>
      <c r="H16" s="136">
        <f>IF('2.FCF'!H14&gt;0,IFERROR('TIKR_Cálculos'!H12/'2.FCF'!H14,""),0%)</f>
        <v>0.2830765143</v>
      </c>
      <c r="I16" s="136">
        <f>IF('2.FCF'!I14&gt;0,IFERROR('TIKR_Cálculos'!I12/'2.FCF'!I14,""),0%)</f>
        <v>0.1997010463</v>
      </c>
      <c r="J16" s="136">
        <f>IF('2.FCF'!J14&gt;0,IFERROR('TIKR_Cálculos'!J12/'2.FCF'!J14,""),0%)</f>
        <v>0.1465612867</v>
      </c>
      <c r="K16" s="136">
        <f>IF('2.FCF'!K14&gt;0,IFERROR('TIKR_Cálculos'!K12/'2.FCF'!K14,""),0%)</f>
        <v>0.09286494663</v>
      </c>
      <c r="L16" s="125" t="s">
        <v>84</v>
      </c>
      <c r="M16" s="136" t="s">
        <v>84</v>
      </c>
      <c r="N16" s="136" t="s">
        <v>84</v>
      </c>
      <c r="O16" s="136" t="s">
        <v>84</v>
      </c>
      <c r="P16" s="164" t="s">
        <v>84</v>
      </c>
      <c r="Q16" s="165">
        <f t="shared" si="4"/>
        <v>0.3084756368</v>
      </c>
      <c r="R16" s="137"/>
      <c r="S16" s="137"/>
      <c r="T16" s="137"/>
      <c r="U16" s="137"/>
      <c r="V16" s="116"/>
      <c r="W16" s="116"/>
      <c r="X16" s="116"/>
      <c r="Y16" s="116"/>
      <c r="Z16" s="116"/>
    </row>
    <row r="17" ht="37.5" customHeight="1">
      <c r="A17" s="17"/>
      <c r="B17" s="166"/>
      <c r="C17" s="166"/>
      <c r="D17" s="166"/>
      <c r="E17" s="166"/>
      <c r="F17" s="167"/>
      <c r="G17" s="167"/>
      <c r="H17" s="166"/>
      <c r="I17" s="166"/>
      <c r="J17" s="166"/>
      <c r="K17" s="166"/>
      <c r="L17" s="61"/>
      <c r="M17" s="61"/>
      <c r="N17" s="61"/>
      <c r="O17" s="61"/>
      <c r="P17" s="61"/>
      <c r="Q17" s="61"/>
      <c r="R17" s="61"/>
      <c r="S17" s="61"/>
      <c r="T17" s="61"/>
      <c r="U17" s="61"/>
      <c r="V17" s="61"/>
      <c r="W17" s="17"/>
      <c r="X17" s="17"/>
      <c r="Y17" s="17"/>
      <c r="Z17" s="17"/>
    </row>
    <row r="18" ht="17.25" customHeight="1">
      <c r="A18" s="3"/>
      <c r="B18" s="61"/>
      <c r="C18" s="61"/>
      <c r="D18" s="61"/>
      <c r="E18" s="61"/>
      <c r="F18" s="61"/>
      <c r="G18" s="61"/>
      <c r="H18" s="61"/>
      <c r="I18" s="61"/>
      <c r="J18" s="61"/>
      <c r="K18" s="168"/>
      <c r="L18" s="168"/>
      <c r="M18" s="61"/>
      <c r="N18" s="61"/>
      <c r="O18" s="61"/>
      <c r="P18" s="168"/>
      <c r="Q18" s="61"/>
      <c r="R18" s="61"/>
      <c r="S18" s="61"/>
      <c r="T18" s="61"/>
      <c r="U18" s="61"/>
      <c r="V18" s="61"/>
      <c r="W18" s="17"/>
      <c r="X18" s="17"/>
      <c r="Y18" s="17"/>
      <c r="Z18" s="17"/>
    </row>
    <row r="19" ht="17.25" customHeight="1">
      <c r="A19" s="3"/>
      <c r="B19" s="61"/>
      <c r="C19" s="61"/>
      <c r="D19" s="61"/>
      <c r="E19" s="61"/>
      <c r="F19" s="61"/>
      <c r="G19" s="61"/>
      <c r="H19" s="61"/>
      <c r="I19" s="61"/>
      <c r="J19" s="61"/>
      <c r="K19" s="61"/>
      <c r="L19" s="168"/>
      <c r="M19" s="168"/>
      <c r="N19" s="168"/>
      <c r="O19" s="168"/>
      <c r="P19" s="168"/>
      <c r="Q19" s="61"/>
      <c r="R19" s="61"/>
      <c r="S19" s="61"/>
      <c r="T19" s="61"/>
      <c r="U19" s="61"/>
      <c r="V19" s="61"/>
      <c r="W19" s="17"/>
      <c r="X19" s="17"/>
      <c r="Y19" s="17"/>
      <c r="Z19" s="17"/>
    </row>
    <row r="20" ht="17.25" customHeight="1">
      <c r="A20" s="3"/>
      <c r="B20" s="61"/>
      <c r="C20" s="61"/>
      <c r="D20" s="61"/>
      <c r="E20" s="61"/>
      <c r="F20" s="61"/>
      <c r="G20" s="61"/>
      <c r="H20" s="61"/>
      <c r="I20" s="61"/>
      <c r="J20" s="61"/>
      <c r="K20" s="61"/>
      <c r="L20" s="61"/>
      <c r="M20" s="61"/>
      <c r="N20" s="61"/>
      <c r="O20" s="61"/>
      <c r="P20" s="61"/>
      <c r="Q20" s="61"/>
      <c r="R20" s="61"/>
      <c r="S20" s="61"/>
      <c r="T20" s="61"/>
      <c r="U20" s="61"/>
      <c r="V20" s="61"/>
      <c r="W20" s="17"/>
      <c r="X20" s="17"/>
      <c r="Y20" s="17"/>
      <c r="Z20" s="17"/>
    </row>
    <row r="21" ht="17.25" customHeight="1">
      <c r="A21" s="3"/>
      <c r="B21" s="61"/>
      <c r="C21" s="61"/>
      <c r="D21" s="61"/>
      <c r="E21" s="61"/>
      <c r="F21" s="61"/>
      <c r="G21" s="61"/>
      <c r="H21" s="61"/>
      <c r="I21" s="61"/>
      <c r="J21" s="61"/>
      <c r="K21" s="61"/>
      <c r="L21" s="61"/>
      <c r="M21" s="61"/>
      <c r="N21" s="61"/>
      <c r="O21" s="61"/>
      <c r="P21" s="61"/>
      <c r="Q21" s="61"/>
      <c r="R21" s="61"/>
      <c r="S21" s="61"/>
      <c r="T21" s="61"/>
      <c r="U21" s="61"/>
      <c r="V21" s="61"/>
      <c r="W21" s="17"/>
      <c r="X21" s="17"/>
      <c r="Y21" s="17"/>
      <c r="Z21" s="17"/>
    </row>
    <row r="22" ht="17.25" customHeight="1">
      <c r="A22" s="3"/>
      <c r="B22" s="61"/>
      <c r="C22" s="61"/>
      <c r="D22" s="61"/>
      <c r="E22" s="61"/>
      <c r="F22" s="61"/>
      <c r="G22" s="61"/>
      <c r="H22" s="61"/>
      <c r="I22" s="61"/>
      <c r="J22" s="61"/>
      <c r="K22" s="61"/>
      <c r="L22" s="61"/>
      <c r="M22" s="61"/>
      <c r="N22" s="61"/>
      <c r="O22" s="61"/>
      <c r="P22" s="61"/>
      <c r="Q22" s="61"/>
      <c r="R22" s="61"/>
      <c r="S22" s="61"/>
      <c r="T22" s="61"/>
      <c r="U22" s="61"/>
      <c r="V22" s="61"/>
      <c r="W22" s="17"/>
      <c r="X22" s="17"/>
      <c r="Y22" s="17"/>
      <c r="Z22" s="17"/>
    </row>
    <row r="23" ht="17.25" customHeight="1">
      <c r="A23" s="3"/>
      <c r="B23" s="61"/>
      <c r="C23" s="61"/>
      <c r="D23" s="61"/>
      <c r="E23" s="61"/>
      <c r="F23" s="61"/>
      <c r="G23" s="61"/>
      <c r="H23" s="61"/>
      <c r="I23" s="61"/>
      <c r="J23" s="61"/>
      <c r="K23" s="61"/>
      <c r="L23" s="61"/>
      <c r="M23" s="61"/>
      <c r="N23" s="61"/>
      <c r="O23" s="61"/>
      <c r="P23" s="61"/>
      <c r="Q23" s="61"/>
      <c r="R23" s="61"/>
      <c r="S23" s="61"/>
      <c r="T23" s="61"/>
      <c r="U23" s="61"/>
      <c r="V23" s="61"/>
      <c r="W23" s="17"/>
      <c r="X23" s="17"/>
      <c r="Y23" s="17"/>
      <c r="Z23" s="17"/>
    </row>
    <row r="24" ht="17.25" customHeight="1">
      <c r="A24" s="3"/>
      <c r="B24" s="61"/>
      <c r="C24" s="61"/>
      <c r="D24" s="61"/>
      <c r="E24" s="61"/>
      <c r="F24" s="61"/>
      <c r="G24" s="61"/>
      <c r="H24" s="61"/>
      <c r="I24" s="61"/>
      <c r="J24" s="61"/>
      <c r="K24" s="61"/>
      <c r="L24" s="61"/>
      <c r="M24" s="61"/>
      <c r="N24" s="61"/>
      <c r="O24" s="61"/>
      <c r="P24" s="61"/>
      <c r="Q24" s="61"/>
      <c r="R24" s="61"/>
      <c r="S24" s="61"/>
      <c r="T24" s="61"/>
      <c r="U24" s="61"/>
      <c r="V24" s="61"/>
      <c r="W24" s="17"/>
      <c r="X24" s="17"/>
      <c r="Y24" s="17"/>
      <c r="Z24" s="17"/>
    </row>
    <row r="25" ht="17.25" customHeight="1">
      <c r="A25" s="3"/>
      <c r="B25" s="61"/>
      <c r="C25" s="61"/>
      <c r="D25" s="61"/>
      <c r="E25" s="61"/>
      <c r="F25" s="61"/>
      <c r="G25" s="61"/>
      <c r="H25" s="61"/>
      <c r="I25" s="61"/>
      <c r="J25" s="61"/>
      <c r="K25" s="61"/>
      <c r="L25" s="61"/>
      <c r="M25" s="61"/>
      <c r="N25" s="61"/>
      <c r="O25" s="61"/>
      <c r="P25" s="61"/>
      <c r="Q25" s="61"/>
      <c r="R25" s="61"/>
      <c r="S25" s="61"/>
      <c r="T25" s="61"/>
      <c r="U25" s="61"/>
      <c r="V25" s="61"/>
      <c r="W25" s="17"/>
      <c r="X25" s="17"/>
      <c r="Y25" s="17"/>
      <c r="Z25" s="17"/>
    </row>
    <row r="26" ht="17.25" customHeight="1">
      <c r="A26" s="3"/>
      <c r="B26" s="61"/>
      <c r="C26" s="61"/>
      <c r="D26" s="61"/>
      <c r="E26" s="61"/>
      <c r="F26" s="61"/>
      <c r="G26" s="61"/>
      <c r="H26" s="61"/>
      <c r="I26" s="61"/>
      <c r="J26" s="61"/>
      <c r="K26" s="61"/>
      <c r="L26" s="61"/>
      <c r="M26" s="61"/>
      <c r="N26" s="61"/>
      <c r="O26" s="61"/>
      <c r="P26" s="61"/>
      <c r="Q26" s="61"/>
      <c r="R26" s="61"/>
      <c r="S26" s="61"/>
      <c r="T26" s="61"/>
      <c r="U26" s="61"/>
      <c r="V26" s="61"/>
      <c r="W26" s="17"/>
      <c r="X26" s="17"/>
      <c r="Y26" s="17"/>
      <c r="Z26" s="17"/>
    </row>
    <row r="27" ht="17.25" customHeight="1">
      <c r="A27" s="3"/>
      <c r="B27" s="61"/>
      <c r="C27" s="61"/>
      <c r="D27" s="61"/>
      <c r="E27" s="61"/>
      <c r="F27" s="61"/>
      <c r="G27" s="61"/>
      <c r="H27" s="61"/>
      <c r="I27" s="61"/>
      <c r="J27" s="61"/>
      <c r="K27" s="61"/>
      <c r="L27" s="61"/>
      <c r="M27" s="61"/>
      <c r="N27" s="61"/>
      <c r="O27" s="61"/>
      <c r="P27" s="61"/>
      <c r="Q27" s="61"/>
      <c r="R27" s="61"/>
      <c r="S27" s="61"/>
      <c r="T27" s="61"/>
      <c r="U27" s="61"/>
      <c r="V27" s="61"/>
      <c r="W27" s="17"/>
      <c r="X27" s="17"/>
      <c r="Y27" s="17"/>
      <c r="Z27" s="17"/>
    </row>
    <row r="28" ht="17.25" customHeight="1">
      <c r="A28" s="3"/>
      <c r="B28" s="61"/>
      <c r="C28" s="61"/>
      <c r="D28" s="61"/>
      <c r="E28" s="61"/>
      <c r="F28" s="61"/>
      <c r="G28" s="61"/>
      <c r="H28" s="61"/>
      <c r="I28" s="61"/>
      <c r="J28" s="61"/>
      <c r="K28" s="61"/>
      <c r="L28" s="61"/>
      <c r="M28" s="61"/>
      <c r="N28" s="61"/>
      <c r="O28" s="61"/>
      <c r="P28" s="61"/>
      <c r="Q28" s="61"/>
      <c r="R28" s="61"/>
      <c r="S28" s="61"/>
      <c r="T28" s="61"/>
      <c r="U28" s="61"/>
      <c r="V28" s="61"/>
      <c r="W28" s="17"/>
      <c r="X28" s="17"/>
      <c r="Y28" s="17"/>
      <c r="Z28" s="17"/>
    </row>
    <row r="29" ht="17.25" customHeight="1">
      <c r="A29" s="3"/>
      <c r="B29" s="61"/>
      <c r="C29" s="61"/>
      <c r="D29" s="61"/>
      <c r="E29" s="61"/>
      <c r="F29" s="61"/>
      <c r="G29" s="61"/>
      <c r="H29" s="61"/>
      <c r="I29" s="61"/>
      <c r="J29" s="61"/>
      <c r="K29" s="61"/>
      <c r="L29" s="61"/>
      <c r="M29" s="61"/>
      <c r="N29" s="61"/>
      <c r="O29" s="61"/>
      <c r="P29" s="61"/>
      <c r="Q29" s="61"/>
      <c r="R29" s="61"/>
      <c r="S29" s="61"/>
      <c r="T29" s="61"/>
      <c r="U29" s="61"/>
      <c r="V29" s="61"/>
      <c r="W29" s="17"/>
      <c r="X29" s="17"/>
      <c r="Y29" s="17"/>
      <c r="Z29" s="17"/>
    </row>
    <row r="30" ht="17.25" customHeight="1">
      <c r="A30" s="3"/>
      <c r="B30" s="61"/>
      <c r="C30" s="61"/>
      <c r="D30" s="61"/>
      <c r="E30" s="61"/>
      <c r="F30" s="61"/>
      <c r="G30" s="61"/>
      <c r="H30" s="61"/>
      <c r="I30" s="61"/>
      <c r="J30" s="61"/>
      <c r="K30" s="61"/>
      <c r="L30" s="61"/>
      <c r="M30" s="61"/>
      <c r="N30" s="61"/>
      <c r="O30" s="61"/>
      <c r="P30" s="61"/>
      <c r="Q30" s="61"/>
      <c r="R30" s="61"/>
      <c r="S30" s="61"/>
      <c r="T30" s="61"/>
      <c r="U30" s="61"/>
      <c r="V30" s="61"/>
      <c r="W30" s="17"/>
      <c r="X30" s="17"/>
      <c r="Y30" s="17"/>
      <c r="Z30" s="17"/>
    </row>
    <row r="31" ht="17.25" customHeight="1">
      <c r="A31" s="3"/>
      <c r="B31" s="61"/>
      <c r="C31" s="61"/>
      <c r="D31" s="61"/>
      <c r="E31" s="61"/>
      <c r="F31" s="61"/>
      <c r="G31" s="61"/>
      <c r="H31" s="61"/>
      <c r="I31" s="61"/>
      <c r="J31" s="61"/>
      <c r="K31" s="61"/>
      <c r="L31" s="61"/>
      <c r="M31" s="61"/>
      <c r="N31" s="61"/>
      <c r="O31" s="61"/>
      <c r="P31" s="61"/>
      <c r="Q31" s="61"/>
      <c r="R31" s="61"/>
      <c r="S31" s="61"/>
      <c r="T31" s="61"/>
      <c r="U31" s="61"/>
      <c r="V31" s="61"/>
      <c r="W31" s="17"/>
      <c r="X31" s="17"/>
      <c r="Y31" s="17"/>
      <c r="Z31" s="17"/>
    </row>
    <row r="32" ht="17.25" customHeight="1">
      <c r="A32" s="3"/>
      <c r="B32" s="61"/>
      <c r="C32" s="61"/>
      <c r="D32" s="61"/>
      <c r="E32" s="61"/>
      <c r="F32" s="61"/>
      <c r="G32" s="61"/>
      <c r="H32" s="61"/>
      <c r="I32" s="61"/>
      <c r="J32" s="61"/>
      <c r="K32" s="61"/>
      <c r="L32" s="61"/>
      <c r="M32" s="61"/>
      <c r="N32" s="61"/>
      <c r="O32" s="61"/>
      <c r="P32" s="61"/>
      <c r="Q32" s="61"/>
      <c r="R32" s="61"/>
      <c r="S32" s="61"/>
      <c r="T32" s="61"/>
      <c r="U32" s="61"/>
      <c r="V32" s="61"/>
      <c r="W32" s="17"/>
      <c r="X32" s="17"/>
      <c r="Y32" s="17"/>
      <c r="Z32" s="17"/>
    </row>
    <row r="33" ht="17.25" customHeight="1">
      <c r="A33" s="3"/>
      <c r="B33" s="61"/>
      <c r="C33" s="61"/>
      <c r="D33" s="61"/>
      <c r="E33" s="61"/>
      <c r="F33" s="61"/>
      <c r="G33" s="61"/>
      <c r="H33" s="61"/>
      <c r="I33" s="61"/>
      <c r="J33" s="61"/>
      <c r="K33" s="61"/>
      <c r="L33" s="61"/>
      <c r="M33" s="61"/>
      <c r="N33" s="61"/>
      <c r="O33" s="61"/>
      <c r="P33" s="61"/>
      <c r="Q33" s="61"/>
      <c r="R33" s="61"/>
      <c r="S33" s="61"/>
      <c r="T33" s="61"/>
      <c r="U33" s="61"/>
      <c r="V33" s="61"/>
      <c r="W33" s="17"/>
      <c r="X33" s="17"/>
      <c r="Y33" s="17"/>
      <c r="Z33" s="17"/>
    </row>
    <row r="34" ht="17.25" customHeight="1">
      <c r="A34" s="3"/>
      <c r="B34" s="61"/>
      <c r="C34" s="61"/>
      <c r="D34" s="61"/>
      <c r="E34" s="61"/>
      <c r="F34" s="61"/>
      <c r="G34" s="61"/>
      <c r="H34" s="61"/>
      <c r="I34" s="61"/>
      <c r="J34" s="61"/>
      <c r="K34" s="61"/>
      <c r="L34" s="61"/>
      <c r="M34" s="61"/>
      <c r="N34" s="61"/>
      <c r="O34" s="61"/>
      <c r="P34" s="61"/>
      <c r="Q34" s="61"/>
      <c r="R34" s="61"/>
      <c r="S34" s="61"/>
      <c r="T34" s="61"/>
      <c r="U34" s="61"/>
      <c r="V34" s="61"/>
      <c r="W34" s="17"/>
      <c r="X34" s="17"/>
      <c r="Y34" s="17"/>
      <c r="Z34" s="17"/>
    </row>
    <row r="35" ht="17.25" customHeight="1">
      <c r="A35" s="3"/>
      <c r="B35" s="61"/>
      <c r="C35" s="61"/>
      <c r="D35" s="61"/>
      <c r="E35" s="61"/>
      <c r="F35" s="61"/>
      <c r="G35" s="61"/>
      <c r="H35" s="61"/>
      <c r="I35" s="61"/>
      <c r="J35" s="61"/>
      <c r="K35" s="61"/>
      <c r="L35" s="61"/>
      <c r="M35" s="61"/>
      <c r="N35" s="61"/>
      <c r="O35" s="61"/>
      <c r="P35" s="61"/>
      <c r="Q35" s="61"/>
      <c r="R35" s="61"/>
      <c r="S35" s="61"/>
      <c r="T35" s="61"/>
      <c r="U35" s="61"/>
      <c r="V35" s="61"/>
      <c r="W35" s="17"/>
      <c r="X35" s="17"/>
      <c r="Y35" s="17"/>
      <c r="Z35" s="17"/>
    </row>
    <row r="36" ht="17.25" customHeight="1">
      <c r="A36" s="3"/>
      <c r="B36" s="61"/>
      <c r="C36" s="61"/>
      <c r="D36" s="61"/>
      <c r="E36" s="61"/>
      <c r="F36" s="61"/>
      <c r="G36" s="61"/>
      <c r="H36" s="61"/>
      <c r="I36" s="61"/>
      <c r="J36" s="61"/>
      <c r="K36" s="61"/>
      <c r="L36" s="61"/>
      <c r="M36" s="61"/>
      <c r="N36" s="61"/>
      <c r="O36" s="61"/>
      <c r="P36" s="61"/>
      <c r="Q36" s="61"/>
      <c r="R36" s="61"/>
      <c r="S36" s="61"/>
      <c r="T36" s="61"/>
      <c r="U36" s="61"/>
      <c r="V36" s="61"/>
      <c r="W36" s="17"/>
      <c r="X36" s="17"/>
      <c r="Y36" s="17"/>
      <c r="Z36" s="17"/>
    </row>
    <row r="37" ht="17.25" customHeight="1">
      <c r="A37" s="3"/>
      <c r="B37" s="61"/>
      <c r="C37" s="61"/>
      <c r="D37" s="61"/>
      <c r="E37" s="61"/>
      <c r="F37" s="61"/>
      <c r="G37" s="61"/>
      <c r="H37" s="61"/>
      <c r="I37" s="61"/>
      <c r="J37" s="61"/>
      <c r="K37" s="61"/>
      <c r="L37" s="61"/>
      <c r="M37" s="61"/>
      <c r="N37" s="61"/>
      <c r="O37" s="61"/>
      <c r="P37" s="61"/>
      <c r="Q37" s="61"/>
      <c r="R37" s="61"/>
      <c r="S37" s="61"/>
      <c r="T37" s="61"/>
      <c r="U37" s="61"/>
      <c r="V37" s="61"/>
      <c r="W37" s="17"/>
      <c r="X37" s="17"/>
      <c r="Y37" s="17"/>
      <c r="Z37" s="17"/>
    </row>
    <row r="38" ht="17.25" customHeight="1">
      <c r="A38" s="3"/>
      <c r="B38" s="61"/>
      <c r="C38" s="61"/>
      <c r="D38" s="61"/>
      <c r="E38" s="61"/>
      <c r="F38" s="61"/>
      <c r="G38" s="61"/>
      <c r="H38" s="61"/>
      <c r="I38" s="61"/>
      <c r="J38" s="61"/>
      <c r="K38" s="61"/>
      <c r="L38" s="61"/>
      <c r="M38" s="61"/>
      <c r="N38" s="61"/>
      <c r="O38" s="61"/>
      <c r="P38" s="61"/>
      <c r="Q38" s="61"/>
      <c r="R38" s="61"/>
      <c r="S38" s="61"/>
      <c r="T38" s="61"/>
      <c r="U38" s="61"/>
      <c r="V38" s="61"/>
      <c r="W38" s="17"/>
      <c r="X38" s="17"/>
      <c r="Y38" s="17"/>
      <c r="Z38" s="17"/>
    </row>
    <row r="39" ht="17.25" customHeight="1">
      <c r="A39" s="3"/>
      <c r="B39" s="61"/>
      <c r="C39" s="61"/>
      <c r="D39" s="61"/>
      <c r="E39" s="61"/>
      <c r="F39" s="61"/>
      <c r="G39" s="61"/>
      <c r="H39" s="61"/>
      <c r="I39" s="61"/>
      <c r="J39" s="61"/>
      <c r="K39" s="61"/>
      <c r="L39" s="61"/>
      <c r="M39" s="61"/>
      <c r="N39" s="61"/>
      <c r="O39" s="61"/>
      <c r="P39" s="61"/>
      <c r="Q39" s="61"/>
      <c r="R39" s="61"/>
      <c r="S39" s="61"/>
      <c r="T39" s="61"/>
      <c r="U39" s="61"/>
      <c r="V39" s="61"/>
      <c r="W39" s="17"/>
      <c r="X39" s="17"/>
      <c r="Y39" s="17"/>
      <c r="Z39" s="17"/>
    </row>
    <row r="40" ht="17.25" customHeight="1">
      <c r="A40" s="3"/>
      <c r="B40" s="61"/>
      <c r="C40" s="61"/>
      <c r="D40" s="61"/>
      <c r="E40" s="61"/>
      <c r="F40" s="61"/>
      <c r="G40" s="61"/>
      <c r="H40" s="61"/>
      <c r="I40" s="61"/>
      <c r="J40" s="61"/>
      <c r="K40" s="61"/>
      <c r="L40" s="61"/>
      <c r="M40" s="61"/>
      <c r="N40" s="61"/>
      <c r="O40" s="61"/>
      <c r="P40" s="61"/>
      <c r="Q40" s="61"/>
      <c r="R40" s="61"/>
      <c r="S40" s="61"/>
      <c r="T40" s="61"/>
      <c r="U40" s="61"/>
      <c r="V40" s="61"/>
      <c r="W40" s="17"/>
      <c r="X40" s="17"/>
      <c r="Y40" s="17"/>
      <c r="Z40" s="17"/>
    </row>
    <row r="41" ht="17.25" customHeight="1">
      <c r="A41" s="3"/>
      <c r="B41" s="61"/>
      <c r="C41" s="61"/>
      <c r="D41" s="61"/>
      <c r="E41" s="61"/>
      <c r="F41" s="61"/>
      <c r="G41" s="61"/>
      <c r="H41" s="61"/>
      <c r="I41" s="61"/>
      <c r="J41" s="61"/>
      <c r="K41" s="61"/>
      <c r="L41" s="61"/>
      <c r="M41" s="61"/>
      <c r="N41" s="61"/>
      <c r="O41" s="61"/>
      <c r="P41" s="61"/>
      <c r="Q41" s="61"/>
      <c r="R41" s="61"/>
      <c r="S41" s="61"/>
      <c r="T41" s="61"/>
      <c r="U41" s="61"/>
      <c r="V41" s="61"/>
      <c r="W41" s="17"/>
      <c r="X41" s="17"/>
      <c r="Y41" s="17"/>
      <c r="Z41" s="17"/>
    </row>
    <row r="42" ht="17.25" customHeight="1">
      <c r="A42" s="3"/>
      <c r="B42" s="61"/>
      <c r="C42" s="61"/>
      <c r="D42" s="61"/>
      <c r="E42" s="61"/>
      <c r="F42" s="61"/>
      <c r="G42" s="61"/>
      <c r="H42" s="61"/>
      <c r="I42" s="61"/>
      <c r="J42" s="61"/>
      <c r="K42" s="61"/>
      <c r="L42" s="61"/>
      <c r="M42" s="61"/>
      <c r="N42" s="61"/>
      <c r="O42" s="61"/>
      <c r="P42" s="61"/>
      <c r="Q42" s="61"/>
      <c r="R42" s="61"/>
      <c r="S42" s="61"/>
      <c r="T42" s="61"/>
      <c r="U42" s="61"/>
      <c r="V42" s="61"/>
      <c r="W42" s="17"/>
      <c r="X42" s="17"/>
      <c r="Y42" s="17"/>
      <c r="Z42" s="17"/>
    </row>
    <row r="43" ht="17.25" customHeight="1">
      <c r="A43" s="3"/>
      <c r="B43" s="61"/>
      <c r="C43" s="61"/>
      <c r="D43" s="61"/>
      <c r="E43" s="61"/>
      <c r="F43" s="61"/>
      <c r="G43" s="61"/>
      <c r="H43" s="61"/>
      <c r="I43" s="61"/>
      <c r="J43" s="61"/>
      <c r="K43" s="61"/>
      <c r="L43" s="61"/>
      <c r="M43" s="61"/>
      <c r="N43" s="61"/>
      <c r="O43" s="61"/>
      <c r="P43" s="61"/>
      <c r="Q43" s="61"/>
      <c r="R43" s="61"/>
      <c r="S43" s="61"/>
      <c r="T43" s="61"/>
      <c r="U43" s="61"/>
      <c r="V43" s="61"/>
      <c r="W43" s="17"/>
      <c r="X43" s="17"/>
      <c r="Y43" s="17"/>
      <c r="Z43" s="17"/>
    </row>
    <row r="44" ht="17.25" customHeight="1">
      <c r="A44" s="3"/>
      <c r="B44" s="61"/>
      <c r="C44" s="61"/>
      <c r="D44" s="61"/>
      <c r="E44" s="61"/>
      <c r="F44" s="61"/>
      <c r="G44" s="61"/>
      <c r="H44" s="61"/>
      <c r="I44" s="61"/>
      <c r="J44" s="61"/>
      <c r="K44" s="61"/>
      <c r="L44" s="61"/>
      <c r="M44" s="61"/>
      <c r="N44" s="61"/>
      <c r="O44" s="61"/>
      <c r="P44" s="61"/>
      <c r="Q44" s="61"/>
      <c r="R44" s="61"/>
      <c r="S44" s="61"/>
      <c r="T44" s="61"/>
      <c r="U44" s="61"/>
      <c r="V44" s="61"/>
      <c r="W44" s="17"/>
      <c r="X44" s="17"/>
      <c r="Y44" s="17"/>
      <c r="Z44" s="17"/>
    </row>
    <row r="45" ht="17.25" customHeight="1">
      <c r="A45" s="3"/>
      <c r="B45" s="61"/>
      <c r="C45" s="61"/>
      <c r="D45" s="61"/>
      <c r="E45" s="61"/>
      <c r="F45" s="61"/>
      <c r="G45" s="61"/>
      <c r="H45" s="61"/>
      <c r="I45" s="61"/>
      <c r="J45" s="61"/>
      <c r="K45" s="61"/>
      <c r="L45" s="61"/>
      <c r="M45" s="61"/>
      <c r="N45" s="61"/>
      <c r="O45" s="61"/>
      <c r="P45" s="61"/>
      <c r="Q45" s="61"/>
      <c r="R45" s="61"/>
      <c r="S45" s="61"/>
      <c r="T45" s="61"/>
      <c r="U45" s="61"/>
      <c r="V45" s="61"/>
      <c r="W45" s="17"/>
      <c r="X45" s="17"/>
      <c r="Y45" s="17"/>
      <c r="Z45" s="17"/>
    </row>
    <row r="46" ht="17.25" customHeight="1">
      <c r="A46" s="3"/>
      <c r="B46" s="61"/>
      <c r="C46" s="61"/>
      <c r="D46" s="61"/>
      <c r="E46" s="61"/>
      <c r="F46" s="61"/>
      <c r="G46" s="61"/>
      <c r="H46" s="61"/>
      <c r="I46" s="61"/>
      <c r="J46" s="61"/>
      <c r="K46" s="61"/>
      <c r="L46" s="61"/>
      <c r="M46" s="61"/>
      <c r="N46" s="61"/>
      <c r="O46" s="61"/>
      <c r="P46" s="61"/>
      <c r="Q46" s="61"/>
      <c r="R46" s="61"/>
      <c r="S46" s="61"/>
      <c r="T46" s="61"/>
      <c r="U46" s="61"/>
      <c r="V46" s="61"/>
      <c r="W46" s="17"/>
      <c r="X46" s="17"/>
      <c r="Y46" s="17"/>
      <c r="Z46" s="17"/>
    </row>
    <row r="47" ht="17.25" customHeight="1">
      <c r="A47" s="3"/>
      <c r="B47" s="61"/>
      <c r="C47" s="61"/>
      <c r="D47" s="61"/>
      <c r="E47" s="61"/>
      <c r="F47" s="61"/>
      <c r="G47" s="61"/>
      <c r="H47" s="61"/>
      <c r="I47" s="61"/>
      <c r="J47" s="61"/>
      <c r="K47" s="61"/>
      <c r="L47" s="61"/>
      <c r="M47" s="61"/>
      <c r="N47" s="61"/>
      <c r="O47" s="61"/>
      <c r="P47" s="61"/>
      <c r="Q47" s="61"/>
      <c r="R47" s="61"/>
      <c r="S47" s="61"/>
      <c r="T47" s="61"/>
      <c r="U47" s="61"/>
      <c r="V47" s="61"/>
      <c r="W47" s="17"/>
      <c r="X47" s="17"/>
      <c r="Y47" s="17"/>
      <c r="Z47" s="17"/>
    </row>
    <row r="48" ht="17.25" customHeight="1">
      <c r="A48" s="3"/>
      <c r="B48" s="61"/>
      <c r="C48" s="61"/>
      <c r="D48" s="61"/>
      <c r="E48" s="61"/>
      <c r="F48" s="61"/>
      <c r="G48" s="61"/>
      <c r="H48" s="61"/>
      <c r="I48" s="61"/>
      <c r="J48" s="61"/>
      <c r="K48" s="61"/>
      <c r="L48" s="61"/>
      <c r="M48" s="61"/>
      <c r="N48" s="61"/>
      <c r="O48" s="61"/>
      <c r="P48" s="61"/>
      <c r="Q48" s="61"/>
      <c r="R48" s="61"/>
      <c r="S48" s="61"/>
      <c r="T48" s="61"/>
      <c r="U48" s="61"/>
      <c r="V48" s="61"/>
      <c r="W48" s="17"/>
      <c r="X48" s="17"/>
      <c r="Y48" s="17"/>
      <c r="Z48" s="17"/>
    </row>
    <row r="49" ht="17.25" customHeight="1">
      <c r="A49" s="3"/>
      <c r="B49" s="61"/>
      <c r="C49" s="61"/>
      <c r="D49" s="61"/>
      <c r="E49" s="61"/>
      <c r="F49" s="61"/>
      <c r="G49" s="61"/>
      <c r="H49" s="61"/>
      <c r="I49" s="61"/>
      <c r="J49" s="61"/>
      <c r="K49" s="61"/>
      <c r="L49" s="61"/>
      <c r="M49" s="61"/>
      <c r="N49" s="61"/>
      <c r="O49" s="61"/>
      <c r="P49" s="61"/>
      <c r="Q49" s="61"/>
      <c r="R49" s="61"/>
      <c r="S49" s="61"/>
      <c r="T49" s="61"/>
      <c r="U49" s="61"/>
      <c r="V49" s="61"/>
      <c r="W49" s="17"/>
      <c r="X49" s="17"/>
      <c r="Y49" s="17"/>
      <c r="Z49" s="17"/>
    </row>
    <row r="50" ht="17.25" customHeight="1">
      <c r="A50" s="3"/>
      <c r="B50" s="61"/>
      <c r="C50" s="61"/>
      <c r="D50" s="61"/>
      <c r="E50" s="61"/>
      <c r="F50" s="61"/>
      <c r="G50" s="61"/>
      <c r="H50" s="61"/>
      <c r="I50" s="61"/>
      <c r="J50" s="61"/>
      <c r="K50" s="61"/>
      <c r="L50" s="61"/>
      <c r="M50" s="61"/>
      <c r="N50" s="61"/>
      <c r="O50" s="61"/>
      <c r="P50" s="61"/>
      <c r="Q50" s="61"/>
      <c r="R50" s="61"/>
      <c r="S50" s="61"/>
      <c r="T50" s="61"/>
      <c r="U50" s="61"/>
      <c r="V50" s="61"/>
      <c r="W50" s="17"/>
      <c r="X50" s="17"/>
      <c r="Y50" s="17"/>
      <c r="Z50" s="17"/>
    </row>
    <row r="51" ht="17.25" customHeight="1">
      <c r="A51" s="3"/>
      <c r="B51" s="61"/>
      <c r="C51" s="61"/>
      <c r="D51" s="61"/>
      <c r="E51" s="61"/>
      <c r="F51" s="61"/>
      <c r="G51" s="61"/>
      <c r="H51" s="61"/>
      <c r="I51" s="61"/>
      <c r="J51" s="61"/>
      <c r="K51" s="61"/>
      <c r="L51" s="61"/>
      <c r="M51" s="61"/>
      <c r="N51" s="61"/>
      <c r="O51" s="61"/>
      <c r="P51" s="61"/>
      <c r="Q51" s="61"/>
      <c r="R51" s="61"/>
      <c r="S51" s="61"/>
      <c r="T51" s="61"/>
      <c r="U51" s="61"/>
      <c r="V51" s="61"/>
      <c r="W51" s="17"/>
      <c r="X51" s="17"/>
      <c r="Y51" s="17"/>
      <c r="Z51" s="17"/>
    </row>
    <row r="52" ht="17.25" customHeight="1">
      <c r="A52" s="3"/>
      <c r="B52" s="61"/>
      <c r="C52" s="61"/>
      <c r="D52" s="61"/>
      <c r="E52" s="61"/>
      <c r="F52" s="61"/>
      <c r="G52" s="61"/>
      <c r="H52" s="61"/>
      <c r="I52" s="61"/>
      <c r="J52" s="61"/>
      <c r="K52" s="61"/>
      <c r="L52" s="61"/>
      <c r="M52" s="61"/>
      <c r="N52" s="61"/>
      <c r="O52" s="61"/>
      <c r="P52" s="61"/>
      <c r="Q52" s="61"/>
      <c r="R52" s="61"/>
      <c r="S52" s="61"/>
      <c r="T52" s="61"/>
      <c r="U52" s="61"/>
      <c r="V52" s="61"/>
      <c r="W52" s="17"/>
      <c r="X52" s="17"/>
      <c r="Y52" s="17"/>
      <c r="Z52" s="17"/>
    </row>
    <row r="53" ht="17.25" customHeight="1">
      <c r="A53" s="3"/>
      <c r="B53" s="61"/>
      <c r="C53" s="61"/>
      <c r="D53" s="61"/>
      <c r="E53" s="61"/>
      <c r="F53" s="61"/>
      <c r="G53" s="61"/>
      <c r="H53" s="61"/>
      <c r="I53" s="61"/>
      <c r="J53" s="61"/>
      <c r="K53" s="61"/>
      <c r="L53" s="61"/>
      <c r="M53" s="61"/>
      <c r="N53" s="61"/>
      <c r="O53" s="61"/>
      <c r="P53" s="61"/>
      <c r="Q53" s="61"/>
      <c r="R53" s="61"/>
      <c r="S53" s="61"/>
      <c r="T53" s="61"/>
      <c r="U53" s="61"/>
      <c r="V53" s="61"/>
      <c r="W53" s="17"/>
      <c r="X53" s="17"/>
      <c r="Y53" s="17"/>
      <c r="Z53" s="17"/>
    </row>
    <row r="54" ht="17.25" customHeight="1">
      <c r="A54" s="3"/>
      <c r="B54" s="61"/>
      <c r="C54" s="61"/>
      <c r="D54" s="61"/>
      <c r="E54" s="61"/>
      <c r="F54" s="61"/>
      <c r="G54" s="61"/>
      <c r="H54" s="61"/>
      <c r="I54" s="61"/>
      <c r="J54" s="61"/>
      <c r="K54" s="61"/>
      <c r="L54" s="61"/>
      <c r="M54" s="61"/>
      <c r="N54" s="61"/>
      <c r="O54" s="61"/>
      <c r="P54" s="61"/>
      <c r="Q54" s="61"/>
      <c r="R54" s="61"/>
      <c r="S54" s="61"/>
      <c r="T54" s="61"/>
      <c r="U54" s="61"/>
      <c r="V54" s="61"/>
      <c r="W54" s="17"/>
      <c r="X54" s="17"/>
      <c r="Y54" s="17"/>
      <c r="Z54" s="17"/>
    </row>
    <row r="55" ht="17.25" customHeight="1">
      <c r="A55" s="3"/>
      <c r="B55" s="61"/>
      <c r="C55" s="61"/>
      <c r="D55" s="61"/>
      <c r="E55" s="61"/>
      <c r="F55" s="61"/>
      <c r="G55" s="61"/>
      <c r="H55" s="61"/>
      <c r="I55" s="61"/>
      <c r="J55" s="61"/>
      <c r="K55" s="61"/>
      <c r="L55" s="61"/>
      <c r="M55" s="61"/>
      <c r="N55" s="61"/>
      <c r="O55" s="61"/>
      <c r="P55" s="61"/>
      <c r="Q55" s="61"/>
      <c r="R55" s="61"/>
      <c r="S55" s="61"/>
      <c r="T55" s="61"/>
      <c r="U55" s="61"/>
      <c r="V55" s="61"/>
      <c r="W55" s="17"/>
      <c r="X55" s="17"/>
      <c r="Y55" s="17"/>
      <c r="Z55" s="17"/>
    </row>
    <row r="56" ht="17.25" customHeight="1">
      <c r="A56" s="3"/>
      <c r="B56" s="61"/>
      <c r="C56" s="61"/>
      <c r="D56" s="61"/>
      <c r="E56" s="61"/>
      <c r="F56" s="61"/>
      <c r="G56" s="61"/>
      <c r="H56" s="61"/>
      <c r="I56" s="61"/>
      <c r="J56" s="61"/>
      <c r="K56" s="61"/>
      <c r="L56" s="61"/>
      <c r="M56" s="61"/>
      <c r="N56" s="61"/>
      <c r="O56" s="61"/>
      <c r="P56" s="61"/>
      <c r="Q56" s="61"/>
      <c r="R56" s="61"/>
      <c r="S56" s="61"/>
      <c r="T56" s="61"/>
      <c r="U56" s="61"/>
      <c r="V56" s="61"/>
      <c r="W56" s="17"/>
      <c r="X56" s="17"/>
      <c r="Y56" s="17"/>
      <c r="Z56" s="17"/>
    </row>
    <row r="57" ht="17.25" customHeight="1">
      <c r="A57" s="3"/>
      <c r="B57" s="61"/>
      <c r="C57" s="61"/>
      <c r="D57" s="61"/>
      <c r="E57" s="61"/>
      <c r="F57" s="61"/>
      <c r="G57" s="61"/>
      <c r="H57" s="61"/>
      <c r="I57" s="61"/>
      <c r="J57" s="61"/>
      <c r="K57" s="61"/>
      <c r="L57" s="61"/>
      <c r="M57" s="61"/>
      <c r="N57" s="61"/>
      <c r="O57" s="61"/>
      <c r="P57" s="61"/>
      <c r="Q57" s="61"/>
      <c r="R57" s="61"/>
      <c r="S57" s="61"/>
      <c r="T57" s="61"/>
      <c r="U57" s="61"/>
      <c r="V57" s="61"/>
      <c r="W57" s="17"/>
      <c r="X57" s="17"/>
      <c r="Y57" s="17"/>
      <c r="Z57" s="17"/>
    </row>
    <row r="58" ht="17.25" customHeight="1">
      <c r="A58" s="3"/>
      <c r="B58" s="61"/>
      <c r="C58" s="61"/>
      <c r="D58" s="61"/>
      <c r="E58" s="61"/>
      <c r="F58" s="61"/>
      <c r="G58" s="61"/>
      <c r="H58" s="61"/>
      <c r="I58" s="61"/>
      <c r="J58" s="61"/>
      <c r="K58" s="61"/>
      <c r="L58" s="61"/>
      <c r="M58" s="61"/>
      <c r="N58" s="61"/>
      <c r="O58" s="61"/>
      <c r="P58" s="61"/>
      <c r="Q58" s="61"/>
      <c r="R58" s="61"/>
      <c r="S58" s="61"/>
      <c r="T58" s="61"/>
      <c r="U58" s="61"/>
      <c r="V58" s="61"/>
      <c r="W58" s="17"/>
      <c r="X58" s="17"/>
      <c r="Y58" s="17"/>
      <c r="Z58" s="17"/>
    </row>
    <row r="59" ht="17.25" customHeight="1">
      <c r="A59" s="3"/>
      <c r="B59" s="61"/>
      <c r="C59" s="61"/>
      <c r="D59" s="61"/>
      <c r="E59" s="61"/>
      <c r="F59" s="61"/>
      <c r="G59" s="61"/>
      <c r="H59" s="61"/>
      <c r="I59" s="61"/>
      <c r="J59" s="61"/>
      <c r="K59" s="61"/>
      <c r="L59" s="61"/>
      <c r="M59" s="61"/>
      <c r="N59" s="61"/>
      <c r="O59" s="61"/>
      <c r="P59" s="61"/>
      <c r="Q59" s="61"/>
      <c r="R59" s="61"/>
      <c r="S59" s="61"/>
      <c r="T59" s="61"/>
      <c r="U59" s="61"/>
      <c r="V59" s="61"/>
      <c r="W59" s="17"/>
      <c r="X59" s="17"/>
      <c r="Y59" s="17"/>
      <c r="Z59" s="17"/>
    </row>
    <row r="60" ht="17.25" customHeight="1">
      <c r="A60" s="3"/>
      <c r="B60" s="61"/>
      <c r="C60" s="61"/>
      <c r="D60" s="61"/>
      <c r="E60" s="61"/>
      <c r="F60" s="61"/>
      <c r="G60" s="61"/>
      <c r="H60" s="61"/>
      <c r="I60" s="61"/>
      <c r="J60" s="61"/>
      <c r="K60" s="61"/>
      <c r="L60" s="61"/>
      <c r="M60" s="61"/>
      <c r="N60" s="61"/>
      <c r="O60" s="61"/>
      <c r="P60" s="61"/>
      <c r="Q60" s="61"/>
      <c r="R60" s="61"/>
      <c r="S60" s="61"/>
      <c r="T60" s="61"/>
      <c r="U60" s="61"/>
      <c r="V60" s="61"/>
      <c r="W60" s="17"/>
      <c r="X60" s="17"/>
      <c r="Y60" s="17"/>
      <c r="Z60" s="17"/>
    </row>
    <row r="61" ht="17.25" customHeight="1">
      <c r="A61" s="3"/>
      <c r="B61" s="61"/>
      <c r="C61" s="61"/>
      <c r="D61" s="61"/>
      <c r="E61" s="61"/>
      <c r="F61" s="61"/>
      <c r="G61" s="61"/>
      <c r="H61" s="61"/>
      <c r="I61" s="61"/>
      <c r="J61" s="61"/>
      <c r="K61" s="61"/>
      <c r="L61" s="61"/>
      <c r="M61" s="61"/>
      <c r="N61" s="61"/>
      <c r="O61" s="61"/>
      <c r="P61" s="61"/>
      <c r="Q61" s="61"/>
      <c r="R61" s="61"/>
      <c r="S61" s="61"/>
      <c r="T61" s="61"/>
      <c r="U61" s="61"/>
      <c r="V61" s="61"/>
      <c r="W61" s="17"/>
      <c r="X61" s="17"/>
      <c r="Y61" s="17"/>
      <c r="Z61" s="17"/>
    </row>
    <row r="62" ht="17.25" customHeight="1">
      <c r="A62" s="3"/>
      <c r="B62" s="61"/>
      <c r="C62" s="61"/>
      <c r="D62" s="61"/>
      <c r="E62" s="61"/>
      <c r="F62" s="61"/>
      <c r="G62" s="61"/>
      <c r="H62" s="61"/>
      <c r="I62" s="61"/>
      <c r="J62" s="61"/>
      <c r="K62" s="61"/>
      <c r="L62" s="61"/>
      <c r="M62" s="61"/>
      <c r="N62" s="61"/>
      <c r="O62" s="61"/>
      <c r="P62" s="61"/>
      <c r="Q62" s="61"/>
      <c r="R62" s="61"/>
      <c r="S62" s="61"/>
      <c r="T62" s="61"/>
      <c r="U62" s="61"/>
      <c r="V62" s="61"/>
      <c r="W62" s="17"/>
      <c r="X62" s="17"/>
      <c r="Y62" s="17"/>
      <c r="Z62" s="17"/>
    </row>
    <row r="63" ht="17.25" customHeight="1">
      <c r="A63" s="3"/>
      <c r="B63" s="61"/>
      <c r="C63" s="61"/>
      <c r="D63" s="61"/>
      <c r="E63" s="61"/>
      <c r="F63" s="61"/>
      <c r="G63" s="61"/>
      <c r="H63" s="61"/>
      <c r="I63" s="61"/>
      <c r="J63" s="61"/>
      <c r="K63" s="61"/>
      <c r="L63" s="61"/>
      <c r="M63" s="61"/>
      <c r="N63" s="61"/>
      <c r="O63" s="61"/>
      <c r="P63" s="61"/>
      <c r="Q63" s="61"/>
      <c r="R63" s="61"/>
      <c r="S63" s="61"/>
      <c r="T63" s="61"/>
      <c r="U63" s="61"/>
      <c r="V63" s="61"/>
      <c r="W63" s="17"/>
      <c r="X63" s="17"/>
      <c r="Y63" s="17"/>
      <c r="Z63" s="17"/>
    </row>
    <row r="64" ht="17.25" customHeight="1">
      <c r="A64" s="3"/>
      <c r="B64" s="61"/>
      <c r="C64" s="61"/>
      <c r="D64" s="61"/>
      <c r="E64" s="61"/>
      <c r="F64" s="61"/>
      <c r="G64" s="61"/>
      <c r="H64" s="61"/>
      <c r="I64" s="61"/>
      <c r="J64" s="61"/>
      <c r="K64" s="61"/>
      <c r="L64" s="61"/>
      <c r="M64" s="61"/>
      <c r="N64" s="61"/>
      <c r="O64" s="61"/>
      <c r="P64" s="61"/>
      <c r="Q64" s="61"/>
      <c r="R64" s="61"/>
      <c r="S64" s="61"/>
      <c r="T64" s="61"/>
      <c r="U64" s="61"/>
      <c r="V64" s="61"/>
      <c r="W64" s="17"/>
      <c r="X64" s="17"/>
      <c r="Y64" s="17"/>
      <c r="Z64" s="17"/>
    </row>
    <row r="65" ht="17.25" customHeight="1">
      <c r="A65" s="3"/>
      <c r="B65" s="61"/>
      <c r="C65" s="61"/>
      <c r="D65" s="61"/>
      <c r="E65" s="61"/>
      <c r="F65" s="61"/>
      <c r="G65" s="61"/>
      <c r="H65" s="61"/>
      <c r="I65" s="61"/>
      <c r="J65" s="61"/>
      <c r="K65" s="61"/>
      <c r="L65" s="61"/>
      <c r="M65" s="61"/>
      <c r="N65" s="61"/>
      <c r="O65" s="61"/>
      <c r="P65" s="61"/>
      <c r="Q65" s="61"/>
      <c r="R65" s="61"/>
      <c r="S65" s="61"/>
      <c r="T65" s="61"/>
      <c r="U65" s="61"/>
      <c r="V65" s="61"/>
      <c r="W65" s="17"/>
      <c r="X65" s="17"/>
      <c r="Y65" s="17"/>
      <c r="Z65" s="17"/>
    </row>
    <row r="66" ht="17.25" customHeight="1">
      <c r="A66" s="3"/>
      <c r="B66" s="61"/>
      <c r="C66" s="61"/>
      <c r="D66" s="61"/>
      <c r="E66" s="61"/>
      <c r="F66" s="61"/>
      <c r="G66" s="61"/>
      <c r="H66" s="61"/>
      <c r="I66" s="61"/>
      <c r="J66" s="61"/>
      <c r="K66" s="61"/>
      <c r="L66" s="61"/>
      <c r="M66" s="61"/>
      <c r="N66" s="61"/>
      <c r="O66" s="61"/>
      <c r="P66" s="61"/>
      <c r="Q66" s="61"/>
      <c r="R66" s="61"/>
      <c r="S66" s="61"/>
      <c r="T66" s="61"/>
      <c r="U66" s="61"/>
      <c r="V66" s="61"/>
      <c r="W66" s="17"/>
      <c r="X66" s="17"/>
      <c r="Y66" s="17"/>
      <c r="Z66" s="17"/>
    </row>
    <row r="67" ht="17.25" customHeight="1">
      <c r="A67" s="3"/>
      <c r="B67" s="61"/>
      <c r="C67" s="61"/>
      <c r="D67" s="61"/>
      <c r="E67" s="61"/>
      <c r="F67" s="61"/>
      <c r="G67" s="61"/>
      <c r="H67" s="61"/>
      <c r="I67" s="61"/>
      <c r="J67" s="61"/>
      <c r="K67" s="61"/>
      <c r="L67" s="61"/>
      <c r="M67" s="61"/>
      <c r="N67" s="61"/>
      <c r="O67" s="61"/>
      <c r="P67" s="61"/>
      <c r="Q67" s="61"/>
      <c r="R67" s="61"/>
      <c r="S67" s="61"/>
      <c r="T67" s="61"/>
      <c r="U67" s="61"/>
      <c r="V67" s="61"/>
      <c r="W67" s="17"/>
      <c r="X67" s="17"/>
      <c r="Y67" s="17"/>
      <c r="Z67" s="17"/>
    </row>
    <row r="68" ht="17.25" customHeight="1">
      <c r="A68" s="3"/>
      <c r="B68" s="61"/>
      <c r="C68" s="61"/>
      <c r="D68" s="61"/>
      <c r="E68" s="61"/>
      <c r="F68" s="61"/>
      <c r="G68" s="61"/>
      <c r="H68" s="61"/>
      <c r="I68" s="61"/>
      <c r="J68" s="61"/>
      <c r="K68" s="61"/>
      <c r="L68" s="61"/>
      <c r="M68" s="61"/>
      <c r="N68" s="61"/>
      <c r="O68" s="61"/>
      <c r="P68" s="61"/>
      <c r="Q68" s="61"/>
      <c r="R68" s="61"/>
      <c r="S68" s="61"/>
      <c r="T68" s="61"/>
      <c r="U68" s="61"/>
      <c r="V68" s="61"/>
      <c r="W68" s="17"/>
      <c r="X68" s="17"/>
      <c r="Y68" s="17"/>
      <c r="Z68" s="17"/>
    </row>
    <row r="69" ht="17.25" customHeight="1">
      <c r="A69" s="3"/>
      <c r="B69" s="61"/>
      <c r="C69" s="61"/>
      <c r="D69" s="61"/>
      <c r="E69" s="61"/>
      <c r="F69" s="61"/>
      <c r="G69" s="61"/>
      <c r="H69" s="61"/>
      <c r="I69" s="61"/>
      <c r="J69" s="61"/>
      <c r="K69" s="61"/>
      <c r="L69" s="61"/>
      <c r="M69" s="61"/>
      <c r="N69" s="61"/>
      <c r="O69" s="61"/>
      <c r="P69" s="61"/>
      <c r="Q69" s="61"/>
      <c r="R69" s="61"/>
      <c r="S69" s="61"/>
      <c r="T69" s="61"/>
      <c r="U69" s="61"/>
      <c r="V69" s="61"/>
      <c r="W69" s="17"/>
      <c r="X69" s="17"/>
      <c r="Y69" s="17"/>
      <c r="Z69" s="17"/>
    </row>
    <row r="70" ht="17.25" customHeight="1">
      <c r="A70" s="3"/>
      <c r="B70" s="61"/>
      <c r="C70" s="61"/>
      <c r="D70" s="61"/>
      <c r="E70" s="61"/>
      <c r="F70" s="61"/>
      <c r="G70" s="61"/>
      <c r="H70" s="61"/>
      <c r="I70" s="61"/>
      <c r="J70" s="61"/>
      <c r="K70" s="61"/>
      <c r="L70" s="61"/>
      <c r="M70" s="61"/>
      <c r="N70" s="61"/>
      <c r="O70" s="61"/>
      <c r="P70" s="61"/>
      <c r="Q70" s="61"/>
      <c r="R70" s="61"/>
      <c r="S70" s="61"/>
      <c r="T70" s="61"/>
      <c r="U70" s="61"/>
      <c r="V70" s="61"/>
      <c r="W70" s="17"/>
      <c r="X70" s="17"/>
      <c r="Y70" s="17"/>
      <c r="Z70" s="17"/>
    </row>
    <row r="71" ht="17.25" customHeight="1">
      <c r="A71" s="3"/>
      <c r="B71" s="61"/>
      <c r="C71" s="61"/>
      <c r="D71" s="61"/>
      <c r="E71" s="61"/>
      <c r="F71" s="61"/>
      <c r="G71" s="61"/>
      <c r="H71" s="61"/>
      <c r="I71" s="61"/>
      <c r="J71" s="61"/>
      <c r="K71" s="61"/>
      <c r="L71" s="61"/>
      <c r="M71" s="61"/>
      <c r="N71" s="61"/>
      <c r="O71" s="61"/>
      <c r="P71" s="61"/>
      <c r="Q71" s="61"/>
      <c r="R71" s="61"/>
      <c r="S71" s="61"/>
      <c r="T71" s="61"/>
      <c r="U71" s="61"/>
      <c r="V71" s="61"/>
      <c r="W71" s="17"/>
      <c r="X71" s="17"/>
      <c r="Y71" s="17"/>
      <c r="Z71" s="17"/>
    </row>
    <row r="72" ht="17.25" customHeight="1">
      <c r="A72" s="3"/>
      <c r="B72" s="61"/>
      <c r="C72" s="61"/>
      <c r="D72" s="61"/>
      <c r="E72" s="61"/>
      <c r="F72" s="61"/>
      <c r="G72" s="61"/>
      <c r="H72" s="61"/>
      <c r="I72" s="61"/>
      <c r="J72" s="61"/>
      <c r="K72" s="61"/>
      <c r="L72" s="61"/>
      <c r="M72" s="61"/>
      <c r="N72" s="61"/>
      <c r="O72" s="61"/>
      <c r="P72" s="61"/>
      <c r="Q72" s="61"/>
      <c r="R72" s="61"/>
      <c r="S72" s="61"/>
      <c r="T72" s="61"/>
      <c r="U72" s="61"/>
      <c r="V72" s="61"/>
      <c r="W72" s="17"/>
      <c r="X72" s="17"/>
      <c r="Y72" s="17"/>
      <c r="Z72" s="17"/>
    </row>
    <row r="73" ht="17.25" customHeight="1">
      <c r="A73" s="3"/>
      <c r="B73" s="61"/>
      <c r="C73" s="61"/>
      <c r="D73" s="61"/>
      <c r="E73" s="61"/>
      <c r="F73" s="61"/>
      <c r="G73" s="61"/>
      <c r="H73" s="61"/>
      <c r="I73" s="61"/>
      <c r="J73" s="61"/>
      <c r="K73" s="61"/>
      <c r="L73" s="61"/>
      <c r="M73" s="61"/>
      <c r="N73" s="61"/>
      <c r="O73" s="61"/>
      <c r="P73" s="61"/>
      <c r="Q73" s="61"/>
      <c r="R73" s="61"/>
      <c r="S73" s="61"/>
      <c r="T73" s="61"/>
      <c r="U73" s="61"/>
      <c r="V73" s="61"/>
      <c r="W73" s="17"/>
      <c r="X73" s="17"/>
      <c r="Y73" s="17"/>
      <c r="Z73" s="17"/>
    </row>
    <row r="74" ht="17.25" customHeight="1">
      <c r="A74" s="3"/>
      <c r="B74" s="61"/>
      <c r="C74" s="61"/>
      <c r="D74" s="61"/>
      <c r="E74" s="61"/>
      <c r="F74" s="61"/>
      <c r="G74" s="61"/>
      <c r="H74" s="61"/>
      <c r="I74" s="61"/>
      <c r="J74" s="61"/>
      <c r="K74" s="61"/>
      <c r="L74" s="61"/>
      <c r="M74" s="61"/>
      <c r="N74" s="61"/>
      <c r="O74" s="61"/>
      <c r="P74" s="61"/>
      <c r="Q74" s="61"/>
      <c r="R74" s="61"/>
      <c r="S74" s="61"/>
      <c r="T74" s="61"/>
      <c r="U74" s="61"/>
      <c r="V74" s="61"/>
      <c r="W74" s="17"/>
      <c r="X74" s="17"/>
      <c r="Y74" s="17"/>
      <c r="Z74" s="17"/>
    </row>
    <row r="75" ht="17.25" customHeight="1">
      <c r="A75" s="3"/>
      <c r="B75" s="61"/>
      <c r="C75" s="61"/>
      <c r="D75" s="61"/>
      <c r="E75" s="61"/>
      <c r="F75" s="61"/>
      <c r="G75" s="61"/>
      <c r="H75" s="61"/>
      <c r="I75" s="61"/>
      <c r="J75" s="61"/>
      <c r="K75" s="61"/>
      <c r="L75" s="61"/>
      <c r="M75" s="61"/>
      <c r="N75" s="61"/>
      <c r="O75" s="61"/>
      <c r="P75" s="61"/>
      <c r="Q75" s="61"/>
      <c r="R75" s="61"/>
      <c r="S75" s="61"/>
      <c r="T75" s="61"/>
      <c r="U75" s="61"/>
      <c r="V75" s="61"/>
      <c r="W75" s="17"/>
      <c r="X75" s="17"/>
      <c r="Y75" s="17"/>
      <c r="Z75" s="17"/>
    </row>
    <row r="76" ht="17.25" customHeight="1">
      <c r="A76" s="3"/>
      <c r="B76" s="61"/>
      <c r="C76" s="61"/>
      <c r="D76" s="61"/>
      <c r="E76" s="61"/>
      <c r="F76" s="61"/>
      <c r="G76" s="61"/>
      <c r="H76" s="61"/>
      <c r="I76" s="61"/>
      <c r="J76" s="61"/>
      <c r="K76" s="61"/>
      <c r="L76" s="61"/>
      <c r="M76" s="61"/>
      <c r="N76" s="61"/>
      <c r="O76" s="61"/>
      <c r="P76" s="61"/>
      <c r="Q76" s="61"/>
      <c r="R76" s="61"/>
      <c r="S76" s="61"/>
      <c r="T76" s="61"/>
      <c r="U76" s="61"/>
      <c r="V76" s="61"/>
      <c r="W76" s="17"/>
      <c r="X76" s="17"/>
      <c r="Y76" s="17"/>
      <c r="Z76" s="17"/>
    </row>
    <row r="77" ht="17.25" customHeight="1">
      <c r="A77" s="3"/>
      <c r="B77" s="61"/>
      <c r="C77" s="61"/>
      <c r="D77" s="61"/>
      <c r="E77" s="61"/>
      <c r="F77" s="61"/>
      <c r="G77" s="61"/>
      <c r="H77" s="61"/>
      <c r="I77" s="61"/>
      <c r="J77" s="61"/>
      <c r="K77" s="61"/>
      <c r="L77" s="61"/>
      <c r="M77" s="61"/>
      <c r="N77" s="61"/>
      <c r="O77" s="61"/>
      <c r="P77" s="61"/>
      <c r="Q77" s="61"/>
      <c r="R77" s="61"/>
      <c r="S77" s="61"/>
      <c r="T77" s="61"/>
      <c r="U77" s="61"/>
      <c r="V77" s="61"/>
      <c r="W77" s="17"/>
      <c r="X77" s="17"/>
      <c r="Y77" s="17"/>
      <c r="Z77" s="17"/>
    </row>
    <row r="78" ht="17.25" customHeight="1">
      <c r="A78" s="3"/>
      <c r="B78" s="61"/>
      <c r="C78" s="61"/>
      <c r="D78" s="61"/>
      <c r="E78" s="61"/>
      <c r="F78" s="61"/>
      <c r="G78" s="61"/>
      <c r="H78" s="61"/>
      <c r="I78" s="61"/>
      <c r="J78" s="61"/>
      <c r="K78" s="61"/>
      <c r="L78" s="61"/>
      <c r="M78" s="61"/>
      <c r="N78" s="61"/>
      <c r="O78" s="61"/>
      <c r="P78" s="61"/>
      <c r="Q78" s="61"/>
      <c r="R78" s="61"/>
      <c r="S78" s="61"/>
      <c r="T78" s="61"/>
      <c r="U78" s="61"/>
      <c r="V78" s="61"/>
      <c r="W78" s="17"/>
      <c r="X78" s="17"/>
      <c r="Y78" s="17"/>
      <c r="Z78" s="17"/>
    </row>
    <row r="79" ht="17.25" customHeight="1">
      <c r="A79" s="3"/>
      <c r="B79" s="61"/>
      <c r="C79" s="61"/>
      <c r="D79" s="61"/>
      <c r="E79" s="61"/>
      <c r="F79" s="61"/>
      <c r="G79" s="61"/>
      <c r="H79" s="61"/>
      <c r="I79" s="61"/>
      <c r="J79" s="61"/>
      <c r="K79" s="61"/>
      <c r="L79" s="61"/>
      <c r="M79" s="61"/>
      <c r="N79" s="61"/>
      <c r="O79" s="61"/>
      <c r="P79" s="61"/>
      <c r="Q79" s="61"/>
      <c r="R79" s="61"/>
      <c r="S79" s="61"/>
      <c r="T79" s="61"/>
      <c r="U79" s="61"/>
      <c r="V79" s="61"/>
      <c r="W79" s="17"/>
      <c r="X79" s="17"/>
      <c r="Y79" s="17"/>
      <c r="Z79" s="17"/>
    </row>
    <row r="80" ht="17.25" customHeight="1">
      <c r="A80" s="3"/>
      <c r="B80" s="61"/>
      <c r="C80" s="61"/>
      <c r="D80" s="61"/>
      <c r="E80" s="61"/>
      <c r="F80" s="61"/>
      <c r="G80" s="61"/>
      <c r="H80" s="61"/>
      <c r="I80" s="61"/>
      <c r="J80" s="61"/>
      <c r="K80" s="61"/>
      <c r="L80" s="61"/>
      <c r="M80" s="61"/>
      <c r="N80" s="61"/>
      <c r="O80" s="61"/>
      <c r="P80" s="61"/>
      <c r="Q80" s="61"/>
      <c r="R80" s="61"/>
      <c r="S80" s="61"/>
      <c r="T80" s="61"/>
      <c r="U80" s="61"/>
      <c r="V80" s="61"/>
      <c r="W80" s="17"/>
      <c r="X80" s="17"/>
      <c r="Y80" s="17"/>
      <c r="Z80" s="17"/>
    </row>
    <row r="81" ht="17.25" customHeight="1">
      <c r="A81" s="3"/>
      <c r="B81" s="61"/>
      <c r="C81" s="61"/>
      <c r="D81" s="61"/>
      <c r="E81" s="61"/>
      <c r="F81" s="61"/>
      <c r="G81" s="61"/>
      <c r="H81" s="61"/>
      <c r="I81" s="61"/>
      <c r="J81" s="61"/>
      <c r="K81" s="61"/>
      <c r="L81" s="61"/>
      <c r="M81" s="61"/>
      <c r="N81" s="61"/>
      <c r="O81" s="61"/>
      <c r="P81" s="61"/>
      <c r="Q81" s="61"/>
      <c r="R81" s="61"/>
      <c r="S81" s="61"/>
      <c r="T81" s="61"/>
      <c r="U81" s="61"/>
      <c r="V81" s="61"/>
      <c r="W81" s="17"/>
      <c r="X81" s="17"/>
      <c r="Y81" s="17"/>
      <c r="Z81" s="17"/>
    </row>
    <row r="82" ht="17.25" customHeight="1">
      <c r="A82" s="3"/>
      <c r="B82" s="61"/>
      <c r="C82" s="61"/>
      <c r="D82" s="61"/>
      <c r="E82" s="61"/>
      <c r="F82" s="61"/>
      <c r="G82" s="61"/>
      <c r="H82" s="61"/>
      <c r="I82" s="61"/>
      <c r="J82" s="61"/>
      <c r="K82" s="61"/>
      <c r="L82" s="61"/>
      <c r="M82" s="61"/>
      <c r="N82" s="61"/>
      <c r="O82" s="61"/>
      <c r="P82" s="61"/>
      <c r="Q82" s="61"/>
      <c r="R82" s="61"/>
      <c r="S82" s="61"/>
      <c r="T82" s="61"/>
      <c r="U82" s="61"/>
      <c r="V82" s="61"/>
      <c r="W82" s="17"/>
      <c r="X82" s="17"/>
      <c r="Y82" s="17"/>
      <c r="Z82" s="17"/>
    </row>
    <row r="83" ht="17.25" customHeight="1">
      <c r="A83" s="3"/>
      <c r="B83" s="61"/>
      <c r="C83" s="61"/>
      <c r="D83" s="61"/>
      <c r="E83" s="61"/>
      <c r="F83" s="61"/>
      <c r="G83" s="61"/>
      <c r="H83" s="61"/>
      <c r="I83" s="61"/>
      <c r="J83" s="61"/>
      <c r="K83" s="61"/>
      <c r="L83" s="61"/>
      <c r="M83" s="61"/>
      <c r="N83" s="61"/>
      <c r="O83" s="61"/>
      <c r="P83" s="61"/>
      <c r="Q83" s="61"/>
      <c r="R83" s="61"/>
      <c r="S83" s="61"/>
      <c r="T83" s="61"/>
      <c r="U83" s="61"/>
      <c r="V83" s="61"/>
      <c r="W83" s="17"/>
      <c r="X83" s="17"/>
      <c r="Y83" s="17"/>
      <c r="Z83" s="17"/>
    </row>
    <row r="84" ht="17.25" customHeight="1">
      <c r="A84" s="3"/>
      <c r="B84" s="61"/>
      <c r="C84" s="61"/>
      <c r="D84" s="61"/>
      <c r="E84" s="61"/>
      <c r="F84" s="61"/>
      <c r="G84" s="61"/>
      <c r="H84" s="61"/>
      <c r="I84" s="61"/>
      <c r="J84" s="61"/>
      <c r="K84" s="61"/>
      <c r="L84" s="61"/>
      <c r="M84" s="61"/>
      <c r="N84" s="61"/>
      <c r="O84" s="61"/>
      <c r="P84" s="61"/>
      <c r="Q84" s="61"/>
      <c r="R84" s="61"/>
      <c r="S84" s="61"/>
      <c r="T84" s="61"/>
      <c r="U84" s="61"/>
      <c r="V84" s="61"/>
      <c r="W84" s="17"/>
      <c r="X84" s="17"/>
      <c r="Y84" s="17"/>
      <c r="Z84" s="17"/>
    </row>
    <row r="85" ht="17.25" customHeight="1">
      <c r="A85" s="3"/>
      <c r="B85" s="61"/>
      <c r="C85" s="61"/>
      <c r="D85" s="61"/>
      <c r="E85" s="61"/>
      <c r="F85" s="61"/>
      <c r="G85" s="61"/>
      <c r="H85" s="61"/>
      <c r="I85" s="61"/>
      <c r="J85" s="61"/>
      <c r="K85" s="61"/>
      <c r="L85" s="61"/>
      <c r="M85" s="61"/>
      <c r="N85" s="61"/>
      <c r="O85" s="61"/>
      <c r="P85" s="61"/>
      <c r="Q85" s="61"/>
      <c r="R85" s="61"/>
      <c r="S85" s="61"/>
      <c r="T85" s="61"/>
      <c r="U85" s="61"/>
      <c r="V85" s="61"/>
      <c r="W85" s="17"/>
      <c r="X85" s="17"/>
      <c r="Y85" s="17"/>
      <c r="Z85" s="17"/>
    </row>
    <row r="86" ht="17.25" customHeight="1">
      <c r="A86" s="3"/>
      <c r="B86" s="61"/>
      <c r="C86" s="61"/>
      <c r="D86" s="61"/>
      <c r="E86" s="61"/>
      <c r="F86" s="61"/>
      <c r="G86" s="61"/>
      <c r="H86" s="61"/>
      <c r="I86" s="61"/>
      <c r="J86" s="61"/>
      <c r="K86" s="61"/>
      <c r="L86" s="61"/>
      <c r="M86" s="61"/>
      <c r="N86" s="61"/>
      <c r="O86" s="61"/>
      <c r="P86" s="61"/>
      <c r="Q86" s="61"/>
      <c r="R86" s="61"/>
      <c r="S86" s="61"/>
      <c r="T86" s="61"/>
      <c r="U86" s="61"/>
      <c r="V86" s="61"/>
      <c r="W86" s="17"/>
      <c r="X86" s="17"/>
      <c r="Y86" s="17"/>
      <c r="Z86" s="17"/>
    </row>
    <row r="87" ht="17.25" customHeight="1">
      <c r="A87" s="3"/>
      <c r="B87" s="61"/>
      <c r="C87" s="61"/>
      <c r="D87" s="61"/>
      <c r="E87" s="61"/>
      <c r="F87" s="61"/>
      <c r="G87" s="61"/>
      <c r="H87" s="61"/>
      <c r="I87" s="61"/>
      <c r="J87" s="61"/>
      <c r="K87" s="61"/>
      <c r="L87" s="61"/>
      <c r="M87" s="61"/>
      <c r="N87" s="61"/>
      <c r="O87" s="61"/>
      <c r="P87" s="61"/>
      <c r="Q87" s="61"/>
      <c r="R87" s="61"/>
      <c r="S87" s="61"/>
      <c r="T87" s="61"/>
      <c r="U87" s="61"/>
      <c r="V87" s="61"/>
      <c r="W87" s="17"/>
      <c r="X87" s="17"/>
      <c r="Y87" s="17"/>
      <c r="Z87" s="17"/>
    </row>
    <row r="88" ht="17.25" customHeight="1">
      <c r="A88" s="3"/>
      <c r="B88" s="61"/>
      <c r="C88" s="61"/>
      <c r="D88" s="61"/>
      <c r="E88" s="61"/>
      <c r="F88" s="61"/>
      <c r="G88" s="61"/>
      <c r="H88" s="61"/>
      <c r="I88" s="61"/>
      <c r="J88" s="61"/>
      <c r="K88" s="61"/>
      <c r="L88" s="61"/>
      <c r="M88" s="61"/>
      <c r="N88" s="61"/>
      <c r="O88" s="61"/>
      <c r="P88" s="61"/>
      <c r="Q88" s="61"/>
      <c r="R88" s="61"/>
      <c r="S88" s="61"/>
      <c r="T88" s="61"/>
      <c r="U88" s="61"/>
      <c r="V88" s="61"/>
      <c r="W88" s="17"/>
      <c r="X88" s="17"/>
      <c r="Y88" s="17"/>
      <c r="Z88" s="17"/>
    </row>
    <row r="89" ht="17.25" customHeight="1">
      <c r="A89" s="3"/>
      <c r="B89" s="61"/>
      <c r="C89" s="61"/>
      <c r="D89" s="61"/>
      <c r="E89" s="61"/>
      <c r="F89" s="61"/>
      <c r="G89" s="61"/>
      <c r="H89" s="61"/>
      <c r="I89" s="61"/>
      <c r="J89" s="61"/>
      <c r="K89" s="61"/>
      <c r="L89" s="61"/>
      <c r="M89" s="61"/>
      <c r="N89" s="61"/>
      <c r="O89" s="61"/>
      <c r="P89" s="61"/>
      <c r="Q89" s="61"/>
      <c r="R89" s="61"/>
      <c r="S89" s="61"/>
      <c r="T89" s="61"/>
      <c r="U89" s="61"/>
      <c r="V89" s="61"/>
      <c r="W89" s="17"/>
      <c r="X89" s="17"/>
      <c r="Y89" s="17"/>
      <c r="Z89" s="17"/>
    </row>
    <row r="90" ht="17.25" customHeight="1">
      <c r="A90" s="3"/>
      <c r="B90" s="61"/>
      <c r="C90" s="61"/>
      <c r="D90" s="61"/>
      <c r="E90" s="61"/>
      <c r="F90" s="61"/>
      <c r="G90" s="61"/>
      <c r="H90" s="61"/>
      <c r="I90" s="61"/>
      <c r="J90" s="61"/>
      <c r="K90" s="61"/>
      <c r="L90" s="61"/>
      <c r="M90" s="61"/>
      <c r="N90" s="61"/>
      <c r="O90" s="61"/>
      <c r="P90" s="61"/>
      <c r="Q90" s="61"/>
      <c r="R90" s="61"/>
      <c r="S90" s="61"/>
      <c r="T90" s="61"/>
      <c r="U90" s="61"/>
      <c r="V90" s="61"/>
      <c r="W90" s="17"/>
      <c r="X90" s="17"/>
      <c r="Y90" s="17"/>
      <c r="Z90" s="17"/>
    </row>
    <row r="91" ht="17.25" customHeight="1">
      <c r="A91" s="3"/>
      <c r="B91" s="61"/>
      <c r="C91" s="61"/>
      <c r="D91" s="61"/>
      <c r="E91" s="61"/>
      <c r="F91" s="61"/>
      <c r="G91" s="61"/>
      <c r="H91" s="61"/>
      <c r="I91" s="61"/>
      <c r="J91" s="61"/>
      <c r="K91" s="61"/>
      <c r="L91" s="61"/>
      <c r="M91" s="61"/>
      <c r="N91" s="61"/>
      <c r="O91" s="61"/>
      <c r="P91" s="61"/>
      <c r="Q91" s="61"/>
      <c r="R91" s="61"/>
      <c r="S91" s="61"/>
      <c r="T91" s="61"/>
      <c r="U91" s="61"/>
      <c r="V91" s="61"/>
      <c r="W91" s="17"/>
      <c r="X91" s="17"/>
      <c r="Y91" s="17"/>
      <c r="Z91" s="17"/>
    </row>
    <row r="92" ht="17.25" customHeight="1">
      <c r="A92" s="3"/>
      <c r="B92" s="61"/>
      <c r="C92" s="61"/>
      <c r="D92" s="61"/>
      <c r="E92" s="61"/>
      <c r="F92" s="61"/>
      <c r="G92" s="61"/>
      <c r="H92" s="61"/>
      <c r="I92" s="61"/>
      <c r="J92" s="61"/>
      <c r="K92" s="61"/>
      <c r="L92" s="61"/>
      <c r="M92" s="61"/>
      <c r="N92" s="61"/>
      <c r="O92" s="61"/>
      <c r="P92" s="61"/>
      <c r="Q92" s="61"/>
      <c r="R92" s="61"/>
      <c r="S92" s="61"/>
      <c r="T92" s="61"/>
      <c r="U92" s="61"/>
      <c r="V92" s="61"/>
      <c r="W92" s="17"/>
      <c r="X92" s="17"/>
      <c r="Y92" s="17"/>
      <c r="Z92" s="17"/>
    </row>
    <row r="93" ht="17.25" customHeight="1">
      <c r="A93" s="3"/>
      <c r="B93" s="61"/>
      <c r="C93" s="61"/>
      <c r="D93" s="61"/>
      <c r="E93" s="61"/>
      <c r="F93" s="61"/>
      <c r="G93" s="61"/>
      <c r="H93" s="61"/>
      <c r="I93" s="61"/>
      <c r="J93" s="61"/>
      <c r="K93" s="61"/>
      <c r="L93" s="61"/>
      <c r="M93" s="61"/>
      <c r="N93" s="61"/>
      <c r="O93" s="61"/>
      <c r="P93" s="61"/>
      <c r="Q93" s="61"/>
      <c r="R93" s="61"/>
      <c r="S93" s="61"/>
      <c r="T93" s="61"/>
      <c r="U93" s="61"/>
      <c r="V93" s="61"/>
      <c r="W93" s="17"/>
      <c r="X93" s="17"/>
      <c r="Y93" s="17"/>
      <c r="Z93" s="17"/>
    </row>
    <row r="94" ht="17.25" customHeight="1">
      <c r="A94" s="3"/>
      <c r="B94" s="61"/>
      <c r="C94" s="61"/>
      <c r="D94" s="61"/>
      <c r="E94" s="61"/>
      <c r="F94" s="61"/>
      <c r="G94" s="61"/>
      <c r="H94" s="61"/>
      <c r="I94" s="61"/>
      <c r="J94" s="61"/>
      <c r="K94" s="61"/>
      <c r="L94" s="61"/>
      <c r="M94" s="61"/>
      <c r="N94" s="61"/>
      <c r="O94" s="61"/>
      <c r="P94" s="61"/>
      <c r="Q94" s="61"/>
      <c r="R94" s="61"/>
      <c r="S94" s="61"/>
      <c r="T94" s="61"/>
      <c r="U94" s="61"/>
      <c r="V94" s="61"/>
      <c r="W94" s="17"/>
      <c r="X94" s="17"/>
      <c r="Y94" s="17"/>
      <c r="Z94" s="17"/>
    </row>
    <row r="95" ht="17.25" customHeight="1">
      <c r="A95" s="3"/>
      <c r="B95" s="61"/>
      <c r="C95" s="61"/>
      <c r="D95" s="61"/>
      <c r="E95" s="61"/>
      <c r="F95" s="61"/>
      <c r="G95" s="61"/>
      <c r="H95" s="61"/>
      <c r="I95" s="61"/>
      <c r="J95" s="61"/>
      <c r="K95" s="61"/>
      <c r="L95" s="61"/>
      <c r="M95" s="61"/>
      <c r="N95" s="61"/>
      <c r="O95" s="61"/>
      <c r="P95" s="61"/>
      <c r="Q95" s="61"/>
      <c r="R95" s="61"/>
      <c r="S95" s="61"/>
      <c r="T95" s="61"/>
      <c r="U95" s="61"/>
      <c r="V95" s="61"/>
      <c r="W95" s="17"/>
      <c r="X95" s="17"/>
      <c r="Y95" s="17"/>
      <c r="Z95" s="17"/>
    </row>
    <row r="96" ht="17.25" customHeight="1">
      <c r="A96" s="3"/>
      <c r="B96" s="61"/>
      <c r="C96" s="61"/>
      <c r="D96" s="61"/>
      <c r="E96" s="61"/>
      <c r="F96" s="61"/>
      <c r="G96" s="61"/>
      <c r="H96" s="61"/>
      <c r="I96" s="61"/>
      <c r="J96" s="61"/>
      <c r="K96" s="61"/>
      <c r="L96" s="61"/>
      <c r="M96" s="61"/>
      <c r="N96" s="61"/>
      <c r="O96" s="61"/>
      <c r="P96" s="61"/>
      <c r="Q96" s="61"/>
      <c r="R96" s="61"/>
      <c r="S96" s="61"/>
      <c r="T96" s="61"/>
      <c r="U96" s="61"/>
      <c r="V96" s="61"/>
      <c r="W96" s="17"/>
      <c r="X96" s="17"/>
      <c r="Y96" s="17"/>
      <c r="Z96" s="17"/>
    </row>
    <row r="97" ht="17.25" customHeight="1">
      <c r="A97" s="3"/>
      <c r="B97" s="61"/>
      <c r="C97" s="61"/>
      <c r="D97" s="61"/>
      <c r="E97" s="61"/>
      <c r="F97" s="61"/>
      <c r="G97" s="61"/>
      <c r="H97" s="61"/>
      <c r="I97" s="61"/>
      <c r="J97" s="61"/>
      <c r="K97" s="61"/>
      <c r="L97" s="61"/>
      <c r="M97" s="61"/>
      <c r="N97" s="61"/>
      <c r="O97" s="61"/>
      <c r="P97" s="61"/>
      <c r="Q97" s="61"/>
      <c r="R97" s="61"/>
      <c r="S97" s="61"/>
      <c r="T97" s="61"/>
      <c r="U97" s="61"/>
      <c r="V97" s="61"/>
      <c r="W97" s="17"/>
      <c r="X97" s="17"/>
      <c r="Y97" s="17"/>
      <c r="Z97" s="17"/>
    </row>
    <row r="98" ht="17.25" customHeight="1">
      <c r="A98" s="3"/>
      <c r="B98" s="61"/>
      <c r="C98" s="61"/>
      <c r="D98" s="61"/>
      <c r="E98" s="61"/>
      <c r="F98" s="61"/>
      <c r="G98" s="61"/>
      <c r="H98" s="61"/>
      <c r="I98" s="61"/>
      <c r="J98" s="61"/>
      <c r="K98" s="61"/>
      <c r="L98" s="61"/>
      <c r="M98" s="61"/>
      <c r="N98" s="61"/>
      <c r="O98" s="61"/>
      <c r="P98" s="61"/>
      <c r="Q98" s="61"/>
      <c r="R98" s="61"/>
      <c r="S98" s="61"/>
      <c r="T98" s="61"/>
      <c r="U98" s="61"/>
      <c r="V98" s="61"/>
      <c r="W98" s="17"/>
      <c r="X98" s="17"/>
      <c r="Y98" s="17"/>
      <c r="Z98" s="17"/>
    </row>
    <row r="99" ht="17.25" customHeight="1">
      <c r="A99" s="3"/>
      <c r="B99" s="61"/>
      <c r="C99" s="61"/>
      <c r="D99" s="61"/>
      <c r="E99" s="61"/>
      <c r="F99" s="61"/>
      <c r="G99" s="61"/>
      <c r="H99" s="61"/>
      <c r="I99" s="61"/>
      <c r="J99" s="61"/>
      <c r="K99" s="61"/>
      <c r="L99" s="61"/>
      <c r="M99" s="61"/>
      <c r="N99" s="61"/>
      <c r="O99" s="61"/>
      <c r="P99" s="61"/>
      <c r="Q99" s="61"/>
      <c r="R99" s="61"/>
      <c r="S99" s="61"/>
      <c r="T99" s="61"/>
      <c r="U99" s="61"/>
      <c r="V99" s="61"/>
      <c r="W99" s="17"/>
      <c r="X99" s="17"/>
      <c r="Y99" s="17"/>
      <c r="Z99" s="17"/>
    </row>
    <row r="100" ht="17.25" customHeight="1">
      <c r="A100" s="3"/>
      <c r="B100" s="61"/>
      <c r="C100" s="61"/>
      <c r="D100" s="61"/>
      <c r="E100" s="61"/>
      <c r="F100" s="61"/>
      <c r="G100" s="61"/>
      <c r="H100" s="61"/>
      <c r="I100" s="61"/>
      <c r="J100" s="61"/>
      <c r="K100" s="61"/>
      <c r="L100" s="61"/>
      <c r="M100" s="61"/>
      <c r="N100" s="61"/>
      <c r="O100" s="61"/>
      <c r="P100" s="61"/>
      <c r="Q100" s="61"/>
      <c r="R100" s="61"/>
      <c r="S100" s="61"/>
      <c r="T100" s="61"/>
      <c r="U100" s="61"/>
      <c r="V100" s="61"/>
      <c r="W100" s="17"/>
      <c r="X100" s="17"/>
      <c r="Y100" s="17"/>
      <c r="Z100" s="17"/>
    </row>
    <row r="101" ht="17.25" customHeight="1">
      <c r="A101" s="3"/>
      <c r="B101" s="61"/>
      <c r="C101" s="61"/>
      <c r="D101" s="61"/>
      <c r="E101" s="61"/>
      <c r="F101" s="61"/>
      <c r="G101" s="61"/>
      <c r="H101" s="61"/>
      <c r="I101" s="61"/>
      <c r="J101" s="61"/>
      <c r="K101" s="61"/>
      <c r="L101" s="61"/>
      <c r="M101" s="61"/>
      <c r="N101" s="61"/>
      <c r="O101" s="61"/>
      <c r="P101" s="61"/>
      <c r="Q101" s="61"/>
      <c r="R101" s="61"/>
      <c r="S101" s="61"/>
      <c r="T101" s="61"/>
      <c r="U101" s="61"/>
      <c r="V101" s="61"/>
      <c r="W101" s="17"/>
      <c r="X101" s="17"/>
      <c r="Y101" s="17"/>
      <c r="Z101" s="17"/>
    </row>
    <row r="102" ht="17.25" customHeight="1">
      <c r="A102" s="3"/>
      <c r="B102" s="61"/>
      <c r="C102" s="61"/>
      <c r="D102" s="61"/>
      <c r="E102" s="61"/>
      <c r="F102" s="61"/>
      <c r="G102" s="61"/>
      <c r="H102" s="61"/>
      <c r="I102" s="61"/>
      <c r="J102" s="61"/>
      <c r="K102" s="61"/>
      <c r="L102" s="61"/>
      <c r="M102" s="61"/>
      <c r="N102" s="61"/>
      <c r="O102" s="61"/>
      <c r="P102" s="61"/>
      <c r="Q102" s="61"/>
      <c r="R102" s="61"/>
      <c r="S102" s="61"/>
      <c r="T102" s="61"/>
      <c r="U102" s="61"/>
      <c r="V102" s="61"/>
      <c r="W102" s="17"/>
      <c r="X102" s="17"/>
      <c r="Y102" s="17"/>
      <c r="Z102" s="17"/>
    </row>
    <row r="103" ht="17.25" customHeight="1">
      <c r="A103" s="3"/>
      <c r="B103" s="61"/>
      <c r="C103" s="61"/>
      <c r="D103" s="61"/>
      <c r="E103" s="61"/>
      <c r="F103" s="61"/>
      <c r="G103" s="61"/>
      <c r="H103" s="61"/>
      <c r="I103" s="61"/>
      <c r="J103" s="61"/>
      <c r="K103" s="61"/>
      <c r="L103" s="61"/>
      <c r="M103" s="61"/>
      <c r="N103" s="61"/>
      <c r="O103" s="61"/>
      <c r="P103" s="61"/>
      <c r="Q103" s="61"/>
      <c r="R103" s="61"/>
      <c r="S103" s="61"/>
      <c r="T103" s="61"/>
      <c r="U103" s="61"/>
      <c r="V103" s="61"/>
      <c r="W103" s="17"/>
      <c r="X103" s="17"/>
      <c r="Y103" s="17"/>
      <c r="Z103" s="17"/>
    </row>
    <row r="104" ht="17.25" customHeight="1">
      <c r="A104" s="3"/>
      <c r="B104" s="61"/>
      <c r="C104" s="61"/>
      <c r="D104" s="61"/>
      <c r="E104" s="61"/>
      <c r="F104" s="61"/>
      <c r="G104" s="61"/>
      <c r="H104" s="61"/>
      <c r="I104" s="61"/>
      <c r="J104" s="61"/>
      <c r="K104" s="61"/>
      <c r="L104" s="61"/>
      <c r="M104" s="61"/>
      <c r="N104" s="61"/>
      <c r="O104" s="61"/>
      <c r="P104" s="61"/>
      <c r="Q104" s="61"/>
      <c r="R104" s="61"/>
      <c r="S104" s="61"/>
      <c r="T104" s="61"/>
      <c r="U104" s="61"/>
      <c r="V104" s="61"/>
      <c r="W104" s="17"/>
      <c r="X104" s="17"/>
      <c r="Y104" s="17"/>
      <c r="Z104" s="17"/>
    </row>
    <row r="105" ht="17.25" customHeight="1">
      <c r="A105" s="3"/>
      <c r="B105" s="61"/>
      <c r="C105" s="61"/>
      <c r="D105" s="61"/>
      <c r="E105" s="61"/>
      <c r="F105" s="61"/>
      <c r="G105" s="61"/>
      <c r="H105" s="61"/>
      <c r="I105" s="61"/>
      <c r="J105" s="61"/>
      <c r="K105" s="61"/>
      <c r="L105" s="61"/>
      <c r="M105" s="61"/>
      <c r="N105" s="61"/>
      <c r="O105" s="61"/>
      <c r="P105" s="61"/>
      <c r="Q105" s="61"/>
      <c r="R105" s="61"/>
      <c r="S105" s="61"/>
      <c r="T105" s="61"/>
      <c r="U105" s="61"/>
      <c r="V105" s="61"/>
      <c r="W105" s="17"/>
      <c r="X105" s="17"/>
      <c r="Y105" s="17"/>
      <c r="Z105" s="17"/>
    </row>
    <row r="106" ht="17.25" customHeight="1">
      <c r="A106" s="3"/>
      <c r="B106" s="61"/>
      <c r="C106" s="61"/>
      <c r="D106" s="61"/>
      <c r="E106" s="61"/>
      <c r="F106" s="61"/>
      <c r="G106" s="61"/>
      <c r="H106" s="61"/>
      <c r="I106" s="61"/>
      <c r="J106" s="61"/>
      <c r="K106" s="61"/>
      <c r="L106" s="61"/>
      <c r="M106" s="61"/>
      <c r="N106" s="61"/>
      <c r="O106" s="61"/>
      <c r="P106" s="61"/>
      <c r="Q106" s="61"/>
      <c r="R106" s="61"/>
      <c r="S106" s="61"/>
      <c r="T106" s="61"/>
      <c r="U106" s="61"/>
      <c r="V106" s="61"/>
      <c r="W106" s="17"/>
      <c r="X106" s="17"/>
      <c r="Y106" s="17"/>
      <c r="Z106" s="17"/>
    </row>
    <row r="107" ht="17.25" customHeight="1">
      <c r="A107" s="3"/>
      <c r="B107" s="61"/>
      <c r="C107" s="61"/>
      <c r="D107" s="61"/>
      <c r="E107" s="61"/>
      <c r="F107" s="61"/>
      <c r="G107" s="61"/>
      <c r="H107" s="61"/>
      <c r="I107" s="61"/>
      <c r="J107" s="61"/>
      <c r="K107" s="61"/>
      <c r="L107" s="61"/>
      <c r="M107" s="61"/>
      <c r="N107" s="61"/>
      <c r="O107" s="61"/>
      <c r="P107" s="61"/>
      <c r="Q107" s="61"/>
      <c r="R107" s="61"/>
      <c r="S107" s="61"/>
      <c r="T107" s="61"/>
      <c r="U107" s="61"/>
      <c r="V107" s="61"/>
      <c r="W107" s="17"/>
      <c r="X107" s="17"/>
      <c r="Y107" s="17"/>
      <c r="Z107" s="17"/>
    </row>
    <row r="108" ht="17.25" customHeight="1">
      <c r="A108" s="3"/>
      <c r="B108" s="61"/>
      <c r="C108" s="61"/>
      <c r="D108" s="61"/>
      <c r="E108" s="61"/>
      <c r="F108" s="61"/>
      <c r="G108" s="61"/>
      <c r="H108" s="61"/>
      <c r="I108" s="61"/>
      <c r="J108" s="61"/>
      <c r="K108" s="61"/>
      <c r="L108" s="61"/>
      <c r="M108" s="61"/>
      <c r="N108" s="61"/>
      <c r="O108" s="61"/>
      <c r="P108" s="61"/>
      <c r="Q108" s="61"/>
      <c r="R108" s="61"/>
      <c r="S108" s="61"/>
      <c r="T108" s="61"/>
      <c r="U108" s="61"/>
      <c r="V108" s="61"/>
      <c r="W108" s="17"/>
      <c r="X108" s="17"/>
      <c r="Y108" s="17"/>
      <c r="Z108" s="17"/>
    </row>
    <row r="109" ht="17.25" customHeight="1">
      <c r="A109" s="3"/>
      <c r="B109" s="61"/>
      <c r="C109" s="61"/>
      <c r="D109" s="61"/>
      <c r="E109" s="61"/>
      <c r="F109" s="61"/>
      <c r="G109" s="61"/>
      <c r="H109" s="61"/>
      <c r="I109" s="61"/>
      <c r="J109" s="61"/>
      <c r="K109" s="61"/>
      <c r="L109" s="61"/>
      <c r="M109" s="61"/>
      <c r="N109" s="61"/>
      <c r="O109" s="61"/>
      <c r="P109" s="61"/>
      <c r="Q109" s="61"/>
      <c r="R109" s="61"/>
      <c r="S109" s="61"/>
      <c r="T109" s="61"/>
      <c r="U109" s="61"/>
      <c r="V109" s="61"/>
      <c r="W109" s="17"/>
      <c r="X109" s="17"/>
      <c r="Y109" s="17"/>
      <c r="Z109" s="17"/>
    </row>
    <row r="110" ht="17.25" customHeight="1">
      <c r="A110" s="3"/>
      <c r="B110" s="61"/>
      <c r="C110" s="61"/>
      <c r="D110" s="61"/>
      <c r="E110" s="61"/>
      <c r="F110" s="61"/>
      <c r="G110" s="61"/>
      <c r="H110" s="61"/>
      <c r="I110" s="61"/>
      <c r="J110" s="61"/>
      <c r="K110" s="61"/>
      <c r="L110" s="61"/>
      <c r="M110" s="61"/>
      <c r="N110" s="61"/>
      <c r="O110" s="61"/>
      <c r="P110" s="61"/>
      <c r="Q110" s="61"/>
      <c r="R110" s="61"/>
      <c r="S110" s="61"/>
      <c r="T110" s="61"/>
      <c r="U110" s="61"/>
      <c r="V110" s="61"/>
      <c r="W110" s="17"/>
      <c r="X110" s="17"/>
      <c r="Y110" s="17"/>
      <c r="Z110" s="17"/>
    </row>
    <row r="111" ht="17.25" customHeight="1">
      <c r="A111" s="3"/>
      <c r="B111" s="61"/>
      <c r="C111" s="61"/>
      <c r="D111" s="61"/>
      <c r="E111" s="61"/>
      <c r="F111" s="61"/>
      <c r="G111" s="61"/>
      <c r="H111" s="61"/>
      <c r="I111" s="61"/>
      <c r="J111" s="61"/>
      <c r="K111" s="61"/>
      <c r="L111" s="61"/>
      <c r="M111" s="61"/>
      <c r="N111" s="61"/>
      <c r="O111" s="61"/>
      <c r="P111" s="61"/>
      <c r="Q111" s="61"/>
      <c r="R111" s="61"/>
      <c r="S111" s="61"/>
      <c r="T111" s="61"/>
      <c r="U111" s="61"/>
      <c r="V111" s="61"/>
      <c r="W111" s="17"/>
      <c r="X111" s="17"/>
      <c r="Y111" s="17"/>
      <c r="Z111" s="17"/>
    </row>
    <row r="112" ht="17.25" customHeight="1">
      <c r="A112" s="3"/>
      <c r="B112" s="61"/>
      <c r="C112" s="61"/>
      <c r="D112" s="61"/>
      <c r="E112" s="61"/>
      <c r="F112" s="61"/>
      <c r="G112" s="61"/>
      <c r="H112" s="61"/>
      <c r="I112" s="61"/>
      <c r="J112" s="61"/>
      <c r="K112" s="61"/>
      <c r="L112" s="61"/>
      <c r="M112" s="61"/>
      <c r="N112" s="61"/>
      <c r="O112" s="61"/>
      <c r="P112" s="61"/>
      <c r="Q112" s="61"/>
      <c r="R112" s="61"/>
      <c r="S112" s="61"/>
      <c r="T112" s="61"/>
      <c r="U112" s="61"/>
      <c r="V112" s="61"/>
      <c r="W112" s="17"/>
      <c r="X112" s="17"/>
      <c r="Y112" s="17"/>
      <c r="Z112" s="17"/>
    </row>
    <row r="113" ht="17.25" customHeight="1">
      <c r="A113" s="3"/>
      <c r="B113" s="61"/>
      <c r="C113" s="61"/>
      <c r="D113" s="61"/>
      <c r="E113" s="61"/>
      <c r="F113" s="61"/>
      <c r="G113" s="61"/>
      <c r="H113" s="61"/>
      <c r="I113" s="61"/>
      <c r="J113" s="61"/>
      <c r="K113" s="61"/>
      <c r="L113" s="61"/>
      <c r="M113" s="61"/>
      <c r="N113" s="61"/>
      <c r="O113" s="61"/>
      <c r="P113" s="61"/>
      <c r="Q113" s="61"/>
      <c r="R113" s="61"/>
      <c r="S113" s="61"/>
      <c r="T113" s="61"/>
      <c r="U113" s="61"/>
      <c r="V113" s="61"/>
      <c r="W113" s="17"/>
      <c r="X113" s="17"/>
      <c r="Y113" s="17"/>
      <c r="Z113" s="17"/>
    </row>
    <row r="114" ht="17.25" customHeight="1">
      <c r="A114" s="3"/>
      <c r="B114" s="61"/>
      <c r="C114" s="61"/>
      <c r="D114" s="61"/>
      <c r="E114" s="61"/>
      <c r="F114" s="61"/>
      <c r="G114" s="61"/>
      <c r="H114" s="61"/>
      <c r="I114" s="61"/>
      <c r="J114" s="61"/>
      <c r="K114" s="61"/>
      <c r="L114" s="61"/>
      <c r="M114" s="61"/>
      <c r="N114" s="61"/>
      <c r="O114" s="61"/>
      <c r="P114" s="61"/>
      <c r="Q114" s="61"/>
      <c r="R114" s="61"/>
      <c r="S114" s="61"/>
      <c r="T114" s="61"/>
      <c r="U114" s="61"/>
      <c r="V114" s="61"/>
      <c r="W114" s="17"/>
      <c r="X114" s="17"/>
      <c r="Y114" s="17"/>
      <c r="Z114" s="17"/>
    </row>
    <row r="115" ht="17.25" customHeight="1">
      <c r="A115" s="3"/>
      <c r="B115" s="61"/>
      <c r="C115" s="61"/>
      <c r="D115" s="61"/>
      <c r="E115" s="61"/>
      <c r="F115" s="61"/>
      <c r="G115" s="61"/>
      <c r="H115" s="61"/>
      <c r="I115" s="61"/>
      <c r="J115" s="61"/>
      <c r="K115" s="61"/>
      <c r="L115" s="61"/>
      <c r="M115" s="61"/>
      <c r="N115" s="61"/>
      <c r="O115" s="61"/>
      <c r="P115" s="61"/>
      <c r="Q115" s="61"/>
      <c r="R115" s="61"/>
      <c r="S115" s="61"/>
      <c r="T115" s="61"/>
      <c r="U115" s="61"/>
      <c r="V115" s="61"/>
      <c r="W115" s="17"/>
      <c r="X115" s="17"/>
      <c r="Y115" s="17"/>
      <c r="Z115" s="17"/>
    </row>
    <row r="116" ht="17.25" customHeight="1">
      <c r="A116" s="3"/>
      <c r="B116" s="61"/>
      <c r="C116" s="61"/>
      <c r="D116" s="61"/>
      <c r="E116" s="61"/>
      <c r="F116" s="61"/>
      <c r="G116" s="61"/>
      <c r="H116" s="61"/>
      <c r="I116" s="61"/>
      <c r="J116" s="61"/>
      <c r="K116" s="61"/>
      <c r="L116" s="61"/>
      <c r="M116" s="61"/>
      <c r="N116" s="61"/>
      <c r="O116" s="61"/>
      <c r="P116" s="61"/>
      <c r="Q116" s="61"/>
      <c r="R116" s="61"/>
      <c r="S116" s="61"/>
      <c r="T116" s="61"/>
      <c r="U116" s="61"/>
      <c r="V116" s="61"/>
      <c r="W116" s="17"/>
      <c r="X116" s="17"/>
      <c r="Y116" s="17"/>
      <c r="Z116" s="17"/>
    </row>
    <row r="117" ht="17.25" customHeight="1">
      <c r="A117" s="3"/>
      <c r="B117" s="61"/>
      <c r="C117" s="61"/>
      <c r="D117" s="61"/>
      <c r="E117" s="61"/>
      <c r="F117" s="61"/>
      <c r="G117" s="61"/>
      <c r="H117" s="61"/>
      <c r="I117" s="61"/>
      <c r="J117" s="61"/>
      <c r="K117" s="61"/>
      <c r="L117" s="61"/>
      <c r="M117" s="61"/>
      <c r="N117" s="61"/>
      <c r="O117" s="61"/>
      <c r="P117" s="61"/>
      <c r="Q117" s="61"/>
      <c r="R117" s="61"/>
      <c r="S117" s="61"/>
      <c r="T117" s="61"/>
      <c r="U117" s="61"/>
      <c r="V117" s="61"/>
      <c r="W117" s="17"/>
      <c r="X117" s="17"/>
      <c r="Y117" s="17"/>
      <c r="Z117" s="17"/>
    </row>
    <row r="118" ht="17.25" customHeight="1">
      <c r="A118" s="3"/>
      <c r="B118" s="61"/>
      <c r="C118" s="61"/>
      <c r="D118" s="61"/>
      <c r="E118" s="61"/>
      <c r="F118" s="61"/>
      <c r="G118" s="61"/>
      <c r="H118" s="61"/>
      <c r="I118" s="61"/>
      <c r="J118" s="61"/>
      <c r="K118" s="61"/>
      <c r="L118" s="61"/>
      <c r="M118" s="61"/>
      <c r="N118" s="61"/>
      <c r="O118" s="61"/>
      <c r="P118" s="61"/>
      <c r="Q118" s="61"/>
      <c r="R118" s="61"/>
      <c r="S118" s="61"/>
      <c r="T118" s="61"/>
      <c r="U118" s="61"/>
      <c r="V118" s="61"/>
      <c r="W118" s="17"/>
      <c r="X118" s="17"/>
      <c r="Y118" s="17"/>
      <c r="Z118" s="17"/>
    </row>
    <row r="119" ht="17.25" customHeight="1">
      <c r="A119" s="3"/>
      <c r="B119" s="61"/>
      <c r="C119" s="61"/>
      <c r="D119" s="61"/>
      <c r="E119" s="61"/>
      <c r="F119" s="61"/>
      <c r="G119" s="61"/>
      <c r="H119" s="61"/>
      <c r="I119" s="61"/>
      <c r="J119" s="61"/>
      <c r="K119" s="61"/>
      <c r="L119" s="61"/>
      <c r="M119" s="61"/>
      <c r="N119" s="61"/>
      <c r="O119" s="61"/>
      <c r="P119" s="61"/>
      <c r="Q119" s="61"/>
      <c r="R119" s="61"/>
      <c r="S119" s="61"/>
      <c r="T119" s="61"/>
      <c r="U119" s="61"/>
      <c r="V119" s="61"/>
      <c r="W119" s="17"/>
      <c r="X119" s="17"/>
      <c r="Y119" s="17"/>
      <c r="Z119" s="17"/>
    </row>
    <row r="120" ht="17.25" customHeight="1">
      <c r="A120" s="3"/>
      <c r="B120" s="61"/>
      <c r="C120" s="61"/>
      <c r="D120" s="61"/>
      <c r="E120" s="61"/>
      <c r="F120" s="61"/>
      <c r="G120" s="61"/>
      <c r="H120" s="61"/>
      <c r="I120" s="61"/>
      <c r="J120" s="61"/>
      <c r="K120" s="61"/>
      <c r="L120" s="61"/>
      <c r="M120" s="61"/>
      <c r="N120" s="61"/>
      <c r="O120" s="61"/>
      <c r="P120" s="61"/>
      <c r="Q120" s="61"/>
      <c r="R120" s="61"/>
      <c r="S120" s="61"/>
      <c r="T120" s="61"/>
      <c r="U120" s="61"/>
      <c r="V120" s="61"/>
      <c r="W120" s="17"/>
      <c r="X120" s="17"/>
      <c r="Y120" s="17"/>
      <c r="Z120" s="17"/>
    </row>
    <row r="121" ht="17.25" customHeight="1">
      <c r="A121" s="3"/>
      <c r="B121" s="61"/>
      <c r="C121" s="61"/>
      <c r="D121" s="61"/>
      <c r="E121" s="61"/>
      <c r="F121" s="61"/>
      <c r="G121" s="61"/>
      <c r="H121" s="61"/>
      <c r="I121" s="61"/>
      <c r="J121" s="61"/>
      <c r="K121" s="61"/>
      <c r="L121" s="61"/>
      <c r="M121" s="61"/>
      <c r="N121" s="61"/>
      <c r="O121" s="61"/>
      <c r="P121" s="61"/>
      <c r="Q121" s="61"/>
      <c r="R121" s="61"/>
      <c r="S121" s="61"/>
      <c r="T121" s="61"/>
      <c r="U121" s="61"/>
      <c r="V121" s="61"/>
      <c r="W121" s="17"/>
      <c r="X121" s="17"/>
      <c r="Y121" s="17"/>
      <c r="Z121" s="17"/>
    </row>
    <row r="122" ht="17.25" customHeight="1">
      <c r="A122" s="3"/>
      <c r="B122" s="61"/>
      <c r="C122" s="61"/>
      <c r="D122" s="61"/>
      <c r="E122" s="61"/>
      <c r="F122" s="61"/>
      <c r="G122" s="61"/>
      <c r="H122" s="61"/>
      <c r="I122" s="61"/>
      <c r="J122" s="61"/>
      <c r="K122" s="61"/>
      <c r="L122" s="61"/>
      <c r="M122" s="61"/>
      <c r="N122" s="61"/>
      <c r="O122" s="61"/>
      <c r="P122" s="61"/>
      <c r="Q122" s="61"/>
      <c r="R122" s="61"/>
      <c r="S122" s="61"/>
      <c r="T122" s="61"/>
      <c r="U122" s="61"/>
      <c r="V122" s="61"/>
      <c r="W122" s="17"/>
      <c r="X122" s="17"/>
      <c r="Y122" s="17"/>
      <c r="Z122" s="17"/>
    </row>
    <row r="123" ht="17.25" customHeight="1">
      <c r="A123" s="3"/>
      <c r="B123" s="61"/>
      <c r="C123" s="61"/>
      <c r="D123" s="61"/>
      <c r="E123" s="61"/>
      <c r="F123" s="61"/>
      <c r="G123" s="61"/>
      <c r="H123" s="61"/>
      <c r="I123" s="61"/>
      <c r="J123" s="61"/>
      <c r="K123" s="61"/>
      <c r="L123" s="61"/>
      <c r="M123" s="61"/>
      <c r="N123" s="61"/>
      <c r="O123" s="61"/>
      <c r="P123" s="61"/>
      <c r="Q123" s="61"/>
      <c r="R123" s="61"/>
      <c r="S123" s="61"/>
      <c r="T123" s="61"/>
      <c r="U123" s="61"/>
      <c r="V123" s="61"/>
      <c r="W123" s="17"/>
      <c r="X123" s="17"/>
      <c r="Y123" s="17"/>
      <c r="Z123" s="17"/>
    </row>
    <row r="124" ht="17.25" customHeight="1">
      <c r="A124" s="3"/>
      <c r="B124" s="61"/>
      <c r="C124" s="61"/>
      <c r="D124" s="61"/>
      <c r="E124" s="61"/>
      <c r="F124" s="61"/>
      <c r="G124" s="61"/>
      <c r="H124" s="61"/>
      <c r="I124" s="61"/>
      <c r="J124" s="61"/>
      <c r="K124" s="61"/>
      <c r="L124" s="61"/>
      <c r="M124" s="61"/>
      <c r="N124" s="61"/>
      <c r="O124" s="61"/>
      <c r="P124" s="61"/>
      <c r="Q124" s="61"/>
      <c r="R124" s="61"/>
      <c r="S124" s="61"/>
      <c r="T124" s="61"/>
      <c r="U124" s="61"/>
      <c r="V124" s="61"/>
      <c r="W124" s="17"/>
      <c r="X124" s="17"/>
      <c r="Y124" s="17"/>
      <c r="Z124" s="17"/>
    </row>
    <row r="125" ht="17.25" customHeight="1">
      <c r="A125" s="3"/>
      <c r="B125" s="61"/>
      <c r="C125" s="61"/>
      <c r="D125" s="61"/>
      <c r="E125" s="61"/>
      <c r="F125" s="61"/>
      <c r="G125" s="61"/>
      <c r="H125" s="61"/>
      <c r="I125" s="61"/>
      <c r="J125" s="61"/>
      <c r="K125" s="61"/>
      <c r="L125" s="61"/>
      <c r="M125" s="61"/>
      <c r="N125" s="61"/>
      <c r="O125" s="61"/>
      <c r="P125" s="61"/>
      <c r="Q125" s="61"/>
      <c r="R125" s="61"/>
      <c r="S125" s="61"/>
      <c r="T125" s="61"/>
      <c r="U125" s="61"/>
      <c r="V125" s="61"/>
      <c r="W125" s="17"/>
      <c r="X125" s="17"/>
      <c r="Y125" s="17"/>
      <c r="Z125" s="17"/>
    </row>
    <row r="126" ht="17.25" customHeight="1">
      <c r="A126" s="3"/>
      <c r="B126" s="61"/>
      <c r="C126" s="61"/>
      <c r="D126" s="61"/>
      <c r="E126" s="61"/>
      <c r="F126" s="61"/>
      <c r="G126" s="61"/>
      <c r="H126" s="61"/>
      <c r="I126" s="61"/>
      <c r="J126" s="61"/>
      <c r="K126" s="61"/>
      <c r="L126" s="61"/>
      <c r="M126" s="61"/>
      <c r="N126" s="61"/>
      <c r="O126" s="61"/>
      <c r="P126" s="61"/>
      <c r="Q126" s="61"/>
      <c r="R126" s="61"/>
      <c r="S126" s="61"/>
      <c r="T126" s="61"/>
      <c r="U126" s="61"/>
      <c r="V126" s="61"/>
      <c r="W126" s="17"/>
      <c r="X126" s="17"/>
      <c r="Y126" s="17"/>
      <c r="Z126" s="17"/>
    </row>
    <row r="127" ht="17.25" customHeight="1">
      <c r="A127" s="3"/>
      <c r="B127" s="61"/>
      <c r="C127" s="61"/>
      <c r="D127" s="61"/>
      <c r="E127" s="61"/>
      <c r="F127" s="61"/>
      <c r="G127" s="61"/>
      <c r="H127" s="61"/>
      <c r="I127" s="61"/>
      <c r="J127" s="61"/>
      <c r="K127" s="61"/>
      <c r="L127" s="61"/>
      <c r="M127" s="61"/>
      <c r="N127" s="61"/>
      <c r="O127" s="61"/>
      <c r="P127" s="61"/>
      <c r="Q127" s="61"/>
      <c r="R127" s="61"/>
      <c r="S127" s="61"/>
      <c r="T127" s="61"/>
      <c r="U127" s="61"/>
      <c r="V127" s="61"/>
      <c r="W127" s="17"/>
      <c r="X127" s="17"/>
      <c r="Y127" s="17"/>
      <c r="Z127" s="17"/>
    </row>
    <row r="128" ht="17.25" customHeight="1">
      <c r="A128" s="3"/>
      <c r="B128" s="61"/>
      <c r="C128" s="61"/>
      <c r="D128" s="61"/>
      <c r="E128" s="61"/>
      <c r="F128" s="61"/>
      <c r="G128" s="61"/>
      <c r="H128" s="61"/>
      <c r="I128" s="61"/>
      <c r="J128" s="61"/>
      <c r="K128" s="61"/>
      <c r="L128" s="61"/>
      <c r="M128" s="61"/>
      <c r="N128" s="61"/>
      <c r="O128" s="61"/>
      <c r="P128" s="61"/>
      <c r="Q128" s="61"/>
      <c r="R128" s="61"/>
      <c r="S128" s="61"/>
      <c r="T128" s="61"/>
      <c r="U128" s="61"/>
      <c r="V128" s="61"/>
      <c r="W128" s="17"/>
      <c r="X128" s="17"/>
      <c r="Y128" s="17"/>
      <c r="Z128" s="17"/>
    </row>
    <row r="129" ht="17.25" customHeight="1">
      <c r="A129" s="3"/>
      <c r="B129" s="61"/>
      <c r="C129" s="61"/>
      <c r="D129" s="61"/>
      <c r="E129" s="61"/>
      <c r="F129" s="61"/>
      <c r="G129" s="61"/>
      <c r="H129" s="61"/>
      <c r="I129" s="61"/>
      <c r="J129" s="61"/>
      <c r="K129" s="61"/>
      <c r="L129" s="61"/>
      <c r="M129" s="61"/>
      <c r="N129" s="61"/>
      <c r="O129" s="61"/>
      <c r="P129" s="61"/>
      <c r="Q129" s="61"/>
      <c r="R129" s="61"/>
      <c r="S129" s="61"/>
      <c r="T129" s="61"/>
      <c r="U129" s="61"/>
      <c r="V129" s="61"/>
      <c r="W129" s="17"/>
      <c r="X129" s="17"/>
      <c r="Y129" s="17"/>
      <c r="Z129" s="17"/>
    </row>
    <row r="130" ht="17.25" customHeight="1">
      <c r="A130" s="3"/>
      <c r="B130" s="61"/>
      <c r="C130" s="61"/>
      <c r="D130" s="61"/>
      <c r="E130" s="61"/>
      <c r="F130" s="61"/>
      <c r="G130" s="61"/>
      <c r="H130" s="61"/>
      <c r="I130" s="61"/>
      <c r="J130" s="61"/>
      <c r="K130" s="61"/>
      <c r="L130" s="61"/>
      <c r="M130" s="61"/>
      <c r="N130" s="61"/>
      <c r="O130" s="61"/>
      <c r="P130" s="61"/>
      <c r="Q130" s="61"/>
      <c r="R130" s="61"/>
      <c r="S130" s="61"/>
      <c r="T130" s="61"/>
      <c r="U130" s="61"/>
      <c r="V130" s="61"/>
      <c r="W130" s="17"/>
      <c r="X130" s="17"/>
      <c r="Y130" s="17"/>
      <c r="Z130" s="17"/>
    </row>
    <row r="131" ht="17.25" customHeight="1">
      <c r="A131" s="3"/>
      <c r="B131" s="61"/>
      <c r="C131" s="61"/>
      <c r="D131" s="61"/>
      <c r="E131" s="61"/>
      <c r="F131" s="61"/>
      <c r="G131" s="61"/>
      <c r="H131" s="61"/>
      <c r="I131" s="61"/>
      <c r="J131" s="61"/>
      <c r="K131" s="61"/>
      <c r="L131" s="61"/>
      <c r="M131" s="61"/>
      <c r="N131" s="61"/>
      <c r="O131" s="61"/>
      <c r="P131" s="61"/>
      <c r="Q131" s="61"/>
      <c r="R131" s="61"/>
      <c r="S131" s="61"/>
      <c r="T131" s="61"/>
      <c r="U131" s="61"/>
      <c r="V131" s="61"/>
      <c r="W131" s="17"/>
      <c r="X131" s="17"/>
      <c r="Y131" s="17"/>
      <c r="Z131" s="17"/>
    </row>
    <row r="132" ht="17.25" customHeight="1">
      <c r="A132" s="3"/>
      <c r="B132" s="61"/>
      <c r="C132" s="61"/>
      <c r="D132" s="61"/>
      <c r="E132" s="61"/>
      <c r="F132" s="61"/>
      <c r="G132" s="61"/>
      <c r="H132" s="61"/>
      <c r="I132" s="61"/>
      <c r="J132" s="61"/>
      <c r="K132" s="61"/>
      <c r="L132" s="61"/>
      <c r="M132" s="61"/>
      <c r="N132" s="61"/>
      <c r="O132" s="61"/>
      <c r="P132" s="61"/>
      <c r="Q132" s="61"/>
      <c r="R132" s="61"/>
      <c r="S132" s="61"/>
      <c r="T132" s="61"/>
      <c r="U132" s="61"/>
      <c r="V132" s="61"/>
      <c r="W132" s="17"/>
      <c r="X132" s="17"/>
      <c r="Y132" s="17"/>
      <c r="Z132" s="17"/>
    </row>
    <row r="133" ht="17.25" customHeight="1">
      <c r="A133" s="3"/>
      <c r="B133" s="61"/>
      <c r="C133" s="61"/>
      <c r="D133" s="61"/>
      <c r="E133" s="61"/>
      <c r="F133" s="61"/>
      <c r="G133" s="61"/>
      <c r="H133" s="61"/>
      <c r="I133" s="61"/>
      <c r="J133" s="61"/>
      <c r="K133" s="61"/>
      <c r="L133" s="61"/>
      <c r="M133" s="61"/>
      <c r="N133" s="61"/>
      <c r="O133" s="61"/>
      <c r="P133" s="61"/>
      <c r="Q133" s="61"/>
      <c r="R133" s="61"/>
      <c r="S133" s="61"/>
      <c r="T133" s="61"/>
      <c r="U133" s="61"/>
      <c r="V133" s="61"/>
      <c r="W133" s="17"/>
      <c r="X133" s="17"/>
      <c r="Y133" s="17"/>
      <c r="Z133" s="17"/>
    </row>
    <row r="134" ht="17.25" customHeight="1">
      <c r="A134" s="3"/>
      <c r="B134" s="61"/>
      <c r="C134" s="61"/>
      <c r="D134" s="61"/>
      <c r="E134" s="61"/>
      <c r="F134" s="61"/>
      <c r="G134" s="61"/>
      <c r="H134" s="61"/>
      <c r="I134" s="61"/>
      <c r="J134" s="61"/>
      <c r="K134" s="61"/>
      <c r="L134" s="61"/>
      <c r="M134" s="61"/>
      <c r="N134" s="61"/>
      <c r="O134" s="61"/>
      <c r="P134" s="61"/>
      <c r="Q134" s="61"/>
      <c r="R134" s="61"/>
      <c r="S134" s="61"/>
      <c r="T134" s="61"/>
      <c r="U134" s="61"/>
      <c r="V134" s="61"/>
      <c r="W134" s="17"/>
      <c r="X134" s="17"/>
      <c r="Y134" s="17"/>
      <c r="Z134" s="17"/>
    </row>
    <row r="135" ht="17.25" customHeight="1">
      <c r="A135" s="3"/>
      <c r="B135" s="61"/>
      <c r="C135" s="61"/>
      <c r="D135" s="61"/>
      <c r="E135" s="61"/>
      <c r="F135" s="61"/>
      <c r="G135" s="61"/>
      <c r="H135" s="61"/>
      <c r="I135" s="61"/>
      <c r="J135" s="61"/>
      <c r="K135" s="61"/>
      <c r="L135" s="61"/>
      <c r="M135" s="61"/>
      <c r="N135" s="61"/>
      <c r="O135" s="61"/>
      <c r="P135" s="61"/>
      <c r="Q135" s="61"/>
      <c r="R135" s="61"/>
      <c r="S135" s="61"/>
      <c r="T135" s="61"/>
      <c r="U135" s="61"/>
      <c r="V135" s="61"/>
      <c r="W135" s="17"/>
      <c r="X135" s="17"/>
      <c r="Y135" s="17"/>
      <c r="Z135" s="17"/>
    </row>
    <row r="136" ht="17.25" customHeight="1">
      <c r="A136" s="3"/>
      <c r="B136" s="61"/>
      <c r="C136" s="61"/>
      <c r="D136" s="61"/>
      <c r="E136" s="61"/>
      <c r="F136" s="61"/>
      <c r="G136" s="61"/>
      <c r="H136" s="61"/>
      <c r="I136" s="61"/>
      <c r="J136" s="61"/>
      <c r="K136" s="61"/>
      <c r="L136" s="61"/>
      <c r="M136" s="61"/>
      <c r="N136" s="61"/>
      <c r="O136" s="61"/>
      <c r="P136" s="61"/>
      <c r="Q136" s="61"/>
      <c r="R136" s="61"/>
      <c r="S136" s="61"/>
      <c r="T136" s="61"/>
      <c r="U136" s="61"/>
      <c r="V136" s="61"/>
      <c r="W136" s="17"/>
      <c r="X136" s="17"/>
      <c r="Y136" s="17"/>
      <c r="Z136" s="17"/>
    </row>
    <row r="137" ht="17.25" customHeight="1">
      <c r="A137" s="3"/>
      <c r="B137" s="61"/>
      <c r="C137" s="61"/>
      <c r="D137" s="61"/>
      <c r="E137" s="61"/>
      <c r="F137" s="61"/>
      <c r="G137" s="61"/>
      <c r="H137" s="61"/>
      <c r="I137" s="61"/>
      <c r="J137" s="61"/>
      <c r="K137" s="61"/>
      <c r="L137" s="61"/>
      <c r="M137" s="61"/>
      <c r="N137" s="61"/>
      <c r="O137" s="61"/>
      <c r="P137" s="61"/>
      <c r="Q137" s="61"/>
      <c r="R137" s="61"/>
      <c r="S137" s="61"/>
      <c r="T137" s="61"/>
      <c r="U137" s="61"/>
      <c r="V137" s="61"/>
      <c r="W137" s="17"/>
      <c r="X137" s="17"/>
      <c r="Y137" s="17"/>
      <c r="Z137" s="17"/>
    </row>
    <row r="138" ht="17.25" customHeight="1">
      <c r="A138" s="3"/>
      <c r="B138" s="61"/>
      <c r="C138" s="61"/>
      <c r="D138" s="61"/>
      <c r="E138" s="61"/>
      <c r="F138" s="61"/>
      <c r="G138" s="61"/>
      <c r="H138" s="61"/>
      <c r="I138" s="61"/>
      <c r="J138" s="61"/>
      <c r="K138" s="61"/>
      <c r="L138" s="61"/>
      <c r="M138" s="61"/>
      <c r="N138" s="61"/>
      <c r="O138" s="61"/>
      <c r="P138" s="61"/>
      <c r="Q138" s="61"/>
      <c r="R138" s="61"/>
      <c r="S138" s="61"/>
      <c r="T138" s="61"/>
      <c r="U138" s="61"/>
      <c r="V138" s="61"/>
      <c r="W138" s="17"/>
      <c r="X138" s="17"/>
      <c r="Y138" s="17"/>
      <c r="Z138" s="17"/>
    </row>
    <row r="139" ht="17.25" customHeight="1">
      <c r="A139" s="3"/>
      <c r="B139" s="61"/>
      <c r="C139" s="61"/>
      <c r="D139" s="61"/>
      <c r="E139" s="61"/>
      <c r="F139" s="61"/>
      <c r="G139" s="61"/>
      <c r="H139" s="61"/>
      <c r="I139" s="61"/>
      <c r="J139" s="61"/>
      <c r="K139" s="61"/>
      <c r="L139" s="61"/>
      <c r="M139" s="61"/>
      <c r="N139" s="61"/>
      <c r="O139" s="61"/>
      <c r="P139" s="61"/>
      <c r="Q139" s="61"/>
      <c r="R139" s="61"/>
      <c r="S139" s="61"/>
      <c r="T139" s="61"/>
      <c r="U139" s="61"/>
      <c r="V139" s="61"/>
      <c r="W139" s="17"/>
      <c r="X139" s="17"/>
      <c r="Y139" s="17"/>
      <c r="Z139" s="17"/>
    </row>
    <row r="140" ht="17.25" customHeight="1">
      <c r="A140" s="3"/>
      <c r="B140" s="61"/>
      <c r="C140" s="61"/>
      <c r="D140" s="61"/>
      <c r="E140" s="61"/>
      <c r="F140" s="61"/>
      <c r="G140" s="61"/>
      <c r="H140" s="61"/>
      <c r="I140" s="61"/>
      <c r="J140" s="61"/>
      <c r="K140" s="61"/>
      <c r="L140" s="61"/>
      <c r="M140" s="61"/>
      <c r="N140" s="61"/>
      <c r="O140" s="61"/>
      <c r="P140" s="61"/>
      <c r="Q140" s="61"/>
      <c r="R140" s="61"/>
      <c r="S140" s="61"/>
      <c r="T140" s="61"/>
      <c r="U140" s="61"/>
      <c r="V140" s="61"/>
      <c r="W140" s="17"/>
      <c r="X140" s="17"/>
      <c r="Y140" s="17"/>
      <c r="Z140" s="17"/>
    </row>
    <row r="141" ht="17.25" customHeight="1">
      <c r="A141" s="3"/>
      <c r="B141" s="61"/>
      <c r="C141" s="61"/>
      <c r="D141" s="61"/>
      <c r="E141" s="61"/>
      <c r="F141" s="61"/>
      <c r="G141" s="61"/>
      <c r="H141" s="61"/>
      <c r="I141" s="61"/>
      <c r="J141" s="61"/>
      <c r="K141" s="61"/>
      <c r="L141" s="61"/>
      <c r="M141" s="61"/>
      <c r="N141" s="61"/>
      <c r="O141" s="61"/>
      <c r="P141" s="61"/>
      <c r="Q141" s="61"/>
      <c r="R141" s="61"/>
      <c r="S141" s="61"/>
      <c r="T141" s="61"/>
      <c r="U141" s="61"/>
      <c r="V141" s="61"/>
      <c r="W141" s="17"/>
      <c r="X141" s="17"/>
      <c r="Y141" s="17"/>
      <c r="Z141" s="17"/>
    </row>
    <row r="142" ht="17.25" customHeight="1">
      <c r="A142" s="3"/>
      <c r="B142" s="61"/>
      <c r="C142" s="61"/>
      <c r="D142" s="61"/>
      <c r="E142" s="61"/>
      <c r="F142" s="61"/>
      <c r="G142" s="61"/>
      <c r="H142" s="61"/>
      <c r="I142" s="61"/>
      <c r="J142" s="61"/>
      <c r="K142" s="61"/>
      <c r="L142" s="61"/>
      <c r="M142" s="61"/>
      <c r="N142" s="61"/>
      <c r="O142" s="61"/>
      <c r="P142" s="61"/>
      <c r="Q142" s="61"/>
      <c r="R142" s="61"/>
      <c r="S142" s="61"/>
      <c r="T142" s="61"/>
      <c r="U142" s="61"/>
      <c r="V142" s="61"/>
      <c r="W142" s="17"/>
      <c r="X142" s="17"/>
      <c r="Y142" s="17"/>
      <c r="Z142" s="17"/>
    </row>
    <row r="143" ht="17.25" customHeight="1">
      <c r="A143" s="3"/>
      <c r="B143" s="61"/>
      <c r="C143" s="61"/>
      <c r="D143" s="61"/>
      <c r="E143" s="61"/>
      <c r="F143" s="61"/>
      <c r="G143" s="61"/>
      <c r="H143" s="61"/>
      <c r="I143" s="61"/>
      <c r="J143" s="61"/>
      <c r="K143" s="61"/>
      <c r="L143" s="61"/>
      <c r="M143" s="61"/>
      <c r="N143" s="61"/>
      <c r="O143" s="61"/>
      <c r="P143" s="61"/>
      <c r="Q143" s="61"/>
      <c r="R143" s="61"/>
      <c r="S143" s="61"/>
      <c r="T143" s="61"/>
      <c r="U143" s="61"/>
      <c r="V143" s="61"/>
      <c r="W143" s="17"/>
      <c r="X143" s="17"/>
      <c r="Y143" s="17"/>
      <c r="Z143" s="17"/>
    </row>
    <row r="144" ht="17.25" customHeight="1">
      <c r="A144" s="3"/>
      <c r="B144" s="61"/>
      <c r="C144" s="61"/>
      <c r="D144" s="61"/>
      <c r="E144" s="61"/>
      <c r="F144" s="61"/>
      <c r="G144" s="61"/>
      <c r="H144" s="61"/>
      <c r="I144" s="61"/>
      <c r="J144" s="61"/>
      <c r="K144" s="61"/>
      <c r="L144" s="61"/>
      <c r="M144" s="61"/>
      <c r="N144" s="61"/>
      <c r="O144" s="61"/>
      <c r="P144" s="61"/>
      <c r="Q144" s="61"/>
      <c r="R144" s="61"/>
      <c r="S144" s="61"/>
      <c r="T144" s="61"/>
      <c r="U144" s="61"/>
      <c r="V144" s="61"/>
      <c r="W144" s="17"/>
      <c r="X144" s="17"/>
      <c r="Y144" s="17"/>
      <c r="Z144" s="17"/>
    </row>
    <row r="145" ht="17.25" customHeight="1">
      <c r="A145" s="3"/>
      <c r="B145" s="61"/>
      <c r="C145" s="61"/>
      <c r="D145" s="61"/>
      <c r="E145" s="61"/>
      <c r="F145" s="61"/>
      <c r="G145" s="61"/>
      <c r="H145" s="61"/>
      <c r="I145" s="61"/>
      <c r="J145" s="61"/>
      <c r="K145" s="61"/>
      <c r="L145" s="61"/>
      <c r="M145" s="61"/>
      <c r="N145" s="61"/>
      <c r="O145" s="61"/>
      <c r="P145" s="61"/>
      <c r="Q145" s="61"/>
      <c r="R145" s="61"/>
      <c r="S145" s="61"/>
      <c r="T145" s="61"/>
      <c r="U145" s="61"/>
      <c r="V145" s="61"/>
      <c r="W145" s="17"/>
      <c r="X145" s="17"/>
      <c r="Y145" s="17"/>
      <c r="Z145" s="17"/>
    </row>
    <row r="146" ht="17.25" customHeight="1">
      <c r="A146" s="3"/>
      <c r="B146" s="61"/>
      <c r="C146" s="61"/>
      <c r="D146" s="61"/>
      <c r="E146" s="61"/>
      <c r="F146" s="61"/>
      <c r="G146" s="61"/>
      <c r="H146" s="61"/>
      <c r="I146" s="61"/>
      <c r="J146" s="61"/>
      <c r="K146" s="61"/>
      <c r="L146" s="61"/>
      <c r="M146" s="61"/>
      <c r="N146" s="61"/>
      <c r="O146" s="61"/>
      <c r="P146" s="61"/>
      <c r="Q146" s="61"/>
      <c r="R146" s="61"/>
      <c r="S146" s="61"/>
      <c r="T146" s="61"/>
      <c r="U146" s="61"/>
      <c r="V146" s="61"/>
      <c r="W146" s="17"/>
      <c r="X146" s="17"/>
      <c r="Y146" s="17"/>
      <c r="Z146" s="17"/>
    </row>
    <row r="147" ht="17.25" customHeight="1">
      <c r="A147" s="3"/>
      <c r="B147" s="61"/>
      <c r="C147" s="61"/>
      <c r="D147" s="61"/>
      <c r="E147" s="61"/>
      <c r="F147" s="61"/>
      <c r="G147" s="61"/>
      <c r="H147" s="61"/>
      <c r="I147" s="61"/>
      <c r="J147" s="61"/>
      <c r="K147" s="61"/>
      <c r="L147" s="61"/>
      <c r="M147" s="61"/>
      <c r="N147" s="61"/>
      <c r="O147" s="61"/>
      <c r="P147" s="61"/>
      <c r="Q147" s="61"/>
      <c r="R147" s="61"/>
      <c r="S147" s="61"/>
      <c r="T147" s="61"/>
      <c r="U147" s="61"/>
      <c r="V147" s="61"/>
      <c r="W147" s="17"/>
      <c r="X147" s="17"/>
      <c r="Y147" s="17"/>
      <c r="Z147" s="17"/>
    </row>
    <row r="148" ht="17.25" customHeight="1">
      <c r="A148" s="3"/>
      <c r="B148" s="61"/>
      <c r="C148" s="61"/>
      <c r="D148" s="61"/>
      <c r="E148" s="61"/>
      <c r="F148" s="61"/>
      <c r="G148" s="61"/>
      <c r="H148" s="61"/>
      <c r="I148" s="61"/>
      <c r="J148" s="61"/>
      <c r="K148" s="61"/>
      <c r="L148" s="61"/>
      <c r="M148" s="61"/>
      <c r="N148" s="61"/>
      <c r="O148" s="61"/>
      <c r="P148" s="61"/>
      <c r="Q148" s="61"/>
      <c r="R148" s="61"/>
      <c r="S148" s="61"/>
      <c r="T148" s="61"/>
      <c r="U148" s="61"/>
      <c r="V148" s="61"/>
      <c r="W148" s="17"/>
      <c r="X148" s="17"/>
      <c r="Y148" s="17"/>
      <c r="Z148" s="17"/>
    </row>
    <row r="149" ht="17.25" customHeight="1">
      <c r="A149" s="3"/>
      <c r="B149" s="61"/>
      <c r="C149" s="61"/>
      <c r="D149" s="61"/>
      <c r="E149" s="61"/>
      <c r="F149" s="61"/>
      <c r="G149" s="61"/>
      <c r="H149" s="61"/>
      <c r="I149" s="61"/>
      <c r="J149" s="61"/>
      <c r="K149" s="61"/>
      <c r="L149" s="61"/>
      <c r="M149" s="61"/>
      <c r="N149" s="61"/>
      <c r="O149" s="61"/>
      <c r="P149" s="61"/>
      <c r="Q149" s="61"/>
      <c r="R149" s="61"/>
      <c r="S149" s="61"/>
      <c r="T149" s="61"/>
      <c r="U149" s="61"/>
      <c r="V149" s="61"/>
      <c r="W149" s="17"/>
      <c r="X149" s="17"/>
      <c r="Y149" s="17"/>
      <c r="Z149" s="17"/>
    </row>
    <row r="150" ht="17.25" customHeight="1">
      <c r="A150" s="3"/>
      <c r="B150" s="61"/>
      <c r="C150" s="61"/>
      <c r="D150" s="61"/>
      <c r="E150" s="61"/>
      <c r="F150" s="61"/>
      <c r="G150" s="61"/>
      <c r="H150" s="61"/>
      <c r="I150" s="61"/>
      <c r="J150" s="61"/>
      <c r="K150" s="61"/>
      <c r="L150" s="61"/>
      <c r="M150" s="61"/>
      <c r="N150" s="61"/>
      <c r="O150" s="61"/>
      <c r="P150" s="61"/>
      <c r="Q150" s="61"/>
      <c r="R150" s="61"/>
      <c r="S150" s="61"/>
      <c r="T150" s="61"/>
      <c r="U150" s="61"/>
      <c r="V150" s="61"/>
      <c r="W150" s="17"/>
      <c r="X150" s="17"/>
      <c r="Y150" s="17"/>
      <c r="Z150" s="17"/>
    </row>
    <row r="151" ht="17.25" customHeight="1">
      <c r="A151" s="3"/>
      <c r="B151" s="61"/>
      <c r="C151" s="61"/>
      <c r="D151" s="61"/>
      <c r="E151" s="61"/>
      <c r="F151" s="61"/>
      <c r="G151" s="61"/>
      <c r="H151" s="61"/>
      <c r="I151" s="61"/>
      <c r="J151" s="61"/>
      <c r="K151" s="61"/>
      <c r="L151" s="61"/>
      <c r="M151" s="61"/>
      <c r="N151" s="61"/>
      <c r="O151" s="61"/>
      <c r="P151" s="61"/>
      <c r="Q151" s="61"/>
      <c r="R151" s="61"/>
      <c r="S151" s="61"/>
      <c r="T151" s="61"/>
      <c r="U151" s="61"/>
      <c r="V151" s="61"/>
      <c r="W151" s="17"/>
      <c r="X151" s="17"/>
      <c r="Y151" s="17"/>
      <c r="Z151" s="17"/>
    </row>
    <row r="152" ht="17.25" customHeight="1">
      <c r="A152" s="3"/>
      <c r="B152" s="61"/>
      <c r="C152" s="61"/>
      <c r="D152" s="61"/>
      <c r="E152" s="61"/>
      <c r="F152" s="61"/>
      <c r="G152" s="61"/>
      <c r="H152" s="61"/>
      <c r="I152" s="61"/>
      <c r="J152" s="61"/>
      <c r="K152" s="61"/>
      <c r="L152" s="61"/>
      <c r="M152" s="61"/>
      <c r="N152" s="61"/>
      <c r="O152" s="61"/>
      <c r="P152" s="61"/>
      <c r="Q152" s="61"/>
      <c r="R152" s="61"/>
      <c r="S152" s="61"/>
      <c r="T152" s="61"/>
      <c r="U152" s="61"/>
      <c r="V152" s="61"/>
      <c r="W152" s="17"/>
      <c r="X152" s="17"/>
      <c r="Y152" s="17"/>
      <c r="Z152" s="17"/>
    </row>
    <row r="153" ht="17.25" customHeight="1">
      <c r="A153" s="3"/>
      <c r="B153" s="61"/>
      <c r="C153" s="61"/>
      <c r="D153" s="61"/>
      <c r="E153" s="61"/>
      <c r="F153" s="61"/>
      <c r="G153" s="61"/>
      <c r="H153" s="61"/>
      <c r="I153" s="61"/>
      <c r="J153" s="61"/>
      <c r="K153" s="61"/>
      <c r="L153" s="61"/>
      <c r="M153" s="61"/>
      <c r="N153" s="61"/>
      <c r="O153" s="61"/>
      <c r="P153" s="61"/>
      <c r="Q153" s="61"/>
      <c r="R153" s="61"/>
      <c r="S153" s="61"/>
      <c r="T153" s="61"/>
      <c r="U153" s="61"/>
      <c r="V153" s="61"/>
      <c r="W153" s="17"/>
      <c r="X153" s="17"/>
      <c r="Y153" s="17"/>
      <c r="Z153" s="17"/>
    </row>
    <row r="154" ht="17.25" customHeight="1">
      <c r="A154" s="3"/>
      <c r="B154" s="61"/>
      <c r="C154" s="61"/>
      <c r="D154" s="61"/>
      <c r="E154" s="61"/>
      <c r="F154" s="61"/>
      <c r="G154" s="61"/>
      <c r="H154" s="61"/>
      <c r="I154" s="61"/>
      <c r="J154" s="61"/>
      <c r="K154" s="61"/>
      <c r="L154" s="61"/>
      <c r="M154" s="61"/>
      <c r="N154" s="61"/>
      <c r="O154" s="61"/>
      <c r="P154" s="61"/>
      <c r="Q154" s="61"/>
      <c r="R154" s="61"/>
      <c r="S154" s="61"/>
      <c r="T154" s="61"/>
      <c r="U154" s="61"/>
      <c r="V154" s="61"/>
      <c r="W154" s="17"/>
      <c r="X154" s="17"/>
      <c r="Y154" s="17"/>
      <c r="Z154" s="17"/>
    </row>
    <row r="155" ht="17.25" customHeight="1">
      <c r="A155" s="3"/>
      <c r="B155" s="61"/>
      <c r="C155" s="61"/>
      <c r="D155" s="61"/>
      <c r="E155" s="61"/>
      <c r="F155" s="61"/>
      <c r="G155" s="61"/>
      <c r="H155" s="61"/>
      <c r="I155" s="61"/>
      <c r="J155" s="61"/>
      <c r="K155" s="61"/>
      <c r="L155" s="61"/>
      <c r="M155" s="61"/>
      <c r="N155" s="61"/>
      <c r="O155" s="61"/>
      <c r="P155" s="61"/>
      <c r="Q155" s="61"/>
      <c r="R155" s="61"/>
      <c r="S155" s="61"/>
      <c r="T155" s="61"/>
      <c r="U155" s="61"/>
      <c r="V155" s="61"/>
      <c r="W155" s="17"/>
      <c r="X155" s="17"/>
      <c r="Y155" s="17"/>
      <c r="Z155" s="17"/>
    </row>
    <row r="156" ht="17.25" customHeight="1">
      <c r="A156" s="3"/>
      <c r="B156" s="61"/>
      <c r="C156" s="61"/>
      <c r="D156" s="61"/>
      <c r="E156" s="61"/>
      <c r="F156" s="61"/>
      <c r="G156" s="61"/>
      <c r="H156" s="61"/>
      <c r="I156" s="61"/>
      <c r="J156" s="61"/>
      <c r="K156" s="61"/>
      <c r="L156" s="61"/>
      <c r="M156" s="61"/>
      <c r="N156" s="61"/>
      <c r="O156" s="61"/>
      <c r="P156" s="61"/>
      <c r="Q156" s="61"/>
      <c r="R156" s="61"/>
      <c r="S156" s="61"/>
      <c r="T156" s="61"/>
      <c r="U156" s="61"/>
      <c r="V156" s="61"/>
      <c r="W156" s="17"/>
      <c r="X156" s="17"/>
      <c r="Y156" s="17"/>
      <c r="Z156" s="17"/>
    </row>
    <row r="157" ht="17.25" customHeight="1">
      <c r="A157" s="3"/>
      <c r="B157" s="61"/>
      <c r="C157" s="61"/>
      <c r="D157" s="61"/>
      <c r="E157" s="61"/>
      <c r="F157" s="61"/>
      <c r="G157" s="61"/>
      <c r="H157" s="61"/>
      <c r="I157" s="61"/>
      <c r="J157" s="61"/>
      <c r="K157" s="61"/>
      <c r="L157" s="61"/>
      <c r="M157" s="61"/>
      <c r="N157" s="61"/>
      <c r="O157" s="61"/>
      <c r="P157" s="61"/>
      <c r="Q157" s="61"/>
      <c r="R157" s="61"/>
      <c r="S157" s="61"/>
      <c r="T157" s="61"/>
      <c r="U157" s="61"/>
      <c r="V157" s="61"/>
      <c r="W157" s="17"/>
      <c r="X157" s="17"/>
      <c r="Y157" s="17"/>
      <c r="Z157" s="17"/>
    </row>
    <row r="158" ht="17.25" customHeight="1">
      <c r="A158" s="3"/>
      <c r="B158" s="61"/>
      <c r="C158" s="61"/>
      <c r="D158" s="61"/>
      <c r="E158" s="61"/>
      <c r="F158" s="61"/>
      <c r="G158" s="61"/>
      <c r="H158" s="61"/>
      <c r="I158" s="61"/>
      <c r="J158" s="61"/>
      <c r="K158" s="61"/>
      <c r="L158" s="61"/>
      <c r="M158" s="61"/>
      <c r="N158" s="61"/>
      <c r="O158" s="61"/>
      <c r="P158" s="61"/>
      <c r="Q158" s="61"/>
      <c r="R158" s="61"/>
      <c r="S158" s="61"/>
      <c r="T158" s="61"/>
      <c r="U158" s="61"/>
      <c r="V158" s="61"/>
      <c r="W158" s="17"/>
      <c r="X158" s="17"/>
      <c r="Y158" s="17"/>
      <c r="Z158" s="17"/>
    </row>
    <row r="159" ht="17.25" customHeight="1">
      <c r="A159" s="3"/>
      <c r="B159" s="61"/>
      <c r="C159" s="61"/>
      <c r="D159" s="61"/>
      <c r="E159" s="61"/>
      <c r="F159" s="61"/>
      <c r="G159" s="61"/>
      <c r="H159" s="61"/>
      <c r="I159" s="61"/>
      <c r="J159" s="61"/>
      <c r="K159" s="61"/>
      <c r="L159" s="61"/>
      <c r="M159" s="61"/>
      <c r="N159" s="61"/>
      <c r="O159" s="61"/>
      <c r="P159" s="61"/>
      <c r="Q159" s="61"/>
      <c r="R159" s="61"/>
      <c r="S159" s="61"/>
      <c r="T159" s="61"/>
      <c r="U159" s="61"/>
      <c r="V159" s="61"/>
      <c r="W159" s="17"/>
      <c r="X159" s="17"/>
      <c r="Y159" s="17"/>
      <c r="Z159" s="17"/>
    </row>
    <row r="160" ht="17.25" customHeight="1">
      <c r="A160" s="3"/>
      <c r="B160" s="61"/>
      <c r="C160" s="61"/>
      <c r="D160" s="61"/>
      <c r="E160" s="61"/>
      <c r="F160" s="61"/>
      <c r="G160" s="61"/>
      <c r="H160" s="61"/>
      <c r="I160" s="61"/>
      <c r="J160" s="61"/>
      <c r="K160" s="61"/>
      <c r="L160" s="61"/>
      <c r="M160" s="61"/>
      <c r="N160" s="61"/>
      <c r="O160" s="61"/>
      <c r="P160" s="61"/>
      <c r="Q160" s="61"/>
      <c r="R160" s="61"/>
      <c r="S160" s="61"/>
      <c r="T160" s="61"/>
      <c r="U160" s="61"/>
      <c r="V160" s="61"/>
      <c r="W160" s="17"/>
      <c r="X160" s="17"/>
      <c r="Y160" s="17"/>
      <c r="Z160" s="17"/>
    </row>
    <row r="161" ht="17.25" customHeight="1">
      <c r="A161" s="3"/>
      <c r="B161" s="61"/>
      <c r="C161" s="61"/>
      <c r="D161" s="61"/>
      <c r="E161" s="61"/>
      <c r="F161" s="61"/>
      <c r="G161" s="61"/>
      <c r="H161" s="61"/>
      <c r="I161" s="61"/>
      <c r="J161" s="61"/>
      <c r="K161" s="61"/>
      <c r="L161" s="61"/>
      <c r="M161" s="61"/>
      <c r="N161" s="61"/>
      <c r="O161" s="61"/>
      <c r="P161" s="61"/>
      <c r="Q161" s="61"/>
      <c r="R161" s="61"/>
      <c r="S161" s="61"/>
      <c r="T161" s="61"/>
      <c r="U161" s="61"/>
      <c r="V161" s="61"/>
      <c r="W161" s="17"/>
      <c r="X161" s="17"/>
      <c r="Y161" s="17"/>
      <c r="Z161" s="17"/>
    </row>
    <row r="162" ht="17.25" customHeight="1">
      <c r="A162" s="3"/>
      <c r="B162" s="61"/>
      <c r="C162" s="61"/>
      <c r="D162" s="61"/>
      <c r="E162" s="61"/>
      <c r="F162" s="61"/>
      <c r="G162" s="61"/>
      <c r="H162" s="61"/>
      <c r="I162" s="61"/>
      <c r="J162" s="61"/>
      <c r="K162" s="61"/>
      <c r="L162" s="61"/>
      <c r="M162" s="61"/>
      <c r="N162" s="61"/>
      <c r="O162" s="61"/>
      <c r="P162" s="61"/>
      <c r="Q162" s="61"/>
      <c r="R162" s="61"/>
      <c r="S162" s="61"/>
      <c r="T162" s="61"/>
      <c r="U162" s="61"/>
      <c r="V162" s="61"/>
      <c r="W162" s="17"/>
      <c r="X162" s="17"/>
      <c r="Y162" s="17"/>
      <c r="Z162" s="17"/>
    </row>
    <row r="163" ht="17.25" customHeight="1">
      <c r="A163" s="3"/>
      <c r="B163" s="61"/>
      <c r="C163" s="61"/>
      <c r="D163" s="61"/>
      <c r="E163" s="61"/>
      <c r="F163" s="61"/>
      <c r="G163" s="61"/>
      <c r="H163" s="61"/>
      <c r="I163" s="61"/>
      <c r="J163" s="61"/>
      <c r="K163" s="61"/>
      <c r="L163" s="61"/>
      <c r="M163" s="61"/>
      <c r="N163" s="61"/>
      <c r="O163" s="61"/>
      <c r="P163" s="61"/>
      <c r="Q163" s="61"/>
      <c r="R163" s="61"/>
      <c r="S163" s="61"/>
      <c r="T163" s="61"/>
      <c r="U163" s="61"/>
      <c r="V163" s="61"/>
      <c r="W163" s="17"/>
      <c r="X163" s="17"/>
      <c r="Y163" s="17"/>
      <c r="Z163" s="17"/>
    </row>
    <row r="164" ht="17.25" customHeight="1">
      <c r="A164" s="3"/>
      <c r="B164" s="61"/>
      <c r="C164" s="61"/>
      <c r="D164" s="61"/>
      <c r="E164" s="61"/>
      <c r="F164" s="61"/>
      <c r="G164" s="61"/>
      <c r="H164" s="61"/>
      <c r="I164" s="61"/>
      <c r="J164" s="61"/>
      <c r="K164" s="61"/>
      <c r="L164" s="61"/>
      <c r="M164" s="61"/>
      <c r="N164" s="61"/>
      <c r="O164" s="61"/>
      <c r="P164" s="61"/>
      <c r="Q164" s="61"/>
      <c r="R164" s="61"/>
      <c r="S164" s="61"/>
      <c r="T164" s="61"/>
      <c r="U164" s="61"/>
      <c r="V164" s="61"/>
      <c r="W164" s="17"/>
      <c r="X164" s="17"/>
      <c r="Y164" s="17"/>
      <c r="Z164" s="17"/>
    </row>
    <row r="165" ht="17.25" customHeight="1">
      <c r="A165" s="3"/>
      <c r="B165" s="61"/>
      <c r="C165" s="61"/>
      <c r="D165" s="61"/>
      <c r="E165" s="61"/>
      <c r="F165" s="61"/>
      <c r="G165" s="61"/>
      <c r="H165" s="61"/>
      <c r="I165" s="61"/>
      <c r="J165" s="61"/>
      <c r="K165" s="61"/>
      <c r="L165" s="61"/>
      <c r="M165" s="61"/>
      <c r="N165" s="61"/>
      <c r="O165" s="61"/>
      <c r="P165" s="61"/>
      <c r="Q165" s="61"/>
      <c r="R165" s="61"/>
      <c r="S165" s="61"/>
      <c r="T165" s="61"/>
      <c r="U165" s="61"/>
      <c r="V165" s="61"/>
      <c r="W165" s="17"/>
      <c r="X165" s="17"/>
      <c r="Y165" s="17"/>
      <c r="Z165" s="17"/>
    </row>
    <row r="166" ht="17.25" customHeight="1">
      <c r="A166" s="3"/>
      <c r="B166" s="61"/>
      <c r="C166" s="61"/>
      <c r="D166" s="61"/>
      <c r="E166" s="61"/>
      <c r="F166" s="61"/>
      <c r="G166" s="61"/>
      <c r="H166" s="61"/>
      <c r="I166" s="61"/>
      <c r="J166" s="61"/>
      <c r="K166" s="61"/>
      <c r="L166" s="61"/>
      <c r="M166" s="61"/>
      <c r="N166" s="61"/>
      <c r="O166" s="61"/>
      <c r="P166" s="61"/>
      <c r="Q166" s="61"/>
      <c r="R166" s="61"/>
      <c r="S166" s="61"/>
      <c r="T166" s="61"/>
      <c r="U166" s="61"/>
      <c r="V166" s="61"/>
      <c r="W166" s="17"/>
      <c r="X166" s="17"/>
      <c r="Y166" s="17"/>
      <c r="Z166" s="17"/>
    </row>
    <row r="167" ht="17.25" customHeight="1">
      <c r="A167" s="3"/>
      <c r="B167" s="61"/>
      <c r="C167" s="61"/>
      <c r="D167" s="61"/>
      <c r="E167" s="61"/>
      <c r="F167" s="61"/>
      <c r="G167" s="61"/>
      <c r="H167" s="61"/>
      <c r="I167" s="61"/>
      <c r="J167" s="61"/>
      <c r="K167" s="61"/>
      <c r="L167" s="61"/>
      <c r="M167" s="61"/>
      <c r="N167" s="61"/>
      <c r="O167" s="61"/>
      <c r="P167" s="61"/>
      <c r="Q167" s="61"/>
      <c r="R167" s="61"/>
      <c r="S167" s="61"/>
      <c r="T167" s="61"/>
      <c r="U167" s="61"/>
      <c r="V167" s="61"/>
      <c r="W167" s="17"/>
      <c r="X167" s="17"/>
      <c r="Y167" s="17"/>
      <c r="Z167" s="17"/>
    </row>
    <row r="168" ht="17.25" customHeight="1">
      <c r="A168" s="3"/>
      <c r="B168" s="61"/>
      <c r="C168" s="61"/>
      <c r="D168" s="61"/>
      <c r="E168" s="61"/>
      <c r="F168" s="61"/>
      <c r="G168" s="61"/>
      <c r="H168" s="61"/>
      <c r="I168" s="61"/>
      <c r="J168" s="61"/>
      <c r="K168" s="61"/>
      <c r="L168" s="61"/>
      <c r="M168" s="61"/>
      <c r="N168" s="61"/>
      <c r="O168" s="61"/>
      <c r="P168" s="61"/>
      <c r="Q168" s="61"/>
      <c r="R168" s="61"/>
      <c r="S168" s="61"/>
      <c r="T168" s="61"/>
      <c r="U168" s="61"/>
      <c r="V168" s="61"/>
      <c r="W168" s="17"/>
      <c r="X168" s="17"/>
      <c r="Y168" s="17"/>
      <c r="Z168" s="17"/>
    </row>
    <row r="169" ht="17.25" customHeight="1">
      <c r="A169" s="3"/>
      <c r="B169" s="61"/>
      <c r="C169" s="61"/>
      <c r="D169" s="61"/>
      <c r="E169" s="61"/>
      <c r="F169" s="61"/>
      <c r="G169" s="61"/>
      <c r="H169" s="61"/>
      <c r="I169" s="61"/>
      <c r="J169" s="61"/>
      <c r="K169" s="61"/>
      <c r="L169" s="61"/>
      <c r="M169" s="61"/>
      <c r="N169" s="61"/>
      <c r="O169" s="61"/>
      <c r="P169" s="61"/>
      <c r="Q169" s="61"/>
      <c r="R169" s="61"/>
      <c r="S169" s="61"/>
      <c r="T169" s="61"/>
      <c r="U169" s="61"/>
      <c r="V169" s="61"/>
      <c r="W169" s="17"/>
      <c r="X169" s="17"/>
      <c r="Y169" s="17"/>
      <c r="Z169" s="17"/>
    </row>
    <row r="170" ht="17.25" customHeight="1">
      <c r="A170" s="3"/>
      <c r="B170" s="61"/>
      <c r="C170" s="61"/>
      <c r="D170" s="61"/>
      <c r="E170" s="61"/>
      <c r="F170" s="61"/>
      <c r="G170" s="61"/>
      <c r="H170" s="61"/>
      <c r="I170" s="61"/>
      <c r="J170" s="61"/>
      <c r="K170" s="61"/>
      <c r="L170" s="61"/>
      <c r="M170" s="61"/>
      <c r="N170" s="61"/>
      <c r="O170" s="61"/>
      <c r="P170" s="61"/>
      <c r="Q170" s="61"/>
      <c r="R170" s="61"/>
      <c r="S170" s="61"/>
      <c r="T170" s="61"/>
      <c r="U170" s="61"/>
      <c r="V170" s="61"/>
      <c r="W170" s="17"/>
      <c r="X170" s="17"/>
      <c r="Y170" s="17"/>
      <c r="Z170" s="17"/>
    </row>
    <row r="171" ht="17.25" customHeight="1">
      <c r="A171" s="3"/>
      <c r="B171" s="61"/>
      <c r="C171" s="61"/>
      <c r="D171" s="61"/>
      <c r="E171" s="61"/>
      <c r="F171" s="61"/>
      <c r="G171" s="61"/>
      <c r="H171" s="61"/>
      <c r="I171" s="61"/>
      <c r="J171" s="61"/>
      <c r="K171" s="61"/>
      <c r="L171" s="61"/>
      <c r="M171" s="61"/>
      <c r="N171" s="61"/>
      <c r="O171" s="61"/>
      <c r="P171" s="61"/>
      <c r="Q171" s="61"/>
      <c r="R171" s="61"/>
      <c r="S171" s="61"/>
      <c r="T171" s="61"/>
      <c r="U171" s="61"/>
      <c r="V171" s="61"/>
      <c r="W171" s="17"/>
      <c r="X171" s="17"/>
      <c r="Y171" s="17"/>
      <c r="Z171" s="17"/>
    </row>
    <row r="172" ht="17.25" customHeight="1">
      <c r="A172" s="3"/>
      <c r="B172" s="61"/>
      <c r="C172" s="61"/>
      <c r="D172" s="61"/>
      <c r="E172" s="61"/>
      <c r="F172" s="61"/>
      <c r="G172" s="61"/>
      <c r="H172" s="61"/>
      <c r="I172" s="61"/>
      <c r="J172" s="61"/>
      <c r="K172" s="61"/>
      <c r="L172" s="61"/>
      <c r="M172" s="61"/>
      <c r="N172" s="61"/>
      <c r="O172" s="61"/>
      <c r="P172" s="61"/>
      <c r="Q172" s="61"/>
      <c r="R172" s="61"/>
      <c r="S172" s="61"/>
      <c r="T172" s="61"/>
      <c r="U172" s="61"/>
      <c r="V172" s="61"/>
      <c r="W172" s="17"/>
      <c r="X172" s="17"/>
      <c r="Y172" s="17"/>
      <c r="Z172" s="17"/>
    </row>
    <row r="173" ht="17.25" customHeight="1">
      <c r="A173" s="3"/>
      <c r="B173" s="61"/>
      <c r="C173" s="61"/>
      <c r="D173" s="61"/>
      <c r="E173" s="61"/>
      <c r="F173" s="61"/>
      <c r="G173" s="61"/>
      <c r="H173" s="61"/>
      <c r="I173" s="61"/>
      <c r="J173" s="61"/>
      <c r="K173" s="61"/>
      <c r="L173" s="61"/>
      <c r="M173" s="61"/>
      <c r="N173" s="61"/>
      <c r="O173" s="61"/>
      <c r="P173" s="61"/>
      <c r="Q173" s="61"/>
      <c r="R173" s="61"/>
      <c r="S173" s="61"/>
      <c r="T173" s="61"/>
      <c r="U173" s="61"/>
      <c r="V173" s="61"/>
      <c r="W173" s="17"/>
      <c r="X173" s="17"/>
      <c r="Y173" s="17"/>
      <c r="Z173" s="17"/>
    </row>
    <row r="174" ht="17.25" customHeight="1">
      <c r="A174" s="3"/>
      <c r="B174" s="61"/>
      <c r="C174" s="61"/>
      <c r="D174" s="61"/>
      <c r="E174" s="61"/>
      <c r="F174" s="61"/>
      <c r="G174" s="61"/>
      <c r="H174" s="61"/>
      <c r="I174" s="61"/>
      <c r="J174" s="61"/>
      <c r="K174" s="61"/>
      <c r="L174" s="61"/>
      <c r="M174" s="61"/>
      <c r="N174" s="61"/>
      <c r="O174" s="61"/>
      <c r="P174" s="61"/>
      <c r="Q174" s="61"/>
      <c r="R174" s="61"/>
      <c r="S174" s="61"/>
      <c r="T174" s="61"/>
      <c r="U174" s="61"/>
      <c r="V174" s="61"/>
      <c r="W174" s="17"/>
      <c r="X174" s="17"/>
      <c r="Y174" s="17"/>
      <c r="Z174" s="17"/>
    </row>
    <row r="175" ht="17.25" customHeight="1">
      <c r="A175" s="3"/>
      <c r="B175" s="61"/>
      <c r="C175" s="61"/>
      <c r="D175" s="61"/>
      <c r="E175" s="61"/>
      <c r="F175" s="61"/>
      <c r="G175" s="61"/>
      <c r="H175" s="61"/>
      <c r="I175" s="61"/>
      <c r="J175" s="61"/>
      <c r="K175" s="61"/>
      <c r="L175" s="61"/>
      <c r="M175" s="61"/>
      <c r="N175" s="61"/>
      <c r="O175" s="61"/>
      <c r="P175" s="61"/>
      <c r="Q175" s="61"/>
      <c r="R175" s="61"/>
      <c r="S175" s="61"/>
      <c r="T175" s="61"/>
      <c r="U175" s="61"/>
      <c r="V175" s="61"/>
      <c r="W175" s="17"/>
      <c r="X175" s="17"/>
      <c r="Y175" s="17"/>
      <c r="Z175" s="17"/>
    </row>
    <row r="176" ht="17.25" customHeight="1">
      <c r="A176" s="3"/>
      <c r="B176" s="61"/>
      <c r="C176" s="61"/>
      <c r="D176" s="61"/>
      <c r="E176" s="61"/>
      <c r="F176" s="61"/>
      <c r="G176" s="61"/>
      <c r="H176" s="61"/>
      <c r="I176" s="61"/>
      <c r="J176" s="61"/>
      <c r="K176" s="61"/>
      <c r="L176" s="61"/>
      <c r="M176" s="61"/>
      <c r="N176" s="61"/>
      <c r="O176" s="61"/>
      <c r="P176" s="61"/>
      <c r="Q176" s="61"/>
      <c r="R176" s="61"/>
      <c r="S176" s="61"/>
      <c r="T176" s="61"/>
      <c r="U176" s="61"/>
      <c r="V176" s="61"/>
      <c r="W176" s="17"/>
      <c r="X176" s="17"/>
      <c r="Y176" s="17"/>
      <c r="Z176" s="17"/>
    </row>
    <row r="177" ht="17.25" customHeight="1">
      <c r="A177" s="3"/>
      <c r="B177" s="61"/>
      <c r="C177" s="61"/>
      <c r="D177" s="61"/>
      <c r="E177" s="61"/>
      <c r="F177" s="61"/>
      <c r="G177" s="61"/>
      <c r="H177" s="61"/>
      <c r="I177" s="61"/>
      <c r="J177" s="61"/>
      <c r="K177" s="61"/>
      <c r="L177" s="61"/>
      <c r="M177" s="61"/>
      <c r="N177" s="61"/>
      <c r="O177" s="61"/>
      <c r="P177" s="61"/>
      <c r="Q177" s="61"/>
      <c r="R177" s="61"/>
      <c r="S177" s="61"/>
      <c r="T177" s="61"/>
      <c r="U177" s="61"/>
      <c r="V177" s="61"/>
      <c r="W177" s="17"/>
      <c r="X177" s="17"/>
      <c r="Y177" s="17"/>
      <c r="Z177" s="17"/>
    </row>
    <row r="178" ht="17.25" customHeight="1">
      <c r="A178" s="3"/>
      <c r="B178" s="61"/>
      <c r="C178" s="61"/>
      <c r="D178" s="61"/>
      <c r="E178" s="61"/>
      <c r="F178" s="61"/>
      <c r="G178" s="61"/>
      <c r="H178" s="61"/>
      <c r="I178" s="61"/>
      <c r="J178" s="61"/>
      <c r="K178" s="61"/>
      <c r="L178" s="61"/>
      <c r="M178" s="61"/>
      <c r="N178" s="61"/>
      <c r="O178" s="61"/>
      <c r="P178" s="61"/>
      <c r="Q178" s="61"/>
      <c r="R178" s="61"/>
      <c r="S178" s="61"/>
      <c r="T178" s="61"/>
      <c r="U178" s="61"/>
      <c r="V178" s="61"/>
      <c r="W178" s="17"/>
      <c r="X178" s="17"/>
      <c r="Y178" s="17"/>
      <c r="Z178" s="17"/>
    </row>
    <row r="179" ht="17.25" customHeight="1">
      <c r="A179" s="3"/>
      <c r="B179" s="61"/>
      <c r="C179" s="61"/>
      <c r="D179" s="61"/>
      <c r="E179" s="61"/>
      <c r="F179" s="61"/>
      <c r="G179" s="61"/>
      <c r="H179" s="61"/>
      <c r="I179" s="61"/>
      <c r="J179" s="61"/>
      <c r="K179" s="61"/>
      <c r="L179" s="61"/>
      <c r="M179" s="61"/>
      <c r="N179" s="61"/>
      <c r="O179" s="61"/>
      <c r="P179" s="61"/>
      <c r="Q179" s="61"/>
      <c r="R179" s="61"/>
      <c r="S179" s="61"/>
      <c r="T179" s="61"/>
      <c r="U179" s="61"/>
      <c r="V179" s="61"/>
      <c r="W179" s="17"/>
      <c r="X179" s="17"/>
      <c r="Y179" s="17"/>
      <c r="Z179" s="17"/>
    </row>
    <row r="180" ht="17.25" customHeight="1">
      <c r="A180" s="3"/>
      <c r="B180" s="61"/>
      <c r="C180" s="61"/>
      <c r="D180" s="61"/>
      <c r="E180" s="61"/>
      <c r="F180" s="61"/>
      <c r="G180" s="61"/>
      <c r="H180" s="61"/>
      <c r="I180" s="61"/>
      <c r="J180" s="61"/>
      <c r="K180" s="61"/>
      <c r="L180" s="61"/>
      <c r="M180" s="61"/>
      <c r="N180" s="61"/>
      <c r="O180" s="61"/>
      <c r="P180" s="61"/>
      <c r="Q180" s="61"/>
      <c r="R180" s="61"/>
      <c r="S180" s="61"/>
      <c r="T180" s="61"/>
      <c r="U180" s="61"/>
      <c r="V180" s="61"/>
      <c r="W180" s="17"/>
      <c r="X180" s="17"/>
      <c r="Y180" s="17"/>
      <c r="Z180" s="17"/>
    </row>
    <row r="181" ht="17.25" customHeight="1">
      <c r="A181" s="3"/>
      <c r="B181" s="61"/>
      <c r="C181" s="61"/>
      <c r="D181" s="61"/>
      <c r="E181" s="61"/>
      <c r="F181" s="61"/>
      <c r="G181" s="61"/>
      <c r="H181" s="61"/>
      <c r="I181" s="61"/>
      <c r="J181" s="61"/>
      <c r="K181" s="61"/>
      <c r="L181" s="61"/>
      <c r="M181" s="61"/>
      <c r="N181" s="61"/>
      <c r="O181" s="61"/>
      <c r="P181" s="61"/>
      <c r="Q181" s="61"/>
      <c r="R181" s="61"/>
      <c r="S181" s="61"/>
      <c r="T181" s="61"/>
      <c r="U181" s="61"/>
      <c r="V181" s="61"/>
      <c r="W181" s="17"/>
      <c r="X181" s="17"/>
      <c r="Y181" s="17"/>
      <c r="Z181" s="17"/>
    </row>
    <row r="182" ht="17.25" customHeight="1">
      <c r="A182" s="3"/>
      <c r="B182" s="61"/>
      <c r="C182" s="61"/>
      <c r="D182" s="61"/>
      <c r="E182" s="61"/>
      <c r="F182" s="61"/>
      <c r="G182" s="61"/>
      <c r="H182" s="61"/>
      <c r="I182" s="61"/>
      <c r="J182" s="61"/>
      <c r="K182" s="61"/>
      <c r="L182" s="61"/>
      <c r="M182" s="61"/>
      <c r="N182" s="61"/>
      <c r="O182" s="61"/>
      <c r="P182" s="61"/>
      <c r="Q182" s="61"/>
      <c r="R182" s="61"/>
      <c r="S182" s="61"/>
      <c r="T182" s="61"/>
      <c r="U182" s="61"/>
      <c r="V182" s="61"/>
      <c r="W182" s="17"/>
      <c r="X182" s="17"/>
      <c r="Y182" s="17"/>
      <c r="Z182" s="17"/>
    </row>
    <row r="183" ht="17.25" customHeight="1">
      <c r="A183" s="3"/>
      <c r="B183" s="61"/>
      <c r="C183" s="61"/>
      <c r="D183" s="61"/>
      <c r="E183" s="61"/>
      <c r="F183" s="61"/>
      <c r="G183" s="61"/>
      <c r="H183" s="61"/>
      <c r="I183" s="61"/>
      <c r="J183" s="61"/>
      <c r="K183" s="61"/>
      <c r="L183" s="61"/>
      <c r="M183" s="61"/>
      <c r="N183" s="61"/>
      <c r="O183" s="61"/>
      <c r="P183" s="61"/>
      <c r="Q183" s="61"/>
      <c r="R183" s="61"/>
      <c r="S183" s="61"/>
      <c r="T183" s="61"/>
      <c r="U183" s="61"/>
      <c r="V183" s="61"/>
      <c r="W183" s="17"/>
      <c r="X183" s="17"/>
      <c r="Y183" s="17"/>
      <c r="Z183" s="17"/>
    </row>
    <row r="184" ht="17.25" customHeight="1">
      <c r="A184" s="3"/>
      <c r="B184" s="61"/>
      <c r="C184" s="61"/>
      <c r="D184" s="61"/>
      <c r="E184" s="61"/>
      <c r="F184" s="61"/>
      <c r="G184" s="61"/>
      <c r="H184" s="61"/>
      <c r="I184" s="61"/>
      <c r="J184" s="61"/>
      <c r="K184" s="61"/>
      <c r="L184" s="61"/>
      <c r="M184" s="61"/>
      <c r="N184" s="61"/>
      <c r="O184" s="61"/>
      <c r="P184" s="61"/>
      <c r="Q184" s="61"/>
      <c r="R184" s="61"/>
      <c r="S184" s="61"/>
      <c r="T184" s="61"/>
      <c r="U184" s="61"/>
      <c r="V184" s="61"/>
      <c r="W184" s="17"/>
      <c r="X184" s="17"/>
      <c r="Y184" s="17"/>
      <c r="Z184" s="17"/>
    </row>
    <row r="185" ht="17.25" customHeight="1">
      <c r="A185" s="3"/>
      <c r="B185" s="61"/>
      <c r="C185" s="61"/>
      <c r="D185" s="61"/>
      <c r="E185" s="61"/>
      <c r="F185" s="61"/>
      <c r="G185" s="61"/>
      <c r="H185" s="61"/>
      <c r="I185" s="61"/>
      <c r="J185" s="61"/>
      <c r="K185" s="61"/>
      <c r="L185" s="61"/>
      <c r="M185" s="61"/>
      <c r="N185" s="61"/>
      <c r="O185" s="61"/>
      <c r="P185" s="61"/>
      <c r="Q185" s="61"/>
      <c r="R185" s="61"/>
      <c r="S185" s="61"/>
      <c r="T185" s="61"/>
      <c r="U185" s="61"/>
      <c r="V185" s="61"/>
      <c r="W185" s="17"/>
      <c r="X185" s="17"/>
      <c r="Y185" s="17"/>
      <c r="Z185" s="17"/>
    </row>
    <row r="186" ht="17.25" customHeight="1">
      <c r="A186" s="3"/>
      <c r="B186" s="61"/>
      <c r="C186" s="61"/>
      <c r="D186" s="61"/>
      <c r="E186" s="61"/>
      <c r="F186" s="61"/>
      <c r="G186" s="61"/>
      <c r="H186" s="61"/>
      <c r="I186" s="61"/>
      <c r="J186" s="61"/>
      <c r="K186" s="61"/>
      <c r="L186" s="61"/>
      <c r="M186" s="61"/>
      <c r="N186" s="61"/>
      <c r="O186" s="61"/>
      <c r="P186" s="61"/>
      <c r="Q186" s="61"/>
      <c r="R186" s="61"/>
      <c r="S186" s="61"/>
      <c r="T186" s="61"/>
      <c r="U186" s="61"/>
      <c r="V186" s="61"/>
      <c r="W186" s="17"/>
      <c r="X186" s="17"/>
      <c r="Y186" s="17"/>
      <c r="Z186" s="17"/>
    </row>
    <row r="187" ht="17.25" customHeight="1">
      <c r="A187" s="3"/>
      <c r="B187" s="61"/>
      <c r="C187" s="61"/>
      <c r="D187" s="61"/>
      <c r="E187" s="61"/>
      <c r="F187" s="61"/>
      <c r="G187" s="61"/>
      <c r="H187" s="61"/>
      <c r="I187" s="61"/>
      <c r="J187" s="61"/>
      <c r="K187" s="61"/>
      <c r="L187" s="61"/>
      <c r="M187" s="61"/>
      <c r="N187" s="61"/>
      <c r="O187" s="61"/>
      <c r="P187" s="61"/>
      <c r="Q187" s="61"/>
      <c r="R187" s="61"/>
      <c r="S187" s="61"/>
      <c r="T187" s="61"/>
      <c r="U187" s="61"/>
      <c r="V187" s="61"/>
      <c r="W187" s="17"/>
      <c r="X187" s="17"/>
      <c r="Y187" s="17"/>
      <c r="Z187" s="17"/>
    </row>
    <row r="188" ht="17.25" customHeight="1">
      <c r="A188" s="3"/>
      <c r="B188" s="61"/>
      <c r="C188" s="61"/>
      <c r="D188" s="61"/>
      <c r="E188" s="61"/>
      <c r="F188" s="61"/>
      <c r="G188" s="61"/>
      <c r="H188" s="61"/>
      <c r="I188" s="61"/>
      <c r="J188" s="61"/>
      <c r="K188" s="61"/>
      <c r="L188" s="61"/>
      <c r="M188" s="61"/>
      <c r="N188" s="61"/>
      <c r="O188" s="61"/>
      <c r="P188" s="61"/>
      <c r="Q188" s="61"/>
      <c r="R188" s="61"/>
      <c r="S188" s="61"/>
      <c r="T188" s="61"/>
      <c r="U188" s="61"/>
      <c r="V188" s="61"/>
      <c r="W188" s="17"/>
      <c r="X188" s="17"/>
      <c r="Y188" s="17"/>
      <c r="Z188" s="17"/>
    </row>
    <row r="189" ht="17.25" customHeight="1">
      <c r="A189" s="3"/>
      <c r="B189" s="61"/>
      <c r="C189" s="61"/>
      <c r="D189" s="61"/>
      <c r="E189" s="61"/>
      <c r="F189" s="61"/>
      <c r="G189" s="61"/>
      <c r="H189" s="61"/>
      <c r="I189" s="61"/>
      <c r="J189" s="61"/>
      <c r="K189" s="61"/>
      <c r="L189" s="61"/>
      <c r="M189" s="61"/>
      <c r="N189" s="61"/>
      <c r="O189" s="61"/>
      <c r="P189" s="61"/>
      <c r="Q189" s="61"/>
      <c r="R189" s="61"/>
      <c r="S189" s="61"/>
      <c r="T189" s="61"/>
      <c r="U189" s="61"/>
      <c r="V189" s="61"/>
      <c r="W189" s="17"/>
      <c r="X189" s="17"/>
      <c r="Y189" s="17"/>
      <c r="Z189" s="17"/>
    </row>
    <row r="190" ht="17.25" customHeight="1">
      <c r="A190" s="3"/>
      <c r="B190" s="61"/>
      <c r="C190" s="61"/>
      <c r="D190" s="61"/>
      <c r="E190" s="61"/>
      <c r="F190" s="61"/>
      <c r="G190" s="61"/>
      <c r="H190" s="61"/>
      <c r="I190" s="61"/>
      <c r="J190" s="61"/>
      <c r="K190" s="61"/>
      <c r="L190" s="61"/>
      <c r="M190" s="61"/>
      <c r="N190" s="61"/>
      <c r="O190" s="61"/>
      <c r="P190" s="61"/>
      <c r="Q190" s="61"/>
      <c r="R190" s="61"/>
      <c r="S190" s="61"/>
      <c r="T190" s="61"/>
      <c r="U190" s="61"/>
      <c r="V190" s="61"/>
      <c r="W190" s="17"/>
      <c r="X190" s="17"/>
      <c r="Y190" s="17"/>
      <c r="Z190" s="17"/>
    </row>
    <row r="191" ht="17.25" customHeight="1">
      <c r="A191" s="3"/>
      <c r="B191" s="61"/>
      <c r="C191" s="61"/>
      <c r="D191" s="61"/>
      <c r="E191" s="61"/>
      <c r="F191" s="61"/>
      <c r="G191" s="61"/>
      <c r="H191" s="61"/>
      <c r="I191" s="61"/>
      <c r="J191" s="61"/>
      <c r="K191" s="61"/>
      <c r="L191" s="61"/>
      <c r="M191" s="61"/>
      <c r="N191" s="61"/>
      <c r="O191" s="61"/>
      <c r="P191" s="61"/>
      <c r="Q191" s="61"/>
      <c r="R191" s="61"/>
      <c r="S191" s="61"/>
      <c r="T191" s="61"/>
      <c r="U191" s="61"/>
      <c r="V191" s="61"/>
      <c r="W191" s="17"/>
      <c r="X191" s="17"/>
      <c r="Y191" s="17"/>
      <c r="Z191" s="17"/>
    </row>
    <row r="192" ht="17.25" customHeight="1">
      <c r="A192" s="3"/>
      <c r="B192" s="61"/>
      <c r="C192" s="61"/>
      <c r="D192" s="61"/>
      <c r="E192" s="61"/>
      <c r="F192" s="61"/>
      <c r="G192" s="61"/>
      <c r="H192" s="61"/>
      <c r="I192" s="61"/>
      <c r="J192" s="61"/>
      <c r="K192" s="61"/>
      <c r="L192" s="61"/>
      <c r="M192" s="61"/>
      <c r="N192" s="61"/>
      <c r="O192" s="61"/>
      <c r="P192" s="61"/>
      <c r="Q192" s="61"/>
      <c r="R192" s="61"/>
      <c r="S192" s="61"/>
      <c r="T192" s="61"/>
      <c r="U192" s="61"/>
      <c r="V192" s="61"/>
      <c r="W192" s="17"/>
      <c r="X192" s="17"/>
      <c r="Y192" s="17"/>
      <c r="Z192" s="17"/>
    </row>
    <row r="193" ht="17.25" customHeight="1">
      <c r="A193" s="3"/>
      <c r="B193" s="61"/>
      <c r="C193" s="61"/>
      <c r="D193" s="61"/>
      <c r="E193" s="61"/>
      <c r="F193" s="61"/>
      <c r="G193" s="61"/>
      <c r="H193" s="61"/>
      <c r="I193" s="61"/>
      <c r="J193" s="61"/>
      <c r="K193" s="61"/>
      <c r="L193" s="61"/>
      <c r="M193" s="61"/>
      <c r="N193" s="61"/>
      <c r="O193" s="61"/>
      <c r="P193" s="61"/>
      <c r="Q193" s="61"/>
      <c r="R193" s="61"/>
      <c r="S193" s="61"/>
      <c r="T193" s="61"/>
      <c r="U193" s="61"/>
      <c r="V193" s="61"/>
      <c r="W193" s="17"/>
      <c r="X193" s="17"/>
      <c r="Y193" s="17"/>
      <c r="Z193" s="17"/>
    </row>
    <row r="194" ht="17.25" customHeight="1">
      <c r="A194" s="3"/>
      <c r="B194" s="61"/>
      <c r="C194" s="61"/>
      <c r="D194" s="61"/>
      <c r="E194" s="61"/>
      <c r="F194" s="61"/>
      <c r="G194" s="61"/>
      <c r="H194" s="61"/>
      <c r="I194" s="61"/>
      <c r="J194" s="61"/>
      <c r="K194" s="61"/>
      <c r="L194" s="61"/>
      <c r="M194" s="61"/>
      <c r="N194" s="61"/>
      <c r="O194" s="61"/>
      <c r="P194" s="61"/>
      <c r="Q194" s="61"/>
      <c r="R194" s="61"/>
      <c r="S194" s="61"/>
      <c r="T194" s="61"/>
      <c r="U194" s="61"/>
      <c r="V194" s="61"/>
      <c r="W194" s="17"/>
      <c r="X194" s="17"/>
      <c r="Y194" s="17"/>
      <c r="Z194" s="17"/>
    </row>
    <row r="195" ht="17.25" customHeight="1">
      <c r="A195" s="3"/>
      <c r="B195" s="61"/>
      <c r="C195" s="61"/>
      <c r="D195" s="61"/>
      <c r="E195" s="61"/>
      <c r="F195" s="61"/>
      <c r="G195" s="61"/>
      <c r="H195" s="61"/>
      <c r="I195" s="61"/>
      <c r="J195" s="61"/>
      <c r="K195" s="61"/>
      <c r="L195" s="61"/>
      <c r="M195" s="61"/>
      <c r="N195" s="61"/>
      <c r="O195" s="61"/>
      <c r="P195" s="61"/>
      <c r="Q195" s="61"/>
      <c r="R195" s="61"/>
      <c r="S195" s="61"/>
      <c r="T195" s="61"/>
      <c r="U195" s="61"/>
      <c r="V195" s="61"/>
      <c r="W195" s="17"/>
      <c r="X195" s="17"/>
      <c r="Y195" s="17"/>
      <c r="Z195" s="17"/>
    </row>
    <row r="196" ht="17.25" customHeight="1">
      <c r="A196" s="3"/>
      <c r="B196" s="61"/>
      <c r="C196" s="61"/>
      <c r="D196" s="61"/>
      <c r="E196" s="61"/>
      <c r="F196" s="61"/>
      <c r="G196" s="61"/>
      <c r="H196" s="61"/>
      <c r="I196" s="61"/>
      <c r="J196" s="61"/>
      <c r="K196" s="61"/>
      <c r="L196" s="61"/>
      <c r="M196" s="61"/>
      <c r="N196" s="61"/>
      <c r="O196" s="61"/>
      <c r="P196" s="61"/>
      <c r="Q196" s="61"/>
      <c r="R196" s="61"/>
      <c r="S196" s="61"/>
      <c r="T196" s="61"/>
      <c r="U196" s="61"/>
      <c r="V196" s="61"/>
      <c r="W196" s="17"/>
      <c r="X196" s="17"/>
      <c r="Y196" s="17"/>
      <c r="Z196" s="17"/>
    </row>
    <row r="197" ht="17.25" customHeight="1">
      <c r="A197" s="3"/>
      <c r="B197" s="61"/>
      <c r="C197" s="61"/>
      <c r="D197" s="61"/>
      <c r="E197" s="61"/>
      <c r="F197" s="61"/>
      <c r="G197" s="61"/>
      <c r="H197" s="61"/>
      <c r="I197" s="61"/>
      <c r="J197" s="61"/>
      <c r="K197" s="61"/>
      <c r="L197" s="61"/>
      <c r="M197" s="61"/>
      <c r="N197" s="61"/>
      <c r="O197" s="61"/>
      <c r="P197" s="61"/>
      <c r="Q197" s="61"/>
      <c r="R197" s="61"/>
      <c r="S197" s="61"/>
      <c r="T197" s="61"/>
      <c r="U197" s="61"/>
      <c r="V197" s="61"/>
      <c r="W197" s="17"/>
      <c r="X197" s="17"/>
      <c r="Y197" s="17"/>
      <c r="Z197" s="17"/>
    </row>
    <row r="198" ht="17.25" customHeight="1">
      <c r="A198" s="3"/>
      <c r="B198" s="61"/>
      <c r="C198" s="61"/>
      <c r="D198" s="61"/>
      <c r="E198" s="61"/>
      <c r="F198" s="61"/>
      <c r="G198" s="61"/>
      <c r="H198" s="61"/>
      <c r="I198" s="61"/>
      <c r="J198" s="61"/>
      <c r="K198" s="61"/>
      <c r="L198" s="61"/>
      <c r="M198" s="61"/>
      <c r="N198" s="61"/>
      <c r="O198" s="61"/>
      <c r="P198" s="61"/>
      <c r="Q198" s="61"/>
      <c r="R198" s="61"/>
      <c r="S198" s="61"/>
      <c r="T198" s="61"/>
      <c r="U198" s="61"/>
      <c r="V198" s="61"/>
      <c r="W198" s="17"/>
      <c r="X198" s="17"/>
      <c r="Y198" s="17"/>
      <c r="Z198" s="17"/>
    </row>
    <row r="199" ht="17.25" customHeight="1">
      <c r="A199" s="3"/>
      <c r="B199" s="61"/>
      <c r="C199" s="61"/>
      <c r="D199" s="61"/>
      <c r="E199" s="61"/>
      <c r="F199" s="61"/>
      <c r="G199" s="61"/>
      <c r="H199" s="61"/>
      <c r="I199" s="61"/>
      <c r="J199" s="61"/>
      <c r="K199" s="61"/>
      <c r="L199" s="61"/>
      <c r="M199" s="61"/>
      <c r="N199" s="61"/>
      <c r="O199" s="61"/>
      <c r="P199" s="61"/>
      <c r="Q199" s="61"/>
      <c r="R199" s="61"/>
      <c r="S199" s="61"/>
      <c r="T199" s="61"/>
      <c r="U199" s="61"/>
      <c r="V199" s="61"/>
      <c r="W199" s="17"/>
      <c r="X199" s="17"/>
      <c r="Y199" s="17"/>
      <c r="Z199" s="17"/>
    </row>
    <row r="200" ht="17.25" customHeight="1">
      <c r="A200" s="3"/>
      <c r="B200" s="61"/>
      <c r="C200" s="61"/>
      <c r="D200" s="61"/>
      <c r="E200" s="61"/>
      <c r="F200" s="61"/>
      <c r="G200" s="61"/>
      <c r="H200" s="61"/>
      <c r="I200" s="61"/>
      <c r="J200" s="61"/>
      <c r="K200" s="61"/>
      <c r="L200" s="61"/>
      <c r="M200" s="61"/>
      <c r="N200" s="61"/>
      <c r="O200" s="61"/>
      <c r="P200" s="61"/>
      <c r="Q200" s="61"/>
      <c r="R200" s="61"/>
      <c r="S200" s="61"/>
      <c r="T200" s="61"/>
      <c r="U200" s="61"/>
      <c r="V200" s="61"/>
      <c r="W200" s="17"/>
      <c r="X200" s="17"/>
      <c r="Y200" s="17"/>
      <c r="Z200" s="17"/>
    </row>
    <row r="201" ht="17.25" customHeight="1">
      <c r="A201" s="3"/>
      <c r="B201" s="61"/>
      <c r="C201" s="61"/>
      <c r="D201" s="61"/>
      <c r="E201" s="61"/>
      <c r="F201" s="61"/>
      <c r="G201" s="61"/>
      <c r="H201" s="61"/>
      <c r="I201" s="61"/>
      <c r="J201" s="61"/>
      <c r="K201" s="61"/>
      <c r="L201" s="61"/>
      <c r="M201" s="61"/>
      <c r="N201" s="61"/>
      <c r="O201" s="61"/>
      <c r="P201" s="61"/>
      <c r="Q201" s="61"/>
      <c r="R201" s="61"/>
      <c r="S201" s="61"/>
      <c r="T201" s="61"/>
      <c r="U201" s="61"/>
      <c r="V201" s="61"/>
      <c r="W201" s="17"/>
      <c r="X201" s="17"/>
      <c r="Y201" s="17"/>
      <c r="Z201" s="17"/>
    </row>
    <row r="202" ht="17.25" customHeight="1">
      <c r="A202" s="3"/>
      <c r="B202" s="61"/>
      <c r="C202" s="61"/>
      <c r="D202" s="61"/>
      <c r="E202" s="61"/>
      <c r="F202" s="61"/>
      <c r="G202" s="61"/>
      <c r="H202" s="61"/>
      <c r="I202" s="61"/>
      <c r="J202" s="61"/>
      <c r="K202" s="61"/>
      <c r="L202" s="61"/>
      <c r="M202" s="61"/>
      <c r="N202" s="61"/>
      <c r="O202" s="61"/>
      <c r="P202" s="61"/>
      <c r="Q202" s="61"/>
      <c r="R202" s="61"/>
      <c r="S202" s="61"/>
      <c r="T202" s="61"/>
      <c r="U202" s="61"/>
      <c r="V202" s="61"/>
      <c r="W202" s="17"/>
      <c r="X202" s="17"/>
      <c r="Y202" s="17"/>
      <c r="Z202" s="17"/>
    </row>
    <row r="203" ht="17.25" customHeight="1">
      <c r="A203" s="3"/>
      <c r="B203" s="61"/>
      <c r="C203" s="61"/>
      <c r="D203" s="61"/>
      <c r="E203" s="61"/>
      <c r="F203" s="61"/>
      <c r="G203" s="61"/>
      <c r="H203" s="61"/>
      <c r="I203" s="61"/>
      <c r="J203" s="61"/>
      <c r="K203" s="61"/>
      <c r="L203" s="61"/>
      <c r="M203" s="61"/>
      <c r="N203" s="61"/>
      <c r="O203" s="61"/>
      <c r="P203" s="61"/>
      <c r="Q203" s="61"/>
      <c r="R203" s="61"/>
      <c r="S203" s="61"/>
      <c r="T203" s="61"/>
      <c r="U203" s="61"/>
      <c r="V203" s="61"/>
      <c r="W203" s="17"/>
      <c r="X203" s="17"/>
      <c r="Y203" s="17"/>
      <c r="Z203" s="17"/>
    </row>
    <row r="204" ht="17.25" customHeight="1">
      <c r="A204" s="3"/>
      <c r="B204" s="61"/>
      <c r="C204" s="61"/>
      <c r="D204" s="61"/>
      <c r="E204" s="61"/>
      <c r="F204" s="61"/>
      <c r="G204" s="61"/>
      <c r="H204" s="61"/>
      <c r="I204" s="61"/>
      <c r="J204" s="61"/>
      <c r="K204" s="61"/>
      <c r="L204" s="61"/>
      <c r="M204" s="61"/>
      <c r="N204" s="61"/>
      <c r="O204" s="61"/>
      <c r="P204" s="61"/>
      <c r="Q204" s="61"/>
      <c r="R204" s="61"/>
      <c r="S204" s="61"/>
      <c r="T204" s="61"/>
      <c r="U204" s="61"/>
      <c r="V204" s="61"/>
      <c r="W204" s="17"/>
      <c r="X204" s="17"/>
      <c r="Y204" s="17"/>
      <c r="Z204" s="17"/>
    </row>
    <row r="205" ht="17.25" customHeight="1">
      <c r="A205" s="3"/>
      <c r="B205" s="61"/>
      <c r="C205" s="61"/>
      <c r="D205" s="61"/>
      <c r="E205" s="61"/>
      <c r="F205" s="61"/>
      <c r="G205" s="61"/>
      <c r="H205" s="61"/>
      <c r="I205" s="61"/>
      <c r="J205" s="61"/>
      <c r="K205" s="61"/>
      <c r="L205" s="61"/>
      <c r="M205" s="61"/>
      <c r="N205" s="61"/>
      <c r="O205" s="61"/>
      <c r="P205" s="61"/>
      <c r="Q205" s="61"/>
      <c r="R205" s="61"/>
      <c r="S205" s="61"/>
      <c r="T205" s="61"/>
      <c r="U205" s="61"/>
      <c r="V205" s="61"/>
      <c r="W205" s="17"/>
      <c r="X205" s="17"/>
      <c r="Y205" s="17"/>
      <c r="Z205" s="17"/>
    </row>
    <row r="206" ht="17.25" customHeight="1">
      <c r="A206" s="3"/>
      <c r="B206" s="61"/>
      <c r="C206" s="61"/>
      <c r="D206" s="61"/>
      <c r="E206" s="61"/>
      <c r="F206" s="61"/>
      <c r="G206" s="61"/>
      <c r="H206" s="61"/>
      <c r="I206" s="61"/>
      <c r="J206" s="61"/>
      <c r="K206" s="61"/>
      <c r="L206" s="61"/>
      <c r="M206" s="61"/>
      <c r="N206" s="61"/>
      <c r="O206" s="61"/>
      <c r="P206" s="61"/>
      <c r="Q206" s="61"/>
      <c r="R206" s="61"/>
      <c r="S206" s="61"/>
      <c r="T206" s="61"/>
      <c r="U206" s="61"/>
      <c r="V206" s="61"/>
      <c r="W206" s="17"/>
      <c r="X206" s="17"/>
      <c r="Y206" s="17"/>
      <c r="Z206" s="17"/>
    </row>
    <row r="207" ht="17.25" customHeight="1">
      <c r="A207" s="3"/>
      <c r="B207" s="61"/>
      <c r="C207" s="61"/>
      <c r="D207" s="61"/>
      <c r="E207" s="61"/>
      <c r="F207" s="61"/>
      <c r="G207" s="61"/>
      <c r="H207" s="61"/>
      <c r="I207" s="61"/>
      <c r="J207" s="61"/>
      <c r="K207" s="61"/>
      <c r="L207" s="61"/>
      <c r="M207" s="61"/>
      <c r="N207" s="61"/>
      <c r="O207" s="61"/>
      <c r="P207" s="61"/>
      <c r="Q207" s="61"/>
      <c r="R207" s="61"/>
      <c r="S207" s="61"/>
      <c r="T207" s="61"/>
      <c r="U207" s="61"/>
      <c r="V207" s="61"/>
      <c r="W207" s="17"/>
      <c r="X207" s="17"/>
      <c r="Y207" s="17"/>
      <c r="Z207" s="17"/>
    </row>
    <row r="208" ht="17.25" customHeight="1">
      <c r="A208" s="3"/>
      <c r="B208" s="61"/>
      <c r="C208" s="61"/>
      <c r="D208" s="61"/>
      <c r="E208" s="61"/>
      <c r="F208" s="61"/>
      <c r="G208" s="61"/>
      <c r="H208" s="61"/>
      <c r="I208" s="61"/>
      <c r="J208" s="61"/>
      <c r="K208" s="61"/>
      <c r="L208" s="61"/>
      <c r="M208" s="61"/>
      <c r="N208" s="61"/>
      <c r="O208" s="61"/>
      <c r="P208" s="61"/>
      <c r="Q208" s="61"/>
      <c r="R208" s="61"/>
      <c r="S208" s="61"/>
      <c r="T208" s="61"/>
      <c r="U208" s="61"/>
      <c r="V208" s="61"/>
      <c r="W208" s="17"/>
      <c r="X208" s="17"/>
      <c r="Y208" s="17"/>
      <c r="Z208" s="17"/>
    </row>
    <row r="209" ht="17.25" customHeight="1">
      <c r="A209" s="3"/>
      <c r="B209" s="61"/>
      <c r="C209" s="61"/>
      <c r="D209" s="61"/>
      <c r="E209" s="61"/>
      <c r="F209" s="61"/>
      <c r="G209" s="61"/>
      <c r="H209" s="61"/>
      <c r="I209" s="61"/>
      <c r="J209" s="61"/>
      <c r="K209" s="61"/>
      <c r="L209" s="61"/>
      <c r="M209" s="61"/>
      <c r="N209" s="61"/>
      <c r="O209" s="61"/>
      <c r="P209" s="61"/>
      <c r="Q209" s="61"/>
      <c r="R209" s="61"/>
      <c r="S209" s="61"/>
      <c r="T209" s="61"/>
      <c r="U209" s="61"/>
      <c r="V209" s="61"/>
      <c r="W209" s="17"/>
      <c r="X209" s="17"/>
      <c r="Y209" s="17"/>
      <c r="Z209" s="17"/>
    </row>
    <row r="210" ht="17.25" customHeight="1">
      <c r="A210" s="3"/>
      <c r="B210" s="61"/>
      <c r="C210" s="61"/>
      <c r="D210" s="61"/>
      <c r="E210" s="61"/>
      <c r="F210" s="61"/>
      <c r="G210" s="61"/>
      <c r="H210" s="61"/>
      <c r="I210" s="61"/>
      <c r="J210" s="61"/>
      <c r="K210" s="61"/>
      <c r="L210" s="61"/>
      <c r="M210" s="61"/>
      <c r="N210" s="61"/>
      <c r="O210" s="61"/>
      <c r="P210" s="61"/>
      <c r="Q210" s="61"/>
      <c r="R210" s="61"/>
      <c r="S210" s="61"/>
      <c r="T210" s="61"/>
      <c r="U210" s="61"/>
      <c r="V210" s="61"/>
      <c r="W210" s="17"/>
      <c r="X210" s="17"/>
      <c r="Y210" s="17"/>
      <c r="Z210" s="17"/>
    </row>
    <row r="211" ht="17.25" customHeight="1">
      <c r="A211" s="3"/>
      <c r="B211" s="61"/>
      <c r="C211" s="61"/>
      <c r="D211" s="61"/>
      <c r="E211" s="61"/>
      <c r="F211" s="61"/>
      <c r="G211" s="61"/>
      <c r="H211" s="61"/>
      <c r="I211" s="61"/>
      <c r="J211" s="61"/>
      <c r="K211" s="61"/>
      <c r="L211" s="61"/>
      <c r="M211" s="61"/>
      <c r="N211" s="61"/>
      <c r="O211" s="61"/>
      <c r="P211" s="61"/>
      <c r="Q211" s="61"/>
      <c r="R211" s="61"/>
      <c r="S211" s="61"/>
      <c r="T211" s="61"/>
      <c r="U211" s="61"/>
      <c r="V211" s="61"/>
      <c r="W211" s="17"/>
      <c r="X211" s="17"/>
      <c r="Y211" s="17"/>
      <c r="Z211" s="17"/>
    </row>
    <row r="212" ht="17.25" customHeight="1">
      <c r="A212" s="3"/>
      <c r="B212" s="61"/>
      <c r="C212" s="61"/>
      <c r="D212" s="61"/>
      <c r="E212" s="61"/>
      <c r="F212" s="61"/>
      <c r="G212" s="61"/>
      <c r="H212" s="61"/>
      <c r="I212" s="61"/>
      <c r="J212" s="61"/>
      <c r="K212" s="61"/>
      <c r="L212" s="61"/>
      <c r="M212" s="61"/>
      <c r="N212" s="61"/>
      <c r="O212" s="61"/>
      <c r="P212" s="61"/>
      <c r="Q212" s="61"/>
      <c r="R212" s="61"/>
      <c r="S212" s="61"/>
      <c r="T212" s="61"/>
      <c r="U212" s="61"/>
      <c r="V212" s="61"/>
      <c r="W212" s="17"/>
      <c r="X212" s="17"/>
      <c r="Y212" s="17"/>
      <c r="Z212" s="17"/>
    </row>
    <row r="213" ht="17.25" customHeight="1">
      <c r="A213" s="3"/>
      <c r="B213" s="61"/>
      <c r="C213" s="61"/>
      <c r="D213" s="61"/>
      <c r="E213" s="61"/>
      <c r="F213" s="61"/>
      <c r="G213" s="61"/>
      <c r="H213" s="61"/>
      <c r="I213" s="61"/>
      <c r="J213" s="61"/>
      <c r="K213" s="61"/>
      <c r="L213" s="61"/>
      <c r="M213" s="61"/>
      <c r="N213" s="61"/>
      <c r="O213" s="61"/>
      <c r="P213" s="61"/>
      <c r="Q213" s="61"/>
      <c r="R213" s="61"/>
      <c r="S213" s="61"/>
      <c r="T213" s="61"/>
      <c r="U213" s="61"/>
      <c r="V213" s="61"/>
      <c r="W213" s="17"/>
      <c r="X213" s="17"/>
      <c r="Y213" s="17"/>
      <c r="Z213" s="17"/>
    </row>
    <row r="214" ht="17.25" customHeight="1">
      <c r="A214" s="3"/>
      <c r="B214" s="61"/>
      <c r="C214" s="61"/>
      <c r="D214" s="61"/>
      <c r="E214" s="61"/>
      <c r="F214" s="61"/>
      <c r="G214" s="61"/>
      <c r="H214" s="61"/>
      <c r="I214" s="61"/>
      <c r="J214" s="61"/>
      <c r="K214" s="61"/>
      <c r="L214" s="61"/>
      <c r="M214" s="61"/>
      <c r="N214" s="61"/>
      <c r="O214" s="61"/>
      <c r="P214" s="61"/>
      <c r="Q214" s="61"/>
      <c r="R214" s="61"/>
      <c r="S214" s="61"/>
      <c r="T214" s="61"/>
      <c r="U214" s="61"/>
      <c r="V214" s="61"/>
      <c r="W214" s="17"/>
      <c r="X214" s="17"/>
      <c r="Y214" s="17"/>
      <c r="Z214" s="17"/>
    </row>
    <row r="215" ht="17.25" customHeight="1">
      <c r="A215" s="3"/>
      <c r="B215" s="61"/>
      <c r="C215" s="61"/>
      <c r="D215" s="61"/>
      <c r="E215" s="61"/>
      <c r="F215" s="61"/>
      <c r="G215" s="61"/>
      <c r="H215" s="61"/>
      <c r="I215" s="61"/>
      <c r="J215" s="61"/>
      <c r="K215" s="61"/>
      <c r="L215" s="61"/>
      <c r="M215" s="61"/>
      <c r="N215" s="61"/>
      <c r="O215" s="61"/>
      <c r="P215" s="61"/>
      <c r="Q215" s="61"/>
      <c r="R215" s="61"/>
      <c r="S215" s="61"/>
      <c r="T215" s="61"/>
      <c r="U215" s="61"/>
      <c r="V215" s="61"/>
      <c r="W215" s="17"/>
      <c r="X215" s="17"/>
      <c r="Y215" s="17"/>
      <c r="Z215" s="17"/>
    </row>
    <row r="216" ht="17.25" customHeight="1">
      <c r="A216" s="3"/>
      <c r="B216" s="61"/>
      <c r="C216" s="61"/>
      <c r="D216" s="61"/>
      <c r="E216" s="61"/>
      <c r="F216" s="61"/>
      <c r="G216" s="61"/>
      <c r="H216" s="61"/>
      <c r="I216" s="61"/>
      <c r="J216" s="61"/>
      <c r="K216" s="61"/>
      <c r="L216" s="61"/>
      <c r="M216" s="61"/>
      <c r="N216" s="61"/>
      <c r="O216" s="61"/>
      <c r="P216" s="61"/>
      <c r="Q216" s="61"/>
      <c r="R216" s="61"/>
      <c r="S216" s="61"/>
      <c r="T216" s="61"/>
      <c r="U216" s="61"/>
      <c r="V216" s="61"/>
      <c r="W216" s="17"/>
      <c r="X216" s="17"/>
      <c r="Y216" s="17"/>
      <c r="Z216" s="17"/>
    </row>
    <row r="217" ht="17.25" customHeight="1">
      <c r="A217" s="3"/>
      <c r="B217" s="61"/>
      <c r="C217" s="61"/>
      <c r="D217" s="61"/>
      <c r="E217" s="61"/>
      <c r="F217" s="61"/>
      <c r="G217" s="61"/>
      <c r="H217" s="61"/>
      <c r="I217" s="61"/>
      <c r="J217" s="61"/>
      <c r="K217" s="61"/>
      <c r="L217" s="61"/>
      <c r="M217" s="61"/>
      <c r="N217" s="61"/>
      <c r="O217" s="61"/>
      <c r="P217" s="61"/>
      <c r="Q217" s="61"/>
      <c r="R217" s="61"/>
      <c r="S217" s="61"/>
      <c r="T217" s="61"/>
      <c r="U217" s="61"/>
      <c r="V217" s="61"/>
      <c r="W217" s="17"/>
      <c r="X217" s="17"/>
      <c r="Y217" s="17"/>
      <c r="Z217" s="17"/>
    </row>
    <row r="218" ht="17.25" customHeight="1">
      <c r="A218" s="3"/>
      <c r="B218" s="61"/>
      <c r="C218" s="61"/>
      <c r="D218" s="61"/>
      <c r="E218" s="61"/>
      <c r="F218" s="61"/>
      <c r="G218" s="61"/>
      <c r="H218" s="61"/>
      <c r="I218" s="61"/>
      <c r="J218" s="61"/>
      <c r="K218" s="61"/>
      <c r="L218" s="61"/>
      <c r="M218" s="61"/>
      <c r="N218" s="61"/>
      <c r="O218" s="61"/>
      <c r="P218" s="61"/>
      <c r="Q218" s="61"/>
      <c r="R218" s="61"/>
      <c r="S218" s="61"/>
      <c r="T218" s="61"/>
      <c r="U218" s="61"/>
      <c r="V218" s="61"/>
      <c r="W218" s="17"/>
      <c r="X218" s="17"/>
      <c r="Y218" s="17"/>
      <c r="Z218" s="17"/>
    </row>
    <row r="219" ht="17.25" customHeight="1">
      <c r="A219" s="3"/>
      <c r="B219" s="61"/>
      <c r="C219" s="61"/>
      <c r="D219" s="61"/>
      <c r="E219" s="61"/>
      <c r="F219" s="61"/>
      <c r="G219" s="61"/>
      <c r="H219" s="61"/>
      <c r="I219" s="61"/>
      <c r="J219" s="61"/>
      <c r="K219" s="61"/>
      <c r="L219" s="61"/>
      <c r="M219" s="61"/>
      <c r="N219" s="61"/>
      <c r="O219" s="61"/>
      <c r="P219" s="61"/>
      <c r="Q219" s="61"/>
      <c r="R219" s="61"/>
      <c r="S219" s="61"/>
      <c r="T219" s="61"/>
      <c r="U219" s="61"/>
      <c r="V219" s="61"/>
      <c r="W219" s="17"/>
      <c r="X219" s="17"/>
      <c r="Y219" s="17"/>
      <c r="Z219" s="17"/>
    </row>
    <row r="220" ht="17.25" customHeight="1">
      <c r="A220" s="3"/>
      <c r="B220" s="61"/>
      <c r="C220" s="61"/>
      <c r="D220" s="61"/>
      <c r="E220" s="61"/>
      <c r="F220" s="61"/>
      <c r="G220" s="61"/>
      <c r="H220" s="61"/>
      <c r="I220" s="61"/>
      <c r="J220" s="61"/>
      <c r="K220" s="61"/>
      <c r="L220" s="61"/>
      <c r="M220" s="61"/>
      <c r="N220" s="61"/>
      <c r="O220" s="61"/>
      <c r="P220" s="61"/>
      <c r="Q220" s="61"/>
      <c r="R220" s="61"/>
      <c r="S220" s="61"/>
      <c r="T220" s="61"/>
      <c r="U220" s="61"/>
      <c r="V220" s="61"/>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6" t="str">
        <f>IF('1.IS'!A1&lt;&gt;"",'1.IS'!A1,"")</f>
        <v/>
      </c>
      <c r="B1" s="10" t="s">
        <v>85</v>
      </c>
      <c r="C1" s="11"/>
      <c r="D1" s="11"/>
      <c r="E1" s="11"/>
      <c r="F1" s="11"/>
      <c r="G1" s="11"/>
      <c r="H1" s="11"/>
      <c r="I1" s="11"/>
      <c r="J1" s="11"/>
      <c r="K1" s="11"/>
      <c r="L1" s="11"/>
      <c r="M1" s="11"/>
      <c r="N1" s="11"/>
      <c r="O1" s="11" t="s">
        <v>14</v>
      </c>
    </row>
    <row r="2" ht="34.5" customHeight="1">
      <c r="A2" s="77" t="s">
        <v>86</v>
      </c>
      <c r="B2" s="78">
        <f>'1.IS'!B$2</f>
        <v>2015</v>
      </c>
      <c r="C2" s="78">
        <f>'1.IS'!C$2</f>
        <v>2016</v>
      </c>
      <c r="D2" s="78">
        <f>'1.IS'!D$2</f>
        <v>2018</v>
      </c>
      <c r="E2" s="78">
        <f>'1.IS'!E$2</f>
        <v>2018</v>
      </c>
      <c r="F2" s="78">
        <f>'1.IS'!F$2</f>
        <v>2019</v>
      </c>
      <c r="G2" s="78">
        <f>'1.IS'!G$2</f>
        <v>2020</v>
      </c>
      <c r="H2" s="78">
        <f>'1.IS'!H$2</f>
        <v>2021</v>
      </c>
      <c r="I2" s="78">
        <f>'1.IS'!I$2</f>
        <v>2022</v>
      </c>
      <c r="J2" s="78">
        <f>'1.IS'!J$2</f>
        <v>2023</v>
      </c>
      <c r="K2" s="78">
        <f>'1.IS'!K$2</f>
        <v>2024</v>
      </c>
      <c r="L2" s="79" t="str">
        <f>'1.IS'!L$2</f>
        <v>2025e</v>
      </c>
      <c r="M2" s="79" t="str">
        <f>'1.IS'!M$2</f>
        <v>2026e</v>
      </c>
      <c r="N2" s="79" t="str">
        <f>'1.IS'!N$2</f>
        <v>2027e</v>
      </c>
      <c r="O2" s="79" t="str">
        <f>'1.IS'!O$2</f>
        <v>2028e</v>
      </c>
      <c r="P2" s="79" t="str">
        <f>'1.IS'!P$2</f>
        <v>2029e</v>
      </c>
      <c r="Q2" s="21"/>
      <c r="R2" s="21"/>
      <c r="S2" s="21"/>
      <c r="T2" s="21"/>
      <c r="U2" s="21"/>
      <c r="V2" s="21"/>
      <c r="W2" s="21"/>
      <c r="X2" s="21"/>
      <c r="Y2" s="21"/>
      <c r="Z2" s="21"/>
    </row>
    <row r="3" ht="24.75" customHeight="1">
      <c r="A3" s="139" t="s">
        <v>87</v>
      </c>
      <c r="B3" s="169"/>
      <c r="C3" s="170"/>
      <c r="D3" s="170"/>
      <c r="E3" s="170"/>
      <c r="F3" s="170"/>
      <c r="G3" s="170"/>
      <c r="H3" s="171"/>
      <c r="I3" s="172"/>
      <c r="J3" s="172"/>
      <c r="K3" s="172">
        <f>$D$12*'1.IS'!K25</f>
        <v>113320.92</v>
      </c>
      <c r="L3" s="173">
        <f>IFERROR($D$12*'1.IS'!L25,"")</f>
        <v>111847.748</v>
      </c>
      <c r="M3" s="174">
        <f>IFERROR($D$12*'1.IS'!M25,"")</f>
        <v>110393.7273</v>
      </c>
      <c r="N3" s="174">
        <f>IFERROR($D$12*'1.IS'!N25,"")</f>
        <v>108958.6089</v>
      </c>
      <c r="O3" s="174">
        <f>IFERROR($D$12*'1.IS'!O25,"")</f>
        <v>107542.1469</v>
      </c>
      <c r="P3" s="175">
        <f>IFERROR($D$12*'1.IS'!P25,"")</f>
        <v>106144.099</v>
      </c>
      <c r="Q3" s="21"/>
      <c r="R3" s="21"/>
      <c r="S3" s="21"/>
      <c r="T3" s="21"/>
      <c r="U3" s="21"/>
      <c r="V3" s="21"/>
      <c r="W3" s="21"/>
      <c r="X3" s="21"/>
      <c r="Y3" s="21"/>
      <c r="Z3" s="21"/>
    </row>
    <row r="4" ht="24.75" customHeight="1">
      <c r="A4" s="139" t="s">
        <v>88</v>
      </c>
      <c r="B4" s="89">
        <f>('3.ROIC'!B7+'3.ROIC'!B6)-('3.ROIC'!B4+'3.ROIC'!B5)</f>
        <v>11426</v>
      </c>
      <c r="C4" s="90">
        <f>('3.ROIC'!C7+'3.ROIC'!C6)-('3.ROIC'!C4+'3.ROIC'!C5)</f>
        <v>12324</v>
      </c>
      <c r="D4" s="90">
        <f>('3.ROIC'!D7+'3.ROIC'!D6)-('3.ROIC'!D4+'3.ROIC'!D5)</f>
        <v>22330</v>
      </c>
      <c r="E4" s="90">
        <f>('3.ROIC'!E7+'3.ROIC'!E6)-('3.ROIC'!E4+'3.ROIC'!E5)</f>
        <v>20479</v>
      </c>
      <c r="F4" s="90">
        <f>('3.ROIC'!F7+'3.ROIC'!F6)-('3.ROIC'!F4+'3.ROIC'!F5)</f>
        <v>21058</v>
      </c>
      <c r="G4" s="90">
        <f>('3.ROIC'!G7+'3.ROIC'!G6)-('3.ROIC'!G4+'3.ROIC'!G5)</f>
        <v>19232</v>
      </c>
      <c r="H4" s="90">
        <f>('3.ROIC'!H7+'3.ROIC'!H6)-('3.ROIC'!H4+'3.ROIC'!H5)</f>
        <v>23978</v>
      </c>
      <c r="I4" s="90">
        <f>('3.ROIC'!I7+'3.ROIC'!I6)-('3.ROIC'!I4+'3.ROIC'!I5)</f>
        <v>22482</v>
      </c>
      <c r="J4" s="90">
        <f>('3.ROIC'!J7+'3.ROIC'!J6)-('3.ROIC'!J4+'3.ROIC'!J5)</f>
        <v>22374</v>
      </c>
      <c r="K4" s="141">
        <f>('3.ROIC'!K7+'3.ROIC'!K6)-('3.ROIC'!K4+'3.ROIC'!K5)</f>
        <v>23047</v>
      </c>
      <c r="L4" s="140">
        <f>IFERROR(L5*'1.IS'!L5,"")</f>
        <v>23780.18856</v>
      </c>
      <c r="M4" s="141">
        <f>IFERROR(M5*'1.IS'!M5,"")</f>
        <v>24759.27889</v>
      </c>
      <c r="N4" s="141">
        <f>IFERROR(N5*'1.IS'!N5,"")</f>
        <v>26000.87895</v>
      </c>
      <c r="O4" s="141">
        <f>IFERROR(O5*'1.IS'!O5,"")</f>
        <v>27315.2013</v>
      </c>
      <c r="P4" s="142">
        <f>IFERROR(P5*'1.IS'!P5,"")</f>
        <v>28822.85851</v>
      </c>
      <c r="Q4" s="21"/>
      <c r="R4" s="21"/>
      <c r="S4" s="21"/>
      <c r="T4" s="21"/>
      <c r="U4" s="21"/>
      <c r="V4" s="21"/>
      <c r="W4" s="21"/>
      <c r="X4" s="21"/>
      <c r="Y4" s="21"/>
      <c r="Z4" s="21"/>
    </row>
    <row r="5" ht="24.75" customHeight="1">
      <c r="A5" s="4" t="s">
        <v>89</v>
      </c>
      <c r="B5" s="176">
        <f>IFERROR('4.Valoración'!B4/'1.IS'!B5,"")</f>
        <v>1.303742583</v>
      </c>
      <c r="C5" s="177">
        <f>IFERROR('4.Valoración'!C4/'1.IS'!C5,"")</f>
        <v>1.343801112</v>
      </c>
      <c r="D5" s="177">
        <f>IFERROR('4.Valoración'!D4/'1.IS'!D5,"")</f>
        <v>1.953801732</v>
      </c>
      <c r="E5" s="177">
        <f>IFERROR('4.Valoración'!E4/'1.IS'!E5,"")</f>
        <v>1.806386169</v>
      </c>
      <c r="F5" s="177">
        <f>IFERROR('4.Valoración'!F4/'1.IS'!F5,"")</f>
        <v>1.77240973</v>
      </c>
      <c r="G5" s="177">
        <f>IFERROR('4.Valoración'!G4/'1.IS'!G5,"")</f>
        <v>1.690576653</v>
      </c>
      <c r="H5" s="177">
        <f>IFERROR('4.Valoración'!H4/'1.IS'!H5,"")</f>
        <v>2.106474567</v>
      </c>
      <c r="I5" s="177">
        <f>IFERROR('4.Valoración'!I4/'1.IS'!I5,"")</f>
        <v>2.017227456</v>
      </c>
      <c r="J5" s="177">
        <f>IFERROR('4.Valoración'!J4/'1.IS'!J5,"")</f>
        <v>1.952526398</v>
      </c>
      <c r="K5" s="177">
        <f>IFERROR('4.Valoración'!K4/'1.IS'!K5,"")</f>
        <v>1.790197297</v>
      </c>
      <c r="L5" s="178">
        <f>AVERAGE(B5:K5)</f>
        <v>1.77371437</v>
      </c>
      <c r="M5" s="179">
        <f t="shared" ref="M5:P5" si="1">L5</f>
        <v>1.77371437</v>
      </c>
      <c r="N5" s="179">
        <f t="shared" si="1"/>
        <v>1.77371437</v>
      </c>
      <c r="O5" s="179">
        <f t="shared" si="1"/>
        <v>1.77371437</v>
      </c>
      <c r="P5" s="180">
        <f t="shared" si="1"/>
        <v>1.77371437</v>
      </c>
      <c r="Q5" s="181" t="s">
        <v>29</v>
      </c>
      <c r="R5" s="21"/>
      <c r="S5" s="21"/>
      <c r="T5" s="21"/>
      <c r="U5" s="21"/>
      <c r="V5" s="21"/>
      <c r="W5" s="21"/>
      <c r="X5" s="21"/>
      <c r="Y5" s="21"/>
      <c r="Z5" s="21"/>
    </row>
    <row r="6" ht="24.75" customHeight="1">
      <c r="A6" s="182" t="s">
        <v>90</v>
      </c>
      <c r="B6" s="146"/>
      <c r="C6" s="147"/>
      <c r="D6" s="147"/>
      <c r="E6" s="147"/>
      <c r="F6" s="147"/>
      <c r="G6" s="147"/>
      <c r="H6" s="147"/>
      <c r="I6" s="147"/>
      <c r="J6" s="147"/>
      <c r="K6" s="147">
        <f>K3+K4</f>
        <v>136367.92</v>
      </c>
      <c r="L6" s="146">
        <f t="shared" ref="L6:P6" si="2">IFERROR((L3+L4),"")</f>
        <v>135627.9366</v>
      </c>
      <c r="M6" s="147">
        <f t="shared" si="2"/>
        <v>135153.0062</v>
      </c>
      <c r="N6" s="147">
        <f t="shared" si="2"/>
        <v>134959.4878</v>
      </c>
      <c r="O6" s="147">
        <f t="shared" si="2"/>
        <v>134857.3482</v>
      </c>
      <c r="P6" s="183">
        <f t="shared" si="2"/>
        <v>134966.9575</v>
      </c>
      <c r="Q6" s="21"/>
      <c r="R6" s="21"/>
      <c r="S6" s="21"/>
      <c r="T6" s="21"/>
      <c r="U6" s="21"/>
      <c r="V6" s="21"/>
      <c r="W6" s="21"/>
      <c r="X6" s="21"/>
      <c r="Y6" s="21"/>
      <c r="Z6" s="21"/>
    </row>
    <row r="7" ht="24.75" hidden="1" customHeight="1">
      <c r="A7" s="4" t="s">
        <v>20</v>
      </c>
      <c r="B7" s="90">
        <f>'1.IS'!B5</f>
        <v>8764</v>
      </c>
      <c r="C7" s="90">
        <f>'1.IS'!C5</f>
        <v>9171</v>
      </c>
      <c r="D7" s="90">
        <f>'1.IS'!D5</f>
        <v>11429</v>
      </c>
      <c r="E7" s="90">
        <f>'1.IS'!E5</f>
        <v>11337</v>
      </c>
      <c r="F7" s="90">
        <f>'1.IS'!F5</f>
        <v>11881</v>
      </c>
      <c r="G7" s="90">
        <f>'1.IS'!G5</f>
        <v>11376</v>
      </c>
      <c r="H7" s="141">
        <f>'1.IS'!H5</f>
        <v>11383</v>
      </c>
      <c r="I7" s="141">
        <f>'1.IS'!I5</f>
        <v>11145</v>
      </c>
      <c r="J7" s="141">
        <f>'1.IS'!J5</f>
        <v>11459</v>
      </c>
      <c r="K7" s="141">
        <f>'1.IS'!K5</f>
        <v>12874</v>
      </c>
      <c r="L7" s="184">
        <f>'1.IS'!L5</f>
        <v>13407</v>
      </c>
      <c r="M7" s="90">
        <f>'1.IS'!M5</f>
        <v>13959</v>
      </c>
      <c r="N7" s="90">
        <f>'1.IS'!N5</f>
        <v>14659</v>
      </c>
      <c r="O7" s="90">
        <f>'1.IS'!O5</f>
        <v>15400</v>
      </c>
      <c r="P7" s="90">
        <f>'1.IS'!P5</f>
        <v>16250</v>
      </c>
      <c r="Q7" s="74"/>
      <c r="R7" s="21"/>
      <c r="S7" s="21"/>
      <c r="T7" s="21"/>
      <c r="U7" s="21"/>
      <c r="V7" s="21"/>
      <c r="W7" s="21"/>
      <c r="X7" s="21"/>
      <c r="Y7" s="21"/>
      <c r="Z7" s="21"/>
    </row>
    <row r="8" ht="24.75" hidden="1" customHeight="1">
      <c r="A8" s="4" t="s">
        <v>91</v>
      </c>
      <c r="B8" s="90">
        <f>'1.IS'!B9</f>
        <v>7394</v>
      </c>
      <c r="C8" s="90">
        <f>'1.IS'!C9</f>
        <v>7707</v>
      </c>
      <c r="D8" s="90">
        <f>'1.IS'!D9</f>
        <v>9404</v>
      </c>
      <c r="E8" s="90">
        <f>'1.IS'!E9</f>
        <v>9329</v>
      </c>
      <c r="F8" s="90">
        <f>'1.IS'!F9</f>
        <v>9917</v>
      </c>
      <c r="G8" s="90">
        <f>'1.IS'!G9</f>
        <v>9358</v>
      </c>
      <c r="H8" s="141">
        <f>'1.IS'!H9</f>
        <v>9637</v>
      </c>
      <c r="I8" s="141">
        <f>'1.IS'!I9</f>
        <v>9636</v>
      </c>
      <c r="J8" s="141">
        <f>'1.IS'!J9</f>
        <v>10068</v>
      </c>
      <c r="K8" s="141">
        <f>'1.IS'!K9</f>
        <v>11250</v>
      </c>
      <c r="L8" s="184">
        <f>'1.IS'!L9</f>
        <v>11890.9277</v>
      </c>
      <c r="M8" s="90">
        <f>'1.IS'!M9</f>
        <v>12247.65553</v>
      </c>
      <c r="N8" s="90">
        <f>'1.IS'!N9</f>
        <v>12737.56175</v>
      </c>
      <c r="O8" s="90">
        <f>'1.IS'!O9</f>
        <v>13247.06422</v>
      </c>
      <c r="P8" s="90">
        <f>'1.IS'!P9</f>
        <v>13776.94679</v>
      </c>
      <c r="Q8" s="74"/>
      <c r="R8" s="21"/>
      <c r="S8" s="21"/>
      <c r="T8" s="21"/>
      <c r="U8" s="21"/>
      <c r="V8" s="21"/>
      <c r="W8" s="21"/>
      <c r="X8" s="21"/>
      <c r="Y8" s="21"/>
      <c r="Z8" s="21"/>
    </row>
    <row r="9" ht="24.75" hidden="1" customHeight="1">
      <c r="A9" s="4" t="s">
        <v>92</v>
      </c>
      <c r="B9" s="90">
        <f>'1.IS'!B20</f>
        <v>4766</v>
      </c>
      <c r="C9" s="90">
        <f>'1.IS'!C20</f>
        <v>5069</v>
      </c>
      <c r="D9" s="90">
        <f>'1.IS'!D20</f>
        <v>6780</v>
      </c>
      <c r="E9" s="90">
        <f>'1.IS'!E20</f>
        <v>5764</v>
      </c>
      <c r="F9" s="90">
        <f>'1.IS'!F20</f>
        <v>6714</v>
      </c>
      <c r="G9" s="90">
        <f>'1.IS'!G20</f>
        <v>6475</v>
      </c>
      <c r="H9" s="141">
        <f>'1.IS'!H20</f>
        <v>6870</v>
      </c>
      <c r="I9" s="141">
        <f>'1.IS'!I20</f>
        <v>6457</v>
      </c>
      <c r="J9" s="141">
        <f>'1.IS'!J20</f>
        <v>6583</v>
      </c>
      <c r="K9" s="141">
        <f>'1.IS'!K20</f>
        <v>7463</v>
      </c>
      <c r="L9" s="184">
        <f>'1.IS'!L20</f>
        <v>7878.968443</v>
      </c>
      <c r="M9" s="90">
        <f>'1.IS'!M20</f>
        <v>8108.902445</v>
      </c>
      <c r="N9" s="90">
        <f>'1.IS'!N20</f>
        <v>8427.173619</v>
      </c>
      <c r="O9" s="90">
        <f>'1.IS'!O20</f>
        <v>8757.617153</v>
      </c>
      <c r="P9" s="90">
        <f>'1.IS'!P20</f>
        <v>9097.869084</v>
      </c>
      <c r="Q9" s="74"/>
      <c r="R9" s="21"/>
      <c r="S9" s="21"/>
      <c r="T9" s="21"/>
      <c r="U9" s="21"/>
      <c r="V9" s="21"/>
      <c r="W9" s="21"/>
      <c r="X9" s="21"/>
      <c r="Y9" s="21"/>
      <c r="Z9" s="21"/>
    </row>
    <row r="10" ht="24.75" hidden="1" customHeight="1">
      <c r="A10" s="124" t="s">
        <v>93</v>
      </c>
      <c r="B10" s="149">
        <f>'2.FCF'!B14</f>
        <v>5039</v>
      </c>
      <c r="C10" s="149">
        <f>'2.FCF'!C14</f>
        <v>5319</v>
      </c>
      <c r="D10" s="149">
        <f>'2.FCF'!D14</f>
        <v>10445</v>
      </c>
      <c r="E10" s="149">
        <f>'2.FCF'!E14</f>
        <v>2573</v>
      </c>
      <c r="F10" s="149">
        <f>'2.FCF'!F14</f>
        <v>6889</v>
      </c>
      <c r="G10" s="149">
        <f>'2.FCF'!G14</f>
        <v>7931</v>
      </c>
      <c r="H10" s="149">
        <f>'2.FCF'!H14</f>
        <v>7528</v>
      </c>
      <c r="I10" s="149">
        <f>'2.FCF'!I14</f>
        <v>6690</v>
      </c>
      <c r="J10" s="149">
        <f>'2.FCF'!J14</f>
        <v>7212</v>
      </c>
      <c r="K10" s="149">
        <f>'2.FCF'!K14</f>
        <v>11899</v>
      </c>
      <c r="L10" s="148">
        <f>'2.FCF'!L14</f>
        <v>8306.906698</v>
      </c>
      <c r="M10" s="149">
        <f>'2.FCF'!M14</f>
        <v>8699.468847</v>
      </c>
      <c r="N10" s="149">
        <f>'2.FCF'!N14</f>
        <v>9183.002677</v>
      </c>
      <c r="O10" s="149">
        <f>'2.FCF'!O14</f>
        <v>9698.319373</v>
      </c>
      <c r="P10" s="149">
        <f>'2.FCF'!P14</f>
        <v>10310.19939</v>
      </c>
      <c r="Q10" s="74"/>
      <c r="R10" s="21"/>
      <c r="S10" s="21"/>
      <c r="T10" s="21"/>
      <c r="U10" s="21"/>
      <c r="V10" s="21"/>
      <c r="W10" s="21"/>
      <c r="X10" s="21"/>
      <c r="Y10" s="21"/>
      <c r="Z10" s="21"/>
    </row>
    <row r="11" ht="15.0" customHeight="1">
      <c r="A11" s="100"/>
      <c r="B11" s="141"/>
      <c r="C11" s="141"/>
      <c r="D11" s="141"/>
      <c r="E11" s="141"/>
      <c r="F11" s="141"/>
      <c r="G11" s="141"/>
      <c r="H11" s="141"/>
      <c r="I11" s="141"/>
      <c r="J11" s="141"/>
      <c r="K11" s="141"/>
      <c r="L11" s="141"/>
      <c r="M11" s="141"/>
      <c r="N11" s="141"/>
      <c r="O11" s="141"/>
      <c r="P11" s="141"/>
      <c r="Q11" s="74"/>
      <c r="R11" s="21"/>
      <c r="S11" s="21"/>
      <c r="T11" s="21"/>
      <c r="U11" s="21"/>
      <c r="V11" s="21"/>
      <c r="W11" s="21"/>
      <c r="X11" s="21"/>
      <c r="Y11" s="21"/>
      <c r="Z11" s="21"/>
    </row>
    <row r="12" ht="24.75" customHeight="1">
      <c r="A12" s="185" t="s">
        <v>94</v>
      </c>
      <c r="B12" s="186"/>
      <c r="C12" s="186"/>
      <c r="D12" s="187">
        <v>45.2</v>
      </c>
      <c r="E12" s="141"/>
      <c r="F12" s="21"/>
      <c r="G12" s="21"/>
      <c r="H12" s="21"/>
      <c r="I12" s="21"/>
      <c r="J12" s="21"/>
      <c r="K12" s="21"/>
      <c r="L12" s="188"/>
      <c r="M12" s="21"/>
      <c r="N12" s="141"/>
      <c r="O12" s="141"/>
      <c r="P12" s="141"/>
      <c r="Q12" s="74"/>
      <c r="R12" s="21"/>
      <c r="S12" s="21"/>
      <c r="T12" s="21"/>
      <c r="U12" s="21"/>
      <c r="V12" s="21"/>
      <c r="W12" s="21"/>
      <c r="X12" s="21"/>
      <c r="Y12" s="21"/>
      <c r="Z12" s="21"/>
    </row>
    <row r="13" ht="15.0" customHeight="1">
      <c r="A13" s="100"/>
      <c r="B13" s="143"/>
      <c r="C13" s="143"/>
      <c r="D13" s="141"/>
      <c r="E13" s="141"/>
      <c r="F13" s="141"/>
      <c r="G13" s="141"/>
      <c r="H13" s="141"/>
      <c r="I13" s="141"/>
      <c r="J13" s="141"/>
      <c r="K13" s="141"/>
      <c r="L13" s="141"/>
      <c r="M13" s="141"/>
      <c r="N13" s="143"/>
      <c r="O13" s="143"/>
      <c r="P13" s="143"/>
      <c r="Q13" s="21"/>
      <c r="R13" s="21"/>
      <c r="S13" s="21"/>
      <c r="T13" s="21"/>
      <c r="U13" s="21"/>
      <c r="V13" s="21"/>
      <c r="W13" s="21"/>
      <c r="X13" s="21"/>
      <c r="Y13" s="21"/>
      <c r="Z13" s="21"/>
    </row>
    <row r="14" ht="34.5" customHeight="1">
      <c r="A14" s="189" t="s">
        <v>95</v>
      </c>
      <c r="B14" s="190" t="s">
        <v>96</v>
      </c>
      <c r="C14" s="190" t="s">
        <v>97</v>
      </c>
      <c r="D14" s="117" t="s">
        <v>98</v>
      </c>
      <c r="E14" s="130"/>
      <c r="F14" s="21"/>
      <c r="G14" s="191"/>
      <c r="H14" s="192"/>
      <c r="I14" s="193"/>
      <c r="J14" s="57"/>
      <c r="K14" s="57"/>
      <c r="L14" s="57"/>
      <c r="M14" s="57"/>
      <c r="N14" s="57"/>
      <c r="O14" s="57"/>
      <c r="P14" s="57"/>
      <c r="Q14" s="21"/>
      <c r="R14" s="21"/>
      <c r="S14" s="21"/>
      <c r="T14" s="21"/>
      <c r="U14" s="21"/>
      <c r="V14" s="21"/>
      <c r="W14" s="21"/>
      <c r="X14" s="21"/>
      <c r="Y14" s="21"/>
      <c r="Z14" s="21"/>
    </row>
    <row r="15" ht="24.75" customHeight="1">
      <c r="A15" s="194" t="s">
        <v>99</v>
      </c>
      <c r="B15" s="195">
        <f>IF(D12&lt;&gt;"",IFERROR(D12/'1.IS'!K23,""),"")</f>
        <v>15.18436554</v>
      </c>
      <c r="C15" s="195">
        <f>IF(D12&lt;&gt;"",IFERROR(D12/'1.IS'!L23,""),"")</f>
        <v>14.19573499</v>
      </c>
      <c r="D15" s="196">
        <v>17.0</v>
      </c>
      <c r="E15" s="197"/>
      <c r="F15" s="21"/>
      <c r="G15" s="57"/>
      <c r="H15" s="57"/>
      <c r="I15" s="57"/>
      <c r="J15" s="57"/>
      <c r="K15" s="57"/>
      <c r="L15" s="57"/>
      <c r="M15" s="57"/>
      <c r="N15" s="57"/>
      <c r="O15" s="57"/>
      <c r="P15" s="57"/>
      <c r="Q15" s="21"/>
      <c r="R15" s="21"/>
      <c r="S15" s="21"/>
      <c r="T15" s="21"/>
      <c r="U15" s="21"/>
      <c r="V15" s="21"/>
      <c r="W15" s="21"/>
      <c r="X15" s="21"/>
      <c r="Y15" s="21"/>
      <c r="Z15" s="21"/>
    </row>
    <row r="16" ht="24.75" customHeight="1">
      <c r="A16" s="81" t="s">
        <v>100</v>
      </c>
      <c r="B16" s="198">
        <f>IF(D12&lt;&gt;"",IFERROR(K6/K10,""),"")</f>
        <v>11.46045214</v>
      </c>
      <c r="C16" s="198">
        <f>IF(D12&lt;&gt;"",IFERROR(L6/L10,""),"")</f>
        <v>16.32712892</v>
      </c>
      <c r="D16" s="199">
        <f>D15</f>
        <v>17</v>
      </c>
      <c r="E16" s="200"/>
      <c r="F16" s="21"/>
      <c r="G16" s="201" t="s">
        <v>29</v>
      </c>
      <c r="J16" s="57"/>
      <c r="K16" s="57"/>
      <c r="L16" s="57"/>
      <c r="M16" s="57"/>
      <c r="N16" s="57"/>
      <c r="O16" s="57"/>
      <c r="P16" s="57"/>
      <c r="Q16" s="21"/>
      <c r="R16" s="21"/>
      <c r="S16" s="21"/>
      <c r="T16" s="21"/>
      <c r="U16" s="21"/>
      <c r="V16" s="21"/>
      <c r="W16" s="21"/>
      <c r="X16" s="21"/>
      <c r="Y16" s="21"/>
      <c r="Z16" s="21"/>
    </row>
    <row r="17" ht="24.75" customHeight="1">
      <c r="A17" s="139" t="s">
        <v>101</v>
      </c>
      <c r="B17" s="177">
        <f>IF(D12&lt;&gt;"",IFERROR(K6/K7,""),"")</f>
        <v>10.59250583</v>
      </c>
      <c r="C17" s="202">
        <f>IF(D12&lt;&gt;"",IFERROR(L6/L7,""),"")</f>
        <v>10.11620322</v>
      </c>
      <c r="D17" s="199">
        <f t="shared" ref="D17:D18" si="3">C17</f>
        <v>10.11620322</v>
      </c>
      <c r="E17" s="197"/>
      <c r="F17" s="21"/>
      <c r="J17" s="57"/>
      <c r="K17" s="57"/>
      <c r="L17" s="57"/>
      <c r="M17" s="57"/>
      <c r="N17" s="57"/>
      <c r="O17" s="57"/>
      <c r="P17" s="57"/>
      <c r="Q17" s="21"/>
      <c r="R17" s="21"/>
      <c r="S17" s="21"/>
      <c r="T17" s="21"/>
      <c r="U17" s="21"/>
      <c r="V17" s="21"/>
      <c r="W17" s="21"/>
      <c r="X17" s="21"/>
      <c r="Y17" s="21"/>
      <c r="Z17" s="21"/>
    </row>
    <row r="18" ht="24.75" customHeight="1">
      <c r="A18" s="124" t="s">
        <v>102</v>
      </c>
      <c r="B18" s="203">
        <f>IF(D12&lt;&gt;"",IFERROR(K6/K8,""),"")</f>
        <v>12.12159289</v>
      </c>
      <c r="C18" s="204">
        <f>IF(D12&lt;&gt;"",IFERROR(L6/L8,""),"")</f>
        <v>11.40600128</v>
      </c>
      <c r="D18" s="205">
        <f t="shared" si="3"/>
        <v>11.40600128</v>
      </c>
      <c r="E18" s="197"/>
      <c r="F18" s="21"/>
      <c r="G18" s="57"/>
      <c r="H18" s="57"/>
      <c r="I18" s="57"/>
      <c r="J18" s="57"/>
      <c r="K18" s="57"/>
      <c r="L18" s="57"/>
      <c r="M18" s="57"/>
      <c r="N18" s="57"/>
      <c r="O18" s="57"/>
      <c r="P18" s="57"/>
      <c r="Q18" s="74"/>
      <c r="R18" s="21"/>
      <c r="S18" s="21"/>
      <c r="T18" s="21"/>
      <c r="U18" s="21"/>
      <c r="V18" s="21"/>
      <c r="W18" s="21"/>
      <c r="X18" s="21"/>
      <c r="Y18" s="21"/>
      <c r="Z18" s="21"/>
    </row>
    <row r="19">
      <c r="A19" s="100"/>
      <c r="B19" s="177"/>
      <c r="C19" s="202"/>
      <c r="D19" s="206"/>
      <c r="E19" s="197"/>
      <c r="F19" s="21"/>
      <c r="G19" s="57"/>
      <c r="H19" s="57"/>
      <c r="I19" s="57"/>
      <c r="J19" s="57"/>
      <c r="K19" s="57"/>
      <c r="L19" s="57"/>
      <c r="M19" s="57"/>
      <c r="N19" s="57"/>
      <c r="O19" s="57"/>
      <c r="P19" s="57"/>
      <c r="Q19" s="74"/>
      <c r="R19" s="21"/>
      <c r="S19" s="21"/>
      <c r="T19" s="21"/>
      <c r="U19" s="21"/>
      <c r="V19" s="21"/>
      <c r="W19" s="21"/>
      <c r="X19" s="21"/>
      <c r="Y19" s="21"/>
      <c r="Z19" s="21"/>
    </row>
    <row r="20" ht="34.5" customHeight="1">
      <c r="A20" s="189" t="s">
        <v>103</v>
      </c>
      <c r="B20" s="190" t="str">
        <f t="shared" ref="B20:F20" si="4">L2</f>
        <v>2025e</v>
      </c>
      <c r="C20" s="190" t="str">
        <f t="shared" si="4"/>
        <v>2026e</v>
      </c>
      <c r="D20" s="190" t="str">
        <f t="shared" si="4"/>
        <v>2027e</v>
      </c>
      <c r="E20" s="190" t="str">
        <f t="shared" si="4"/>
        <v>2028e</v>
      </c>
      <c r="F20" s="207" t="str">
        <f t="shared" si="4"/>
        <v>2029e</v>
      </c>
      <c r="G20" s="21"/>
      <c r="H20" s="208" t="str">
        <f>"Retorno Anualizado"&amp;CHAR(10)&amp;"valorando por..."</f>
        <v>Retorno Anualizado
valorando por...</v>
      </c>
      <c r="I20" s="209"/>
      <c r="J20" s="209"/>
      <c r="K20" s="190" t="str">
        <f>"CAGR"&amp;CHAR(10)&amp;"5 años"</f>
        <v>CAGR
5 años</v>
      </c>
      <c r="L20" s="21"/>
      <c r="M20" s="21"/>
      <c r="N20" s="21"/>
      <c r="O20" s="57"/>
      <c r="P20" s="57"/>
      <c r="Q20" s="21"/>
      <c r="R20" s="21"/>
      <c r="S20" s="21"/>
      <c r="T20" s="21"/>
      <c r="U20" s="21"/>
      <c r="V20" s="21"/>
      <c r="W20" s="21"/>
      <c r="X20" s="21"/>
      <c r="Y20" s="21"/>
      <c r="Z20" s="21"/>
    </row>
    <row r="21" ht="24.75" customHeight="1">
      <c r="A21" s="100" t="s">
        <v>104</v>
      </c>
      <c r="B21" s="108">
        <f>IFERROR(__xludf.DUMMYFUNCTION("IF(D12&lt;&gt;"""",IFERROR(IF(--L4&lt;0,(L9*$D$15-L4),IF(--L4&gt;0,L9*$D$15))/'1.IS'!L25,""""),"""")"),54.128933821531824)</f>
        <v>54.12893382</v>
      </c>
      <c r="C21" s="108">
        <f>IFERROR(__xludf.DUMMYFUNCTION("IF(D12&lt;&gt;"""",IFERROR(IF(--M4&lt;0,(M9*$D$15-M4),IF(--M4&gt;0,M9*$D$15))/'1.IS'!M25,""""),"""")"),56.44234314727771)</f>
        <v>56.44234315</v>
      </c>
      <c r="D21" s="108">
        <f>IFERROR(__xludf.DUMMYFUNCTION("IF(D12&lt;&gt;"""",IFERROR(IF(--N4&lt;0,(N9*$D$15-N4),IF(--N4&gt;0,N9*$D$15))/'1.IS'!N25,""""),"""")"),59.430276104077905)</f>
        <v>59.4302761</v>
      </c>
      <c r="E21" s="108">
        <f>IFERROR(__xludf.DUMMYFUNCTION("IF(D12&lt;&gt;"""",IFERROR(IF(--O4&lt;0,(O9*$D$15-O4),IF(--O4&gt;0,O9*$D$15))/'1.IS'!O25,""""),"""")"),62.57409965815462)</f>
        <v>62.57409966</v>
      </c>
      <c r="F21" s="210">
        <f>IFERROR(__xludf.DUMMYFUNCTION("IF(D12&lt;&gt;"""",IFERROR(IF(--P4&lt;0,(P9*$D$15-P4),IF(--P4&gt;0,P9*$D$15))/'1.IS'!P25,""""),"""")"),65.8614342956623)</f>
        <v>65.8614343</v>
      </c>
      <c r="G21" s="21"/>
      <c r="H21" s="100" t="s">
        <v>104</v>
      </c>
      <c r="I21" s="100"/>
      <c r="J21" s="100"/>
      <c r="K21" s="211">
        <f t="shared" ref="K21:K24" si="5">IFERROR((F21/$D$12)^(1/5)-1,"")</f>
        <v>0.07819806952</v>
      </c>
      <c r="L21" s="21"/>
      <c r="M21" s="21"/>
      <c r="N21" s="21"/>
      <c r="O21" s="57"/>
      <c r="P21" s="57"/>
      <c r="Q21" s="21"/>
      <c r="R21" s="21"/>
      <c r="S21" s="21"/>
      <c r="T21" s="21"/>
      <c r="U21" s="21"/>
      <c r="V21" s="21"/>
      <c r="W21" s="21"/>
      <c r="X21" s="21"/>
      <c r="Y21" s="21"/>
      <c r="Z21" s="21"/>
    </row>
    <row r="22" ht="24.75" customHeight="1">
      <c r="A22" s="212" t="s">
        <v>105</v>
      </c>
      <c r="B22" s="213">
        <f>IF(D12&lt;&gt;"",IFERROR(((L10*$D$16)-L4)/'1.IS'!L25,""),"")</f>
        <v>47.45882395</v>
      </c>
      <c r="C22" s="213">
        <f>IF(D12&lt;&gt;"",IFERROR(((M10*$D$16)-M4)/'1.IS'!M25,""),"")</f>
        <v>50.41547732</v>
      </c>
      <c r="D22" s="213">
        <f>IF(D12&lt;&gt;"",IFERROR(((N10*$D$16)-N4)/'1.IS'!N25,""),"")</f>
        <v>53.97443662</v>
      </c>
      <c r="E22" s="213">
        <f>IF(D12&lt;&gt;"",IFERROR(((O10*$D$16)-O4)/'1.IS'!O25,""),"")</f>
        <v>57.81492824</v>
      </c>
      <c r="F22" s="214">
        <f>IF(D12&lt;&gt;"",IFERROR(((P10*$D$16)-P4)/'1.IS'!P25,""),"")</f>
        <v>62.36393798</v>
      </c>
      <c r="G22" s="21"/>
      <c r="H22" s="212" t="s">
        <v>100</v>
      </c>
      <c r="I22" s="215"/>
      <c r="J22" s="215"/>
      <c r="K22" s="216">
        <f t="shared" si="5"/>
        <v>0.06649548016</v>
      </c>
      <c r="L22" s="21"/>
      <c r="M22" s="21"/>
      <c r="N22" s="21"/>
      <c r="O22" s="57"/>
      <c r="P22" s="57"/>
      <c r="Q22" s="21"/>
      <c r="R22" s="21"/>
      <c r="S22" s="21"/>
      <c r="T22" s="21"/>
      <c r="U22" s="21"/>
      <c r="V22" s="21"/>
      <c r="W22" s="21"/>
      <c r="X22" s="21"/>
      <c r="Y22" s="21"/>
      <c r="Z22" s="21"/>
    </row>
    <row r="23" ht="24.75" customHeight="1">
      <c r="A23" s="4" t="s">
        <v>101</v>
      </c>
      <c r="B23" s="108">
        <f>IF(D12&lt;&gt;"",IFERROR(((L7*$D$17)-L4)/'1.IS'!L25,""),"")</f>
        <v>45.2</v>
      </c>
      <c r="C23" s="108">
        <f>IF(D12&lt;&gt;"",IFERROR(((M7*$D$17)-M4)/'1.IS'!M25,""),"")</f>
        <v>47.68084902</v>
      </c>
      <c r="D23" s="108">
        <f>IF(D12&lt;&gt;"",IFERROR(((N7*$D$17)-N4)/'1.IS'!N25,""),"")</f>
        <v>50.73140205</v>
      </c>
      <c r="E23" s="108">
        <f>IF(D12&lt;&gt;"",IFERROR(((O7*$D$17)-O4)/'1.IS'!O25,""),"")</f>
        <v>53.99780277</v>
      </c>
      <c r="F23" s="210">
        <f>IF(D12&lt;&gt;"",IFERROR(((P7*$D$17)-P4)/'1.IS'!P25,""),"")</f>
        <v>57.72867373</v>
      </c>
      <c r="G23" s="21"/>
      <c r="H23" s="4" t="s">
        <v>101</v>
      </c>
      <c r="I23" s="4"/>
      <c r="J23" s="4"/>
      <c r="K23" s="211">
        <f t="shared" si="5"/>
        <v>0.05014828885</v>
      </c>
      <c r="L23" s="21"/>
      <c r="M23" s="21"/>
      <c r="N23" s="21"/>
      <c r="O23" s="57"/>
      <c r="P23" s="57"/>
      <c r="Q23" s="21"/>
      <c r="R23" s="21"/>
      <c r="S23" s="21"/>
      <c r="T23" s="21"/>
      <c r="U23" s="21"/>
      <c r="V23" s="21"/>
      <c r="W23" s="21"/>
      <c r="X23" s="21"/>
      <c r="Y23" s="21"/>
      <c r="Z23" s="21"/>
    </row>
    <row r="24" ht="24.75" customHeight="1">
      <c r="A24" s="100" t="s">
        <v>102</v>
      </c>
      <c r="B24" s="108">
        <f>IF(D12&lt;&gt;"",IFERROR(((L8*$D$18)-L4)/'1.IS'!L25,""),"")</f>
        <v>45.2</v>
      </c>
      <c r="C24" s="108">
        <f>IF(D12&lt;&gt;"",IFERROR(((M8*$D$18)-M4)/'1.IS'!M25,""),"")</f>
        <v>47.06041672</v>
      </c>
      <c r="D24" s="108">
        <f>IF(D12&lt;&gt;"",IFERROR(((N8*$D$18)-N4)/'1.IS'!N25,""),"")</f>
        <v>49.4832516</v>
      </c>
      <c r="E24" s="108">
        <f>IF(D12&lt;&gt;"",IFERROR(((O8*$D$18)-O4)/'1.IS'!O25,""),"")</f>
        <v>52.02512396</v>
      </c>
      <c r="F24" s="210">
        <f>IF(D12&lt;&gt;"",IFERROR(((P8*$D$18)-P4)/'1.IS'!P25,""),"")</f>
        <v>54.64203001</v>
      </c>
      <c r="G24" s="21"/>
      <c r="H24" s="100" t="s">
        <v>102</v>
      </c>
      <c r="I24" s="100"/>
      <c r="J24" s="100"/>
      <c r="K24" s="211">
        <f t="shared" si="5"/>
        <v>0.03867021547</v>
      </c>
      <c r="L24" s="21"/>
      <c r="M24" s="21"/>
      <c r="N24" s="21"/>
      <c r="O24" s="57"/>
      <c r="P24" s="57"/>
      <c r="Q24" s="21"/>
      <c r="R24" s="21"/>
      <c r="S24" s="21"/>
      <c r="T24" s="21"/>
      <c r="U24" s="21"/>
      <c r="V24" s="21"/>
      <c r="W24" s="21"/>
      <c r="X24" s="21"/>
      <c r="Y24" s="21"/>
      <c r="Z24" s="21"/>
    </row>
    <row r="25" ht="24.75" customHeight="1">
      <c r="A25" s="217" t="s">
        <v>106</v>
      </c>
      <c r="B25" s="218">
        <f t="shared" ref="B25:F25" si="6">IFERROR(AVERAGE(B21:B24),"")</f>
        <v>47.99693944</v>
      </c>
      <c r="C25" s="218">
        <f t="shared" si="6"/>
        <v>50.39977155</v>
      </c>
      <c r="D25" s="218">
        <f t="shared" si="6"/>
        <v>53.40484159</v>
      </c>
      <c r="E25" s="218">
        <f t="shared" si="6"/>
        <v>56.60298866</v>
      </c>
      <c r="F25" s="219">
        <f t="shared" si="6"/>
        <v>60.149019</v>
      </c>
      <c r="G25" s="21"/>
      <c r="H25" s="220" t="s">
        <v>106</v>
      </c>
      <c r="I25" s="220"/>
      <c r="J25" s="220"/>
      <c r="K25" s="221">
        <f>IFERROR(AVERAGE(K21:K24),"")</f>
        <v>0.0583780135</v>
      </c>
      <c r="L25" s="21"/>
      <c r="M25" s="21"/>
      <c r="N25" s="21"/>
      <c r="O25" s="57"/>
      <c r="P25" s="57"/>
      <c r="Q25" s="21"/>
      <c r="R25" s="21"/>
      <c r="S25" s="21"/>
      <c r="T25" s="21"/>
      <c r="U25" s="21"/>
      <c r="V25" s="21"/>
      <c r="W25" s="21"/>
      <c r="X25" s="21"/>
      <c r="Y25" s="21"/>
      <c r="Z25" s="21"/>
    </row>
    <row r="26" ht="24.75" customHeight="1">
      <c r="A26" s="220" t="s">
        <v>107</v>
      </c>
      <c r="B26" s="222">
        <f t="shared" ref="B26:F26" si="7">IFERROR((B22/$D$12)-1,"")</f>
        <v>0.04997398123</v>
      </c>
      <c r="C26" s="222">
        <f t="shared" si="7"/>
        <v>0.1153866664</v>
      </c>
      <c r="D26" s="222">
        <f t="shared" si="7"/>
        <v>0.194124704</v>
      </c>
      <c r="E26" s="222">
        <f t="shared" si="7"/>
        <v>0.2790913327</v>
      </c>
      <c r="F26" s="223">
        <f t="shared" si="7"/>
        <v>0.3797331412</v>
      </c>
      <c r="G26" s="57"/>
      <c r="H26" s="57"/>
      <c r="I26" s="57"/>
      <c r="J26" s="57"/>
      <c r="K26" s="57"/>
      <c r="L26" s="57"/>
      <c r="M26" s="57"/>
      <c r="N26" s="57"/>
      <c r="O26" s="57"/>
      <c r="P26" s="57"/>
      <c r="Q26" s="21"/>
      <c r="R26" s="21"/>
      <c r="S26" s="21"/>
      <c r="T26" s="21"/>
      <c r="U26" s="21"/>
      <c r="V26" s="21"/>
      <c r="W26" s="21"/>
      <c r="X26" s="21"/>
      <c r="Y26" s="21"/>
      <c r="Z26" s="21"/>
    </row>
    <row r="27" ht="15.75" hidden="1" customHeight="1">
      <c r="A27" s="21"/>
      <c r="B27" s="21"/>
      <c r="C27" s="21"/>
      <c r="D27" s="21"/>
      <c r="E27" s="21"/>
      <c r="F27" s="21"/>
      <c r="G27" s="21"/>
      <c r="H27" s="57"/>
      <c r="I27" s="57"/>
      <c r="J27" s="57"/>
      <c r="K27" s="57"/>
      <c r="L27" s="57"/>
      <c r="M27" s="57"/>
      <c r="N27" s="57"/>
      <c r="O27" s="57"/>
      <c r="P27" s="57"/>
      <c r="Q27" s="21"/>
      <c r="R27" s="21"/>
      <c r="S27" s="21"/>
      <c r="T27" s="21"/>
      <c r="U27" s="21"/>
      <c r="V27" s="21"/>
      <c r="W27" s="21"/>
      <c r="X27" s="21"/>
      <c r="Y27" s="21"/>
      <c r="Z27" s="21"/>
    </row>
    <row r="28" ht="24.75" hidden="1" customHeight="1">
      <c r="A28" s="21"/>
      <c r="B28" s="21"/>
      <c r="C28" s="21"/>
      <c r="D28" s="21"/>
      <c r="E28" s="21"/>
      <c r="F28" s="21"/>
      <c r="G28" s="21"/>
      <c r="H28" s="57"/>
      <c r="I28" s="57"/>
      <c r="J28" s="57"/>
      <c r="K28" s="57"/>
      <c r="L28" s="57"/>
      <c r="M28" s="57"/>
      <c r="N28" s="57"/>
      <c r="O28" s="57"/>
      <c r="P28" s="57"/>
      <c r="Q28" s="21"/>
      <c r="R28" s="21"/>
      <c r="S28" s="21"/>
      <c r="T28" s="21"/>
      <c r="U28" s="21"/>
      <c r="V28" s="21"/>
      <c r="W28" s="21"/>
      <c r="X28" s="21"/>
      <c r="Y28" s="21"/>
      <c r="Z28" s="21"/>
    </row>
    <row r="29" ht="24.75" hidden="1" customHeight="1">
      <c r="A29" s="21"/>
      <c r="B29" s="21"/>
      <c r="C29" s="21"/>
      <c r="D29" s="21"/>
      <c r="E29" s="21"/>
      <c r="F29" s="21"/>
      <c r="G29" s="21"/>
      <c r="H29" s="57"/>
      <c r="I29" s="57"/>
      <c r="J29" s="57"/>
      <c r="K29" s="57"/>
      <c r="L29" s="57"/>
      <c r="M29" s="57"/>
      <c r="N29" s="57"/>
      <c r="O29" s="57"/>
      <c r="P29" s="57"/>
      <c r="Q29" s="21"/>
      <c r="R29" s="21"/>
      <c r="S29" s="21"/>
      <c r="T29" s="21"/>
      <c r="U29" s="21"/>
      <c r="V29" s="21"/>
      <c r="W29" s="21"/>
      <c r="X29" s="21"/>
      <c r="Y29" s="21"/>
      <c r="Z29" s="21"/>
    </row>
    <row r="30" ht="24.75" hidden="1" customHeight="1">
      <c r="A30" s="21"/>
      <c r="B30" s="21"/>
      <c r="C30" s="21"/>
      <c r="D30" s="21"/>
      <c r="E30" s="21"/>
      <c r="F30" s="21"/>
      <c r="G30" s="21"/>
      <c r="H30" s="57"/>
      <c r="I30" s="57"/>
      <c r="J30" s="57"/>
      <c r="K30" s="57"/>
      <c r="L30" s="57"/>
      <c r="M30" s="57"/>
      <c r="N30" s="57"/>
      <c r="O30" s="57"/>
      <c r="P30" s="57"/>
      <c r="Q30" s="21"/>
      <c r="R30" s="21"/>
      <c r="S30" s="21"/>
      <c r="T30" s="21"/>
      <c r="U30" s="21"/>
      <c r="V30" s="21"/>
      <c r="W30" s="21"/>
      <c r="X30" s="21"/>
      <c r="Y30" s="21"/>
      <c r="Z30" s="21"/>
    </row>
    <row r="31" ht="24.75" hidden="1" customHeight="1">
      <c r="A31" s="21"/>
      <c r="B31" s="21"/>
      <c r="C31" s="21"/>
      <c r="D31" s="21"/>
      <c r="E31" s="21"/>
      <c r="F31" s="21"/>
      <c r="G31" s="21"/>
      <c r="H31" s="57"/>
      <c r="I31" s="57"/>
      <c r="J31" s="57"/>
      <c r="K31" s="57"/>
      <c r="L31" s="57"/>
      <c r="M31" s="57"/>
      <c r="N31" s="57"/>
      <c r="O31" s="57"/>
      <c r="P31" s="57"/>
      <c r="Q31" s="21"/>
      <c r="R31" s="21"/>
      <c r="S31" s="21"/>
      <c r="T31" s="21"/>
      <c r="U31" s="21"/>
      <c r="V31" s="21"/>
      <c r="W31" s="21"/>
      <c r="X31" s="21"/>
      <c r="Y31" s="21"/>
      <c r="Z31" s="21"/>
    </row>
    <row r="32" ht="15.75" hidden="1" customHeight="1">
      <c r="A32" s="21"/>
      <c r="B32" s="21"/>
      <c r="C32" s="21"/>
      <c r="D32" s="21"/>
      <c r="E32" s="21"/>
      <c r="F32" s="21"/>
      <c r="G32" s="21"/>
      <c r="H32" s="57"/>
      <c r="I32" s="57"/>
      <c r="J32" s="57"/>
      <c r="K32" s="57"/>
      <c r="L32" s="57"/>
      <c r="M32" s="57"/>
      <c r="N32" s="57"/>
      <c r="O32" s="57"/>
      <c r="P32" s="57"/>
      <c r="Q32" s="21"/>
      <c r="R32" s="21"/>
      <c r="S32" s="21"/>
      <c r="T32" s="21"/>
      <c r="U32" s="21"/>
      <c r="V32" s="21"/>
      <c r="W32" s="21"/>
      <c r="X32" s="21"/>
      <c r="Y32" s="21"/>
      <c r="Z32" s="21"/>
    </row>
    <row r="33" ht="15.75" hidden="1" customHeight="1">
      <c r="A33" s="74"/>
      <c r="B33" s="57"/>
      <c r="C33" s="57"/>
      <c r="D33" s="57"/>
      <c r="E33" s="57"/>
      <c r="F33" s="57"/>
      <c r="G33" s="57"/>
      <c r="H33" s="57"/>
      <c r="I33" s="57"/>
      <c r="J33" s="57"/>
      <c r="K33" s="57"/>
      <c r="L33" s="57"/>
      <c r="M33" s="57"/>
      <c r="N33" s="57"/>
      <c r="O33" s="57"/>
      <c r="P33" s="57"/>
      <c r="Q33" s="21"/>
      <c r="R33" s="21"/>
      <c r="S33" s="21"/>
      <c r="T33" s="21"/>
      <c r="U33" s="21"/>
      <c r="V33" s="21"/>
      <c r="W33" s="21"/>
      <c r="X33" s="21"/>
      <c r="Y33" s="21"/>
      <c r="Z33" s="21"/>
    </row>
    <row r="34" ht="15.75" hidden="1" customHeight="1">
      <c r="A34" s="74"/>
      <c r="B34" s="57"/>
      <c r="C34" s="57"/>
      <c r="D34" s="57"/>
      <c r="E34" s="57"/>
      <c r="F34" s="57"/>
      <c r="G34" s="57"/>
      <c r="H34" s="57"/>
      <c r="I34" s="57"/>
      <c r="J34" s="57"/>
      <c r="K34" s="57"/>
      <c r="L34" s="57"/>
      <c r="M34" s="57"/>
      <c r="N34" s="57"/>
      <c r="O34" s="57"/>
      <c r="P34" s="57"/>
      <c r="Q34" s="21"/>
      <c r="R34" s="21"/>
      <c r="S34" s="21"/>
      <c r="T34" s="21"/>
      <c r="U34" s="21"/>
      <c r="V34" s="21"/>
      <c r="W34" s="21"/>
      <c r="X34" s="21"/>
      <c r="Y34" s="21"/>
      <c r="Z34" s="21"/>
    </row>
    <row r="35" ht="15.75" hidden="1" customHeight="1">
      <c r="A35" s="74"/>
      <c r="B35" s="57"/>
      <c r="C35" s="57"/>
      <c r="D35" s="57"/>
      <c r="E35" s="57"/>
      <c r="F35" s="57"/>
      <c r="G35" s="57"/>
      <c r="H35" s="57"/>
      <c r="I35" s="57"/>
      <c r="J35" s="57"/>
      <c r="K35" s="57"/>
      <c r="L35" s="57"/>
      <c r="M35" s="57"/>
      <c r="N35" s="57"/>
      <c r="O35" s="57"/>
      <c r="P35" s="57"/>
      <c r="Q35" s="21"/>
      <c r="R35" s="21"/>
      <c r="S35" s="21"/>
      <c r="T35" s="21"/>
      <c r="U35" s="21"/>
      <c r="V35" s="21"/>
      <c r="W35" s="21"/>
      <c r="X35" s="21"/>
      <c r="Y35" s="21"/>
      <c r="Z35" s="21"/>
    </row>
    <row r="36" ht="15.75" hidden="1" customHeight="1">
      <c r="A36" s="21"/>
      <c r="B36" s="21"/>
      <c r="C36" s="57"/>
      <c r="D36" s="57"/>
      <c r="E36" s="57"/>
      <c r="F36" s="57"/>
      <c r="G36" s="57"/>
      <c r="H36" s="57"/>
      <c r="I36" s="57"/>
      <c r="J36" s="57"/>
      <c r="K36" s="57"/>
      <c r="L36" s="57"/>
      <c r="M36" s="57"/>
      <c r="N36" s="57"/>
      <c r="O36" s="57"/>
      <c r="P36" s="57"/>
      <c r="Q36" s="21"/>
      <c r="R36" s="21"/>
      <c r="S36" s="21"/>
      <c r="T36" s="21"/>
      <c r="U36" s="21"/>
      <c r="V36" s="21"/>
      <c r="W36" s="21"/>
      <c r="X36" s="21"/>
      <c r="Y36" s="21"/>
      <c r="Z36" s="21"/>
    </row>
    <row r="37" ht="15.75" hidden="1" customHeight="1">
      <c r="A37" s="21"/>
      <c r="B37" s="21"/>
      <c r="C37" s="57"/>
      <c r="D37" s="57"/>
      <c r="E37" s="57"/>
      <c r="F37" s="57"/>
      <c r="G37" s="57"/>
      <c r="H37" s="57"/>
      <c r="I37" s="57"/>
      <c r="J37" s="57"/>
      <c r="K37" s="57"/>
      <c r="L37" s="57"/>
      <c r="M37" s="57"/>
      <c r="N37" s="57"/>
      <c r="O37" s="57"/>
      <c r="P37" s="57"/>
      <c r="Q37" s="21"/>
      <c r="R37" s="21"/>
      <c r="S37" s="21"/>
      <c r="T37" s="21"/>
      <c r="U37" s="21"/>
      <c r="V37" s="21"/>
      <c r="W37" s="21"/>
      <c r="X37" s="21"/>
      <c r="Y37" s="21"/>
      <c r="Z37" s="21"/>
    </row>
    <row r="38" ht="15.75" hidden="1" customHeight="1">
      <c r="A38" s="21"/>
      <c r="B38" s="21"/>
      <c r="C38" s="57"/>
      <c r="D38" s="57"/>
      <c r="E38" s="57"/>
      <c r="F38" s="57"/>
      <c r="G38" s="57"/>
      <c r="H38" s="57"/>
      <c r="I38" s="57"/>
      <c r="J38" s="57"/>
      <c r="K38" s="57"/>
      <c r="L38" s="57"/>
      <c r="M38" s="57"/>
      <c r="N38" s="57"/>
      <c r="O38" s="57"/>
      <c r="P38" s="57"/>
      <c r="Q38" s="21"/>
      <c r="R38" s="21"/>
      <c r="S38" s="21"/>
      <c r="T38" s="21"/>
      <c r="U38" s="21"/>
      <c r="V38" s="21"/>
      <c r="W38" s="21"/>
      <c r="X38" s="21"/>
      <c r="Y38" s="21"/>
      <c r="Z38" s="21"/>
    </row>
    <row r="39" ht="15.75" hidden="1" customHeight="1">
      <c r="A39" s="21"/>
      <c r="B39" s="21"/>
      <c r="C39" s="57"/>
      <c r="D39" s="57"/>
      <c r="E39" s="57"/>
      <c r="F39" s="57"/>
      <c r="G39" s="57"/>
      <c r="H39" s="57"/>
      <c r="I39" s="57"/>
      <c r="J39" s="57"/>
      <c r="K39" s="57"/>
      <c r="L39" s="57"/>
      <c r="M39" s="57"/>
      <c r="N39" s="57"/>
      <c r="O39" s="57"/>
      <c r="P39" s="57"/>
      <c r="Q39" s="21"/>
      <c r="R39" s="21"/>
      <c r="S39" s="21"/>
      <c r="T39" s="21"/>
      <c r="U39" s="21"/>
      <c r="V39" s="21"/>
      <c r="W39" s="21"/>
      <c r="X39" s="21"/>
      <c r="Y39" s="21"/>
      <c r="Z39" s="21"/>
    </row>
    <row r="40" ht="15.75" hidden="1" customHeight="1">
      <c r="A40" s="21"/>
      <c r="B40" s="21"/>
      <c r="C40" s="57"/>
      <c r="D40" s="57"/>
      <c r="E40" s="57"/>
      <c r="F40" s="57"/>
      <c r="G40" s="57"/>
      <c r="H40" s="57"/>
      <c r="I40" s="57"/>
      <c r="J40" s="57"/>
      <c r="K40" s="57"/>
      <c r="L40" s="57"/>
      <c r="M40" s="57"/>
      <c r="N40" s="57"/>
      <c r="O40" s="57"/>
      <c r="P40" s="57"/>
      <c r="Q40" s="21"/>
      <c r="R40" s="21"/>
      <c r="S40" s="21"/>
      <c r="T40" s="21"/>
      <c r="U40" s="21"/>
      <c r="V40" s="21"/>
      <c r="W40" s="21"/>
      <c r="X40" s="21"/>
      <c r="Y40" s="21"/>
      <c r="Z40" s="21"/>
    </row>
    <row r="41" ht="15.75" hidden="1" customHeight="1">
      <c r="A41" s="3"/>
      <c r="B41" s="61"/>
      <c r="C41" s="61"/>
      <c r="D41" s="61"/>
      <c r="E41" s="61"/>
      <c r="F41" s="61"/>
      <c r="G41" s="61"/>
      <c r="H41" s="61"/>
      <c r="I41" s="61"/>
      <c r="J41" s="61"/>
      <c r="K41" s="61"/>
      <c r="L41" s="61"/>
      <c r="M41" s="61"/>
      <c r="N41" s="61"/>
      <c r="O41" s="61"/>
      <c r="P41" s="61"/>
      <c r="Q41" s="17"/>
      <c r="R41" s="17"/>
      <c r="S41" s="17"/>
      <c r="T41" s="17"/>
      <c r="U41" s="17"/>
      <c r="V41" s="17"/>
      <c r="W41" s="17"/>
      <c r="X41" s="17"/>
      <c r="Y41" s="17"/>
      <c r="Z41" s="17"/>
    </row>
    <row r="42" ht="15.0" customHeight="1">
      <c r="A42" s="3"/>
      <c r="B42" s="61"/>
      <c r="C42" s="61"/>
      <c r="D42" s="61"/>
      <c r="E42" s="61"/>
      <c r="F42" s="61"/>
      <c r="G42" s="61"/>
      <c r="H42" s="61"/>
      <c r="I42" s="61"/>
      <c r="J42" s="61"/>
      <c r="K42" s="61"/>
      <c r="L42" s="61"/>
      <c r="M42" s="61"/>
      <c r="N42" s="61"/>
      <c r="O42" s="61"/>
      <c r="P42" s="61"/>
      <c r="Q42" s="17"/>
      <c r="R42" s="17"/>
      <c r="S42" s="17"/>
      <c r="T42" s="17"/>
      <c r="U42" s="17"/>
      <c r="V42" s="17"/>
      <c r="W42" s="17"/>
      <c r="X42" s="17"/>
      <c r="Y42" s="17"/>
      <c r="Z42" s="17"/>
    </row>
    <row r="43" ht="53.25" customHeight="1">
      <c r="A43" s="100"/>
      <c r="B43" s="21"/>
      <c r="C43" s="190" t="s">
        <v>108</v>
      </c>
      <c r="D43" s="208" t="s">
        <v>109</v>
      </c>
      <c r="E43" s="209"/>
      <c r="F43" s="17"/>
      <c r="G43" s="61"/>
      <c r="H43" s="61"/>
      <c r="I43" s="61"/>
      <c r="J43" s="61"/>
      <c r="K43" s="61"/>
      <c r="L43" s="61"/>
      <c r="M43" s="61"/>
      <c r="N43" s="61"/>
      <c r="O43" s="61"/>
      <c r="P43" s="61"/>
      <c r="Q43" s="17"/>
      <c r="R43" s="17"/>
      <c r="S43" s="17"/>
      <c r="T43" s="17"/>
      <c r="U43" s="17"/>
      <c r="V43" s="17"/>
      <c r="W43" s="17"/>
      <c r="X43" s="17"/>
      <c r="Y43" s="17"/>
      <c r="Z43" s="17"/>
    </row>
    <row r="44" ht="24.75" customHeight="1">
      <c r="A44" s="224" t="s">
        <v>110</v>
      </c>
      <c r="B44" s="225">
        <v>0.15</v>
      </c>
      <c r="C44" s="226">
        <f>IFERROR(F22/((1+B44)^5),"")</f>
        <v>31.00589909</v>
      </c>
      <c r="D44" s="227">
        <f>IFERROR((C44-D12)/D12,"")</f>
        <v>-0.3140287813</v>
      </c>
      <c r="E44" s="228"/>
      <c r="F44" s="11"/>
      <c r="G44" s="229"/>
      <c r="H44" s="11"/>
      <c r="I44" s="11"/>
      <c r="J44" s="11"/>
      <c r="K44" s="11"/>
      <c r="L44" s="11"/>
      <c r="M44" s="11"/>
      <c r="N44" s="11"/>
      <c r="O44" s="11"/>
      <c r="P44" s="11"/>
    </row>
    <row r="45" ht="15.75" customHeight="1">
      <c r="A45" s="230"/>
      <c r="B45" s="11"/>
      <c r="C45" s="11"/>
      <c r="D45" s="11"/>
      <c r="E45" s="11"/>
      <c r="F45" s="11"/>
      <c r="G45" s="11"/>
      <c r="H45" s="11"/>
      <c r="I45" s="11"/>
      <c r="J45" s="11"/>
      <c r="K45" s="11"/>
      <c r="L45" s="11"/>
      <c r="M45" s="11"/>
      <c r="N45" s="11"/>
      <c r="O45" s="11"/>
      <c r="P45" s="11"/>
    </row>
    <row r="46" ht="15.75" customHeight="1">
      <c r="A46" s="230"/>
      <c r="B46" s="11"/>
      <c r="C46" s="11"/>
      <c r="D46" s="11"/>
      <c r="E46" s="11"/>
      <c r="F46" s="11"/>
      <c r="G46" s="11"/>
      <c r="H46" s="11"/>
      <c r="I46" s="11"/>
      <c r="J46" s="11"/>
      <c r="K46" s="11"/>
      <c r="L46" s="11"/>
      <c r="M46" s="11"/>
      <c r="N46" s="11"/>
      <c r="O46" s="11"/>
      <c r="P46" s="11"/>
    </row>
    <row r="47" ht="15.75" customHeight="1">
      <c r="A47" s="230"/>
      <c r="B47" s="11"/>
      <c r="C47" s="11"/>
      <c r="D47" s="11"/>
      <c r="E47" s="11"/>
      <c r="F47" s="11"/>
      <c r="G47" s="11"/>
      <c r="H47" s="11"/>
      <c r="I47" s="11"/>
      <c r="J47" s="11"/>
      <c r="K47" s="11"/>
      <c r="L47" s="11"/>
      <c r="M47" s="11"/>
      <c r="N47" s="11"/>
      <c r="O47" s="11"/>
      <c r="P47" s="11"/>
    </row>
    <row r="48" ht="15.75" customHeight="1">
      <c r="A48" s="230"/>
      <c r="B48" s="11"/>
      <c r="C48" s="11"/>
      <c r="D48" s="11"/>
      <c r="E48" s="11"/>
      <c r="F48" s="11"/>
      <c r="G48" s="11"/>
      <c r="H48" s="11"/>
      <c r="I48" s="11"/>
      <c r="J48" s="11"/>
      <c r="K48" s="11"/>
      <c r="L48" s="11"/>
      <c r="M48" s="11"/>
      <c r="N48" s="11"/>
      <c r="O48" s="11"/>
      <c r="P48" s="11"/>
    </row>
    <row r="49" ht="15.75" customHeight="1">
      <c r="A49" s="230"/>
      <c r="B49" s="11"/>
      <c r="C49" s="11"/>
      <c r="D49" s="11"/>
      <c r="E49" s="11"/>
      <c r="F49" s="11"/>
      <c r="G49" s="11"/>
      <c r="H49" s="11"/>
      <c r="I49" s="11"/>
      <c r="J49" s="11"/>
      <c r="K49" s="11"/>
      <c r="L49" s="11"/>
      <c r="M49" s="11"/>
      <c r="N49" s="11"/>
      <c r="O49" s="11"/>
      <c r="P49" s="11"/>
    </row>
    <row r="50" ht="15.75" customHeight="1">
      <c r="A50" s="230"/>
      <c r="B50" s="11"/>
      <c r="C50" s="11"/>
      <c r="D50" s="11"/>
      <c r="E50" s="11"/>
      <c r="F50" s="11"/>
      <c r="G50" s="11"/>
      <c r="H50" s="11"/>
      <c r="I50" s="11"/>
      <c r="J50" s="11"/>
      <c r="K50" s="11"/>
      <c r="L50" s="11"/>
      <c r="M50" s="11"/>
      <c r="N50" s="11"/>
      <c r="O50" s="11"/>
      <c r="P50" s="11"/>
    </row>
    <row r="51" ht="15.75" customHeight="1">
      <c r="A51" s="230"/>
      <c r="B51" s="11"/>
      <c r="C51" s="11"/>
      <c r="D51" s="11"/>
      <c r="E51" s="11"/>
      <c r="F51" s="11"/>
      <c r="G51" s="11"/>
      <c r="H51" s="11"/>
      <c r="I51" s="11"/>
      <c r="J51" s="11"/>
      <c r="K51" s="11"/>
      <c r="L51" s="11"/>
      <c r="M51" s="11"/>
      <c r="N51" s="11"/>
      <c r="O51" s="11"/>
      <c r="P51" s="11"/>
    </row>
    <row r="52" ht="15.75" customHeight="1">
      <c r="A52" s="230"/>
      <c r="B52" s="11"/>
      <c r="C52" s="11"/>
      <c r="D52" s="11"/>
      <c r="E52" s="11"/>
      <c r="F52" s="11"/>
      <c r="G52" s="11"/>
      <c r="H52" s="11"/>
      <c r="I52" s="11"/>
      <c r="J52" s="11"/>
      <c r="K52" s="11"/>
      <c r="L52" s="11"/>
      <c r="M52" s="11"/>
      <c r="N52" s="11"/>
      <c r="O52" s="11"/>
      <c r="P52" s="11"/>
    </row>
    <row r="53" ht="15.75" customHeight="1">
      <c r="A53" s="230"/>
      <c r="B53" s="11"/>
      <c r="C53" s="11"/>
      <c r="D53" s="11"/>
      <c r="E53" s="11"/>
      <c r="F53" s="11"/>
      <c r="G53" s="11"/>
      <c r="H53" s="11"/>
      <c r="I53" s="11"/>
      <c r="J53" s="11"/>
      <c r="K53" s="11"/>
      <c r="L53" s="11"/>
      <c r="M53" s="11"/>
      <c r="N53" s="11"/>
      <c r="O53" s="11"/>
      <c r="P53" s="11"/>
    </row>
    <row r="54" ht="15.75" customHeight="1">
      <c r="A54" s="230"/>
      <c r="B54" s="11"/>
      <c r="C54" s="11"/>
      <c r="D54" s="11"/>
      <c r="E54" s="11"/>
      <c r="F54" s="11"/>
      <c r="G54" s="11"/>
      <c r="H54" s="11"/>
      <c r="I54" s="11"/>
      <c r="J54" s="11"/>
      <c r="K54" s="11"/>
      <c r="L54" s="11"/>
      <c r="M54" s="11"/>
      <c r="N54" s="11"/>
      <c r="O54" s="11"/>
      <c r="P54" s="11"/>
    </row>
    <row r="55" ht="15.75" customHeight="1">
      <c r="A55" s="230"/>
      <c r="B55" s="11"/>
      <c r="C55" s="11"/>
      <c r="D55" s="11"/>
      <c r="E55" s="11"/>
      <c r="F55" s="11"/>
      <c r="G55" s="11"/>
      <c r="H55" s="11"/>
      <c r="I55" s="11"/>
      <c r="J55" s="11"/>
      <c r="K55" s="11"/>
      <c r="L55" s="11"/>
      <c r="M55" s="11"/>
      <c r="N55" s="11"/>
      <c r="O55" s="11"/>
      <c r="P55" s="11"/>
    </row>
    <row r="56" ht="15.75" customHeight="1">
      <c r="A56" s="230"/>
      <c r="B56" s="11"/>
      <c r="C56" s="11"/>
      <c r="D56" s="11"/>
      <c r="E56" s="11"/>
      <c r="F56" s="11"/>
      <c r="G56" s="11"/>
      <c r="H56" s="11"/>
      <c r="I56" s="11"/>
      <c r="J56" s="11"/>
      <c r="K56" s="11"/>
      <c r="L56" s="11"/>
      <c r="M56" s="11"/>
      <c r="N56" s="11"/>
      <c r="O56" s="11"/>
      <c r="P56" s="11"/>
    </row>
    <row r="57" ht="15.75" customHeight="1">
      <c r="A57" s="230"/>
      <c r="B57" s="11"/>
      <c r="C57" s="11"/>
      <c r="D57" s="11"/>
      <c r="E57" s="11"/>
      <c r="F57" s="11"/>
      <c r="G57" s="11"/>
      <c r="H57" s="11"/>
      <c r="I57" s="11"/>
      <c r="J57" s="11"/>
      <c r="K57" s="11"/>
      <c r="L57" s="11"/>
      <c r="M57" s="11"/>
      <c r="N57" s="11"/>
      <c r="O57" s="11"/>
      <c r="P57" s="11"/>
    </row>
    <row r="58" ht="15.75" customHeight="1">
      <c r="A58" s="230"/>
      <c r="B58" s="11"/>
      <c r="C58" s="11"/>
      <c r="D58" s="11"/>
      <c r="E58" s="11"/>
      <c r="F58" s="11"/>
      <c r="G58" s="11"/>
      <c r="H58" s="11"/>
      <c r="I58" s="11"/>
      <c r="J58" s="11"/>
      <c r="K58" s="11"/>
      <c r="L58" s="11"/>
      <c r="M58" s="11"/>
      <c r="N58" s="11"/>
      <c r="O58" s="11"/>
      <c r="P58" s="11"/>
    </row>
    <row r="59" ht="15.75" customHeight="1">
      <c r="A59" s="230"/>
      <c r="B59" s="11"/>
      <c r="C59" s="11"/>
      <c r="D59" s="11"/>
      <c r="E59" s="11"/>
      <c r="F59" s="11"/>
      <c r="G59" s="11"/>
      <c r="H59" s="11"/>
      <c r="I59" s="11"/>
      <c r="J59" s="11"/>
      <c r="K59" s="11"/>
      <c r="L59" s="11"/>
      <c r="M59" s="11"/>
      <c r="N59" s="11"/>
      <c r="O59" s="11"/>
      <c r="P59" s="11"/>
    </row>
    <row r="60" ht="15.75" customHeight="1">
      <c r="A60" s="230"/>
      <c r="B60" s="11"/>
      <c r="C60" s="11"/>
      <c r="D60" s="11"/>
      <c r="E60" s="11"/>
      <c r="F60" s="11"/>
      <c r="G60" s="11"/>
      <c r="H60" s="11"/>
      <c r="I60" s="11"/>
      <c r="J60" s="11"/>
      <c r="K60" s="11"/>
      <c r="L60" s="11"/>
      <c r="M60" s="11"/>
      <c r="N60" s="11"/>
      <c r="O60" s="11"/>
      <c r="P60" s="11"/>
    </row>
    <row r="61" ht="15.75" customHeight="1">
      <c r="A61" s="230"/>
      <c r="B61" s="11"/>
      <c r="C61" s="11"/>
      <c r="D61" s="11"/>
      <c r="E61" s="11"/>
      <c r="F61" s="11"/>
      <c r="G61" s="11"/>
      <c r="H61" s="11"/>
      <c r="I61" s="11"/>
      <c r="J61" s="11"/>
      <c r="K61" s="11"/>
      <c r="L61" s="11"/>
      <c r="M61" s="11"/>
      <c r="N61" s="11"/>
      <c r="O61" s="11"/>
      <c r="P61" s="11"/>
    </row>
    <row r="62" ht="15.75" customHeight="1">
      <c r="A62" s="230"/>
      <c r="B62" s="11"/>
      <c r="C62" s="11"/>
      <c r="D62" s="11"/>
      <c r="E62" s="11"/>
      <c r="F62" s="11"/>
      <c r="G62" s="11"/>
      <c r="H62" s="11"/>
      <c r="I62" s="11"/>
      <c r="J62" s="11"/>
      <c r="K62" s="11"/>
      <c r="L62" s="11"/>
      <c r="M62" s="11"/>
      <c r="N62" s="11"/>
      <c r="O62" s="11"/>
      <c r="P62" s="11"/>
    </row>
    <row r="63" ht="15.75" customHeight="1">
      <c r="A63" s="230"/>
      <c r="B63" s="11"/>
      <c r="C63" s="11"/>
      <c r="D63" s="11"/>
      <c r="E63" s="11"/>
      <c r="F63" s="11"/>
      <c r="G63" s="11"/>
      <c r="H63" s="11"/>
      <c r="I63" s="11"/>
      <c r="J63" s="11"/>
      <c r="K63" s="11"/>
      <c r="L63" s="11"/>
      <c r="M63" s="11"/>
      <c r="N63" s="11"/>
      <c r="O63" s="11"/>
      <c r="P63" s="11"/>
    </row>
    <row r="64" ht="15.75" customHeight="1">
      <c r="A64" s="230"/>
      <c r="B64" s="11"/>
      <c r="C64" s="11"/>
      <c r="D64" s="11"/>
      <c r="E64" s="11"/>
      <c r="F64" s="11"/>
      <c r="G64" s="11"/>
      <c r="H64" s="11"/>
      <c r="I64" s="11"/>
      <c r="J64" s="11"/>
      <c r="K64" s="11"/>
      <c r="L64" s="11"/>
      <c r="M64" s="11"/>
      <c r="N64" s="11"/>
      <c r="O64" s="11"/>
      <c r="P64" s="11"/>
    </row>
    <row r="65" ht="15.75" customHeight="1">
      <c r="A65" s="230"/>
      <c r="B65" s="11"/>
      <c r="C65" s="11"/>
      <c r="D65" s="11"/>
      <c r="E65" s="11"/>
      <c r="F65" s="11"/>
      <c r="G65" s="11"/>
      <c r="H65" s="11"/>
      <c r="I65" s="11"/>
      <c r="J65" s="11"/>
      <c r="K65" s="11"/>
      <c r="L65" s="11"/>
      <c r="M65" s="11"/>
      <c r="N65" s="11"/>
      <c r="O65" s="11"/>
      <c r="P65" s="11"/>
    </row>
    <row r="66" ht="15.75" customHeight="1">
      <c r="A66" s="230"/>
      <c r="B66" s="11"/>
      <c r="C66" s="11"/>
      <c r="D66" s="11"/>
      <c r="E66" s="11"/>
      <c r="F66" s="11"/>
      <c r="G66" s="11"/>
      <c r="H66" s="11"/>
      <c r="I66" s="11"/>
      <c r="J66" s="11"/>
      <c r="K66" s="11"/>
      <c r="L66" s="11"/>
      <c r="M66" s="11"/>
      <c r="N66" s="11"/>
      <c r="O66" s="11"/>
      <c r="P66" s="11"/>
    </row>
    <row r="67" ht="15.75" customHeight="1">
      <c r="A67" s="230"/>
      <c r="B67" s="11"/>
      <c r="C67" s="11"/>
      <c r="D67" s="11"/>
      <c r="E67" s="11"/>
      <c r="F67" s="11"/>
      <c r="G67" s="11"/>
      <c r="H67" s="11"/>
      <c r="I67" s="11"/>
      <c r="J67" s="11"/>
      <c r="K67" s="11"/>
      <c r="L67" s="11"/>
      <c r="M67" s="11"/>
      <c r="N67" s="11"/>
      <c r="O67" s="11"/>
      <c r="P67" s="11"/>
    </row>
    <row r="68" ht="15.75" customHeight="1">
      <c r="A68" s="230"/>
      <c r="B68" s="11"/>
      <c r="C68" s="11"/>
      <c r="D68" s="11"/>
      <c r="E68" s="11"/>
      <c r="F68" s="11"/>
      <c r="G68" s="11"/>
      <c r="H68" s="11"/>
      <c r="I68" s="11"/>
      <c r="J68" s="11"/>
      <c r="K68" s="11"/>
      <c r="L68" s="11"/>
      <c r="M68" s="11"/>
      <c r="N68" s="11"/>
      <c r="O68" s="11"/>
      <c r="P68" s="11"/>
    </row>
    <row r="69" ht="15.75" customHeight="1">
      <c r="A69" s="230"/>
      <c r="B69" s="11"/>
      <c r="C69" s="11"/>
      <c r="D69" s="11"/>
      <c r="E69" s="11"/>
      <c r="F69" s="11"/>
      <c r="G69" s="11"/>
      <c r="H69" s="11"/>
      <c r="I69" s="11"/>
      <c r="J69" s="11"/>
      <c r="K69" s="11"/>
      <c r="L69" s="11"/>
      <c r="M69" s="11"/>
      <c r="N69" s="11"/>
      <c r="O69" s="11"/>
      <c r="P69" s="11"/>
    </row>
    <row r="70" ht="15.75" customHeight="1">
      <c r="A70" s="230"/>
      <c r="B70" s="11"/>
      <c r="C70" s="11"/>
      <c r="D70" s="11"/>
      <c r="E70" s="11"/>
      <c r="F70" s="11"/>
      <c r="G70" s="11"/>
      <c r="H70" s="11"/>
      <c r="I70" s="11"/>
      <c r="J70" s="11"/>
      <c r="K70" s="11"/>
      <c r="L70" s="11"/>
      <c r="M70" s="11"/>
      <c r="N70" s="11"/>
      <c r="O70" s="11"/>
      <c r="P70" s="11"/>
    </row>
    <row r="71" ht="15.75" customHeight="1">
      <c r="A71" s="230"/>
      <c r="B71" s="11"/>
      <c r="C71" s="11"/>
      <c r="D71" s="11"/>
      <c r="E71" s="11"/>
      <c r="F71" s="11"/>
      <c r="G71" s="11"/>
      <c r="H71" s="11"/>
      <c r="I71" s="11"/>
      <c r="J71" s="11"/>
      <c r="K71" s="11"/>
      <c r="L71" s="11"/>
      <c r="M71" s="11"/>
      <c r="N71" s="11"/>
      <c r="O71" s="11"/>
      <c r="P71" s="11"/>
    </row>
    <row r="72" ht="15.75" customHeight="1">
      <c r="A72" s="230"/>
      <c r="B72" s="11"/>
      <c r="C72" s="11"/>
      <c r="D72" s="11"/>
      <c r="E72" s="11"/>
      <c r="F72" s="11"/>
      <c r="G72" s="11"/>
      <c r="H72" s="11"/>
      <c r="I72" s="11"/>
      <c r="J72" s="11"/>
      <c r="K72" s="11"/>
      <c r="L72" s="11"/>
      <c r="M72" s="11"/>
      <c r="N72" s="11"/>
      <c r="O72" s="11"/>
      <c r="P72" s="11"/>
    </row>
    <row r="73" ht="15.75" customHeight="1">
      <c r="A73" s="230"/>
      <c r="B73" s="11"/>
      <c r="C73" s="11"/>
      <c r="D73" s="11"/>
      <c r="E73" s="11"/>
      <c r="F73" s="11"/>
      <c r="G73" s="11"/>
      <c r="H73" s="11"/>
      <c r="I73" s="11"/>
      <c r="J73" s="11"/>
      <c r="K73" s="11"/>
      <c r="L73" s="11"/>
      <c r="M73" s="11"/>
      <c r="N73" s="11"/>
      <c r="O73" s="11"/>
      <c r="P73" s="11"/>
    </row>
    <row r="74" ht="15.75" customHeight="1">
      <c r="A74" s="230"/>
      <c r="B74" s="11"/>
      <c r="C74" s="11"/>
      <c r="D74" s="11"/>
      <c r="E74" s="11"/>
      <c r="F74" s="11"/>
      <c r="G74" s="11"/>
      <c r="H74" s="11"/>
      <c r="I74" s="11"/>
      <c r="J74" s="11"/>
      <c r="K74" s="11"/>
      <c r="L74" s="11"/>
      <c r="M74" s="11"/>
      <c r="N74" s="11"/>
      <c r="O74" s="11"/>
      <c r="P74" s="11"/>
    </row>
    <row r="75" ht="15.75" customHeight="1">
      <c r="A75" s="230"/>
      <c r="B75" s="11"/>
      <c r="C75" s="11"/>
      <c r="D75" s="11"/>
      <c r="E75" s="11"/>
      <c r="F75" s="11"/>
      <c r="G75" s="11"/>
      <c r="H75" s="11"/>
      <c r="I75" s="11"/>
      <c r="J75" s="11"/>
      <c r="K75" s="11"/>
      <c r="L75" s="11"/>
      <c r="M75" s="11"/>
      <c r="N75" s="11"/>
      <c r="O75" s="11"/>
      <c r="P75" s="11"/>
    </row>
    <row r="76" ht="15.75" customHeight="1">
      <c r="A76" s="230"/>
      <c r="B76" s="11"/>
      <c r="C76" s="11"/>
      <c r="D76" s="11"/>
      <c r="E76" s="11"/>
      <c r="F76" s="11"/>
      <c r="G76" s="11"/>
      <c r="H76" s="11"/>
      <c r="I76" s="11"/>
      <c r="J76" s="11"/>
      <c r="K76" s="11"/>
      <c r="L76" s="11"/>
      <c r="M76" s="11"/>
      <c r="N76" s="11"/>
      <c r="O76" s="11"/>
      <c r="P76" s="11"/>
    </row>
    <row r="77" ht="15.75" customHeight="1">
      <c r="A77" s="230"/>
      <c r="B77" s="11"/>
      <c r="C77" s="11"/>
      <c r="D77" s="11"/>
      <c r="E77" s="11"/>
      <c r="F77" s="11"/>
      <c r="G77" s="11"/>
      <c r="H77" s="11"/>
      <c r="I77" s="11"/>
      <c r="J77" s="11"/>
      <c r="K77" s="11"/>
      <c r="L77" s="11"/>
      <c r="M77" s="11"/>
      <c r="N77" s="11"/>
      <c r="O77" s="11"/>
      <c r="P77" s="11"/>
    </row>
    <row r="78" ht="15.75" customHeight="1">
      <c r="A78" s="230"/>
      <c r="B78" s="11"/>
      <c r="C78" s="11"/>
      <c r="D78" s="11"/>
      <c r="E78" s="11"/>
      <c r="F78" s="11"/>
      <c r="G78" s="11"/>
      <c r="H78" s="11"/>
      <c r="I78" s="11"/>
      <c r="J78" s="11"/>
      <c r="K78" s="11"/>
      <c r="L78" s="11"/>
      <c r="M78" s="11"/>
      <c r="N78" s="11"/>
      <c r="O78" s="11"/>
      <c r="P78" s="11"/>
    </row>
    <row r="79" ht="15.75" customHeight="1">
      <c r="A79" s="230"/>
      <c r="B79" s="11"/>
      <c r="C79" s="11"/>
      <c r="D79" s="11"/>
      <c r="E79" s="11"/>
      <c r="F79" s="11"/>
      <c r="G79" s="11"/>
      <c r="H79" s="11"/>
      <c r="I79" s="11"/>
      <c r="J79" s="11"/>
      <c r="K79" s="11"/>
      <c r="L79" s="11"/>
      <c r="M79" s="11"/>
      <c r="N79" s="11"/>
      <c r="O79" s="11"/>
      <c r="P79" s="11"/>
    </row>
    <row r="80" ht="15.75" customHeight="1">
      <c r="A80" s="230"/>
      <c r="B80" s="11"/>
      <c r="C80" s="11"/>
      <c r="D80" s="11"/>
      <c r="E80" s="11"/>
      <c r="F80" s="11"/>
      <c r="G80" s="11"/>
      <c r="H80" s="11"/>
      <c r="I80" s="11"/>
      <c r="J80" s="11"/>
      <c r="K80" s="11"/>
      <c r="L80" s="11"/>
      <c r="M80" s="11"/>
      <c r="N80" s="11"/>
      <c r="O80" s="11"/>
      <c r="P80" s="11"/>
    </row>
    <row r="81" ht="15.75" customHeight="1">
      <c r="A81" s="230"/>
      <c r="B81" s="11"/>
      <c r="C81" s="11"/>
      <c r="D81" s="11"/>
      <c r="E81" s="11"/>
      <c r="F81" s="11"/>
      <c r="G81" s="11"/>
      <c r="H81" s="11"/>
      <c r="I81" s="11"/>
      <c r="J81" s="11"/>
      <c r="K81" s="11"/>
      <c r="L81" s="11"/>
      <c r="M81" s="11"/>
      <c r="N81" s="11"/>
      <c r="O81" s="11"/>
      <c r="P81" s="11"/>
    </row>
    <row r="82" ht="15.75" customHeight="1">
      <c r="A82" s="230"/>
      <c r="B82" s="11"/>
      <c r="C82" s="11"/>
      <c r="D82" s="11"/>
      <c r="E82" s="11"/>
      <c r="F82" s="11"/>
      <c r="G82" s="11"/>
      <c r="H82" s="11"/>
      <c r="I82" s="11"/>
      <c r="J82" s="11"/>
      <c r="K82" s="11"/>
      <c r="L82" s="11"/>
      <c r="M82" s="11"/>
      <c r="N82" s="11"/>
      <c r="O82" s="11"/>
      <c r="P82" s="11"/>
    </row>
    <row r="83" ht="15.75" customHeight="1">
      <c r="A83" s="230"/>
      <c r="B83" s="11"/>
      <c r="C83" s="11"/>
      <c r="D83" s="11"/>
      <c r="E83" s="11"/>
      <c r="F83" s="11"/>
      <c r="G83" s="11"/>
      <c r="H83" s="11"/>
      <c r="I83" s="11"/>
      <c r="J83" s="11"/>
      <c r="K83" s="11"/>
      <c r="L83" s="11"/>
      <c r="M83" s="11"/>
      <c r="N83" s="11"/>
      <c r="O83" s="11"/>
      <c r="P83" s="11"/>
    </row>
    <row r="84" ht="15.75" customHeight="1">
      <c r="A84" s="230"/>
      <c r="B84" s="11"/>
      <c r="C84" s="11"/>
      <c r="D84" s="11"/>
      <c r="E84" s="11"/>
      <c r="F84" s="11"/>
      <c r="G84" s="11"/>
      <c r="H84" s="11"/>
      <c r="I84" s="11"/>
      <c r="J84" s="11"/>
      <c r="K84" s="11"/>
      <c r="L84" s="11"/>
      <c r="M84" s="11"/>
      <c r="N84" s="11"/>
      <c r="O84" s="11"/>
      <c r="P84" s="11"/>
    </row>
    <row r="85" ht="15.75" customHeight="1">
      <c r="A85" s="230"/>
      <c r="B85" s="11"/>
      <c r="C85" s="11"/>
      <c r="D85" s="11"/>
      <c r="E85" s="11"/>
      <c r="F85" s="11"/>
      <c r="G85" s="11"/>
      <c r="H85" s="11"/>
      <c r="I85" s="11"/>
      <c r="J85" s="11"/>
      <c r="K85" s="11"/>
      <c r="L85" s="11"/>
      <c r="M85" s="11"/>
      <c r="N85" s="11"/>
      <c r="O85" s="11"/>
      <c r="P85" s="11"/>
    </row>
    <row r="86" ht="15.75" customHeight="1">
      <c r="A86" s="230"/>
      <c r="B86" s="11"/>
      <c r="C86" s="11"/>
      <c r="D86" s="11"/>
      <c r="E86" s="11"/>
      <c r="F86" s="11"/>
      <c r="G86" s="11"/>
      <c r="H86" s="11"/>
      <c r="I86" s="11"/>
      <c r="J86" s="11"/>
      <c r="K86" s="11"/>
      <c r="L86" s="11"/>
      <c r="M86" s="11"/>
      <c r="N86" s="11"/>
      <c r="O86" s="11"/>
      <c r="P86" s="11"/>
    </row>
    <row r="87" ht="15.75" customHeight="1">
      <c r="A87" s="230"/>
      <c r="B87" s="11"/>
      <c r="C87" s="11"/>
      <c r="D87" s="11"/>
      <c r="E87" s="11"/>
      <c r="F87" s="11"/>
      <c r="G87" s="11"/>
      <c r="H87" s="11"/>
      <c r="I87" s="11"/>
      <c r="J87" s="11"/>
      <c r="K87" s="11"/>
      <c r="L87" s="11"/>
      <c r="M87" s="11"/>
      <c r="N87" s="11"/>
      <c r="O87" s="11"/>
      <c r="P87" s="11"/>
    </row>
    <row r="88" ht="15.75" customHeight="1">
      <c r="A88" s="230"/>
      <c r="B88" s="11"/>
      <c r="C88" s="11"/>
      <c r="D88" s="11"/>
      <c r="E88" s="11"/>
      <c r="F88" s="11"/>
      <c r="G88" s="11"/>
      <c r="H88" s="11"/>
      <c r="I88" s="11"/>
      <c r="J88" s="11"/>
      <c r="K88" s="11"/>
      <c r="L88" s="11"/>
      <c r="M88" s="11"/>
      <c r="N88" s="11"/>
      <c r="O88" s="11"/>
      <c r="P88" s="11"/>
    </row>
    <row r="89" ht="15.75" customHeight="1">
      <c r="A89" s="230"/>
      <c r="B89" s="11"/>
      <c r="C89" s="11"/>
      <c r="D89" s="11"/>
      <c r="E89" s="11"/>
      <c r="F89" s="11"/>
      <c r="G89" s="11"/>
      <c r="H89" s="11"/>
      <c r="I89" s="11"/>
      <c r="J89" s="11"/>
      <c r="K89" s="11"/>
      <c r="L89" s="11"/>
      <c r="M89" s="11"/>
      <c r="N89" s="11"/>
      <c r="O89" s="11"/>
      <c r="P89" s="11"/>
    </row>
    <row r="90" ht="15.75" customHeight="1">
      <c r="A90" s="230"/>
      <c r="B90" s="11"/>
      <c r="C90" s="11"/>
      <c r="D90" s="11"/>
      <c r="E90" s="11"/>
      <c r="F90" s="11"/>
      <c r="G90" s="11"/>
      <c r="H90" s="11"/>
      <c r="I90" s="11"/>
      <c r="J90" s="11"/>
      <c r="K90" s="11"/>
      <c r="L90" s="11"/>
      <c r="M90" s="11"/>
      <c r="N90" s="11"/>
      <c r="O90" s="11"/>
      <c r="P90" s="11"/>
    </row>
    <row r="91" ht="15.75" customHeight="1">
      <c r="A91" s="230"/>
      <c r="B91" s="11"/>
      <c r="C91" s="11"/>
      <c r="D91" s="11"/>
      <c r="E91" s="11"/>
      <c r="F91" s="11"/>
      <c r="G91" s="11"/>
      <c r="H91" s="11"/>
      <c r="I91" s="11"/>
      <c r="J91" s="11"/>
      <c r="K91" s="11"/>
      <c r="L91" s="11"/>
      <c r="M91" s="11"/>
      <c r="N91" s="11"/>
      <c r="O91" s="11"/>
      <c r="P91" s="11"/>
    </row>
    <row r="92" ht="15.75" customHeight="1">
      <c r="A92" s="230"/>
      <c r="B92" s="11"/>
      <c r="C92" s="11"/>
      <c r="D92" s="11"/>
      <c r="E92" s="11"/>
      <c r="F92" s="11"/>
      <c r="G92" s="11"/>
      <c r="H92" s="11"/>
      <c r="I92" s="11"/>
      <c r="J92" s="11"/>
      <c r="K92" s="11"/>
      <c r="L92" s="11"/>
      <c r="M92" s="11"/>
      <c r="N92" s="11"/>
      <c r="O92" s="11"/>
      <c r="P92" s="11"/>
    </row>
    <row r="93" ht="15.75" customHeight="1">
      <c r="A93" s="230"/>
      <c r="B93" s="11"/>
      <c r="C93" s="11"/>
      <c r="D93" s="11"/>
      <c r="E93" s="11"/>
      <c r="F93" s="11"/>
      <c r="G93" s="11"/>
      <c r="H93" s="11"/>
      <c r="I93" s="11"/>
      <c r="J93" s="11"/>
      <c r="K93" s="11"/>
      <c r="L93" s="11"/>
      <c r="M93" s="11"/>
      <c r="N93" s="11"/>
      <c r="O93" s="11"/>
      <c r="P93" s="11"/>
    </row>
    <row r="94" ht="15.75" customHeight="1">
      <c r="A94" s="230"/>
      <c r="B94" s="11"/>
      <c r="C94" s="11"/>
      <c r="D94" s="11"/>
      <c r="E94" s="11"/>
      <c r="F94" s="11"/>
      <c r="G94" s="11"/>
      <c r="H94" s="11"/>
      <c r="I94" s="11"/>
      <c r="J94" s="11"/>
      <c r="K94" s="11"/>
      <c r="L94" s="11"/>
      <c r="M94" s="11"/>
      <c r="N94" s="11"/>
      <c r="O94" s="11"/>
      <c r="P94" s="11"/>
    </row>
    <row r="95" ht="15.75" customHeight="1">
      <c r="A95" s="230"/>
      <c r="B95" s="11"/>
      <c r="C95" s="11"/>
      <c r="D95" s="11"/>
      <c r="E95" s="11"/>
      <c r="F95" s="11"/>
      <c r="G95" s="11"/>
      <c r="H95" s="11"/>
      <c r="I95" s="11"/>
      <c r="J95" s="11"/>
      <c r="K95" s="11"/>
      <c r="L95" s="11"/>
      <c r="M95" s="11"/>
      <c r="N95" s="11"/>
      <c r="O95" s="11"/>
      <c r="P95" s="11"/>
    </row>
    <row r="96" ht="15.75" customHeight="1">
      <c r="A96" s="230"/>
      <c r="B96" s="11"/>
      <c r="C96" s="11"/>
      <c r="D96" s="11"/>
      <c r="E96" s="11"/>
      <c r="F96" s="11"/>
      <c r="G96" s="11"/>
      <c r="H96" s="11"/>
      <c r="I96" s="11"/>
      <c r="J96" s="11"/>
      <c r="K96" s="11"/>
      <c r="L96" s="11"/>
      <c r="M96" s="11"/>
      <c r="N96" s="11"/>
      <c r="O96" s="11"/>
      <c r="P96" s="11"/>
    </row>
    <row r="97" ht="15.75" customHeight="1">
      <c r="A97" s="230"/>
      <c r="B97" s="11"/>
      <c r="C97" s="11"/>
      <c r="D97" s="11"/>
      <c r="E97" s="11"/>
      <c r="F97" s="11"/>
      <c r="G97" s="11"/>
      <c r="H97" s="11"/>
      <c r="I97" s="11"/>
      <c r="J97" s="11"/>
      <c r="K97" s="11"/>
      <c r="L97" s="11"/>
      <c r="M97" s="11"/>
      <c r="N97" s="11"/>
      <c r="O97" s="11"/>
      <c r="P97" s="11"/>
    </row>
    <row r="98" ht="15.75" customHeight="1">
      <c r="A98" s="230"/>
      <c r="B98" s="11"/>
      <c r="C98" s="11"/>
      <c r="D98" s="11"/>
      <c r="E98" s="11"/>
      <c r="F98" s="11"/>
      <c r="G98" s="11"/>
      <c r="H98" s="11"/>
      <c r="I98" s="11"/>
      <c r="J98" s="11"/>
      <c r="K98" s="11"/>
      <c r="L98" s="11"/>
      <c r="M98" s="11"/>
      <c r="N98" s="11"/>
      <c r="O98" s="11"/>
      <c r="P98" s="11"/>
    </row>
    <row r="99" ht="15.75" customHeight="1">
      <c r="A99" s="230"/>
      <c r="B99" s="11"/>
      <c r="C99" s="11"/>
      <c r="D99" s="11"/>
      <c r="E99" s="11"/>
      <c r="F99" s="11"/>
      <c r="G99" s="11"/>
      <c r="H99" s="11"/>
      <c r="I99" s="11"/>
      <c r="J99" s="11"/>
      <c r="K99" s="11"/>
      <c r="L99" s="11"/>
      <c r="M99" s="11"/>
      <c r="N99" s="11"/>
      <c r="O99" s="11"/>
      <c r="P99" s="11"/>
    </row>
    <row r="100" ht="15.75" customHeight="1">
      <c r="A100" s="230"/>
      <c r="B100" s="11"/>
      <c r="C100" s="11"/>
      <c r="D100" s="11"/>
      <c r="E100" s="11"/>
      <c r="F100" s="11"/>
      <c r="G100" s="11"/>
      <c r="H100" s="11"/>
      <c r="I100" s="11"/>
      <c r="J100" s="11"/>
      <c r="K100" s="11"/>
      <c r="L100" s="11"/>
      <c r="M100" s="11"/>
      <c r="N100" s="11"/>
      <c r="O100" s="11"/>
      <c r="P100" s="11"/>
    </row>
    <row r="101" ht="15.75" customHeight="1">
      <c r="A101" s="230"/>
      <c r="B101" s="11"/>
      <c r="C101" s="11"/>
      <c r="D101" s="11"/>
      <c r="E101" s="11"/>
      <c r="F101" s="11"/>
      <c r="G101" s="11"/>
      <c r="H101" s="11"/>
      <c r="I101" s="11"/>
      <c r="J101" s="11"/>
      <c r="K101" s="11"/>
      <c r="L101" s="11"/>
      <c r="M101" s="11"/>
      <c r="N101" s="11"/>
      <c r="O101" s="11"/>
      <c r="P101" s="11"/>
    </row>
    <row r="102" ht="15.75" customHeight="1">
      <c r="A102" s="230"/>
      <c r="B102" s="11"/>
      <c r="C102" s="11"/>
      <c r="D102" s="11"/>
      <c r="E102" s="11"/>
      <c r="F102" s="11"/>
      <c r="G102" s="11"/>
      <c r="H102" s="11"/>
      <c r="I102" s="11"/>
      <c r="J102" s="11"/>
      <c r="K102" s="11"/>
      <c r="L102" s="11"/>
      <c r="M102" s="11"/>
      <c r="N102" s="11"/>
      <c r="O102" s="11"/>
      <c r="P102" s="11"/>
    </row>
    <row r="103" ht="15.75" customHeight="1">
      <c r="A103" s="230"/>
      <c r="B103" s="11"/>
      <c r="C103" s="11"/>
      <c r="D103" s="11"/>
      <c r="E103" s="11"/>
      <c r="F103" s="11"/>
      <c r="G103" s="11"/>
      <c r="H103" s="11"/>
      <c r="I103" s="11"/>
      <c r="J103" s="11"/>
      <c r="K103" s="11"/>
      <c r="L103" s="11"/>
      <c r="M103" s="11"/>
      <c r="N103" s="11"/>
      <c r="O103" s="11"/>
      <c r="P103" s="11"/>
    </row>
    <row r="104" ht="15.75" customHeight="1">
      <c r="A104" s="230"/>
      <c r="B104" s="11"/>
      <c r="C104" s="11"/>
      <c r="D104" s="11"/>
      <c r="E104" s="11"/>
      <c r="F104" s="11"/>
      <c r="G104" s="11"/>
      <c r="H104" s="11"/>
      <c r="I104" s="11"/>
      <c r="J104" s="11"/>
      <c r="K104" s="11"/>
      <c r="L104" s="11"/>
      <c r="M104" s="11"/>
      <c r="N104" s="11"/>
      <c r="O104" s="11"/>
      <c r="P104" s="11"/>
    </row>
    <row r="105" ht="15.75" customHeight="1">
      <c r="A105" s="230"/>
      <c r="B105" s="11"/>
      <c r="C105" s="11"/>
      <c r="D105" s="11"/>
      <c r="E105" s="11"/>
      <c r="F105" s="11"/>
      <c r="G105" s="11"/>
      <c r="H105" s="11"/>
      <c r="I105" s="11"/>
      <c r="J105" s="11"/>
      <c r="K105" s="11"/>
      <c r="L105" s="11"/>
      <c r="M105" s="11"/>
      <c r="N105" s="11"/>
      <c r="O105" s="11"/>
      <c r="P105" s="11"/>
    </row>
    <row r="106" ht="15.75" customHeight="1">
      <c r="A106" s="230"/>
      <c r="B106" s="11"/>
      <c r="C106" s="11"/>
      <c r="D106" s="11"/>
      <c r="E106" s="11"/>
      <c r="F106" s="11"/>
      <c r="G106" s="11"/>
      <c r="H106" s="11"/>
      <c r="I106" s="11"/>
      <c r="J106" s="11"/>
      <c r="K106" s="11"/>
      <c r="L106" s="11"/>
      <c r="M106" s="11"/>
      <c r="N106" s="11"/>
      <c r="O106" s="11"/>
      <c r="P106" s="11"/>
    </row>
    <row r="107" ht="15.75" customHeight="1">
      <c r="A107" s="230"/>
      <c r="B107" s="11"/>
      <c r="C107" s="11"/>
      <c r="D107" s="11"/>
      <c r="E107" s="11"/>
      <c r="F107" s="11"/>
      <c r="G107" s="11"/>
      <c r="H107" s="11"/>
      <c r="I107" s="11"/>
      <c r="J107" s="11"/>
      <c r="K107" s="11"/>
      <c r="L107" s="11"/>
      <c r="M107" s="11"/>
      <c r="N107" s="11"/>
      <c r="O107" s="11"/>
      <c r="P107" s="11"/>
    </row>
    <row r="108" ht="15.75" customHeight="1">
      <c r="A108" s="230"/>
      <c r="B108" s="11"/>
      <c r="C108" s="11"/>
      <c r="D108" s="11"/>
      <c r="E108" s="11"/>
      <c r="F108" s="11"/>
      <c r="G108" s="11"/>
      <c r="H108" s="11"/>
      <c r="I108" s="11"/>
      <c r="J108" s="11"/>
      <c r="K108" s="11"/>
      <c r="L108" s="11"/>
      <c r="M108" s="11"/>
      <c r="N108" s="11"/>
      <c r="O108" s="11"/>
      <c r="P108" s="11"/>
    </row>
    <row r="109" ht="15.75" customHeight="1">
      <c r="A109" s="230"/>
      <c r="B109" s="11"/>
      <c r="C109" s="11"/>
      <c r="D109" s="11"/>
      <c r="E109" s="11"/>
      <c r="F109" s="11"/>
      <c r="G109" s="11"/>
      <c r="H109" s="11"/>
      <c r="I109" s="11"/>
      <c r="J109" s="11"/>
      <c r="K109" s="11"/>
      <c r="L109" s="11"/>
      <c r="M109" s="11"/>
      <c r="N109" s="11"/>
      <c r="O109" s="11"/>
      <c r="P109" s="11"/>
    </row>
    <row r="110" ht="15.75" customHeight="1">
      <c r="A110" s="230"/>
      <c r="B110" s="11"/>
      <c r="C110" s="11"/>
      <c r="D110" s="11"/>
      <c r="E110" s="11"/>
      <c r="F110" s="11"/>
      <c r="G110" s="11"/>
      <c r="H110" s="11"/>
      <c r="I110" s="11"/>
      <c r="J110" s="11"/>
      <c r="K110" s="11"/>
      <c r="L110" s="11"/>
      <c r="M110" s="11"/>
      <c r="N110" s="11"/>
      <c r="O110" s="11"/>
      <c r="P110" s="11"/>
    </row>
    <row r="111" ht="15.75" customHeight="1">
      <c r="A111" s="230"/>
      <c r="B111" s="11"/>
      <c r="C111" s="11"/>
      <c r="D111" s="11"/>
      <c r="E111" s="11"/>
      <c r="F111" s="11"/>
      <c r="G111" s="11"/>
      <c r="H111" s="11"/>
      <c r="I111" s="11"/>
      <c r="J111" s="11"/>
      <c r="K111" s="11"/>
      <c r="L111" s="11"/>
      <c r="M111" s="11"/>
      <c r="N111" s="11"/>
      <c r="O111" s="11"/>
      <c r="P111" s="11"/>
    </row>
    <row r="112" ht="15.75" customHeight="1">
      <c r="A112" s="230"/>
      <c r="B112" s="11"/>
      <c r="C112" s="11"/>
      <c r="D112" s="11"/>
      <c r="E112" s="11"/>
      <c r="F112" s="11"/>
      <c r="G112" s="11"/>
      <c r="H112" s="11"/>
      <c r="I112" s="11"/>
      <c r="J112" s="11"/>
      <c r="K112" s="11"/>
      <c r="L112" s="11"/>
      <c r="M112" s="11"/>
      <c r="N112" s="11"/>
      <c r="O112" s="11"/>
      <c r="P112" s="11"/>
    </row>
    <row r="113" ht="15.75" customHeight="1">
      <c r="A113" s="230"/>
      <c r="B113" s="11"/>
      <c r="C113" s="11"/>
      <c r="D113" s="11"/>
      <c r="E113" s="11"/>
      <c r="F113" s="11"/>
      <c r="G113" s="11"/>
      <c r="H113" s="11"/>
      <c r="I113" s="11"/>
      <c r="J113" s="11"/>
      <c r="K113" s="11"/>
      <c r="L113" s="11"/>
      <c r="M113" s="11"/>
      <c r="N113" s="11"/>
      <c r="O113" s="11"/>
      <c r="P113" s="11"/>
    </row>
    <row r="114" ht="15.75" customHeight="1">
      <c r="A114" s="230"/>
      <c r="B114" s="11"/>
      <c r="C114" s="11"/>
      <c r="D114" s="11"/>
      <c r="E114" s="11"/>
      <c r="F114" s="11"/>
      <c r="G114" s="11"/>
      <c r="H114" s="11"/>
      <c r="I114" s="11"/>
      <c r="J114" s="11"/>
      <c r="K114" s="11"/>
      <c r="L114" s="11"/>
      <c r="M114" s="11"/>
      <c r="N114" s="11"/>
      <c r="O114" s="11"/>
      <c r="P114" s="11"/>
    </row>
    <row r="115" ht="15.75" customHeight="1">
      <c r="A115" s="230"/>
      <c r="B115" s="11"/>
      <c r="C115" s="11"/>
      <c r="D115" s="11"/>
      <c r="E115" s="11"/>
      <c r="F115" s="11"/>
      <c r="G115" s="11"/>
      <c r="H115" s="11"/>
      <c r="I115" s="11"/>
      <c r="J115" s="11"/>
      <c r="K115" s="11"/>
      <c r="L115" s="11"/>
      <c r="M115" s="11"/>
      <c r="N115" s="11"/>
      <c r="O115" s="11"/>
      <c r="P115" s="11"/>
    </row>
    <row r="116" ht="15.75" customHeight="1">
      <c r="A116" s="230"/>
      <c r="B116" s="11"/>
      <c r="C116" s="11"/>
      <c r="D116" s="11"/>
      <c r="E116" s="11"/>
      <c r="F116" s="11"/>
      <c r="G116" s="11"/>
      <c r="H116" s="11"/>
      <c r="I116" s="11"/>
      <c r="J116" s="11"/>
      <c r="K116" s="11"/>
      <c r="L116" s="11"/>
      <c r="M116" s="11"/>
      <c r="N116" s="11"/>
      <c r="O116" s="11"/>
      <c r="P116" s="11"/>
    </row>
    <row r="117" ht="15.75" customHeight="1">
      <c r="A117" s="230"/>
      <c r="B117" s="11"/>
      <c r="C117" s="11"/>
      <c r="D117" s="11"/>
      <c r="E117" s="11"/>
      <c r="F117" s="11"/>
      <c r="G117" s="11"/>
      <c r="H117" s="11"/>
      <c r="I117" s="11"/>
      <c r="J117" s="11"/>
      <c r="K117" s="11"/>
      <c r="L117" s="11"/>
      <c r="M117" s="11"/>
      <c r="N117" s="11"/>
      <c r="O117" s="11"/>
      <c r="P117" s="11"/>
    </row>
    <row r="118" ht="15.75" customHeight="1">
      <c r="A118" s="230"/>
      <c r="B118" s="11"/>
      <c r="C118" s="11"/>
      <c r="D118" s="11"/>
      <c r="E118" s="11"/>
      <c r="F118" s="11"/>
      <c r="G118" s="11"/>
      <c r="H118" s="11"/>
      <c r="I118" s="11"/>
      <c r="J118" s="11"/>
      <c r="K118" s="11"/>
      <c r="L118" s="11"/>
      <c r="M118" s="11"/>
      <c r="N118" s="11"/>
      <c r="O118" s="11"/>
      <c r="P118" s="11"/>
    </row>
    <row r="119" ht="15.75" customHeight="1">
      <c r="A119" s="230"/>
      <c r="B119" s="11"/>
      <c r="C119" s="11"/>
      <c r="D119" s="11"/>
      <c r="E119" s="11"/>
      <c r="F119" s="11"/>
      <c r="G119" s="11"/>
      <c r="H119" s="11"/>
      <c r="I119" s="11"/>
      <c r="J119" s="11"/>
      <c r="K119" s="11"/>
      <c r="L119" s="11"/>
      <c r="M119" s="11"/>
      <c r="N119" s="11"/>
      <c r="O119" s="11"/>
      <c r="P119" s="11"/>
    </row>
    <row r="120" ht="15.75" customHeight="1">
      <c r="A120" s="230"/>
      <c r="B120" s="11"/>
      <c r="C120" s="11"/>
      <c r="D120" s="11"/>
      <c r="E120" s="11"/>
      <c r="F120" s="11"/>
      <c r="G120" s="11"/>
      <c r="H120" s="11"/>
      <c r="I120" s="11"/>
      <c r="J120" s="11"/>
      <c r="K120" s="11"/>
      <c r="L120" s="11"/>
      <c r="M120" s="11"/>
      <c r="N120" s="11"/>
      <c r="O120" s="11"/>
      <c r="P120" s="11"/>
    </row>
    <row r="121" ht="15.75" customHeight="1">
      <c r="A121" s="230"/>
      <c r="B121" s="11"/>
      <c r="C121" s="11"/>
      <c r="D121" s="11"/>
      <c r="E121" s="11"/>
      <c r="F121" s="11"/>
      <c r="G121" s="11"/>
      <c r="H121" s="11"/>
      <c r="I121" s="11"/>
      <c r="J121" s="11"/>
      <c r="K121" s="11"/>
      <c r="L121" s="11"/>
      <c r="M121" s="11"/>
      <c r="N121" s="11"/>
      <c r="O121" s="11"/>
      <c r="P121" s="11"/>
    </row>
    <row r="122" ht="15.75" customHeight="1">
      <c r="A122" s="230"/>
      <c r="B122" s="11"/>
      <c r="C122" s="11"/>
      <c r="D122" s="11"/>
      <c r="E122" s="11"/>
      <c r="F122" s="11"/>
      <c r="G122" s="11"/>
      <c r="H122" s="11"/>
      <c r="I122" s="11"/>
      <c r="J122" s="11"/>
      <c r="K122" s="11"/>
      <c r="L122" s="11"/>
      <c r="M122" s="11"/>
      <c r="N122" s="11"/>
      <c r="O122" s="11"/>
      <c r="P122" s="11"/>
    </row>
    <row r="123" ht="15.75" customHeight="1">
      <c r="A123" s="230"/>
      <c r="B123" s="11"/>
      <c r="C123" s="11"/>
      <c r="D123" s="11"/>
      <c r="E123" s="11"/>
      <c r="F123" s="11"/>
      <c r="G123" s="11"/>
      <c r="H123" s="11"/>
      <c r="I123" s="11"/>
      <c r="J123" s="11"/>
      <c r="K123" s="11"/>
      <c r="L123" s="11"/>
      <c r="M123" s="11"/>
      <c r="N123" s="11"/>
      <c r="O123" s="11"/>
      <c r="P123" s="11"/>
    </row>
    <row r="124" ht="15.75" customHeight="1">
      <c r="A124" s="230"/>
      <c r="B124" s="11"/>
      <c r="C124" s="11"/>
      <c r="D124" s="11"/>
      <c r="E124" s="11"/>
      <c r="F124" s="11"/>
      <c r="G124" s="11"/>
      <c r="H124" s="11"/>
      <c r="I124" s="11"/>
      <c r="J124" s="11"/>
      <c r="K124" s="11"/>
      <c r="L124" s="11"/>
      <c r="M124" s="11"/>
      <c r="N124" s="11"/>
      <c r="O124" s="11"/>
      <c r="P124" s="11"/>
    </row>
    <row r="125" ht="15.75" customHeight="1">
      <c r="A125" s="230"/>
      <c r="B125" s="11"/>
      <c r="C125" s="11"/>
      <c r="D125" s="11"/>
      <c r="E125" s="11"/>
      <c r="F125" s="11"/>
      <c r="G125" s="11"/>
      <c r="H125" s="11"/>
      <c r="I125" s="11"/>
      <c r="J125" s="11"/>
      <c r="K125" s="11"/>
      <c r="L125" s="11"/>
      <c r="M125" s="11"/>
      <c r="N125" s="11"/>
      <c r="O125" s="11"/>
      <c r="P125" s="11"/>
    </row>
    <row r="126" ht="15.75" customHeight="1">
      <c r="A126" s="230"/>
      <c r="B126" s="11"/>
      <c r="C126" s="11"/>
      <c r="D126" s="11"/>
      <c r="E126" s="11"/>
      <c r="F126" s="11"/>
      <c r="G126" s="11"/>
      <c r="H126" s="11"/>
      <c r="I126" s="11"/>
      <c r="J126" s="11"/>
      <c r="K126" s="11"/>
      <c r="L126" s="11"/>
      <c r="M126" s="11"/>
      <c r="N126" s="11"/>
      <c r="O126" s="11"/>
      <c r="P126" s="11"/>
    </row>
    <row r="127" ht="15.75" customHeight="1">
      <c r="A127" s="230"/>
      <c r="B127" s="11"/>
      <c r="C127" s="11"/>
      <c r="D127" s="11"/>
      <c r="E127" s="11"/>
      <c r="F127" s="11"/>
      <c r="G127" s="11"/>
      <c r="H127" s="11"/>
      <c r="I127" s="11"/>
      <c r="J127" s="11"/>
      <c r="K127" s="11"/>
      <c r="L127" s="11"/>
      <c r="M127" s="11"/>
      <c r="N127" s="11"/>
      <c r="O127" s="11"/>
      <c r="P127" s="11"/>
    </row>
    <row r="128" ht="15.75" customHeight="1">
      <c r="A128" s="230"/>
      <c r="B128" s="11"/>
      <c r="C128" s="11"/>
      <c r="D128" s="11"/>
      <c r="E128" s="11"/>
      <c r="F128" s="11"/>
      <c r="G128" s="11"/>
      <c r="H128" s="11"/>
      <c r="I128" s="11"/>
      <c r="J128" s="11"/>
      <c r="K128" s="11"/>
      <c r="L128" s="11"/>
      <c r="M128" s="11"/>
      <c r="N128" s="11"/>
      <c r="O128" s="11"/>
      <c r="P128" s="11"/>
    </row>
    <row r="129" ht="15.75" customHeight="1">
      <c r="A129" s="230"/>
      <c r="B129" s="11"/>
      <c r="C129" s="11"/>
      <c r="D129" s="11"/>
      <c r="E129" s="11"/>
      <c r="F129" s="11"/>
      <c r="G129" s="11"/>
      <c r="H129" s="11"/>
      <c r="I129" s="11"/>
      <c r="J129" s="11"/>
      <c r="K129" s="11"/>
      <c r="L129" s="11"/>
      <c r="M129" s="11"/>
      <c r="N129" s="11"/>
      <c r="O129" s="11"/>
      <c r="P129" s="11"/>
    </row>
    <row r="130" ht="15.75" customHeight="1">
      <c r="A130" s="230"/>
      <c r="B130" s="11"/>
      <c r="C130" s="11"/>
      <c r="D130" s="11"/>
      <c r="E130" s="11"/>
      <c r="F130" s="11"/>
      <c r="G130" s="11"/>
      <c r="H130" s="11"/>
      <c r="I130" s="11"/>
      <c r="J130" s="11"/>
      <c r="K130" s="11"/>
      <c r="L130" s="11"/>
      <c r="M130" s="11"/>
      <c r="N130" s="11"/>
      <c r="O130" s="11"/>
      <c r="P130" s="11"/>
    </row>
    <row r="131" ht="15.75" customHeight="1">
      <c r="A131" s="230"/>
      <c r="B131" s="11"/>
      <c r="C131" s="11"/>
      <c r="D131" s="11"/>
      <c r="E131" s="11"/>
      <c r="F131" s="11"/>
      <c r="G131" s="11"/>
      <c r="H131" s="11"/>
      <c r="I131" s="11"/>
      <c r="J131" s="11"/>
      <c r="K131" s="11"/>
      <c r="L131" s="11"/>
      <c r="M131" s="11"/>
      <c r="N131" s="11"/>
      <c r="O131" s="11"/>
      <c r="P131" s="11"/>
    </row>
    <row r="132" ht="15.75" customHeight="1">
      <c r="A132" s="230"/>
      <c r="B132" s="11"/>
      <c r="C132" s="11"/>
      <c r="D132" s="11"/>
      <c r="E132" s="11"/>
      <c r="F132" s="11"/>
      <c r="G132" s="11"/>
      <c r="H132" s="11"/>
      <c r="I132" s="11"/>
      <c r="J132" s="11"/>
      <c r="K132" s="11"/>
      <c r="L132" s="11"/>
      <c r="M132" s="11"/>
      <c r="N132" s="11"/>
      <c r="O132" s="11"/>
      <c r="P132" s="11"/>
    </row>
    <row r="133" ht="15.75" customHeight="1">
      <c r="A133" s="230"/>
      <c r="B133" s="11"/>
      <c r="C133" s="11"/>
      <c r="D133" s="11"/>
      <c r="E133" s="11"/>
      <c r="F133" s="11"/>
      <c r="G133" s="11"/>
      <c r="H133" s="11"/>
      <c r="I133" s="11"/>
      <c r="J133" s="11"/>
      <c r="K133" s="11"/>
      <c r="L133" s="11"/>
      <c r="M133" s="11"/>
      <c r="N133" s="11"/>
      <c r="O133" s="11"/>
      <c r="P133" s="11"/>
    </row>
    <row r="134" ht="15.75" customHeight="1">
      <c r="A134" s="230"/>
      <c r="B134" s="11"/>
      <c r="C134" s="11"/>
      <c r="D134" s="11"/>
      <c r="E134" s="11"/>
      <c r="F134" s="11"/>
      <c r="G134" s="11"/>
      <c r="H134" s="11"/>
      <c r="I134" s="11"/>
      <c r="J134" s="11"/>
      <c r="K134" s="11"/>
      <c r="L134" s="11"/>
      <c r="M134" s="11"/>
      <c r="N134" s="11"/>
      <c r="O134" s="11"/>
      <c r="P134" s="11"/>
    </row>
    <row r="135" ht="15.75" customHeight="1">
      <c r="A135" s="230"/>
      <c r="B135" s="11"/>
      <c r="C135" s="11"/>
      <c r="D135" s="11"/>
      <c r="E135" s="11"/>
      <c r="F135" s="11"/>
      <c r="G135" s="11"/>
      <c r="H135" s="11"/>
      <c r="I135" s="11"/>
      <c r="J135" s="11"/>
      <c r="K135" s="11"/>
      <c r="L135" s="11"/>
      <c r="M135" s="11"/>
      <c r="N135" s="11"/>
      <c r="O135" s="11"/>
      <c r="P135" s="11"/>
    </row>
    <row r="136" ht="15.75" customHeight="1">
      <c r="A136" s="230"/>
      <c r="B136" s="11"/>
      <c r="C136" s="11"/>
      <c r="D136" s="11"/>
      <c r="E136" s="11"/>
      <c r="F136" s="11"/>
      <c r="G136" s="11"/>
      <c r="H136" s="11"/>
      <c r="I136" s="11"/>
      <c r="J136" s="11"/>
      <c r="K136" s="11"/>
      <c r="L136" s="11"/>
      <c r="M136" s="11"/>
      <c r="N136" s="11"/>
      <c r="O136" s="11"/>
      <c r="P136" s="11"/>
    </row>
    <row r="137" ht="15.75" customHeight="1">
      <c r="A137" s="230"/>
      <c r="B137" s="11"/>
      <c r="C137" s="11"/>
      <c r="D137" s="11"/>
      <c r="E137" s="11"/>
      <c r="F137" s="11"/>
      <c r="G137" s="11"/>
      <c r="H137" s="11"/>
      <c r="I137" s="11"/>
      <c r="J137" s="11"/>
      <c r="K137" s="11"/>
      <c r="L137" s="11"/>
      <c r="M137" s="11"/>
      <c r="N137" s="11"/>
      <c r="O137" s="11"/>
      <c r="P137" s="11"/>
    </row>
    <row r="138" ht="15.75" customHeight="1">
      <c r="A138" s="230"/>
      <c r="B138" s="11"/>
      <c r="C138" s="11"/>
      <c r="D138" s="11"/>
      <c r="E138" s="11"/>
      <c r="F138" s="11"/>
      <c r="G138" s="11"/>
      <c r="H138" s="11"/>
      <c r="I138" s="11"/>
      <c r="J138" s="11"/>
      <c r="K138" s="11"/>
      <c r="L138" s="11"/>
      <c r="M138" s="11"/>
      <c r="N138" s="11"/>
      <c r="O138" s="11"/>
      <c r="P138" s="11"/>
    </row>
    <row r="139" ht="15.75" customHeight="1">
      <c r="A139" s="230"/>
      <c r="B139" s="11"/>
      <c r="C139" s="11"/>
      <c r="D139" s="11"/>
      <c r="E139" s="11"/>
      <c r="F139" s="11"/>
      <c r="G139" s="11"/>
      <c r="H139" s="11"/>
      <c r="I139" s="11"/>
      <c r="J139" s="11"/>
      <c r="K139" s="11"/>
      <c r="L139" s="11"/>
      <c r="M139" s="11"/>
      <c r="N139" s="11"/>
      <c r="O139" s="11"/>
      <c r="P139" s="11"/>
    </row>
    <row r="140" ht="15.75" customHeight="1">
      <c r="A140" s="230"/>
      <c r="B140" s="11"/>
      <c r="C140" s="11"/>
      <c r="D140" s="11"/>
      <c r="E140" s="11"/>
      <c r="F140" s="11"/>
      <c r="G140" s="11"/>
      <c r="H140" s="11"/>
      <c r="I140" s="11"/>
      <c r="J140" s="11"/>
      <c r="K140" s="11"/>
      <c r="L140" s="11"/>
      <c r="M140" s="11"/>
      <c r="N140" s="11"/>
      <c r="O140" s="11"/>
      <c r="P140" s="11"/>
    </row>
    <row r="141" ht="15.75" customHeight="1">
      <c r="A141" s="230"/>
      <c r="B141" s="11"/>
      <c r="C141" s="11"/>
      <c r="D141" s="11"/>
      <c r="E141" s="11"/>
      <c r="F141" s="11"/>
      <c r="G141" s="11"/>
      <c r="H141" s="11"/>
      <c r="I141" s="11"/>
      <c r="J141" s="11"/>
      <c r="K141" s="11"/>
      <c r="L141" s="11"/>
      <c r="M141" s="11"/>
      <c r="N141" s="11"/>
      <c r="O141" s="11"/>
      <c r="P141" s="11"/>
    </row>
    <row r="142" ht="15.75" customHeight="1">
      <c r="A142" s="230"/>
      <c r="B142" s="11"/>
      <c r="C142" s="11"/>
      <c r="D142" s="11"/>
      <c r="E142" s="11"/>
      <c r="F142" s="11"/>
      <c r="G142" s="11"/>
      <c r="H142" s="11"/>
      <c r="I142" s="11"/>
      <c r="J142" s="11"/>
      <c r="K142" s="11"/>
      <c r="L142" s="11"/>
      <c r="M142" s="11"/>
      <c r="N142" s="11"/>
      <c r="O142" s="11"/>
      <c r="P142" s="11"/>
    </row>
    <row r="143" ht="15.75" customHeight="1">
      <c r="A143" s="230"/>
      <c r="B143" s="11"/>
      <c r="C143" s="11"/>
      <c r="D143" s="11"/>
      <c r="E143" s="11"/>
      <c r="F143" s="11"/>
      <c r="G143" s="11"/>
      <c r="H143" s="11"/>
      <c r="I143" s="11"/>
      <c r="J143" s="11"/>
      <c r="K143" s="11"/>
      <c r="L143" s="11"/>
      <c r="M143" s="11"/>
      <c r="N143" s="11"/>
      <c r="O143" s="11"/>
      <c r="P143" s="11"/>
    </row>
    <row r="144" ht="15.75" customHeight="1">
      <c r="A144" s="230"/>
      <c r="B144" s="11"/>
      <c r="C144" s="11"/>
      <c r="D144" s="11"/>
      <c r="E144" s="11"/>
      <c r="F144" s="11"/>
      <c r="G144" s="11"/>
      <c r="H144" s="11"/>
      <c r="I144" s="11"/>
      <c r="J144" s="11"/>
      <c r="K144" s="11"/>
      <c r="L144" s="11"/>
      <c r="M144" s="11"/>
      <c r="N144" s="11"/>
      <c r="O144" s="11"/>
      <c r="P144" s="11"/>
    </row>
    <row r="145" ht="15.75" customHeight="1">
      <c r="A145" s="230"/>
      <c r="B145" s="11"/>
      <c r="C145" s="11"/>
      <c r="D145" s="11"/>
      <c r="E145" s="11"/>
      <c r="F145" s="11"/>
      <c r="G145" s="11"/>
      <c r="H145" s="11"/>
      <c r="I145" s="11"/>
      <c r="J145" s="11"/>
      <c r="K145" s="11"/>
      <c r="L145" s="11"/>
      <c r="M145" s="11"/>
      <c r="N145" s="11"/>
      <c r="O145" s="11"/>
      <c r="P145" s="11"/>
    </row>
    <row r="146" ht="15.75" customHeight="1">
      <c r="A146" s="230"/>
      <c r="B146" s="11"/>
      <c r="C146" s="11"/>
      <c r="D146" s="11"/>
      <c r="E146" s="11"/>
      <c r="F146" s="11"/>
      <c r="G146" s="11"/>
      <c r="H146" s="11"/>
      <c r="I146" s="11"/>
      <c r="J146" s="11"/>
      <c r="K146" s="11"/>
      <c r="L146" s="11"/>
      <c r="M146" s="11"/>
      <c r="N146" s="11"/>
      <c r="O146" s="11"/>
      <c r="P146" s="11"/>
    </row>
    <row r="147" ht="15.75" customHeight="1">
      <c r="A147" s="230"/>
      <c r="B147" s="11"/>
      <c r="C147" s="11"/>
      <c r="D147" s="11"/>
      <c r="E147" s="11"/>
      <c r="F147" s="11"/>
      <c r="G147" s="11"/>
      <c r="H147" s="11"/>
      <c r="I147" s="11"/>
      <c r="J147" s="11"/>
      <c r="K147" s="11"/>
      <c r="L147" s="11"/>
      <c r="M147" s="11"/>
      <c r="N147" s="11"/>
      <c r="O147" s="11"/>
      <c r="P147" s="11"/>
    </row>
    <row r="148" ht="15.75" customHeight="1">
      <c r="A148" s="230"/>
      <c r="B148" s="11"/>
      <c r="C148" s="11"/>
      <c r="D148" s="11"/>
      <c r="E148" s="11"/>
      <c r="F148" s="11"/>
      <c r="G148" s="11"/>
      <c r="H148" s="11"/>
      <c r="I148" s="11"/>
      <c r="J148" s="11"/>
      <c r="K148" s="11"/>
      <c r="L148" s="11"/>
      <c r="M148" s="11"/>
      <c r="N148" s="11"/>
      <c r="O148" s="11"/>
      <c r="P148" s="11"/>
    </row>
    <row r="149" ht="15.75" customHeight="1">
      <c r="A149" s="230"/>
      <c r="B149" s="11"/>
      <c r="C149" s="11"/>
      <c r="D149" s="11"/>
      <c r="E149" s="11"/>
      <c r="F149" s="11"/>
      <c r="G149" s="11"/>
      <c r="H149" s="11"/>
      <c r="I149" s="11"/>
      <c r="J149" s="11"/>
      <c r="K149" s="11"/>
      <c r="L149" s="11"/>
      <c r="M149" s="11"/>
      <c r="N149" s="11"/>
      <c r="O149" s="11"/>
      <c r="P149" s="11"/>
    </row>
    <row r="150" ht="15.75" customHeight="1">
      <c r="A150" s="230"/>
      <c r="B150" s="11"/>
      <c r="C150" s="11"/>
      <c r="D150" s="11"/>
      <c r="E150" s="11"/>
      <c r="F150" s="11"/>
      <c r="G150" s="11"/>
      <c r="H150" s="11"/>
      <c r="I150" s="11"/>
      <c r="J150" s="11"/>
      <c r="K150" s="11"/>
      <c r="L150" s="11"/>
      <c r="M150" s="11"/>
      <c r="N150" s="11"/>
      <c r="O150" s="11"/>
      <c r="P150" s="11"/>
    </row>
    <row r="151" ht="15.75" customHeight="1">
      <c r="A151" s="230"/>
      <c r="B151" s="11"/>
      <c r="C151" s="11"/>
      <c r="D151" s="11"/>
      <c r="E151" s="11"/>
      <c r="F151" s="11"/>
      <c r="G151" s="11"/>
      <c r="H151" s="11"/>
      <c r="I151" s="11"/>
      <c r="J151" s="11"/>
      <c r="K151" s="11"/>
      <c r="L151" s="11"/>
      <c r="M151" s="11"/>
      <c r="N151" s="11"/>
      <c r="O151" s="11"/>
      <c r="P151" s="11"/>
    </row>
    <row r="152" ht="15.75" customHeight="1">
      <c r="A152" s="230"/>
      <c r="B152" s="11"/>
      <c r="C152" s="11"/>
      <c r="D152" s="11"/>
      <c r="E152" s="11"/>
      <c r="F152" s="11"/>
      <c r="G152" s="11"/>
      <c r="H152" s="11"/>
      <c r="I152" s="11"/>
      <c r="J152" s="11"/>
      <c r="K152" s="11"/>
      <c r="L152" s="11"/>
      <c r="M152" s="11"/>
      <c r="N152" s="11"/>
      <c r="O152" s="11"/>
      <c r="P152" s="11"/>
    </row>
    <row r="153" ht="15.75" customHeight="1">
      <c r="A153" s="230"/>
      <c r="B153" s="11"/>
      <c r="C153" s="11"/>
      <c r="D153" s="11"/>
      <c r="E153" s="11"/>
      <c r="F153" s="11"/>
      <c r="G153" s="11"/>
      <c r="H153" s="11"/>
      <c r="I153" s="11"/>
      <c r="J153" s="11"/>
      <c r="K153" s="11"/>
      <c r="L153" s="11"/>
      <c r="M153" s="11"/>
      <c r="N153" s="11"/>
      <c r="O153" s="11"/>
      <c r="P153" s="11"/>
    </row>
    <row r="154" ht="15.75" customHeight="1">
      <c r="A154" s="230"/>
      <c r="B154" s="11"/>
      <c r="C154" s="11"/>
      <c r="D154" s="11"/>
      <c r="E154" s="11"/>
      <c r="F154" s="11"/>
      <c r="G154" s="11"/>
      <c r="H154" s="11"/>
      <c r="I154" s="11"/>
      <c r="J154" s="11"/>
      <c r="K154" s="11"/>
      <c r="L154" s="11"/>
      <c r="M154" s="11"/>
      <c r="N154" s="11"/>
      <c r="O154" s="11"/>
      <c r="P154" s="11"/>
    </row>
    <row r="155" ht="15.75" customHeight="1">
      <c r="A155" s="230"/>
      <c r="B155" s="11"/>
      <c r="C155" s="11"/>
      <c r="D155" s="11"/>
      <c r="E155" s="11"/>
      <c r="F155" s="11"/>
      <c r="G155" s="11"/>
      <c r="H155" s="11"/>
      <c r="I155" s="11"/>
      <c r="J155" s="11"/>
      <c r="K155" s="11"/>
      <c r="L155" s="11"/>
      <c r="M155" s="11"/>
      <c r="N155" s="11"/>
      <c r="O155" s="11"/>
      <c r="P155" s="11"/>
    </row>
    <row r="156" ht="15.75" customHeight="1">
      <c r="A156" s="230"/>
      <c r="B156" s="11"/>
      <c r="C156" s="11"/>
      <c r="D156" s="11"/>
      <c r="E156" s="11"/>
      <c r="F156" s="11"/>
      <c r="G156" s="11"/>
      <c r="H156" s="11"/>
      <c r="I156" s="11"/>
      <c r="J156" s="11"/>
      <c r="K156" s="11"/>
      <c r="L156" s="11"/>
      <c r="M156" s="11"/>
      <c r="N156" s="11"/>
      <c r="O156" s="11"/>
      <c r="P156" s="11"/>
    </row>
    <row r="157" ht="15.75" customHeight="1">
      <c r="A157" s="230"/>
      <c r="B157" s="11"/>
      <c r="C157" s="11"/>
      <c r="D157" s="11"/>
      <c r="E157" s="11"/>
      <c r="F157" s="11"/>
      <c r="G157" s="11"/>
      <c r="H157" s="11"/>
      <c r="I157" s="11"/>
      <c r="J157" s="11"/>
      <c r="K157" s="11"/>
      <c r="L157" s="11"/>
      <c r="M157" s="11"/>
      <c r="N157" s="11"/>
      <c r="O157" s="11"/>
      <c r="P157" s="11"/>
    </row>
    <row r="158" ht="15.75" customHeight="1">
      <c r="A158" s="230"/>
      <c r="B158" s="11"/>
      <c r="C158" s="11"/>
      <c r="D158" s="11"/>
      <c r="E158" s="11"/>
      <c r="F158" s="11"/>
      <c r="G158" s="11"/>
      <c r="H158" s="11"/>
      <c r="I158" s="11"/>
      <c r="J158" s="11"/>
      <c r="K158" s="11"/>
      <c r="L158" s="11"/>
      <c r="M158" s="11"/>
      <c r="N158" s="11"/>
      <c r="O158" s="11"/>
      <c r="P158" s="11"/>
    </row>
    <row r="159" ht="15.75" customHeight="1">
      <c r="A159" s="230"/>
      <c r="B159" s="11"/>
      <c r="C159" s="11"/>
      <c r="D159" s="11"/>
      <c r="E159" s="11"/>
      <c r="F159" s="11"/>
      <c r="G159" s="11"/>
      <c r="H159" s="11"/>
      <c r="I159" s="11"/>
      <c r="J159" s="11"/>
      <c r="K159" s="11"/>
      <c r="L159" s="11"/>
      <c r="M159" s="11"/>
      <c r="N159" s="11"/>
      <c r="O159" s="11"/>
      <c r="P159" s="11"/>
    </row>
    <row r="160" ht="15.75" customHeight="1">
      <c r="A160" s="230"/>
      <c r="B160" s="11"/>
      <c r="C160" s="11"/>
      <c r="D160" s="11"/>
      <c r="E160" s="11"/>
      <c r="F160" s="11"/>
      <c r="G160" s="11"/>
      <c r="H160" s="11"/>
      <c r="I160" s="11"/>
      <c r="J160" s="11"/>
      <c r="K160" s="11"/>
      <c r="L160" s="11"/>
      <c r="M160" s="11"/>
      <c r="N160" s="11"/>
      <c r="O160" s="11"/>
      <c r="P160" s="11"/>
    </row>
    <row r="161" ht="15.75" customHeight="1">
      <c r="A161" s="230"/>
      <c r="B161" s="11"/>
      <c r="C161" s="11"/>
      <c r="D161" s="11"/>
      <c r="E161" s="11"/>
      <c r="F161" s="11"/>
      <c r="G161" s="11"/>
      <c r="H161" s="11"/>
      <c r="I161" s="11"/>
      <c r="J161" s="11"/>
      <c r="K161" s="11"/>
      <c r="L161" s="11"/>
      <c r="M161" s="11"/>
      <c r="N161" s="11"/>
      <c r="O161" s="11"/>
      <c r="P161" s="11"/>
    </row>
    <row r="162" ht="15.75" customHeight="1">
      <c r="A162" s="230"/>
      <c r="B162" s="11"/>
      <c r="C162" s="11"/>
      <c r="D162" s="11"/>
      <c r="E162" s="11"/>
      <c r="F162" s="11"/>
      <c r="G162" s="11"/>
      <c r="H162" s="11"/>
      <c r="I162" s="11"/>
      <c r="J162" s="11"/>
      <c r="K162" s="11"/>
      <c r="L162" s="11"/>
      <c r="M162" s="11"/>
      <c r="N162" s="11"/>
      <c r="O162" s="11"/>
      <c r="P162" s="11"/>
    </row>
    <row r="163" ht="15.75" customHeight="1">
      <c r="A163" s="230"/>
      <c r="B163" s="11"/>
      <c r="C163" s="11"/>
      <c r="D163" s="11"/>
      <c r="E163" s="11"/>
      <c r="F163" s="11"/>
      <c r="G163" s="11"/>
      <c r="H163" s="11"/>
      <c r="I163" s="11"/>
      <c r="J163" s="11"/>
      <c r="K163" s="11"/>
      <c r="L163" s="11"/>
      <c r="M163" s="11"/>
      <c r="N163" s="11"/>
      <c r="O163" s="11"/>
      <c r="P163" s="11"/>
    </row>
    <row r="164" ht="15.75" customHeight="1">
      <c r="A164" s="230"/>
      <c r="B164" s="11"/>
      <c r="C164" s="11"/>
      <c r="D164" s="11"/>
      <c r="E164" s="11"/>
      <c r="F164" s="11"/>
      <c r="G164" s="11"/>
      <c r="H164" s="11"/>
      <c r="I164" s="11"/>
      <c r="J164" s="11"/>
      <c r="K164" s="11"/>
      <c r="L164" s="11"/>
      <c r="M164" s="11"/>
      <c r="N164" s="11"/>
      <c r="O164" s="11"/>
      <c r="P164" s="11"/>
    </row>
    <row r="165" ht="15.75" customHeight="1">
      <c r="A165" s="230"/>
      <c r="B165" s="11"/>
      <c r="C165" s="11"/>
      <c r="D165" s="11"/>
      <c r="E165" s="11"/>
      <c r="F165" s="11"/>
      <c r="G165" s="11"/>
      <c r="H165" s="11"/>
      <c r="I165" s="11"/>
      <c r="J165" s="11"/>
      <c r="K165" s="11"/>
      <c r="L165" s="11"/>
      <c r="M165" s="11"/>
      <c r="N165" s="11"/>
      <c r="O165" s="11"/>
      <c r="P165" s="11"/>
    </row>
    <row r="166" ht="15.75" customHeight="1">
      <c r="A166" s="230"/>
      <c r="B166" s="11"/>
      <c r="C166" s="11"/>
      <c r="D166" s="11"/>
      <c r="E166" s="11"/>
      <c r="F166" s="11"/>
      <c r="G166" s="11"/>
      <c r="H166" s="11"/>
      <c r="I166" s="11"/>
      <c r="J166" s="11"/>
      <c r="K166" s="11"/>
      <c r="L166" s="11"/>
      <c r="M166" s="11"/>
      <c r="N166" s="11"/>
      <c r="O166" s="11"/>
      <c r="P166" s="11"/>
    </row>
    <row r="167" ht="15.75" customHeight="1">
      <c r="A167" s="230"/>
      <c r="B167" s="11"/>
      <c r="C167" s="11"/>
      <c r="D167" s="11"/>
      <c r="E167" s="11"/>
      <c r="F167" s="11"/>
      <c r="G167" s="11"/>
      <c r="H167" s="11"/>
      <c r="I167" s="11"/>
      <c r="J167" s="11"/>
      <c r="K167" s="11"/>
      <c r="L167" s="11"/>
      <c r="M167" s="11"/>
      <c r="N167" s="11"/>
      <c r="O167" s="11"/>
      <c r="P167" s="11"/>
    </row>
    <row r="168" ht="15.75" customHeight="1">
      <c r="A168" s="230"/>
      <c r="B168" s="11"/>
      <c r="C168" s="11"/>
      <c r="D168" s="11"/>
      <c r="E168" s="11"/>
      <c r="F168" s="11"/>
      <c r="G168" s="11"/>
      <c r="H168" s="11"/>
      <c r="I168" s="11"/>
      <c r="J168" s="11"/>
      <c r="K168" s="11"/>
      <c r="L168" s="11"/>
      <c r="M168" s="11"/>
      <c r="N168" s="11"/>
      <c r="O168" s="11"/>
      <c r="P168" s="11"/>
    </row>
    <row r="169" ht="15.75" customHeight="1">
      <c r="A169" s="230"/>
      <c r="B169" s="11"/>
      <c r="C169" s="11"/>
      <c r="D169" s="11"/>
      <c r="E169" s="11"/>
      <c r="F169" s="11"/>
      <c r="G169" s="11"/>
      <c r="H169" s="11"/>
      <c r="I169" s="11"/>
      <c r="J169" s="11"/>
      <c r="K169" s="11"/>
      <c r="L169" s="11"/>
      <c r="M169" s="11"/>
      <c r="N169" s="11"/>
      <c r="O169" s="11"/>
      <c r="P169" s="11"/>
    </row>
    <row r="170" ht="15.75" customHeight="1">
      <c r="A170" s="230"/>
      <c r="B170" s="11"/>
      <c r="C170" s="11"/>
      <c r="D170" s="11"/>
      <c r="E170" s="11"/>
      <c r="F170" s="11"/>
      <c r="G170" s="11"/>
      <c r="H170" s="11"/>
      <c r="I170" s="11"/>
      <c r="J170" s="11"/>
      <c r="K170" s="11"/>
      <c r="L170" s="11"/>
      <c r="M170" s="11"/>
      <c r="N170" s="11"/>
      <c r="O170" s="11"/>
      <c r="P170" s="11"/>
    </row>
    <row r="171" ht="15.75" customHeight="1">
      <c r="A171" s="230"/>
      <c r="B171" s="11"/>
      <c r="C171" s="11"/>
      <c r="D171" s="11"/>
      <c r="E171" s="11"/>
      <c r="F171" s="11"/>
      <c r="G171" s="11"/>
      <c r="H171" s="11"/>
      <c r="I171" s="11"/>
      <c r="J171" s="11"/>
      <c r="K171" s="11"/>
      <c r="L171" s="11"/>
      <c r="M171" s="11"/>
      <c r="N171" s="11"/>
      <c r="O171" s="11"/>
      <c r="P171" s="11"/>
    </row>
    <row r="172" ht="15.75" customHeight="1">
      <c r="A172" s="230"/>
      <c r="B172" s="11"/>
      <c r="C172" s="11"/>
      <c r="D172" s="11"/>
      <c r="E172" s="11"/>
      <c r="F172" s="11"/>
      <c r="G172" s="11"/>
      <c r="H172" s="11"/>
      <c r="I172" s="11"/>
      <c r="J172" s="11"/>
      <c r="K172" s="11"/>
      <c r="L172" s="11"/>
      <c r="M172" s="11"/>
      <c r="N172" s="11"/>
      <c r="O172" s="11"/>
      <c r="P172" s="11"/>
    </row>
    <row r="173" ht="15.75" customHeight="1">
      <c r="A173" s="230"/>
      <c r="B173" s="11"/>
      <c r="C173" s="11"/>
      <c r="D173" s="11"/>
      <c r="E173" s="11"/>
      <c r="F173" s="11"/>
      <c r="G173" s="11"/>
      <c r="H173" s="11"/>
      <c r="I173" s="11"/>
      <c r="J173" s="11"/>
      <c r="K173" s="11"/>
      <c r="L173" s="11"/>
      <c r="M173" s="11"/>
      <c r="N173" s="11"/>
      <c r="O173" s="11"/>
      <c r="P173" s="11"/>
    </row>
    <row r="174" ht="15.75" customHeight="1">
      <c r="A174" s="230"/>
      <c r="B174" s="11"/>
      <c r="C174" s="11"/>
      <c r="D174" s="11"/>
      <c r="E174" s="11"/>
      <c r="F174" s="11"/>
      <c r="G174" s="11"/>
      <c r="H174" s="11"/>
      <c r="I174" s="11"/>
      <c r="J174" s="11"/>
      <c r="K174" s="11"/>
      <c r="L174" s="11"/>
      <c r="M174" s="11"/>
      <c r="N174" s="11"/>
      <c r="O174" s="11"/>
      <c r="P174" s="11"/>
    </row>
    <row r="175" ht="15.75" customHeight="1">
      <c r="A175" s="230"/>
      <c r="B175" s="11"/>
      <c r="C175" s="11"/>
      <c r="D175" s="11"/>
      <c r="E175" s="11"/>
      <c r="F175" s="11"/>
      <c r="G175" s="11"/>
      <c r="H175" s="11"/>
      <c r="I175" s="11"/>
      <c r="J175" s="11"/>
      <c r="K175" s="11"/>
      <c r="L175" s="11"/>
      <c r="M175" s="11"/>
      <c r="N175" s="11"/>
      <c r="O175" s="11"/>
      <c r="P175" s="11"/>
    </row>
    <row r="176" ht="15.75" customHeight="1">
      <c r="A176" s="230"/>
      <c r="B176" s="11"/>
      <c r="C176" s="11"/>
      <c r="D176" s="11"/>
      <c r="E176" s="11"/>
      <c r="F176" s="11"/>
      <c r="G176" s="11"/>
      <c r="H176" s="11"/>
      <c r="I176" s="11"/>
      <c r="J176" s="11"/>
      <c r="K176" s="11"/>
      <c r="L176" s="11"/>
      <c r="M176" s="11"/>
      <c r="N176" s="11"/>
      <c r="O176" s="11"/>
      <c r="P176" s="11"/>
    </row>
    <row r="177" ht="15.75" customHeight="1">
      <c r="A177" s="230"/>
      <c r="B177" s="11"/>
      <c r="C177" s="11"/>
      <c r="D177" s="11"/>
      <c r="E177" s="11"/>
      <c r="F177" s="11"/>
      <c r="G177" s="11"/>
      <c r="H177" s="11"/>
      <c r="I177" s="11"/>
      <c r="J177" s="11"/>
      <c r="K177" s="11"/>
      <c r="L177" s="11"/>
      <c r="M177" s="11"/>
      <c r="N177" s="11"/>
      <c r="O177" s="11"/>
      <c r="P177" s="11"/>
    </row>
    <row r="178" ht="15.75" customHeight="1">
      <c r="A178" s="230"/>
      <c r="B178" s="11"/>
      <c r="C178" s="11"/>
      <c r="D178" s="11"/>
      <c r="E178" s="11"/>
      <c r="F178" s="11"/>
      <c r="G178" s="11"/>
      <c r="H178" s="11"/>
      <c r="I178" s="11"/>
      <c r="J178" s="11"/>
      <c r="K178" s="11"/>
      <c r="L178" s="11"/>
      <c r="M178" s="11"/>
      <c r="N178" s="11"/>
      <c r="O178" s="11"/>
      <c r="P178" s="11"/>
    </row>
    <row r="179" ht="15.75" customHeight="1">
      <c r="A179" s="230"/>
      <c r="B179" s="11"/>
      <c r="C179" s="11"/>
      <c r="D179" s="11"/>
      <c r="E179" s="11"/>
      <c r="F179" s="11"/>
      <c r="G179" s="11"/>
      <c r="H179" s="11"/>
      <c r="I179" s="11"/>
      <c r="J179" s="11"/>
      <c r="K179" s="11"/>
      <c r="L179" s="11"/>
      <c r="M179" s="11"/>
      <c r="N179" s="11"/>
      <c r="O179" s="11"/>
      <c r="P179" s="11"/>
    </row>
    <row r="180" ht="15.75" customHeight="1">
      <c r="A180" s="230"/>
      <c r="B180" s="11"/>
      <c r="C180" s="11"/>
      <c r="D180" s="11"/>
      <c r="E180" s="11"/>
      <c r="F180" s="11"/>
      <c r="G180" s="11"/>
      <c r="H180" s="11"/>
      <c r="I180" s="11"/>
      <c r="J180" s="11"/>
      <c r="K180" s="11"/>
      <c r="L180" s="11"/>
      <c r="M180" s="11"/>
      <c r="N180" s="11"/>
      <c r="O180" s="11"/>
      <c r="P180" s="11"/>
    </row>
    <row r="181" ht="15.75" customHeight="1">
      <c r="A181" s="230"/>
      <c r="B181" s="11"/>
      <c r="C181" s="11"/>
      <c r="D181" s="11"/>
      <c r="E181" s="11"/>
      <c r="F181" s="11"/>
      <c r="G181" s="11"/>
      <c r="H181" s="11"/>
      <c r="I181" s="11"/>
      <c r="J181" s="11"/>
      <c r="K181" s="11"/>
      <c r="L181" s="11"/>
      <c r="M181" s="11"/>
      <c r="N181" s="11"/>
      <c r="O181" s="11"/>
      <c r="P181" s="11"/>
    </row>
    <row r="182" ht="15.75" customHeight="1">
      <c r="A182" s="230"/>
      <c r="B182" s="11"/>
      <c r="C182" s="11"/>
      <c r="D182" s="11"/>
      <c r="E182" s="11"/>
      <c r="F182" s="11"/>
      <c r="G182" s="11"/>
      <c r="H182" s="11"/>
      <c r="I182" s="11"/>
      <c r="J182" s="11"/>
      <c r="K182" s="11"/>
      <c r="L182" s="11"/>
      <c r="M182" s="11"/>
      <c r="N182" s="11"/>
      <c r="O182" s="11"/>
      <c r="P182" s="11"/>
    </row>
    <row r="183" ht="15.75" customHeight="1">
      <c r="A183" s="230"/>
      <c r="B183" s="11"/>
      <c r="C183" s="11"/>
      <c r="D183" s="11"/>
      <c r="E183" s="11"/>
      <c r="F183" s="11"/>
      <c r="G183" s="11"/>
      <c r="H183" s="11"/>
      <c r="I183" s="11"/>
      <c r="J183" s="11"/>
      <c r="K183" s="11"/>
      <c r="L183" s="11"/>
      <c r="M183" s="11"/>
      <c r="N183" s="11"/>
      <c r="O183" s="11"/>
      <c r="P183" s="11"/>
    </row>
    <row r="184" ht="15.75" customHeight="1">
      <c r="A184" s="230"/>
      <c r="B184" s="11"/>
      <c r="C184" s="11"/>
      <c r="D184" s="11"/>
      <c r="E184" s="11"/>
      <c r="F184" s="11"/>
      <c r="G184" s="11"/>
      <c r="H184" s="11"/>
      <c r="I184" s="11"/>
      <c r="J184" s="11"/>
      <c r="K184" s="11"/>
      <c r="L184" s="11"/>
      <c r="M184" s="11"/>
      <c r="N184" s="11"/>
      <c r="O184" s="11"/>
      <c r="P184" s="11"/>
    </row>
    <row r="185" ht="15.75" customHeight="1">
      <c r="A185" s="230"/>
      <c r="B185" s="11"/>
      <c r="C185" s="11"/>
      <c r="D185" s="11"/>
      <c r="E185" s="11"/>
      <c r="F185" s="11"/>
      <c r="G185" s="11"/>
      <c r="H185" s="11"/>
      <c r="I185" s="11"/>
      <c r="J185" s="11"/>
      <c r="K185" s="11"/>
      <c r="L185" s="11"/>
      <c r="M185" s="11"/>
      <c r="N185" s="11"/>
      <c r="O185" s="11"/>
      <c r="P185" s="11"/>
    </row>
    <row r="186" ht="15.75" customHeight="1">
      <c r="A186" s="230"/>
      <c r="B186" s="11"/>
      <c r="C186" s="11"/>
      <c r="D186" s="11"/>
      <c r="E186" s="11"/>
      <c r="F186" s="11"/>
      <c r="G186" s="11"/>
      <c r="H186" s="11"/>
      <c r="I186" s="11"/>
      <c r="J186" s="11"/>
      <c r="K186" s="11"/>
      <c r="L186" s="11"/>
      <c r="M186" s="11"/>
      <c r="N186" s="11"/>
      <c r="O186" s="11"/>
      <c r="P186" s="11"/>
    </row>
    <row r="187" ht="15.75" customHeight="1">
      <c r="A187" s="230"/>
      <c r="B187" s="11"/>
      <c r="C187" s="11"/>
      <c r="D187" s="11"/>
      <c r="E187" s="11"/>
      <c r="F187" s="11"/>
      <c r="G187" s="11"/>
      <c r="H187" s="11"/>
      <c r="I187" s="11"/>
      <c r="J187" s="11"/>
      <c r="K187" s="11"/>
      <c r="L187" s="11"/>
      <c r="M187" s="11"/>
      <c r="N187" s="11"/>
      <c r="O187" s="11"/>
      <c r="P187" s="11"/>
    </row>
    <row r="188" ht="15.75" customHeight="1">
      <c r="A188" s="230"/>
      <c r="B188" s="11"/>
      <c r="C188" s="11"/>
      <c r="D188" s="11"/>
      <c r="E188" s="11"/>
      <c r="F188" s="11"/>
      <c r="G188" s="11"/>
      <c r="H188" s="11"/>
      <c r="I188" s="11"/>
      <c r="J188" s="11"/>
      <c r="K188" s="11"/>
      <c r="L188" s="11"/>
      <c r="M188" s="11"/>
      <c r="N188" s="11"/>
      <c r="O188" s="11"/>
      <c r="P188" s="11"/>
    </row>
    <row r="189" ht="15.75" customHeight="1">
      <c r="A189" s="230"/>
      <c r="B189" s="11"/>
      <c r="C189" s="11"/>
      <c r="D189" s="11"/>
      <c r="E189" s="11"/>
      <c r="F189" s="11"/>
      <c r="G189" s="11"/>
      <c r="H189" s="11"/>
      <c r="I189" s="11"/>
      <c r="J189" s="11"/>
      <c r="K189" s="11"/>
      <c r="L189" s="11"/>
      <c r="M189" s="11"/>
      <c r="N189" s="11"/>
      <c r="O189" s="11"/>
      <c r="P189" s="11"/>
    </row>
    <row r="190" ht="15.75" customHeight="1">
      <c r="A190" s="230"/>
      <c r="B190" s="11"/>
      <c r="C190" s="11"/>
      <c r="D190" s="11"/>
      <c r="E190" s="11"/>
      <c r="F190" s="11"/>
      <c r="G190" s="11"/>
      <c r="H190" s="11"/>
      <c r="I190" s="11"/>
      <c r="J190" s="11"/>
      <c r="K190" s="11"/>
      <c r="L190" s="11"/>
      <c r="M190" s="11"/>
      <c r="N190" s="11"/>
      <c r="O190" s="11"/>
      <c r="P190" s="11"/>
    </row>
    <row r="191" ht="15.75" customHeight="1">
      <c r="A191" s="230"/>
      <c r="B191" s="11"/>
      <c r="C191" s="11"/>
      <c r="D191" s="11"/>
      <c r="E191" s="11"/>
      <c r="F191" s="11"/>
      <c r="G191" s="11"/>
      <c r="H191" s="11"/>
      <c r="I191" s="11"/>
      <c r="J191" s="11"/>
      <c r="K191" s="11"/>
      <c r="L191" s="11"/>
      <c r="M191" s="11"/>
      <c r="N191" s="11"/>
      <c r="O191" s="11"/>
      <c r="P191" s="11"/>
    </row>
    <row r="192" ht="15.75" customHeight="1">
      <c r="A192" s="230"/>
      <c r="B192" s="11"/>
      <c r="C192" s="11"/>
      <c r="D192" s="11"/>
      <c r="E192" s="11"/>
      <c r="F192" s="11"/>
      <c r="G192" s="11"/>
      <c r="H192" s="11"/>
      <c r="I192" s="11"/>
      <c r="J192" s="11"/>
      <c r="K192" s="11"/>
      <c r="L192" s="11"/>
      <c r="M192" s="11"/>
      <c r="N192" s="11"/>
      <c r="O192" s="11"/>
      <c r="P192" s="11"/>
    </row>
    <row r="193" ht="15.75" customHeight="1">
      <c r="A193" s="230"/>
      <c r="B193" s="11"/>
      <c r="C193" s="11"/>
      <c r="D193" s="11"/>
      <c r="E193" s="11"/>
      <c r="F193" s="11"/>
      <c r="G193" s="11"/>
      <c r="H193" s="11"/>
      <c r="I193" s="11"/>
      <c r="J193" s="11"/>
      <c r="K193" s="11"/>
      <c r="L193" s="11"/>
      <c r="M193" s="11"/>
      <c r="N193" s="11"/>
      <c r="O193" s="11"/>
      <c r="P193" s="11"/>
    </row>
    <row r="194" ht="15.75" customHeight="1">
      <c r="A194" s="230"/>
      <c r="B194" s="11"/>
      <c r="C194" s="11"/>
      <c r="D194" s="11"/>
      <c r="E194" s="11"/>
      <c r="F194" s="11"/>
      <c r="G194" s="11"/>
      <c r="H194" s="11"/>
      <c r="I194" s="11"/>
      <c r="J194" s="11"/>
      <c r="K194" s="11"/>
      <c r="L194" s="11"/>
      <c r="M194" s="11"/>
      <c r="N194" s="11"/>
      <c r="O194" s="11"/>
      <c r="P194" s="11"/>
    </row>
    <row r="195" ht="15.75" customHeight="1">
      <c r="A195" s="230"/>
      <c r="B195" s="11"/>
      <c r="C195" s="11"/>
      <c r="D195" s="11"/>
      <c r="E195" s="11"/>
      <c r="F195" s="11"/>
      <c r="G195" s="11"/>
      <c r="H195" s="11"/>
      <c r="I195" s="11"/>
      <c r="J195" s="11"/>
      <c r="K195" s="11"/>
      <c r="L195" s="11"/>
      <c r="M195" s="11"/>
      <c r="N195" s="11"/>
      <c r="O195" s="11"/>
      <c r="P195" s="11"/>
    </row>
    <row r="196" ht="15.75" customHeight="1">
      <c r="A196" s="230"/>
      <c r="B196" s="11"/>
      <c r="C196" s="11"/>
      <c r="D196" s="11"/>
      <c r="E196" s="11"/>
      <c r="F196" s="11"/>
      <c r="G196" s="11"/>
      <c r="H196" s="11"/>
      <c r="I196" s="11"/>
      <c r="J196" s="11"/>
      <c r="K196" s="11"/>
      <c r="L196" s="11"/>
      <c r="M196" s="11"/>
      <c r="N196" s="11"/>
      <c r="O196" s="11"/>
      <c r="P196" s="11"/>
    </row>
    <row r="197" ht="15.75" customHeight="1">
      <c r="A197" s="230"/>
      <c r="B197" s="11"/>
      <c r="C197" s="11"/>
      <c r="D197" s="11"/>
      <c r="E197" s="11"/>
      <c r="F197" s="11"/>
      <c r="G197" s="11"/>
      <c r="H197" s="11"/>
      <c r="I197" s="11"/>
      <c r="J197" s="11"/>
      <c r="K197" s="11"/>
      <c r="L197" s="11"/>
      <c r="M197" s="11"/>
      <c r="N197" s="11"/>
      <c r="O197" s="11"/>
      <c r="P197" s="11"/>
    </row>
    <row r="198" ht="15.75" customHeight="1">
      <c r="A198" s="230"/>
      <c r="B198" s="11"/>
      <c r="C198" s="11"/>
      <c r="D198" s="11"/>
      <c r="E198" s="11"/>
      <c r="F198" s="11"/>
      <c r="G198" s="11"/>
      <c r="H198" s="11"/>
      <c r="I198" s="11"/>
      <c r="J198" s="11"/>
      <c r="K198" s="11"/>
      <c r="L198" s="11"/>
      <c r="M198" s="11"/>
      <c r="N198" s="11"/>
      <c r="O198" s="11"/>
      <c r="P198" s="11"/>
    </row>
    <row r="199" ht="15.75" customHeight="1">
      <c r="A199" s="230"/>
      <c r="B199" s="11"/>
      <c r="C199" s="11"/>
      <c r="D199" s="11"/>
      <c r="E199" s="11"/>
      <c r="F199" s="11"/>
      <c r="G199" s="11"/>
      <c r="H199" s="11"/>
      <c r="I199" s="11"/>
      <c r="J199" s="11"/>
      <c r="K199" s="11"/>
      <c r="L199" s="11"/>
      <c r="M199" s="11"/>
      <c r="N199" s="11"/>
      <c r="O199" s="11"/>
      <c r="P199" s="11"/>
    </row>
    <row r="200" ht="15.75" customHeight="1">
      <c r="A200" s="230"/>
      <c r="B200" s="11"/>
      <c r="C200" s="11"/>
      <c r="D200" s="11"/>
      <c r="E200" s="11"/>
      <c r="F200" s="11"/>
      <c r="G200" s="11"/>
      <c r="H200" s="11"/>
      <c r="I200" s="11"/>
      <c r="J200" s="11"/>
      <c r="K200" s="11"/>
      <c r="L200" s="11"/>
      <c r="M200" s="11"/>
      <c r="N200" s="11"/>
      <c r="O200" s="11"/>
      <c r="P200" s="11"/>
    </row>
    <row r="201" ht="15.75" customHeight="1">
      <c r="A201" s="230"/>
      <c r="B201" s="11"/>
      <c r="C201" s="11"/>
      <c r="D201" s="11"/>
      <c r="E201" s="11"/>
      <c r="F201" s="11"/>
      <c r="G201" s="11"/>
      <c r="H201" s="11"/>
      <c r="I201" s="11"/>
      <c r="J201" s="11"/>
      <c r="K201" s="11"/>
      <c r="L201" s="11"/>
      <c r="M201" s="11"/>
      <c r="N201" s="11"/>
      <c r="O201" s="11"/>
      <c r="P201" s="11"/>
    </row>
    <row r="202" ht="15.75" customHeight="1">
      <c r="A202" s="230"/>
      <c r="B202" s="11"/>
      <c r="C202" s="11"/>
      <c r="D202" s="11"/>
      <c r="E202" s="11"/>
      <c r="F202" s="11"/>
      <c r="G202" s="11"/>
      <c r="H202" s="11"/>
      <c r="I202" s="11"/>
      <c r="J202" s="11"/>
      <c r="K202" s="11"/>
      <c r="L202" s="11"/>
      <c r="M202" s="11"/>
      <c r="N202" s="11"/>
      <c r="O202" s="11"/>
      <c r="P202" s="11"/>
    </row>
    <row r="203" ht="15.75" customHeight="1">
      <c r="A203" s="230"/>
      <c r="B203" s="11"/>
      <c r="C203" s="11"/>
      <c r="D203" s="11"/>
      <c r="E203" s="11"/>
      <c r="F203" s="11"/>
      <c r="G203" s="11"/>
      <c r="H203" s="11"/>
      <c r="I203" s="11"/>
      <c r="J203" s="11"/>
      <c r="K203" s="11"/>
      <c r="L203" s="11"/>
      <c r="M203" s="11"/>
      <c r="N203" s="11"/>
      <c r="O203" s="11"/>
      <c r="P203" s="11"/>
    </row>
    <row r="204" ht="15.75" customHeight="1">
      <c r="A204" s="230"/>
      <c r="B204" s="11"/>
      <c r="C204" s="11"/>
      <c r="D204" s="11"/>
      <c r="E204" s="11"/>
      <c r="F204" s="11"/>
      <c r="G204" s="11"/>
      <c r="H204" s="11"/>
      <c r="I204" s="11"/>
      <c r="J204" s="11"/>
      <c r="K204" s="11"/>
      <c r="L204" s="11"/>
      <c r="M204" s="11"/>
      <c r="N204" s="11"/>
      <c r="O204" s="11"/>
      <c r="P204" s="11"/>
    </row>
    <row r="205" ht="15.75" customHeight="1">
      <c r="A205" s="230"/>
      <c r="B205" s="11"/>
      <c r="C205" s="11"/>
      <c r="D205" s="11"/>
      <c r="E205" s="11"/>
      <c r="F205" s="11"/>
      <c r="G205" s="11"/>
      <c r="H205" s="11"/>
      <c r="I205" s="11"/>
      <c r="J205" s="11"/>
      <c r="K205" s="11"/>
      <c r="L205" s="11"/>
      <c r="M205" s="11"/>
      <c r="N205" s="11"/>
      <c r="O205" s="11"/>
      <c r="P205" s="11"/>
    </row>
    <row r="206" ht="15.75" customHeight="1">
      <c r="A206" s="230"/>
      <c r="B206" s="11"/>
      <c r="C206" s="11"/>
      <c r="D206" s="11"/>
      <c r="E206" s="11"/>
      <c r="F206" s="11"/>
      <c r="G206" s="11"/>
      <c r="H206" s="11"/>
      <c r="I206" s="11"/>
      <c r="J206" s="11"/>
      <c r="K206" s="11"/>
      <c r="L206" s="11"/>
      <c r="M206" s="11"/>
      <c r="N206" s="11"/>
      <c r="O206" s="11"/>
      <c r="P206" s="11"/>
    </row>
    <row r="207" ht="15.75" customHeight="1">
      <c r="A207" s="230"/>
      <c r="B207" s="11"/>
      <c r="C207" s="11"/>
      <c r="D207" s="11"/>
      <c r="E207" s="11"/>
      <c r="F207" s="11"/>
      <c r="G207" s="11"/>
      <c r="H207" s="11"/>
      <c r="I207" s="11"/>
      <c r="J207" s="11"/>
      <c r="K207" s="11"/>
      <c r="L207" s="11"/>
      <c r="M207" s="11"/>
      <c r="N207" s="11"/>
      <c r="O207" s="11"/>
      <c r="P207" s="11"/>
    </row>
    <row r="208" ht="15.75" customHeight="1">
      <c r="A208" s="230"/>
      <c r="B208" s="11"/>
      <c r="C208" s="11"/>
      <c r="D208" s="11"/>
      <c r="E208" s="11"/>
      <c r="F208" s="11"/>
      <c r="G208" s="11"/>
      <c r="H208" s="11"/>
      <c r="I208" s="11"/>
      <c r="J208" s="11"/>
      <c r="K208" s="11"/>
      <c r="L208" s="11"/>
      <c r="M208" s="11"/>
      <c r="N208" s="11"/>
      <c r="O208" s="11"/>
      <c r="P208" s="11"/>
    </row>
    <row r="209" ht="15.75" customHeight="1">
      <c r="A209" s="230"/>
      <c r="B209" s="11"/>
      <c r="C209" s="11"/>
      <c r="D209" s="11"/>
      <c r="E209" s="11"/>
      <c r="F209" s="11"/>
      <c r="G209" s="11"/>
      <c r="H209" s="11"/>
      <c r="I209" s="11"/>
      <c r="J209" s="11"/>
      <c r="K209" s="11"/>
      <c r="L209" s="11"/>
      <c r="M209" s="11"/>
      <c r="N209" s="11"/>
      <c r="O209" s="11"/>
      <c r="P209" s="11"/>
    </row>
    <row r="210" ht="15.75" customHeight="1">
      <c r="A210" s="230"/>
      <c r="B210" s="11"/>
      <c r="C210" s="11"/>
      <c r="D210" s="11"/>
      <c r="E210" s="11"/>
      <c r="F210" s="11"/>
      <c r="G210" s="11"/>
      <c r="H210" s="11"/>
      <c r="I210" s="11"/>
      <c r="J210" s="11"/>
      <c r="K210" s="11"/>
      <c r="L210" s="11"/>
      <c r="M210" s="11"/>
      <c r="N210" s="11"/>
      <c r="O210" s="11"/>
      <c r="P210" s="11"/>
    </row>
    <row r="211" ht="15.75" customHeight="1">
      <c r="A211" s="230"/>
      <c r="B211" s="11"/>
      <c r="C211" s="11"/>
      <c r="D211" s="11"/>
      <c r="E211" s="11"/>
      <c r="F211" s="11"/>
      <c r="G211" s="11"/>
      <c r="H211" s="11"/>
      <c r="I211" s="11"/>
      <c r="J211" s="11"/>
      <c r="K211" s="11"/>
      <c r="L211" s="11"/>
      <c r="M211" s="11"/>
      <c r="N211" s="11"/>
      <c r="O211" s="11"/>
      <c r="P211" s="11"/>
    </row>
    <row r="212" ht="15.75" customHeight="1">
      <c r="A212" s="230"/>
      <c r="B212" s="11"/>
      <c r="C212" s="11"/>
      <c r="D212" s="11"/>
      <c r="E212" s="11"/>
      <c r="F212" s="11"/>
      <c r="G212" s="11"/>
      <c r="H212" s="11"/>
      <c r="I212" s="11"/>
      <c r="J212" s="11"/>
      <c r="K212" s="11"/>
      <c r="L212" s="11"/>
      <c r="M212" s="11"/>
      <c r="N212" s="11"/>
      <c r="O212" s="11"/>
      <c r="P212" s="11"/>
    </row>
    <row r="213" ht="15.75" customHeight="1">
      <c r="A213" s="230"/>
      <c r="B213" s="11"/>
      <c r="C213" s="11"/>
      <c r="D213" s="11"/>
      <c r="E213" s="11"/>
      <c r="F213" s="11"/>
      <c r="G213" s="11"/>
      <c r="H213" s="11"/>
      <c r="I213" s="11"/>
      <c r="J213" s="11"/>
      <c r="K213" s="11"/>
      <c r="L213" s="11"/>
      <c r="M213" s="11"/>
      <c r="N213" s="11"/>
      <c r="O213" s="11"/>
      <c r="P213" s="11"/>
    </row>
    <row r="214" ht="15.75" customHeight="1">
      <c r="A214" s="230"/>
      <c r="B214" s="11"/>
      <c r="C214" s="11"/>
      <c r="D214" s="11"/>
      <c r="E214" s="11"/>
      <c r="F214" s="11"/>
      <c r="G214" s="11"/>
      <c r="H214" s="11"/>
      <c r="I214" s="11"/>
      <c r="J214" s="11"/>
      <c r="K214" s="11"/>
      <c r="L214" s="11"/>
      <c r="M214" s="11"/>
      <c r="N214" s="11"/>
      <c r="O214" s="11"/>
      <c r="P214" s="11"/>
    </row>
    <row r="215" ht="15.75" customHeight="1">
      <c r="A215" s="230"/>
      <c r="B215" s="11"/>
      <c r="C215" s="11"/>
      <c r="D215" s="11"/>
      <c r="E215" s="11"/>
      <c r="F215" s="11"/>
      <c r="G215" s="11"/>
      <c r="H215" s="11"/>
      <c r="I215" s="11"/>
      <c r="J215" s="11"/>
      <c r="K215" s="11"/>
      <c r="L215" s="11"/>
      <c r="M215" s="11"/>
      <c r="N215" s="11"/>
      <c r="O215" s="11"/>
      <c r="P215" s="11"/>
    </row>
    <row r="216" ht="15.75" customHeight="1">
      <c r="A216" s="230"/>
      <c r="B216" s="11"/>
      <c r="C216" s="11"/>
      <c r="D216" s="11"/>
      <c r="E216" s="11"/>
      <c r="F216" s="11"/>
      <c r="G216" s="11"/>
      <c r="H216" s="11"/>
      <c r="I216" s="11"/>
      <c r="J216" s="11"/>
      <c r="K216" s="11"/>
      <c r="L216" s="11"/>
      <c r="M216" s="11"/>
      <c r="N216" s="11"/>
      <c r="O216" s="11"/>
      <c r="P216" s="11"/>
    </row>
    <row r="217" ht="15.75" customHeight="1">
      <c r="A217" s="230"/>
      <c r="B217" s="11"/>
      <c r="C217" s="11"/>
      <c r="D217" s="11"/>
      <c r="E217" s="11"/>
      <c r="F217" s="11"/>
      <c r="G217" s="11"/>
      <c r="H217" s="11"/>
      <c r="I217" s="11"/>
      <c r="J217" s="11"/>
      <c r="K217" s="11"/>
      <c r="L217" s="11"/>
      <c r="M217" s="11"/>
      <c r="N217" s="11"/>
      <c r="O217" s="11"/>
      <c r="P217" s="11"/>
    </row>
    <row r="218" ht="15.75" customHeight="1">
      <c r="A218" s="230"/>
      <c r="B218" s="11"/>
      <c r="C218" s="11"/>
      <c r="D218" s="11"/>
      <c r="E218" s="11"/>
      <c r="F218" s="11"/>
      <c r="G218" s="11"/>
      <c r="H218" s="11"/>
      <c r="I218" s="11"/>
      <c r="J218" s="11"/>
      <c r="K218" s="11"/>
      <c r="L218" s="11"/>
      <c r="M218" s="11"/>
      <c r="N218" s="11"/>
      <c r="O218" s="11"/>
      <c r="P218" s="11"/>
    </row>
    <row r="219" ht="15.75" customHeight="1">
      <c r="A219" s="230"/>
      <c r="B219" s="11"/>
      <c r="C219" s="11"/>
      <c r="D219" s="11"/>
      <c r="E219" s="11"/>
      <c r="F219" s="11"/>
      <c r="G219" s="11"/>
      <c r="H219" s="11"/>
      <c r="I219" s="11"/>
      <c r="J219" s="11"/>
      <c r="K219" s="11"/>
      <c r="L219" s="11"/>
      <c r="M219" s="11"/>
      <c r="N219" s="11"/>
      <c r="O219" s="11"/>
      <c r="P219" s="11"/>
    </row>
    <row r="220" ht="15.75" customHeight="1">
      <c r="A220" s="230"/>
      <c r="B220" s="11"/>
      <c r="C220" s="11"/>
      <c r="D220" s="11"/>
      <c r="E220" s="11"/>
      <c r="F220" s="11"/>
      <c r="G220" s="11"/>
      <c r="H220" s="11"/>
      <c r="I220" s="11"/>
      <c r="J220" s="11"/>
      <c r="K220" s="11"/>
      <c r="L220" s="11"/>
      <c r="M220" s="11"/>
      <c r="N220" s="11"/>
      <c r="O220" s="11"/>
      <c r="P220" s="11"/>
    </row>
    <row r="221" ht="15.75" customHeight="1">
      <c r="A221" s="230"/>
      <c r="B221" s="11"/>
      <c r="C221" s="11"/>
      <c r="D221" s="11"/>
      <c r="E221" s="11"/>
      <c r="F221" s="11"/>
      <c r="G221" s="11"/>
      <c r="H221" s="11"/>
      <c r="I221" s="11"/>
      <c r="J221" s="11"/>
      <c r="K221" s="11"/>
      <c r="L221" s="11"/>
      <c r="M221" s="11"/>
      <c r="N221" s="11"/>
      <c r="O221" s="11"/>
      <c r="P221" s="11"/>
    </row>
    <row r="222" ht="15.75" customHeight="1">
      <c r="A222" s="230"/>
      <c r="B222" s="11"/>
      <c r="C222" s="11"/>
      <c r="D222" s="11"/>
      <c r="E222" s="11"/>
      <c r="F222" s="11"/>
      <c r="G222" s="11"/>
      <c r="H222" s="11"/>
      <c r="I222" s="11"/>
      <c r="J222" s="11"/>
      <c r="K222" s="11"/>
      <c r="L222" s="11"/>
      <c r="M222" s="11"/>
      <c r="N222" s="11"/>
      <c r="O222" s="11"/>
      <c r="P222" s="11"/>
    </row>
    <row r="223" ht="15.75" customHeight="1">
      <c r="A223" s="230"/>
      <c r="B223" s="11"/>
      <c r="C223" s="11"/>
      <c r="D223" s="11"/>
      <c r="E223" s="11"/>
      <c r="F223" s="11"/>
      <c r="G223" s="11"/>
      <c r="H223" s="11"/>
      <c r="I223" s="11"/>
      <c r="J223" s="11"/>
      <c r="K223" s="11"/>
      <c r="L223" s="11"/>
      <c r="M223" s="11"/>
      <c r="N223" s="11"/>
      <c r="O223" s="11"/>
      <c r="P223" s="11"/>
    </row>
    <row r="224" ht="15.75" customHeight="1">
      <c r="A224" s="230"/>
      <c r="B224" s="11"/>
      <c r="C224" s="11"/>
      <c r="D224" s="11"/>
      <c r="E224" s="11"/>
      <c r="F224" s="11"/>
      <c r="G224" s="11"/>
      <c r="H224" s="11"/>
      <c r="I224" s="11"/>
      <c r="J224" s="11"/>
      <c r="K224" s="11"/>
      <c r="L224" s="11"/>
      <c r="M224" s="11"/>
      <c r="N224" s="11"/>
      <c r="O224" s="11"/>
      <c r="P224" s="11"/>
    </row>
    <row r="225" ht="15.75" customHeight="1">
      <c r="A225" s="230"/>
      <c r="B225" s="11"/>
      <c r="C225" s="11"/>
      <c r="D225" s="11"/>
      <c r="E225" s="11"/>
      <c r="F225" s="11"/>
      <c r="G225" s="11"/>
      <c r="H225" s="11"/>
      <c r="I225" s="11"/>
      <c r="J225" s="11"/>
      <c r="K225" s="11"/>
      <c r="L225" s="11"/>
      <c r="M225" s="11"/>
      <c r="N225" s="11"/>
      <c r="O225" s="11"/>
      <c r="P225" s="11"/>
    </row>
    <row r="226" ht="15.75" customHeight="1">
      <c r="A226" s="230"/>
      <c r="B226" s="11"/>
      <c r="C226" s="11"/>
      <c r="D226" s="11"/>
      <c r="E226" s="11"/>
      <c r="F226" s="11"/>
      <c r="G226" s="11"/>
      <c r="H226" s="11"/>
      <c r="I226" s="11"/>
      <c r="J226" s="11"/>
      <c r="K226" s="11"/>
      <c r="L226" s="11"/>
      <c r="M226" s="11"/>
      <c r="N226" s="11"/>
      <c r="O226" s="11"/>
      <c r="P226" s="11"/>
    </row>
    <row r="227" ht="15.75" customHeight="1">
      <c r="A227" s="230"/>
      <c r="B227" s="11"/>
      <c r="C227" s="11"/>
      <c r="D227" s="11"/>
      <c r="E227" s="11"/>
      <c r="F227" s="11"/>
      <c r="G227" s="11"/>
      <c r="H227" s="11"/>
      <c r="I227" s="11"/>
      <c r="J227" s="11"/>
      <c r="K227" s="11"/>
      <c r="L227" s="11"/>
      <c r="M227" s="11"/>
      <c r="N227" s="11"/>
      <c r="O227" s="11"/>
      <c r="P227" s="11"/>
    </row>
    <row r="228" ht="15.75" customHeight="1">
      <c r="A228" s="230"/>
      <c r="B228" s="11"/>
      <c r="C228" s="11"/>
      <c r="D228" s="11"/>
      <c r="E228" s="11"/>
      <c r="F228" s="11"/>
      <c r="G228" s="11"/>
      <c r="H228" s="11"/>
      <c r="I228" s="11"/>
      <c r="J228" s="11"/>
      <c r="K228" s="11"/>
      <c r="L228" s="11"/>
      <c r="M228" s="11"/>
      <c r="N228" s="11"/>
      <c r="O228" s="11"/>
      <c r="P228" s="11"/>
    </row>
    <row r="229" ht="15.75" customHeight="1">
      <c r="A229" s="230"/>
      <c r="B229" s="11"/>
      <c r="C229" s="11"/>
      <c r="D229" s="11"/>
      <c r="E229" s="11"/>
      <c r="F229" s="11"/>
      <c r="G229" s="11"/>
      <c r="H229" s="11"/>
      <c r="I229" s="11"/>
      <c r="J229" s="11"/>
      <c r="K229" s="11"/>
      <c r="L229" s="11"/>
      <c r="M229" s="11"/>
      <c r="N229" s="11"/>
      <c r="O229" s="11"/>
      <c r="P229" s="11"/>
    </row>
    <row r="230" ht="15.75" customHeight="1">
      <c r="A230" s="230"/>
      <c r="B230" s="11"/>
      <c r="C230" s="11"/>
      <c r="D230" s="11"/>
      <c r="E230" s="11"/>
      <c r="F230" s="11"/>
      <c r="G230" s="11"/>
      <c r="H230" s="11"/>
      <c r="I230" s="11"/>
      <c r="J230" s="11"/>
      <c r="K230" s="11"/>
      <c r="L230" s="11"/>
      <c r="M230" s="11"/>
      <c r="N230" s="11"/>
      <c r="O230" s="11"/>
      <c r="P230" s="11"/>
    </row>
    <row r="231" ht="15.75" customHeight="1">
      <c r="A231" s="230"/>
      <c r="B231" s="11"/>
      <c r="C231" s="11"/>
      <c r="D231" s="11"/>
      <c r="E231" s="11"/>
      <c r="F231" s="11"/>
      <c r="G231" s="11"/>
      <c r="H231" s="11"/>
      <c r="I231" s="11"/>
      <c r="J231" s="11"/>
      <c r="K231" s="11"/>
      <c r="L231" s="11"/>
      <c r="M231" s="11"/>
      <c r="N231" s="11"/>
      <c r="O231" s="11"/>
      <c r="P231" s="11"/>
    </row>
    <row r="232" ht="15.75" customHeight="1">
      <c r="A232" s="230"/>
      <c r="B232" s="11"/>
      <c r="C232" s="11"/>
      <c r="D232" s="11"/>
      <c r="E232" s="11"/>
      <c r="F232" s="11"/>
      <c r="G232" s="11"/>
      <c r="H232" s="11"/>
      <c r="I232" s="11"/>
      <c r="J232" s="11"/>
      <c r="K232" s="11"/>
      <c r="L232" s="11"/>
      <c r="M232" s="11"/>
      <c r="N232" s="11"/>
      <c r="O232" s="11"/>
      <c r="P232" s="11"/>
    </row>
    <row r="233" ht="15.75" customHeight="1">
      <c r="A233" s="230"/>
      <c r="B233" s="11"/>
      <c r="C233" s="11"/>
      <c r="D233" s="11"/>
      <c r="E233" s="11"/>
      <c r="F233" s="11"/>
      <c r="G233" s="11"/>
      <c r="H233" s="11"/>
      <c r="I233" s="11"/>
      <c r="J233" s="11"/>
      <c r="K233" s="11"/>
      <c r="L233" s="11"/>
      <c r="M233" s="11"/>
      <c r="N233" s="11"/>
      <c r="O233" s="11"/>
      <c r="P233" s="11"/>
    </row>
    <row r="234" ht="15.75" customHeight="1">
      <c r="A234" s="230"/>
      <c r="B234" s="11"/>
      <c r="C234" s="11"/>
      <c r="D234" s="11"/>
      <c r="E234" s="11"/>
      <c r="F234" s="11"/>
      <c r="G234" s="11"/>
      <c r="H234" s="11"/>
      <c r="I234" s="11"/>
      <c r="J234" s="11"/>
      <c r="K234" s="11"/>
      <c r="L234" s="11"/>
      <c r="M234" s="11"/>
      <c r="N234" s="11"/>
      <c r="O234" s="11"/>
      <c r="P234" s="11"/>
    </row>
    <row r="235" ht="15.75" customHeight="1">
      <c r="A235" s="230"/>
      <c r="B235" s="11"/>
      <c r="C235" s="11"/>
      <c r="D235" s="11"/>
      <c r="E235" s="11"/>
      <c r="F235" s="11"/>
      <c r="G235" s="11"/>
      <c r="H235" s="11"/>
      <c r="I235" s="11"/>
      <c r="J235" s="11"/>
      <c r="K235" s="11"/>
      <c r="L235" s="11"/>
      <c r="M235" s="11"/>
      <c r="N235" s="11"/>
      <c r="O235" s="11"/>
      <c r="P235" s="11"/>
    </row>
    <row r="236" ht="15.75" customHeight="1">
      <c r="A236" s="230"/>
      <c r="B236" s="11"/>
      <c r="C236" s="11"/>
      <c r="D236" s="11"/>
      <c r="E236" s="11"/>
      <c r="F236" s="11"/>
      <c r="G236" s="11"/>
      <c r="H236" s="11"/>
      <c r="I236" s="11"/>
      <c r="J236" s="11"/>
      <c r="K236" s="11"/>
      <c r="L236" s="11"/>
      <c r="M236" s="11"/>
      <c r="N236" s="11"/>
      <c r="O236" s="11"/>
      <c r="P236" s="11"/>
    </row>
    <row r="237" ht="15.75" customHeight="1">
      <c r="A237" s="230"/>
      <c r="B237" s="11"/>
      <c r="C237" s="11"/>
      <c r="D237" s="11"/>
      <c r="E237" s="11"/>
      <c r="F237" s="11"/>
      <c r="G237" s="11"/>
      <c r="H237" s="11"/>
      <c r="I237" s="11"/>
      <c r="J237" s="11"/>
      <c r="K237" s="11"/>
      <c r="L237" s="11"/>
      <c r="M237" s="11"/>
      <c r="N237" s="11"/>
      <c r="O237" s="11"/>
      <c r="P237" s="11"/>
    </row>
    <row r="238" ht="15.75" customHeight="1">
      <c r="A238" s="230"/>
      <c r="B238" s="11"/>
      <c r="C238" s="11"/>
      <c r="D238" s="11"/>
      <c r="E238" s="11"/>
      <c r="F238" s="11"/>
      <c r="G238" s="11"/>
      <c r="H238" s="11"/>
      <c r="I238" s="11"/>
      <c r="J238" s="11"/>
      <c r="K238" s="11"/>
      <c r="L238" s="11"/>
      <c r="M238" s="11"/>
      <c r="N238" s="11"/>
      <c r="O238" s="11"/>
      <c r="P238" s="11"/>
    </row>
    <row r="239" ht="15.75" customHeight="1">
      <c r="A239" s="230"/>
      <c r="B239" s="11"/>
      <c r="C239" s="11"/>
      <c r="D239" s="11"/>
      <c r="E239" s="11"/>
      <c r="F239" s="11"/>
      <c r="G239" s="11"/>
      <c r="H239" s="11"/>
      <c r="I239" s="11"/>
      <c r="J239" s="11"/>
      <c r="K239" s="11"/>
      <c r="L239" s="11"/>
      <c r="M239" s="11"/>
      <c r="N239" s="11"/>
      <c r="O239" s="11"/>
      <c r="P239" s="11"/>
    </row>
    <row r="240" ht="15.75" customHeight="1">
      <c r="A240" s="230"/>
      <c r="B240" s="11"/>
      <c r="C240" s="11"/>
      <c r="D240" s="11"/>
      <c r="E240" s="11"/>
      <c r="F240" s="11"/>
      <c r="G240" s="11"/>
      <c r="H240" s="11"/>
      <c r="I240" s="11"/>
      <c r="J240" s="11"/>
      <c r="K240" s="11"/>
      <c r="L240" s="11"/>
      <c r="M240" s="11"/>
      <c r="N240" s="11"/>
      <c r="O240" s="11"/>
      <c r="P240" s="11"/>
    </row>
    <row r="241" ht="15.75" customHeight="1">
      <c r="A241" s="230"/>
      <c r="B241" s="11"/>
      <c r="C241" s="11"/>
      <c r="D241" s="11"/>
      <c r="E241" s="11"/>
      <c r="F241" s="11"/>
      <c r="G241" s="11"/>
      <c r="H241" s="11"/>
      <c r="I241" s="11"/>
      <c r="J241" s="11"/>
      <c r="K241" s="11"/>
      <c r="L241" s="11"/>
      <c r="M241" s="11"/>
      <c r="N241" s="11"/>
      <c r="O241" s="11"/>
      <c r="P241" s="11"/>
    </row>
    <row r="242" ht="15.75" customHeight="1">
      <c r="A242" s="230"/>
      <c r="B242" s="11"/>
      <c r="C242" s="11"/>
      <c r="D242" s="11"/>
      <c r="E242" s="11"/>
      <c r="F242" s="11"/>
      <c r="G242" s="11"/>
      <c r="H242" s="11"/>
      <c r="I242" s="11"/>
      <c r="J242" s="11"/>
      <c r="K242" s="11"/>
      <c r="L242" s="11"/>
      <c r="M242" s="11"/>
      <c r="N242" s="11"/>
      <c r="O242" s="11"/>
      <c r="P242" s="11"/>
    </row>
    <row r="243" ht="15.75" customHeight="1">
      <c r="A243" s="230"/>
      <c r="B243" s="11"/>
      <c r="C243" s="11"/>
      <c r="D243" s="11"/>
      <c r="E243" s="11"/>
      <c r="F243" s="11"/>
      <c r="G243" s="11"/>
      <c r="H243" s="11"/>
      <c r="I243" s="11"/>
      <c r="J243" s="11"/>
      <c r="K243" s="11"/>
      <c r="L243" s="11"/>
      <c r="M243" s="11"/>
      <c r="N243" s="11"/>
      <c r="O243" s="11"/>
      <c r="P243" s="11"/>
    </row>
    <row r="244" ht="15.75" customHeight="1">
      <c r="A244" s="230"/>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I14 K21:K25">
    <cfRule type="cellIs" dxfId="6" priority="3" operator="greaterThan">
      <formula>0.15</formula>
    </cfRule>
  </conditionalFormatting>
  <conditionalFormatting sqref="I14 K21:K25">
    <cfRule type="cellIs" dxfId="7" priority="4" operator="between">
      <formula>0</formula>
      <formula>0.15</formula>
    </cfRule>
  </conditionalFormatting>
  <conditionalFormatting sqref="I14 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7" t="str">
        <f>IF('1.IS'!A1&lt;&gt;"",'1.IS'!A1,"")</f>
        <v/>
      </c>
      <c r="B1" s="10" t="s">
        <v>111</v>
      </c>
      <c r="C1" s="61"/>
      <c r="D1" s="61"/>
      <c r="E1" s="61"/>
      <c r="F1" s="61"/>
      <c r="H1" s="61"/>
      <c r="I1" s="61"/>
      <c r="J1" s="61"/>
      <c r="K1" s="61"/>
      <c r="L1" s="61"/>
      <c r="M1" s="61"/>
      <c r="N1" s="61"/>
      <c r="O1" s="61"/>
      <c r="P1" s="61"/>
      <c r="Q1" s="61"/>
      <c r="R1" s="17"/>
      <c r="S1" s="17"/>
      <c r="T1" s="17"/>
      <c r="U1" s="17"/>
      <c r="V1" s="17"/>
      <c r="W1" s="17"/>
      <c r="X1" s="17"/>
      <c r="Y1" s="17"/>
      <c r="Z1" s="17"/>
    </row>
    <row r="2" ht="39.75" customHeight="1">
      <c r="A2" s="77" t="s">
        <v>112</v>
      </c>
      <c r="B2" s="78">
        <f>'1.IS'!B$2</f>
        <v>2015</v>
      </c>
      <c r="C2" s="78">
        <f>'1.IS'!C$2</f>
        <v>2016</v>
      </c>
      <c r="D2" s="78">
        <f>'1.IS'!D$2</f>
        <v>2018</v>
      </c>
      <c r="E2" s="78">
        <f>'1.IS'!E$2</f>
        <v>2018</v>
      </c>
      <c r="F2" s="78">
        <f>'1.IS'!F$2</f>
        <v>2019</v>
      </c>
      <c r="G2" s="78">
        <f>'1.IS'!G$2</f>
        <v>2020</v>
      </c>
      <c r="H2" s="78">
        <f>'1.IS'!H$2</f>
        <v>2021</v>
      </c>
      <c r="I2" s="78">
        <f>'1.IS'!I$2</f>
        <v>2022</v>
      </c>
      <c r="J2" s="78">
        <f>'1.IS'!J$2</f>
        <v>2023</v>
      </c>
      <c r="K2" s="78">
        <f>'1.IS'!K$2</f>
        <v>2024</v>
      </c>
      <c r="L2" s="17"/>
      <c r="M2" s="17"/>
      <c r="N2" s="110"/>
      <c r="O2" s="110"/>
      <c r="P2" s="110"/>
      <c r="Q2" s="128"/>
      <c r="R2" s="17"/>
      <c r="S2" s="17"/>
      <c r="T2" s="17"/>
      <c r="U2" s="17"/>
      <c r="V2" s="17"/>
      <c r="W2" s="17"/>
      <c r="X2" s="17"/>
      <c r="Y2" s="17"/>
      <c r="Z2" s="17"/>
    </row>
    <row r="3" ht="24.75" customHeight="1">
      <c r="A3" s="231" t="s">
        <v>113</v>
      </c>
      <c r="B3" s="232"/>
      <c r="C3" s="158"/>
      <c r="D3" s="158"/>
      <c r="E3" s="158"/>
      <c r="F3" s="158"/>
      <c r="G3" s="158"/>
      <c r="H3" s="158"/>
      <c r="I3" s="158"/>
      <c r="J3" s="158"/>
      <c r="K3" s="159"/>
      <c r="L3" s="17"/>
      <c r="M3" s="17"/>
      <c r="N3" s="110"/>
      <c r="O3" s="110"/>
      <c r="P3" s="110"/>
      <c r="Q3" s="128"/>
      <c r="R3" s="17"/>
      <c r="S3" s="17"/>
      <c r="T3" s="17"/>
      <c r="U3" s="17"/>
      <c r="V3" s="17"/>
      <c r="W3" s="17"/>
      <c r="X3" s="17"/>
      <c r="Y3" s="17"/>
      <c r="Z3" s="17"/>
    </row>
    <row r="4" ht="24.75" customHeight="1">
      <c r="A4" s="233" t="s">
        <v>114</v>
      </c>
      <c r="B4" s="101">
        <f>IFERROR(ABS(VLOOKUP("Asset Writedown*",'7.TIKR_IS'!$A:$K,COLUMN('2.FCF'!B7),FALSE)/'1.IS'!B3),0%)+IFERROR(ABS(VLOOKUP("Impairment of Goodwill*",'7.TIKR_IS'!$A:$K,COLUMN('2.FCF'!B7),FALSE)/'1.IS'!B3),0%)</f>
        <v>0</v>
      </c>
      <c r="C4" s="102">
        <f>IFERROR(ABS(VLOOKUP("Asset Writedown*",'7.TIKR_IS'!$A:$K,COLUMN('2.FCF'!C7),FALSE)/'1.IS'!C3),0%)+IFERROR(ABS(VLOOKUP("Impairment of Goodwill*",'7.TIKR_IS'!$A:$K,COLUMN('2.FCF'!C7),FALSE)/'1.IS'!C3),0%)</f>
        <v>0</v>
      </c>
      <c r="D4" s="102">
        <f>IFERROR(ABS(VLOOKUP("Asset Writedown*",'7.TIKR_IS'!$A:$K,COLUMN('2.FCF'!D7),FALSE)/'1.IS'!D3),0%)+IFERROR(ABS(VLOOKUP("Impairment of Goodwill*",'7.TIKR_IS'!$A:$K,COLUMN('2.FCF'!D7),FALSE)/'1.IS'!D3),0%)</f>
        <v>0</v>
      </c>
      <c r="E4" s="102">
        <f>IFERROR(ABS(VLOOKUP("Asset Writedown*",'7.TIKR_IS'!$A:$K,COLUMN('2.FCF'!E7),FALSE)/'1.IS'!E3),0%)+IFERROR(ABS(VLOOKUP("Impairment of Goodwill*",'7.TIKR_IS'!$A:$K,COLUMN('2.FCF'!E7),FALSE)/'1.IS'!E3),0%)</f>
        <v>0.004079871327</v>
      </c>
      <c r="F4" s="102">
        <f>IFERROR(ABS(VLOOKUP("Asset Writedown*",'7.TIKR_IS'!$A:$K,COLUMN('2.FCF'!F7),FALSE)/'1.IS'!F3),0%)+IFERROR(ABS(VLOOKUP("Impairment of Goodwill*",'7.TIKR_IS'!$A:$K,COLUMN('2.FCF'!F7),FALSE)/'1.IS'!F3),0%)</f>
        <v>0.0003462870335</v>
      </c>
      <c r="G4" s="102">
        <f>IFERROR(ABS(VLOOKUP("Asset Writedown*",'7.TIKR_IS'!$A:$K,COLUMN('2.FCF'!G7),FALSE)/'1.IS'!G3),0%)+IFERROR(ABS(VLOOKUP("Impairment of Goodwill*",'7.TIKR_IS'!$A:$K,COLUMN('2.FCF'!G7),FALSE)/'1.IS'!G3),0%)</f>
        <v>0</v>
      </c>
      <c r="H4" s="102">
        <f>IFERROR(ABS(VLOOKUP("Asset Writedown*",'7.TIKR_IS'!$A:$K,COLUMN('2.FCF'!H7),FALSE)/'1.IS'!H3),0%)+IFERROR(ABS(VLOOKUP("Impairment of Goodwill*",'7.TIKR_IS'!$A:$K,COLUMN('2.FCF'!H7),FALSE)/'1.IS'!H3),0%)</f>
        <v>0.0003241552895</v>
      </c>
      <c r="I4" s="102">
        <f>IFERROR(ABS(VLOOKUP("Asset Writedown*",'7.TIKR_IS'!$A:$K,COLUMN('2.FCF'!I7),FALSE)/'1.IS'!I3),0%)+IFERROR(ABS(VLOOKUP("Impairment of Goodwill*",'7.TIKR_IS'!$A:$K,COLUMN('2.FCF'!I7),FALSE)/'1.IS'!I3),0%)</f>
        <v>0.00367885739</v>
      </c>
      <c r="J4" s="102">
        <f>IFERROR(ABS(VLOOKUP("Asset Writedown*",'7.TIKR_IS'!$A:$K,COLUMN('2.FCF'!J7),FALSE)/'1.IS'!J3),0%)+IFERROR(ABS(VLOOKUP("Impairment of Goodwill*",'7.TIKR_IS'!$A:$K,COLUMN('2.FCF'!J7),FALSE)/'1.IS'!J3),0%)</f>
        <v>0.00001677739749</v>
      </c>
      <c r="K4" s="103">
        <f>IFERROR(ABS(VLOOKUP("Asset Writedown*",'7.TIKR_IS'!$A:$K,COLUMN('2.FCF'!K7),FALSE)/'1.IS'!K3),0%)+IFERROR(ABS(VLOOKUP("Impairment of Goodwill*",'7.TIKR_IS'!$A:$K,COLUMN('2.FCF'!K7),FALSE)/'1.IS'!K3),0%)</f>
        <v>0.002188904067</v>
      </c>
      <c r="L4" s="17"/>
      <c r="M4" s="17"/>
      <c r="N4" s="21"/>
      <c r="O4" s="110"/>
      <c r="P4" s="110"/>
      <c r="Q4" s="128"/>
      <c r="R4" s="17"/>
      <c r="S4" s="17"/>
      <c r="T4" s="17"/>
      <c r="U4" s="17"/>
      <c r="V4" s="17"/>
      <c r="W4" s="17"/>
      <c r="X4" s="17"/>
      <c r="Y4" s="17"/>
      <c r="Z4" s="17"/>
    </row>
    <row r="5" ht="24.75" customHeight="1">
      <c r="A5" s="233" t="s">
        <v>115</v>
      </c>
      <c r="B5" s="101">
        <f>IFERROR(VLOOKUP("Divestitures*",'9.TIKR_CF'!$A:$K,COLUMN('2.FCF'!B2),FALSE)/'1.IS'!B3,0%)</f>
        <v>0.003735545878</v>
      </c>
      <c r="C5" s="102">
        <f>IFERROR(VLOOKUP("Divestitures*",'9.TIKR_CF'!$A:$K,COLUMN('2.FCF'!C2),FALSE)/'1.IS'!C3,0%)</f>
        <v>0.000569119572</v>
      </c>
      <c r="D5" s="102">
        <f>IFERROR(VLOOKUP("Divestitures*",'9.TIKR_CF'!$A:$K,COLUMN('2.FCF'!D2),FALSE)/'1.IS'!D3,0%)</f>
        <v>0.01044401005</v>
      </c>
      <c r="E5" s="102">
        <f>IFERROR(VLOOKUP("Divestitures*",'9.TIKR_CF'!$A:$K,COLUMN('2.FCF'!E2),FALSE)/'1.IS'!E3,0%)</f>
        <v>0.1391275352</v>
      </c>
      <c r="F5" s="102">
        <f>IFERROR(VLOOKUP("Divestitures*",'9.TIKR_CF'!$A:$K,COLUMN('2.FCF'!F2),FALSE)/'1.IS'!F3,0%)</f>
        <v>0.003405155829</v>
      </c>
      <c r="G5" s="102">
        <f>IFERROR(VLOOKUP("Divestitures*",'9.TIKR_CF'!$A:$K,COLUMN('2.FCF'!G2),FALSE)/'1.IS'!G3,0%)</f>
        <v>0.0007688668086</v>
      </c>
      <c r="H5" s="102">
        <f>IFERROR(VLOOKUP("Divestitures*",'9.TIKR_CF'!$A:$K,COLUMN('2.FCF'!H2),FALSE)/'1.IS'!H3,0%)</f>
        <v>0.0008199222027</v>
      </c>
      <c r="I5" s="102">
        <f>IFERROR(VLOOKUP("Divestitures*",'9.TIKR_CF'!$A:$K,COLUMN('2.FCF'!I2),FALSE)/'1.IS'!I3,0%)</f>
        <v>0.07693972334</v>
      </c>
      <c r="J5" s="102">
        <f>IFERROR(VLOOKUP("Divestitures*",'9.TIKR_CF'!$A:$K,COLUMN('2.FCF'!J2),FALSE)/'1.IS'!J3,0%)</f>
        <v>0.007314945306</v>
      </c>
      <c r="K5" s="103">
        <f>IFERROR(VLOOKUP("Divestitures*",'9.TIKR_CF'!$A:$K,COLUMN('2.FCF'!K2),FALSE)/'1.IS'!K3,0%)</f>
        <v>0.01621105643</v>
      </c>
      <c r="L5" s="17"/>
      <c r="M5" s="17"/>
      <c r="N5" s="21"/>
      <c r="O5" s="110"/>
      <c r="P5" s="110"/>
      <c r="Q5" s="128"/>
      <c r="R5" s="17"/>
      <c r="S5" s="17"/>
      <c r="T5" s="17"/>
      <c r="U5" s="17"/>
      <c r="V5" s="17"/>
      <c r="W5" s="17"/>
      <c r="X5" s="17"/>
      <c r="Y5" s="17"/>
      <c r="Z5" s="17"/>
    </row>
    <row r="6" ht="24.75" customHeight="1">
      <c r="A6" s="233" t="s">
        <v>116</v>
      </c>
      <c r="B6" s="101">
        <f>IFERROR(VLOOKUP("Stock-Based Compensation*",'9.TIKR_CF'!$A:$K,COLUMN('2.FCF'!B2),FALSE)/'1.IS'!B3,0%)</f>
        <v>0.002815738099</v>
      </c>
      <c r="C6" s="102">
        <f>IFERROR(VLOOKUP("Stock-Based Compensation*",'9.TIKR_CF'!$A:$K,COLUMN('2.FCF'!C2),FALSE)/'1.IS'!C3,0%)</f>
        <v>0.003756189175</v>
      </c>
      <c r="D6" s="102">
        <f>IFERROR(VLOOKUP("Stock-Based Compensation*",'9.TIKR_CF'!$A:$K,COLUMN('2.FCF'!D2),FALSE)/'1.IS'!D3,0%)</f>
        <v>0.005287163735</v>
      </c>
      <c r="E6" s="102">
        <f>IFERROR(VLOOKUP("Stock-Based Compensation*",'9.TIKR_CF'!$A:$K,COLUMN('2.FCF'!E2),FALSE)/'1.IS'!E3,0%)</f>
        <v>0.003844494135</v>
      </c>
      <c r="F6" s="102">
        <f>IFERROR(VLOOKUP("Stock-Based Compensation*",'9.TIKR_CF'!$A:$K,COLUMN('2.FCF'!F2),FALSE)/'1.IS'!F3,0%)</f>
        <v>0.002904963447</v>
      </c>
      <c r="G6" s="102">
        <f>IFERROR(VLOOKUP("Stock-Based Compensation*",'9.TIKR_CF'!$A:$K,COLUMN('2.FCF'!G2),FALSE)/'1.IS'!G3,0%)</f>
        <v>0.002129169624</v>
      </c>
      <c r="H6" s="102">
        <f>IFERROR(VLOOKUP("Stock-Based Compensation*",'9.TIKR_CF'!$A:$K,COLUMN('2.FCF'!H2),FALSE)/'1.IS'!H3,0%)</f>
        <v>0.003069941271</v>
      </c>
      <c r="I6" s="102">
        <f>IFERROR(VLOOKUP("Stock-Based Compensation*",'9.TIKR_CF'!$A:$K,COLUMN('2.FCF'!I2),FALSE)/'1.IS'!I3,0%)</f>
        <v>0.002946415195</v>
      </c>
      <c r="J6" s="102">
        <f>IFERROR(VLOOKUP("Stock-Based Compensation*",'9.TIKR_CF'!$A:$K,COLUMN('2.FCF'!J2),FALSE)/'1.IS'!J3,0%)</f>
        <v>0.003556808268</v>
      </c>
      <c r="K6" s="103">
        <f>IFERROR(VLOOKUP("Stock-Based Compensation*",'9.TIKR_CF'!$A:$K,COLUMN('2.FCF'!K2),FALSE)/'1.IS'!K3,0%)</f>
        <v>0.005332367802</v>
      </c>
      <c r="L6" s="17"/>
      <c r="M6" s="17"/>
      <c r="N6" s="21"/>
      <c r="O6" s="110"/>
      <c r="P6" s="110"/>
      <c r="Q6" s="128"/>
      <c r="R6" s="17"/>
      <c r="S6" s="17"/>
      <c r="T6" s="17"/>
      <c r="U6" s="17"/>
      <c r="V6" s="17"/>
      <c r="W6" s="17"/>
      <c r="X6" s="17"/>
      <c r="Y6" s="17"/>
      <c r="Z6" s="17"/>
    </row>
    <row r="7" ht="24.75" customHeight="1">
      <c r="A7" s="234" t="s">
        <v>117</v>
      </c>
      <c r="B7" s="135">
        <f>IFERROR(VLOOKUP("Issuance of Common Stock*",'9.TIKR_CF'!$A:$K,COLUMN('2.FCF'!B2),FALSE)/'1.IS'!B3,0%)</f>
        <v>0</v>
      </c>
      <c r="C7" s="136">
        <f>IFERROR(VLOOKUP("Issuance of Common Stock*",'9.TIKR_CF'!$A:$K,COLUMN('2.FCF'!C2),FALSE)/'1.IS'!C3,0%)</f>
        <v>0</v>
      </c>
      <c r="D7" s="136">
        <f>IFERROR(VLOOKUP("Issuance of Common Stock*",'9.TIKR_CF'!$A:$K,COLUMN('2.FCF'!D2),FALSE)/'1.IS'!D3,0%)</f>
        <v>0</v>
      </c>
      <c r="E7" s="136">
        <f>IFERROR(VLOOKUP("Issuance of Common Stock*",'9.TIKR_CF'!$A:$K,COLUMN('2.FCF'!E2),FALSE)/'1.IS'!E3,0%)</f>
        <v>0</v>
      </c>
      <c r="F7" s="136">
        <f>IFERROR(VLOOKUP("Issuance of Common Stock*",'9.TIKR_CF'!$A:$K,COLUMN('2.FCF'!F2),FALSE)/'1.IS'!F3,0%)</f>
        <v>0</v>
      </c>
      <c r="G7" s="136">
        <f>IFERROR(VLOOKUP("Issuance of Common Stock*",'9.TIKR_CF'!$A:$K,COLUMN('2.FCF'!G2),FALSE)/'1.IS'!G3,0%)</f>
        <v>0</v>
      </c>
      <c r="H7" s="136">
        <f>IFERROR(VLOOKUP("Issuance of Common Stock*",'9.TIKR_CF'!$A:$K,COLUMN('2.FCF'!H2),FALSE)/'1.IS'!H3,0%)</f>
        <v>0</v>
      </c>
      <c r="I7" s="136">
        <f>IFERROR(VLOOKUP("Issuance of Common Stock*",'9.TIKR_CF'!$A:$K,COLUMN('2.FCF'!I2),FALSE)/'1.IS'!I3,0%)</f>
        <v>0</v>
      </c>
      <c r="J7" s="136">
        <f>IFERROR(VLOOKUP("Issuance of Common Stock*",'9.TIKR_CF'!$A:$K,COLUMN('2.FCF'!J2),FALSE)/'1.IS'!J3,0%)</f>
        <v>0</v>
      </c>
      <c r="K7" s="164">
        <f>IFERROR(VLOOKUP("Issuance of Common Stock*",'9.TIKR_CF'!$A:$K,COLUMN('2.FCF'!K2),FALSE)/'1.IS'!K3,0%)</f>
        <v>0</v>
      </c>
      <c r="L7" s="17"/>
      <c r="M7" s="17"/>
      <c r="N7" s="21"/>
      <c r="O7" s="61"/>
      <c r="P7" s="61"/>
      <c r="Q7" s="61"/>
      <c r="R7" s="17"/>
      <c r="S7" s="17"/>
      <c r="T7" s="17"/>
      <c r="U7" s="17"/>
      <c r="V7" s="17"/>
      <c r="W7" s="17"/>
      <c r="X7" s="17"/>
      <c r="Y7" s="17"/>
      <c r="Z7" s="17"/>
    </row>
    <row r="8" ht="24.75" customHeight="1">
      <c r="A8" s="81"/>
      <c r="B8" s="128"/>
      <c r="C8" s="128"/>
      <c r="D8" s="128"/>
      <c r="E8" s="128"/>
      <c r="F8" s="128"/>
      <c r="G8" s="128"/>
      <c r="H8" s="128"/>
      <c r="I8" s="128"/>
      <c r="J8" s="128"/>
      <c r="K8" s="128"/>
      <c r="L8" s="128"/>
      <c r="M8" s="128"/>
      <c r="N8" s="61"/>
      <c r="O8" s="61"/>
      <c r="P8" s="61"/>
      <c r="Q8" s="61"/>
      <c r="R8" s="17"/>
      <c r="S8" s="17"/>
      <c r="T8" s="17"/>
      <c r="U8" s="17"/>
      <c r="V8" s="17"/>
      <c r="W8" s="17"/>
      <c r="X8" s="17"/>
      <c r="Y8" s="17"/>
      <c r="Z8" s="17"/>
    </row>
    <row r="9" ht="39.75" customHeight="1">
      <c r="A9" s="77" t="s">
        <v>118</v>
      </c>
      <c r="B9" s="78" t="s">
        <v>68</v>
      </c>
      <c r="C9" s="235"/>
      <c r="D9" s="235"/>
      <c r="E9" s="235"/>
      <c r="F9" s="235"/>
      <c r="G9" s="235"/>
      <c r="H9" s="235"/>
      <c r="I9" s="235"/>
      <c r="J9" s="235"/>
      <c r="K9" s="235"/>
      <c r="L9" s="17"/>
      <c r="M9" s="17"/>
      <c r="N9" s="110"/>
      <c r="O9" s="110"/>
      <c r="P9" s="110"/>
      <c r="Q9" s="128"/>
      <c r="R9" s="17"/>
      <c r="S9" s="17"/>
      <c r="T9" s="17"/>
      <c r="U9" s="17"/>
      <c r="V9" s="17"/>
      <c r="W9" s="17"/>
      <c r="X9" s="17"/>
      <c r="Y9" s="17"/>
      <c r="Z9" s="17"/>
    </row>
    <row r="10" ht="24.75" customHeight="1">
      <c r="A10" s="231" t="s">
        <v>119</v>
      </c>
      <c r="B10" s="236"/>
      <c r="C10" s="102"/>
      <c r="D10" s="102"/>
      <c r="E10" s="102"/>
      <c r="F10" s="102"/>
      <c r="G10" s="102"/>
      <c r="H10" s="102"/>
      <c r="I10" s="102"/>
      <c r="J10" s="102"/>
      <c r="K10" s="102"/>
      <c r="L10" s="137"/>
      <c r="M10" s="128"/>
      <c r="N10" s="21"/>
      <c r="O10" s="61"/>
      <c r="P10" s="61"/>
      <c r="Q10" s="61"/>
      <c r="R10" s="17"/>
      <c r="S10" s="17"/>
      <c r="T10" s="17"/>
      <c r="U10" s="17"/>
      <c r="V10" s="17"/>
      <c r="W10" s="17"/>
      <c r="X10" s="17"/>
      <c r="Y10" s="17"/>
      <c r="Z10" s="17"/>
    </row>
    <row r="11" ht="24.75" customHeight="1">
      <c r="A11" s="233" t="s">
        <v>120</v>
      </c>
      <c r="B11" s="237">
        <f>'TIKR_Cálculos'!L72</f>
        <v>4</v>
      </c>
      <c r="C11" s="102"/>
      <c r="D11" s="102"/>
      <c r="E11" s="102"/>
      <c r="F11" s="102"/>
      <c r="G11" s="102"/>
      <c r="H11" s="102"/>
      <c r="I11" s="102"/>
      <c r="J11" s="102"/>
      <c r="K11" s="102"/>
      <c r="L11" s="137"/>
      <c r="M11" s="128"/>
      <c r="N11" s="21"/>
      <c r="O11" s="61"/>
      <c r="P11" s="61"/>
      <c r="Q11" s="61"/>
      <c r="R11" s="17"/>
      <c r="S11" s="17"/>
      <c r="T11" s="17"/>
      <c r="U11" s="17"/>
      <c r="V11" s="17"/>
      <c r="W11" s="17"/>
      <c r="X11" s="17"/>
      <c r="Y11" s="17"/>
      <c r="Z11" s="17"/>
    </row>
    <row r="12" ht="24.75" customHeight="1">
      <c r="A12" s="233" t="s">
        <v>121</v>
      </c>
      <c r="B12" s="237">
        <f>'TIKR_Cálculos'!L73</f>
        <v>3</v>
      </c>
      <c r="C12" s="61"/>
      <c r="D12" s="61"/>
      <c r="E12" s="61"/>
      <c r="F12" s="61"/>
      <c r="G12" s="61"/>
      <c r="H12" s="61"/>
      <c r="I12" s="61"/>
      <c r="J12" s="61"/>
      <c r="K12" s="61"/>
      <c r="L12" s="61"/>
      <c r="M12" s="61"/>
      <c r="N12" s="61"/>
      <c r="O12" s="61"/>
      <c r="P12" s="61"/>
      <c r="Q12" s="61"/>
      <c r="R12" s="17"/>
      <c r="S12" s="17"/>
      <c r="T12" s="17"/>
      <c r="U12" s="17"/>
      <c r="V12" s="17"/>
      <c r="W12" s="17"/>
      <c r="X12" s="17"/>
      <c r="Y12" s="17"/>
      <c r="Z12" s="17"/>
    </row>
    <row r="13" ht="24.75" customHeight="1">
      <c r="A13" s="233" t="s">
        <v>122</v>
      </c>
      <c r="B13" s="237">
        <f>'TIKR_Cálculos'!L74</f>
        <v>0</v>
      </c>
      <c r="C13" s="61"/>
      <c r="D13" s="61"/>
      <c r="E13" s="61"/>
      <c r="F13" s="61"/>
      <c r="G13" s="61"/>
      <c r="H13" s="61"/>
      <c r="I13" s="61"/>
      <c r="J13" s="61"/>
      <c r="K13" s="61"/>
      <c r="L13" s="61"/>
      <c r="M13" s="61"/>
      <c r="N13" s="61"/>
      <c r="O13" s="61"/>
      <c r="P13" s="61"/>
      <c r="Q13" s="61"/>
      <c r="R13" s="17"/>
      <c r="S13" s="17"/>
      <c r="T13" s="17"/>
      <c r="U13" s="17"/>
      <c r="V13" s="17"/>
      <c r="W13" s="17"/>
      <c r="X13" s="17"/>
      <c r="Y13" s="17"/>
      <c r="Z13" s="17"/>
    </row>
    <row r="14" ht="24.75" customHeight="1">
      <c r="A14" s="233" t="s">
        <v>123</v>
      </c>
      <c r="B14" s="237">
        <f>'TIKR_Cálculos'!L75</f>
        <v>0</v>
      </c>
      <c r="C14" s="61"/>
      <c r="D14" s="61"/>
      <c r="E14" s="61"/>
      <c r="F14" s="61"/>
      <c r="G14" s="61"/>
      <c r="H14" s="61"/>
      <c r="I14" s="61"/>
      <c r="J14" s="61"/>
      <c r="K14" s="61"/>
      <c r="L14" s="61"/>
      <c r="M14" s="61"/>
      <c r="N14" s="61"/>
      <c r="O14" s="61"/>
      <c r="P14" s="61"/>
      <c r="Q14" s="61"/>
      <c r="R14" s="17"/>
      <c r="S14" s="17"/>
      <c r="T14" s="17"/>
      <c r="U14" s="17"/>
      <c r="V14" s="17"/>
      <c r="W14" s="17"/>
      <c r="X14" s="17"/>
      <c r="Y14" s="17"/>
      <c r="Z14" s="17"/>
    </row>
    <row r="15" ht="24.75" customHeight="1">
      <c r="A15" s="234" t="s">
        <v>124</v>
      </c>
      <c r="B15" s="238">
        <f>'TIKR_Cálculos'!L76</f>
        <v>0</v>
      </c>
      <c r="C15" s="61"/>
      <c r="D15" s="61"/>
      <c r="E15" s="61"/>
      <c r="F15" s="61"/>
      <c r="G15" s="61"/>
      <c r="H15" s="61"/>
      <c r="I15" s="61"/>
      <c r="J15" s="61"/>
      <c r="K15" s="61"/>
      <c r="L15" s="61"/>
      <c r="M15" s="61"/>
      <c r="N15" s="61"/>
      <c r="O15" s="61"/>
      <c r="P15" s="61"/>
      <c r="Q15" s="61"/>
      <c r="R15" s="17"/>
      <c r="S15" s="17"/>
      <c r="T15" s="17"/>
      <c r="U15" s="17"/>
      <c r="V15" s="17"/>
      <c r="W15" s="17"/>
      <c r="X15" s="17"/>
      <c r="Y15" s="17"/>
      <c r="Z15" s="17"/>
    </row>
    <row r="16" ht="24.75" customHeight="1">
      <c r="A16" s="17"/>
      <c r="B16" s="61"/>
      <c r="C16" s="61"/>
      <c r="D16" s="61"/>
      <c r="E16" s="61"/>
      <c r="F16" s="61"/>
      <c r="G16" s="61"/>
      <c r="H16" s="61"/>
      <c r="I16" s="61"/>
      <c r="J16" s="61"/>
      <c r="K16" s="61"/>
      <c r="L16" s="61"/>
      <c r="M16" s="61"/>
      <c r="N16" s="61"/>
      <c r="O16" s="61"/>
      <c r="P16" s="61"/>
      <c r="Q16" s="61"/>
      <c r="R16" s="17"/>
      <c r="S16" s="17"/>
      <c r="T16" s="17"/>
      <c r="U16" s="17"/>
      <c r="V16" s="17"/>
      <c r="W16" s="17"/>
      <c r="X16" s="17"/>
      <c r="Y16" s="17"/>
      <c r="Z16" s="17"/>
    </row>
    <row r="17" ht="24.75" customHeight="1">
      <c r="A17" s="17"/>
      <c r="B17" s="166"/>
      <c r="C17" s="166"/>
      <c r="D17" s="166"/>
      <c r="E17" s="166"/>
      <c r="F17" s="166"/>
      <c r="G17" s="166"/>
      <c r="H17" s="166"/>
      <c r="I17" s="166"/>
      <c r="J17" s="166"/>
      <c r="K17" s="166"/>
      <c r="L17" s="61"/>
      <c r="M17" s="61"/>
      <c r="N17" s="61"/>
      <c r="O17" s="61"/>
      <c r="P17" s="61"/>
      <c r="Q17" s="61"/>
      <c r="R17" s="17"/>
      <c r="S17" s="17"/>
      <c r="T17" s="17"/>
      <c r="U17" s="17"/>
      <c r="V17" s="17"/>
      <c r="W17" s="17"/>
      <c r="X17" s="17"/>
      <c r="Y17" s="17"/>
      <c r="Z17" s="17"/>
    </row>
    <row r="18" ht="24.75" customHeight="1">
      <c r="A18" s="17"/>
      <c r="B18" s="61"/>
      <c r="C18" s="61"/>
      <c r="D18" s="61"/>
      <c r="E18" s="61"/>
      <c r="F18" s="61"/>
      <c r="G18" s="61"/>
      <c r="H18" s="61"/>
      <c r="I18" s="61"/>
      <c r="J18" s="61"/>
      <c r="K18" s="61"/>
      <c r="L18" s="61"/>
      <c r="M18" s="61"/>
      <c r="N18" s="61"/>
      <c r="O18" s="61"/>
      <c r="P18" s="61"/>
      <c r="Q18" s="61"/>
      <c r="R18" s="17"/>
      <c r="S18" s="17"/>
      <c r="T18" s="17"/>
      <c r="U18" s="17"/>
      <c r="V18" s="17"/>
      <c r="W18" s="17"/>
      <c r="X18" s="17"/>
      <c r="Y18" s="17"/>
      <c r="Z18" s="17"/>
    </row>
    <row r="19" ht="24.75" customHeight="1">
      <c r="A19" s="17"/>
      <c r="B19" s="61"/>
      <c r="C19" s="61"/>
      <c r="D19" s="61"/>
      <c r="E19" s="61"/>
      <c r="F19" s="61"/>
      <c r="G19" s="61"/>
      <c r="H19" s="61"/>
      <c r="I19" s="61"/>
      <c r="J19" s="61"/>
      <c r="K19" s="61"/>
      <c r="L19" s="61"/>
      <c r="M19" s="61"/>
      <c r="N19" s="61"/>
      <c r="O19" s="61"/>
      <c r="P19" s="61"/>
      <c r="Q19" s="61"/>
      <c r="R19" s="17"/>
      <c r="S19" s="17"/>
      <c r="T19" s="17"/>
      <c r="U19" s="61"/>
      <c r="V19" s="61"/>
      <c r="W19" s="61"/>
      <c r="X19" s="61"/>
      <c r="Y19" s="61"/>
      <c r="Z19" s="61"/>
    </row>
    <row r="20" ht="24.75" customHeight="1">
      <c r="A20" s="17"/>
      <c r="B20" s="61"/>
      <c r="C20" s="61"/>
      <c r="D20" s="61"/>
      <c r="E20" s="61"/>
      <c r="F20" s="61"/>
      <c r="G20" s="61"/>
      <c r="H20" s="61"/>
      <c r="I20" s="61"/>
      <c r="J20" s="61"/>
      <c r="K20" s="61"/>
      <c r="L20" s="61"/>
      <c r="M20" s="61"/>
      <c r="N20" s="61"/>
      <c r="O20" s="61"/>
      <c r="P20" s="61"/>
      <c r="Q20" s="61"/>
      <c r="R20" s="17"/>
      <c r="S20" s="17"/>
      <c r="T20" s="17"/>
      <c r="U20" s="61"/>
      <c r="V20" s="61"/>
      <c r="W20" s="61"/>
      <c r="X20" s="61"/>
      <c r="Y20" s="61"/>
      <c r="Z20" s="61"/>
    </row>
    <row r="21" ht="24.75" customHeight="1">
      <c r="A21" s="17"/>
      <c r="B21" s="61"/>
      <c r="C21" s="61"/>
      <c r="D21" s="61"/>
      <c r="E21" s="61"/>
      <c r="F21" s="61"/>
      <c r="G21" s="61"/>
      <c r="H21" s="61"/>
      <c r="I21" s="61"/>
      <c r="J21" s="61"/>
      <c r="K21" s="61"/>
      <c r="L21" s="61"/>
      <c r="M21" s="61"/>
      <c r="N21" s="61"/>
      <c r="O21" s="61"/>
      <c r="P21" s="61"/>
      <c r="Q21" s="61"/>
      <c r="R21" s="17"/>
      <c r="S21" s="17"/>
      <c r="T21" s="17"/>
      <c r="U21" s="61"/>
      <c r="V21" s="61"/>
      <c r="W21" s="61"/>
      <c r="X21" s="61"/>
      <c r="Y21" s="61"/>
      <c r="Z21" s="61"/>
    </row>
    <row r="22" ht="24.75" customHeight="1">
      <c r="A22" s="17"/>
      <c r="B22" s="61"/>
      <c r="C22" s="61"/>
      <c r="D22" s="61"/>
      <c r="E22" s="61"/>
      <c r="F22" s="61"/>
      <c r="G22" s="61"/>
      <c r="H22" s="61"/>
      <c r="I22" s="61"/>
      <c r="J22" s="61"/>
      <c r="K22" s="61"/>
      <c r="L22" s="61"/>
      <c r="M22" s="61"/>
      <c r="N22" s="61"/>
      <c r="O22" s="61"/>
      <c r="P22" s="61"/>
      <c r="Q22" s="61"/>
      <c r="R22" s="17"/>
      <c r="S22" s="17"/>
      <c r="T22" s="17"/>
      <c r="U22" s="61"/>
      <c r="V22" s="61"/>
      <c r="W22" s="61"/>
      <c r="X22" s="61"/>
      <c r="Y22" s="61"/>
      <c r="Z22" s="61"/>
    </row>
    <row r="23" ht="24.75" customHeight="1">
      <c r="A23" s="17"/>
      <c r="B23" s="61"/>
      <c r="C23" s="61"/>
      <c r="D23" s="61"/>
      <c r="E23" s="61"/>
      <c r="F23" s="61"/>
      <c r="G23" s="61"/>
      <c r="H23" s="61"/>
      <c r="I23" s="61"/>
      <c r="J23" s="61"/>
      <c r="K23" s="61"/>
      <c r="L23" s="61"/>
      <c r="M23" s="61"/>
      <c r="N23" s="61"/>
      <c r="O23" s="61"/>
      <c r="P23" s="61"/>
      <c r="Q23" s="61"/>
      <c r="R23" s="17"/>
      <c r="S23" s="17"/>
      <c r="T23" s="17"/>
      <c r="U23" s="61"/>
      <c r="V23" s="61"/>
      <c r="W23" s="61"/>
      <c r="X23" s="61"/>
      <c r="Y23" s="61"/>
      <c r="Z23" s="61"/>
    </row>
    <row r="24" ht="24.75" customHeight="1">
      <c r="A24" s="17"/>
      <c r="B24" s="61"/>
      <c r="C24" s="61"/>
      <c r="D24" s="61"/>
      <c r="E24" s="61"/>
      <c r="F24" s="61"/>
      <c r="G24" s="61"/>
      <c r="H24" s="61"/>
      <c r="I24" s="61"/>
      <c r="J24" s="61"/>
      <c r="K24" s="61"/>
      <c r="L24" s="61"/>
      <c r="M24" s="61"/>
      <c r="N24" s="61"/>
      <c r="O24" s="61"/>
      <c r="P24" s="61"/>
      <c r="Q24" s="61"/>
      <c r="R24" s="17"/>
      <c r="S24" s="17"/>
      <c r="T24" s="17"/>
      <c r="U24" s="61"/>
      <c r="V24" s="61"/>
      <c r="W24" s="61"/>
      <c r="X24" s="61"/>
      <c r="Y24" s="61"/>
      <c r="Z24" s="61"/>
    </row>
    <row r="25" ht="24.75" customHeight="1">
      <c r="A25" s="17"/>
      <c r="B25" s="61"/>
      <c r="C25" s="61"/>
      <c r="D25" s="61"/>
      <c r="E25" s="61"/>
      <c r="F25" s="61"/>
      <c r="G25" s="61"/>
      <c r="H25" s="61"/>
      <c r="I25" s="61"/>
      <c r="J25" s="61"/>
      <c r="K25" s="61"/>
      <c r="L25" s="61"/>
      <c r="M25" s="61"/>
      <c r="N25" s="61"/>
      <c r="O25" s="61"/>
      <c r="P25" s="61"/>
      <c r="Q25" s="61"/>
      <c r="R25" s="17"/>
      <c r="S25" s="17"/>
      <c r="T25" s="17"/>
      <c r="U25" s="61"/>
      <c r="V25" s="61"/>
      <c r="W25" s="61"/>
      <c r="X25" s="61"/>
      <c r="Y25" s="61"/>
      <c r="Z25" s="61"/>
    </row>
    <row r="26" ht="24.75" customHeight="1">
      <c r="A26" s="17"/>
      <c r="B26" s="61"/>
      <c r="C26" s="61"/>
      <c r="D26" s="61"/>
      <c r="E26" s="61"/>
      <c r="F26" s="61"/>
      <c r="G26" s="61"/>
      <c r="H26" s="61"/>
      <c r="I26" s="61"/>
      <c r="J26" s="61"/>
      <c r="K26" s="61"/>
      <c r="L26" s="61"/>
      <c r="M26" s="61"/>
      <c r="N26" s="61"/>
      <c r="O26" s="61"/>
      <c r="P26" s="61"/>
      <c r="Q26" s="61"/>
      <c r="R26" s="17"/>
      <c r="S26" s="17"/>
      <c r="T26" s="17"/>
      <c r="U26" s="61"/>
      <c r="V26" s="61"/>
      <c r="W26" s="61"/>
      <c r="X26" s="61"/>
      <c r="Y26" s="61"/>
      <c r="Z26" s="61"/>
    </row>
    <row r="27" ht="24.75" customHeight="1">
      <c r="A27" s="17"/>
      <c r="B27" s="61"/>
      <c r="C27" s="61"/>
      <c r="D27" s="61"/>
      <c r="E27" s="61"/>
      <c r="F27" s="61"/>
      <c r="G27" s="61"/>
      <c r="H27" s="61"/>
      <c r="I27" s="61"/>
      <c r="J27" s="61"/>
      <c r="K27" s="61"/>
      <c r="L27" s="61"/>
      <c r="M27" s="61"/>
      <c r="N27" s="61"/>
      <c r="O27" s="61"/>
      <c r="P27" s="61"/>
      <c r="Q27" s="61"/>
      <c r="R27" s="17"/>
      <c r="S27" s="17"/>
      <c r="T27" s="17"/>
      <c r="U27" s="61"/>
      <c r="V27" s="61"/>
      <c r="W27" s="61"/>
      <c r="X27" s="61"/>
      <c r="Y27" s="61"/>
      <c r="Z27" s="61"/>
    </row>
    <row r="28" ht="24.75" customHeight="1">
      <c r="A28" s="17"/>
      <c r="B28" s="61"/>
      <c r="C28" s="61"/>
      <c r="D28" s="61"/>
      <c r="E28" s="61"/>
      <c r="F28" s="61"/>
      <c r="G28" s="61"/>
      <c r="H28" s="61"/>
      <c r="I28" s="61"/>
      <c r="J28" s="61"/>
      <c r="K28" s="61"/>
      <c r="L28" s="61"/>
      <c r="M28" s="61"/>
      <c r="N28" s="61"/>
      <c r="O28" s="61"/>
      <c r="P28" s="61"/>
      <c r="Q28" s="61"/>
      <c r="R28" s="17"/>
      <c r="S28" s="17"/>
      <c r="T28" s="17"/>
      <c r="U28" s="61"/>
      <c r="V28" s="61"/>
      <c r="W28" s="61"/>
      <c r="X28" s="61"/>
      <c r="Y28" s="61"/>
      <c r="Z28" s="61"/>
    </row>
    <row r="29" ht="17.25" customHeight="1">
      <c r="A29" s="17"/>
      <c r="B29" s="61"/>
      <c r="C29" s="61"/>
      <c r="D29" s="61"/>
      <c r="E29" s="61"/>
      <c r="F29" s="61"/>
      <c r="G29" s="61"/>
      <c r="H29" s="61"/>
      <c r="I29" s="61"/>
      <c r="J29" s="61"/>
      <c r="K29" s="61"/>
      <c r="L29" s="61"/>
      <c r="M29" s="61"/>
      <c r="N29" s="61"/>
      <c r="O29" s="61"/>
      <c r="P29" s="61"/>
      <c r="Q29" s="61"/>
      <c r="R29" s="17"/>
      <c r="S29" s="17"/>
      <c r="T29" s="17"/>
      <c r="U29" s="17"/>
      <c r="V29" s="17"/>
      <c r="W29" s="17"/>
      <c r="X29" s="17"/>
      <c r="Y29" s="17"/>
      <c r="Z29" s="17"/>
    </row>
    <row r="30" ht="17.25" customHeight="1">
      <c r="A30" s="17"/>
      <c r="B30" s="61"/>
      <c r="C30" s="61"/>
      <c r="D30" s="61"/>
      <c r="E30" s="61"/>
      <c r="F30" s="61"/>
      <c r="G30" s="61"/>
      <c r="H30" s="61"/>
      <c r="I30" s="61"/>
      <c r="J30" s="61"/>
      <c r="K30" s="61"/>
      <c r="L30" s="61"/>
      <c r="M30" s="61"/>
      <c r="N30" s="61"/>
      <c r="O30" s="61"/>
      <c r="P30" s="61"/>
      <c r="Q30" s="61"/>
      <c r="R30" s="17"/>
      <c r="S30" s="17"/>
      <c r="T30" s="17"/>
      <c r="U30" s="17"/>
      <c r="V30" s="17"/>
      <c r="W30" s="17"/>
      <c r="X30" s="17"/>
      <c r="Y30" s="17"/>
      <c r="Z30" s="17"/>
    </row>
    <row r="31" ht="17.25" customHeight="1">
      <c r="A31" s="17"/>
      <c r="B31" s="61"/>
      <c r="C31" s="61"/>
      <c r="D31" s="61"/>
      <c r="E31" s="61"/>
      <c r="F31" s="61"/>
      <c r="G31" s="61"/>
      <c r="H31" s="61"/>
      <c r="I31" s="61"/>
      <c r="J31" s="61"/>
      <c r="K31" s="61"/>
      <c r="L31" s="130"/>
      <c r="M31" s="130"/>
      <c r="N31" s="61"/>
      <c r="O31" s="61"/>
      <c r="P31" s="61"/>
      <c r="Q31" s="61"/>
      <c r="R31" s="17"/>
      <c r="S31" s="17"/>
      <c r="T31" s="17"/>
      <c r="U31" s="61"/>
      <c r="V31" s="61"/>
      <c r="W31" s="61"/>
      <c r="X31" s="61"/>
      <c r="Y31" s="61"/>
      <c r="Z31" s="61"/>
    </row>
    <row r="32" ht="17.25" customHeight="1">
      <c r="A32" s="17"/>
      <c r="B32" s="61"/>
      <c r="C32" s="61"/>
      <c r="D32" s="61"/>
      <c r="E32" s="61"/>
      <c r="F32" s="61"/>
      <c r="G32" s="61"/>
      <c r="H32" s="61"/>
      <c r="I32" s="61"/>
      <c r="J32" s="61"/>
      <c r="K32" s="61"/>
      <c r="L32" s="137"/>
      <c r="M32" s="137"/>
      <c r="N32" s="61"/>
      <c r="O32" s="61"/>
      <c r="P32" s="61"/>
      <c r="Q32" s="61"/>
      <c r="R32" s="17"/>
      <c r="S32" s="17"/>
      <c r="T32" s="17"/>
      <c r="U32" s="61"/>
      <c r="V32" s="61"/>
      <c r="W32" s="61"/>
      <c r="X32" s="61"/>
      <c r="Y32" s="61"/>
      <c r="Z32" s="61"/>
    </row>
    <row r="33" ht="17.25" customHeight="1">
      <c r="A33" s="17"/>
      <c r="B33" s="61"/>
      <c r="C33" s="61"/>
      <c r="D33" s="61"/>
      <c r="E33" s="61"/>
      <c r="F33" s="61"/>
      <c r="G33" s="61"/>
      <c r="H33" s="61"/>
      <c r="I33" s="61"/>
      <c r="J33" s="61"/>
      <c r="K33" s="61"/>
      <c r="L33" s="137"/>
      <c r="M33" s="137"/>
      <c r="N33" s="61"/>
      <c r="O33" s="61"/>
      <c r="P33" s="61"/>
      <c r="Q33" s="61"/>
      <c r="R33" s="17"/>
      <c r="S33" s="17"/>
      <c r="T33" s="17"/>
      <c r="U33" s="61"/>
      <c r="V33" s="61"/>
      <c r="W33" s="61"/>
      <c r="X33" s="61"/>
      <c r="Y33" s="61"/>
      <c r="Z33" s="61"/>
    </row>
    <row r="34" ht="17.25" customHeight="1">
      <c r="A34" s="17"/>
      <c r="B34" s="61"/>
      <c r="C34" s="61"/>
      <c r="D34" s="61"/>
      <c r="E34" s="61"/>
      <c r="F34" s="61"/>
      <c r="G34" s="61"/>
      <c r="H34" s="61"/>
      <c r="I34" s="61"/>
      <c r="J34" s="61"/>
      <c r="K34" s="61"/>
      <c r="L34" s="137"/>
      <c r="M34" s="137"/>
      <c r="N34" s="61"/>
      <c r="O34" s="61"/>
      <c r="P34" s="61"/>
      <c r="Q34" s="61"/>
      <c r="R34" s="17"/>
      <c r="S34" s="17"/>
      <c r="T34" s="17"/>
      <c r="U34" s="61"/>
      <c r="V34" s="61"/>
      <c r="W34" s="61"/>
      <c r="X34" s="61"/>
      <c r="Y34" s="61"/>
      <c r="Z34" s="61"/>
    </row>
    <row r="35" ht="17.25" customHeight="1">
      <c r="A35" s="17"/>
      <c r="B35" s="61"/>
      <c r="C35" s="61"/>
      <c r="D35" s="61"/>
      <c r="E35" s="61"/>
      <c r="F35" s="61"/>
      <c r="G35" s="61"/>
      <c r="H35" s="61"/>
      <c r="I35" s="61"/>
      <c r="J35" s="61"/>
      <c r="K35" s="61"/>
      <c r="L35" s="137"/>
      <c r="M35" s="137"/>
      <c r="N35" s="61"/>
      <c r="O35" s="61"/>
      <c r="P35" s="61"/>
      <c r="Q35" s="61"/>
      <c r="R35" s="17"/>
      <c r="S35" s="17"/>
      <c r="T35" s="17"/>
      <c r="U35" s="61"/>
      <c r="V35" s="61"/>
      <c r="W35" s="61"/>
      <c r="X35" s="61"/>
      <c r="Y35" s="61"/>
      <c r="Z35" s="61"/>
    </row>
    <row r="36" ht="17.25" customHeight="1">
      <c r="A36" s="17"/>
      <c r="B36" s="61"/>
      <c r="C36" s="61"/>
      <c r="D36" s="61"/>
      <c r="E36" s="61"/>
      <c r="F36" s="61"/>
      <c r="G36" s="61"/>
      <c r="H36" s="61"/>
      <c r="I36" s="61"/>
      <c r="J36" s="61"/>
      <c r="K36" s="61"/>
      <c r="L36" s="137"/>
      <c r="M36" s="137"/>
      <c r="N36" s="61"/>
      <c r="O36" s="61"/>
      <c r="P36" s="61"/>
      <c r="Q36" s="61"/>
      <c r="R36" s="17"/>
      <c r="S36" s="17"/>
      <c r="T36" s="17"/>
      <c r="U36" s="61"/>
      <c r="V36" s="61"/>
      <c r="W36" s="61"/>
      <c r="X36" s="61"/>
      <c r="Y36" s="61"/>
      <c r="Z36" s="61"/>
    </row>
    <row r="37" ht="17.25" customHeight="1">
      <c r="A37" s="17"/>
      <c r="B37" s="61"/>
      <c r="C37" s="61"/>
      <c r="D37" s="61"/>
      <c r="E37" s="61"/>
      <c r="F37" s="61"/>
      <c r="G37" s="61"/>
      <c r="H37" s="61"/>
      <c r="I37" s="61"/>
      <c r="J37" s="61"/>
      <c r="K37" s="61"/>
      <c r="L37" s="61"/>
      <c r="M37" s="61"/>
      <c r="N37" s="61"/>
      <c r="O37" s="61"/>
      <c r="P37" s="61"/>
      <c r="Q37" s="61"/>
      <c r="R37" s="17"/>
      <c r="S37" s="17"/>
      <c r="T37" s="17"/>
      <c r="U37" s="17"/>
      <c r="V37" s="17"/>
      <c r="W37" s="17"/>
      <c r="X37" s="17"/>
      <c r="Y37" s="17"/>
      <c r="Z37" s="17"/>
    </row>
    <row r="38" ht="17.25" customHeight="1">
      <c r="A38" s="17"/>
      <c r="B38" s="61"/>
      <c r="C38" s="61"/>
      <c r="D38" s="61"/>
      <c r="E38" s="61"/>
      <c r="F38" s="61"/>
      <c r="G38" s="61"/>
      <c r="H38" s="61"/>
      <c r="I38" s="61"/>
      <c r="J38" s="61"/>
      <c r="K38" s="61"/>
      <c r="L38" s="61"/>
      <c r="M38" s="61"/>
      <c r="N38" s="61"/>
      <c r="O38" s="61"/>
      <c r="P38" s="61"/>
      <c r="Q38" s="61"/>
      <c r="R38" s="17"/>
      <c r="S38" s="17"/>
      <c r="T38" s="17"/>
      <c r="U38" s="17"/>
      <c r="V38" s="17"/>
      <c r="W38" s="17"/>
      <c r="X38" s="17"/>
      <c r="Y38" s="17"/>
      <c r="Z38" s="17"/>
    </row>
    <row r="39" ht="17.25" customHeight="1">
      <c r="A39" s="17"/>
      <c r="B39" s="61"/>
      <c r="C39" s="61"/>
      <c r="D39" s="61"/>
      <c r="E39" s="61"/>
      <c r="F39" s="61"/>
      <c r="G39" s="61"/>
      <c r="H39" s="61"/>
      <c r="I39" s="61"/>
      <c r="J39" s="61"/>
      <c r="K39" s="61"/>
      <c r="L39" s="61"/>
      <c r="M39" s="61"/>
      <c r="N39" s="61"/>
      <c r="O39" s="61"/>
      <c r="P39" s="61"/>
      <c r="Q39" s="61"/>
      <c r="R39" s="17"/>
      <c r="S39" s="17"/>
      <c r="T39" s="17"/>
      <c r="U39" s="17"/>
      <c r="V39" s="17"/>
      <c r="W39" s="17"/>
      <c r="X39" s="17"/>
      <c r="Y39" s="17"/>
      <c r="Z39" s="17"/>
    </row>
    <row r="40" ht="17.25" customHeight="1">
      <c r="A40" s="17"/>
      <c r="B40" s="61"/>
      <c r="C40" s="61"/>
      <c r="D40" s="61"/>
      <c r="E40" s="61"/>
      <c r="F40" s="61"/>
      <c r="G40" s="61"/>
      <c r="H40" s="61"/>
      <c r="I40" s="61"/>
      <c r="J40" s="61"/>
      <c r="K40" s="61"/>
      <c r="L40" s="61"/>
      <c r="M40" s="61"/>
      <c r="N40" s="61"/>
      <c r="O40" s="61"/>
      <c r="P40" s="61"/>
      <c r="Q40" s="61"/>
      <c r="R40" s="17"/>
      <c r="S40" s="17"/>
      <c r="T40" s="17"/>
      <c r="U40" s="17"/>
      <c r="V40" s="17"/>
      <c r="W40" s="17"/>
      <c r="X40" s="17"/>
      <c r="Y40" s="17"/>
      <c r="Z40" s="17"/>
    </row>
    <row r="41" ht="17.25" customHeight="1">
      <c r="A41" s="17"/>
      <c r="B41" s="61"/>
      <c r="C41" s="61"/>
      <c r="D41" s="61"/>
      <c r="E41" s="61"/>
      <c r="F41" s="61"/>
      <c r="G41" s="61"/>
      <c r="H41" s="61"/>
      <c r="I41" s="61"/>
      <c r="J41" s="61"/>
      <c r="K41" s="61"/>
      <c r="L41" s="61"/>
      <c r="M41" s="61"/>
      <c r="N41" s="61"/>
      <c r="O41" s="61"/>
      <c r="P41" s="61"/>
      <c r="Q41" s="61"/>
      <c r="R41" s="17"/>
      <c r="S41" s="17"/>
      <c r="T41" s="17"/>
      <c r="U41" s="17"/>
      <c r="V41" s="17"/>
      <c r="W41" s="17"/>
      <c r="X41" s="17"/>
      <c r="Y41" s="17"/>
      <c r="Z41" s="17"/>
    </row>
    <row r="42" ht="17.25" customHeight="1">
      <c r="A42" s="17"/>
      <c r="B42" s="61"/>
      <c r="C42" s="61"/>
      <c r="D42" s="61"/>
      <c r="E42" s="61"/>
      <c r="F42" s="61"/>
      <c r="G42" s="61"/>
      <c r="H42" s="61"/>
      <c r="I42" s="61"/>
      <c r="J42" s="61"/>
      <c r="K42" s="61"/>
      <c r="L42" s="61"/>
      <c r="M42" s="61"/>
      <c r="N42" s="61"/>
      <c r="O42" s="61"/>
      <c r="P42" s="61"/>
      <c r="Q42" s="61"/>
      <c r="R42" s="17"/>
      <c r="S42" s="17"/>
      <c r="T42" s="17"/>
      <c r="U42" s="17"/>
      <c r="V42" s="17"/>
      <c r="W42" s="17"/>
      <c r="X42" s="17"/>
      <c r="Y42" s="17"/>
      <c r="Z42" s="17"/>
    </row>
    <row r="43" ht="17.25" customHeight="1">
      <c r="A43" s="17"/>
      <c r="B43" s="61"/>
      <c r="C43" s="61"/>
      <c r="D43" s="61"/>
      <c r="E43" s="61"/>
      <c r="F43" s="61"/>
      <c r="G43" s="61"/>
      <c r="H43" s="61"/>
      <c r="I43" s="61"/>
      <c r="J43" s="61"/>
      <c r="K43" s="61"/>
      <c r="L43" s="61"/>
      <c r="M43" s="61"/>
      <c r="N43" s="61"/>
      <c r="O43" s="61"/>
      <c r="P43" s="61"/>
      <c r="Q43" s="61"/>
      <c r="R43" s="17"/>
      <c r="S43" s="17"/>
      <c r="T43" s="17"/>
      <c r="U43" s="17"/>
      <c r="V43" s="17"/>
      <c r="W43" s="17"/>
      <c r="X43" s="17"/>
      <c r="Y43" s="17"/>
      <c r="Z43" s="17"/>
    </row>
    <row r="44" ht="17.25" customHeight="1">
      <c r="A44" s="17"/>
      <c r="B44" s="61"/>
      <c r="C44" s="61"/>
      <c r="D44" s="61"/>
      <c r="E44" s="61"/>
      <c r="F44" s="61"/>
      <c r="G44" s="61"/>
      <c r="H44" s="61"/>
      <c r="I44" s="61"/>
      <c r="J44" s="61"/>
      <c r="K44" s="61"/>
      <c r="L44" s="61"/>
      <c r="M44" s="61"/>
      <c r="N44" s="61"/>
      <c r="O44" s="61"/>
      <c r="P44" s="61"/>
      <c r="Q44" s="61"/>
      <c r="R44" s="17"/>
      <c r="S44" s="17"/>
      <c r="T44" s="17"/>
      <c r="U44" s="17"/>
      <c r="V44" s="17"/>
      <c r="W44" s="17"/>
      <c r="X44" s="17"/>
      <c r="Y44" s="17"/>
      <c r="Z44" s="17"/>
    </row>
    <row r="45" ht="17.25" customHeight="1">
      <c r="A45" s="17"/>
      <c r="B45" s="61"/>
      <c r="C45" s="61"/>
      <c r="D45" s="61"/>
      <c r="E45" s="61"/>
      <c r="F45" s="61"/>
      <c r="G45" s="61"/>
      <c r="H45" s="61"/>
      <c r="I45" s="61"/>
      <c r="J45" s="61"/>
      <c r="K45" s="61"/>
      <c r="L45" s="61"/>
      <c r="M45" s="61"/>
      <c r="N45" s="61"/>
      <c r="O45" s="61"/>
      <c r="P45" s="61"/>
      <c r="Q45" s="61"/>
      <c r="R45" s="17"/>
      <c r="S45" s="17"/>
      <c r="T45" s="17"/>
      <c r="U45" s="17"/>
      <c r="V45" s="17"/>
      <c r="W45" s="17"/>
      <c r="X45" s="17"/>
      <c r="Y45" s="17"/>
      <c r="Z45" s="17"/>
    </row>
    <row r="46" ht="17.25" customHeight="1">
      <c r="A46" s="17"/>
      <c r="B46" s="61"/>
      <c r="C46" s="61"/>
      <c r="D46" s="61"/>
      <c r="E46" s="61"/>
      <c r="F46" s="61"/>
      <c r="G46" s="61"/>
      <c r="H46" s="61"/>
      <c r="I46" s="61"/>
      <c r="J46" s="61"/>
      <c r="K46" s="61"/>
      <c r="L46" s="61"/>
      <c r="M46" s="61"/>
      <c r="N46" s="61"/>
      <c r="O46" s="61"/>
      <c r="P46" s="61"/>
      <c r="Q46" s="61"/>
      <c r="R46" s="17"/>
      <c r="S46" s="17"/>
      <c r="T46" s="17"/>
      <c r="U46" s="17"/>
      <c r="V46" s="17"/>
      <c r="W46" s="17"/>
      <c r="X46" s="17"/>
      <c r="Y46" s="17"/>
      <c r="Z46" s="17"/>
    </row>
    <row r="47" ht="17.25" customHeight="1">
      <c r="A47" s="17"/>
      <c r="B47" s="61"/>
      <c r="C47" s="61"/>
      <c r="D47" s="61"/>
      <c r="E47" s="61"/>
      <c r="F47" s="61"/>
      <c r="G47" s="61"/>
      <c r="H47" s="61"/>
      <c r="I47" s="61"/>
      <c r="J47" s="61"/>
      <c r="K47" s="61"/>
      <c r="L47" s="61"/>
      <c r="M47" s="61"/>
      <c r="N47" s="61"/>
      <c r="O47" s="61"/>
      <c r="P47" s="61"/>
      <c r="Q47" s="61"/>
      <c r="R47" s="17"/>
      <c r="S47" s="17"/>
      <c r="T47" s="17"/>
      <c r="U47" s="17"/>
      <c r="V47" s="17"/>
      <c r="W47" s="17"/>
      <c r="X47" s="17"/>
      <c r="Y47" s="17"/>
      <c r="Z47" s="17"/>
    </row>
    <row r="48" ht="17.25" customHeight="1">
      <c r="A48" s="17"/>
      <c r="B48" s="61"/>
      <c r="C48" s="61"/>
      <c r="D48" s="61"/>
      <c r="E48" s="61"/>
      <c r="F48" s="61"/>
      <c r="G48" s="61"/>
      <c r="H48" s="61"/>
      <c r="I48" s="61"/>
      <c r="J48" s="61"/>
      <c r="K48" s="61"/>
      <c r="L48" s="61"/>
      <c r="M48" s="61"/>
      <c r="N48" s="61"/>
      <c r="O48" s="61"/>
      <c r="P48" s="61"/>
      <c r="Q48" s="61"/>
      <c r="R48" s="17"/>
      <c r="S48" s="17"/>
      <c r="T48" s="17"/>
      <c r="U48" s="17"/>
      <c r="V48" s="17"/>
      <c r="W48" s="17"/>
      <c r="X48" s="17"/>
      <c r="Y48" s="17"/>
      <c r="Z48" s="17"/>
    </row>
    <row r="49" ht="17.25" customHeight="1">
      <c r="A49" s="17"/>
      <c r="B49" s="61"/>
      <c r="C49" s="61"/>
      <c r="D49" s="61"/>
      <c r="E49" s="61"/>
      <c r="F49" s="61"/>
      <c r="G49" s="61"/>
      <c r="H49" s="61"/>
      <c r="I49" s="61"/>
      <c r="J49" s="61"/>
      <c r="K49" s="61"/>
      <c r="L49" s="61"/>
      <c r="M49" s="61"/>
      <c r="N49" s="61"/>
      <c r="O49" s="61"/>
      <c r="P49" s="61"/>
      <c r="Q49" s="61"/>
      <c r="R49" s="17"/>
      <c r="S49" s="17"/>
      <c r="T49" s="17"/>
      <c r="U49" s="17"/>
      <c r="V49" s="17"/>
      <c r="W49" s="17"/>
      <c r="X49" s="17"/>
      <c r="Y49" s="17"/>
      <c r="Z49" s="17"/>
    </row>
    <row r="50" ht="17.25" customHeight="1">
      <c r="A50" s="17"/>
      <c r="B50" s="61"/>
      <c r="C50" s="61"/>
      <c r="D50" s="61"/>
      <c r="E50" s="61"/>
      <c r="F50" s="61"/>
      <c r="G50" s="61"/>
      <c r="H50" s="61"/>
      <c r="I50" s="61"/>
      <c r="J50" s="61"/>
      <c r="K50" s="61"/>
      <c r="L50" s="61"/>
      <c r="M50" s="61"/>
      <c r="N50" s="61"/>
      <c r="O50" s="61"/>
      <c r="P50" s="61"/>
      <c r="Q50" s="61"/>
      <c r="R50" s="17"/>
      <c r="S50" s="17"/>
      <c r="T50" s="17"/>
      <c r="U50" s="17"/>
      <c r="V50" s="17"/>
      <c r="W50" s="17"/>
      <c r="X50" s="17"/>
      <c r="Y50" s="17"/>
      <c r="Z50" s="17"/>
    </row>
    <row r="51" ht="17.25" customHeight="1">
      <c r="A51" s="17"/>
      <c r="B51" s="61"/>
      <c r="C51" s="61"/>
      <c r="D51" s="61"/>
      <c r="E51" s="61"/>
      <c r="F51" s="61"/>
      <c r="G51" s="61"/>
      <c r="H51" s="61"/>
      <c r="I51" s="61"/>
      <c r="J51" s="61"/>
      <c r="K51" s="61"/>
      <c r="L51" s="61"/>
      <c r="M51" s="61"/>
      <c r="N51" s="61"/>
      <c r="O51" s="61"/>
      <c r="P51" s="61"/>
      <c r="Q51" s="61"/>
      <c r="R51" s="17"/>
      <c r="S51" s="17"/>
      <c r="T51" s="17"/>
      <c r="U51" s="17"/>
      <c r="V51" s="17"/>
      <c r="W51" s="17"/>
      <c r="X51" s="17"/>
      <c r="Y51" s="17"/>
      <c r="Z51" s="17"/>
    </row>
    <row r="52" ht="17.25" customHeight="1">
      <c r="A52" s="17"/>
      <c r="B52" s="61"/>
      <c r="C52" s="61"/>
      <c r="D52" s="61"/>
      <c r="E52" s="61"/>
      <c r="F52" s="61"/>
      <c r="G52" s="61"/>
      <c r="H52" s="61"/>
      <c r="I52" s="61"/>
      <c r="J52" s="61"/>
      <c r="K52" s="61"/>
      <c r="L52" s="61"/>
      <c r="M52" s="61"/>
      <c r="N52" s="61"/>
      <c r="O52" s="61"/>
      <c r="P52" s="61"/>
      <c r="Q52" s="61"/>
      <c r="R52" s="17"/>
      <c r="S52" s="17"/>
      <c r="T52" s="17"/>
      <c r="U52" s="17"/>
      <c r="V52" s="17"/>
      <c r="W52" s="17"/>
      <c r="X52" s="17"/>
      <c r="Y52" s="17"/>
      <c r="Z52" s="17"/>
    </row>
    <row r="53" ht="17.25" customHeight="1">
      <c r="A53" s="17"/>
      <c r="B53" s="61"/>
      <c r="C53" s="61"/>
      <c r="D53" s="61"/>
      <c r="E53" s="61"/>
      <c r="F53" s="61"/>
      <c r="G53" s="61"/>
      <c r="H53" s="61"/>
      <c r="I53" s="61"/>
      <c r="J53" s="61"/>
      <c r="K53" s="61"/>
      <c r="L53" s="61"/>
      <c r="M53" s="61"/>
      <c r="N53" s="61"/>
      <c r="O53" s="61"/>
      <c r="P53" s="61"/>
      <c r="Q53" s="61"/>
      <c r="R53" s="17"/>
      <c r="S53" s="17"/>
      <c r="T53" s="17"/>
      <c r="U53" s="17"/>
      <c r="V53" s="17"/>
      <c r="W53" s="17"/>
      <c r="X53" s="17"/>
      <c r="Y53" s="17"/>
      <c r="Z53" s="17"/>
    </row>
    <row r="54" ht="17.25" customHeight="1">
      <c r="A54" s="17"/>
      <c r="B54" s="61"/>
      <c r="C54" s="61"/>
      <c r="D54" s="61"/>
      <c r="E54" s="61"/>
      <c r="F54" s="61"/>
      <c r="G54" s="61"/>
      <c r="H54" s="61"/>
      <c r="I54" s="61"/>
      <c r="J54" s="61"/>
      <c r="K54" s="61"/>
      <c r="L54" s="61"/>
      <c r="M54" s="61"/>
      <c r="N54" s="61"/>
      <c r="O54" s="61"/>
      <c r="P54" s="61"/>
      <c r="Q54" s="61"/>
      <c r="R54" s="17"/>
      <c r="S54" s="17"/>
      <c r="T54" s="17"/>
      <c r="U54" s="17"/>
      <c r="V54" s="17"/>
      <c r="W54" s="17"/>
      <c r="X54" s="17"/>
      <c r="Y54" s="17"/>
      <c r="Z54" s="17"/>
    </row>
    <row r="55" ht="17.25" customHeight="1">
      <c r="A55" s="17"/>
      <c r="B55" s="61"/>
      <c r="C55" s="61"/>
      <c r="D55" s="61"/>
      <c r="E55" s="61"/>
      <c r="F55" s="61"/>
      <c r="G55" s="61"/>
      <c r="H55" s="61"/>
      <c r="I55" s="61"/>
      <c r="J55" s="61"/>
      <c r="K55" s="61"/>
      <c r="L55" s="61"/>
      <c r="M55" s="61"/>
      <c r="N55" s="61"/>
      <c r="O55" s="61"/>
      <c r="P55" s="61"/>
      <c r="Q55" s="61"/>
      <c r="R55" s="17"/>
      <c r="S55" s="17"/>
      <c r="T55" s="17"/>
      <c r="U55" s="17"/>
      <c r="V55" s="17"/>
      <c r="W55" s="17"/>
      <c r="X55" s="17"/>
      <c r="Y55" s="17"/>
      <c r="Z55" s="17"/>
    </row>
    <row r="56" ht="17.25" customHeight="1">
      <c r="A56" s="17"/>
      <c r="B56" s="61"/>
      <c r="C56" s="61"/>
      <c r="D56" s="61"/>
      <c r="E56" s="61"/>
      <c r="F56" s="61"/>
      <c r="G56" s="61"/>
      <c r="H56" s="61"/>
      <c r="I56" s="61"/>
      <c r="J56" s="61"/>
      <c r="K56" s="61"/>
      <c r="L56" s="61"/>
      <c r="M56" s="61"/>
      <c r="N56" s="61"/>
      <c r="O56" s="61"/>
      <c r="P56" s="61"/>
      <c r="Q56" s="61"/>
      <c r="R56" s="17"/>
      <c r="S56" s="17"/>
      <c r="T56" s="17"/>
      <c r="U56" s="17"/>
      <c r="V56" s="17"/>
      <c r="W56" s="17"/>
      <c r="X56" s="17"/>
      <c r="Y56" s="17"/>
      <c r="Z56" s="17"/>
    </row>
    <row r="57" ht="17.25" customHeight="1">
      <c r="A57" s="17"/>
      <c r="B57" s="61"/>
      <c r="C57" s="61"/>
      <c r="D57" s="61"/>
      <c r="E57" s="61"/>
      <c r="F57" s="61"/>
      <c r="G57" s="61"/>
      <c r="H57" s="61"/>
      <c r="I57" s="61"/>
      <c r="J57" s="61"/>
      <c r="K57" s="61"/>
      <c r="L57" s="61"/>
      <c r="M57" s="61"/>
      <c r="N57" s="61"/>
      <c r="O57" s="61"/>
      <c r="P57" s="61"/>
      <c r="Q57" s="61"/>
      <c r="R57" s="17"/>
      <c r="S57" s="17"/>
      <c r="T57" s="17"/>
      <c r="U57" s="17"/>
      <c r="V57" s="17"/>
      <c r="W57" s="17"/>
      <c r="X57" s="17"/>
      <c r="Y57" s="17"/>
      <c r="Z57" s="17"/>
    </row>
    <row r="58" ht="17.25" customHeight="1">
      <c r="A58" s="17"/>
      <c r="B58" s="61"/>
      <c r="C58" s="61"/>
      <c r="D58" s="61"/>
      <c r="E58" s="61"/>
      <c r="F58" s="61"/>
      <c r="G58" s="61"/>
      <c r="H58" s="61"/>
      <c r="I58" s="61"/>
      <c r="J58" s="61"/>
      <c r="K58" s="61"/>
      <c r="L58" s="61"/>
      <c r="M58" s="61"/>
      <c r="N58" s="61"/>
      <c r="O58" s="61"/>
      <c r="P58" s="61"/>
      <c r="Q58" s="61"/>
      <c r="R58" s="17"/>
      <c r="S58" s="17"/>
      <c r="T58" s="17"/>
      <c r="U58" s="17"/>
      <c r="V58" s="17"/>
      <c r="W58" s="17"/>
      <c r="X58" s="17"/>
      <c r="Y58" s="17"/>
      <c r="Z58" s="17"/>
    </row>
    <row r="59" ht="17.25" customHeight="1">
      <c r="A59" s="17"/>
      <c r="B59" s="61"/>
      <c r="C59" s="61"/>
      <c r="D59" s="61"/>
      <c r="E59" s="61"/>
      <c r="F59" s="61"/>
      <c r="G59" s="61"/>
      <c r="H59" s="61"/>
      <c r="I59" s="61"/>
      <c r="J59" s="61"/>
      <c r="K59" s="61"/>
      <c r="L59" s="61"/>
      <c r="M59" s="61"/>
      <c r="N59" s="61"/>
      <c r="O59" s="61"/>
      <c r="P59" s="61"/>
      <c r="Q59" s="61"/>
      <c r="R59" s="17"/>
      <c r="S59" s="17"/>
      <c r="T59" s="17"/>
      <c r="U59" s="17"/>
      <c r="V59" s="17"/>
      <c r="W59" s="17"/>
      <c r="X59" s="17"/>
      <c r="Y59" s="17"/>
      <c r="Z59" s="17"/>
    </row>
    <row r="60" ht="17.25" customHeight="1">
      <c r="A60" s="17"/>
      <c r="B60" s="61"/>
      <c r="C60" s="61"/>
      <c r="D60" s="61"/>
      <c r="E60" s="61"/>
      <c r="F60" s="61"/>
      <c r="G60" s="61"/>
      <c r="H60" s="61"/>
      <c r="I60" s="61"/>
      <c r="J60" s="61"/>
      <c r="K60" s="61"/>
      <c r="L60" s="61"/>
      <c r="M60" s="61"/>
      <c r="N60" s="61"/>
      <c r="O60" s="61"/>
      <c r="P60" s="61"/>
      <c r="Q60" s="61"/>
      <c r="R60" s="17"/>
      <c r="S60" s="17"/>
      <c r="T60" s="17"/>
      <c r="U60" s="17"/>
      <c r="V60" s="17"/>
      <c r="W60" s="17"/>
      <c r="X60" s="17"/>
      <c r="Y60" s="17"/>
      <c r="Z60" s="17"/>
    </row>
    <row r="61" ht="17.25" customHeight="1">
      <c r="A61" s="17"/>
      <c r="B61" s="61"/>
      <c r="C61" s="61"/>
      <c r="D61" s="61"/>
      <c r="E61" s="61"/>
      <c r="F61" s="61"/>
      <c r="G61" s="61"/>
      <c r="H61" s="61"/>
      <c r="I61" s="61"/>
      <c r="J61" s="61"/>
      <c r="K61" s="61"/>
      <c r="L61" s="61"/>
      <c r="M61" s="61"/>
      <c r="N61" s="61"/>
      <c r="O61" s="61"/>
      <c r="P61" s="61"/>
      <c r="Q61" s="61"/>
      <c r="R61" s="17"/>
      <c r="S61" s="17"/>
      <c r="T61" s="17"/>
      <c r="U61" s="17"/>
      <c r="V61" s="17"/>
      <c r="W61" s="17"/>
      <c r="X61" s="17"/>
      <c r="Y61" s="17"/>
      <c r="Z61" s="17"/>
    </row>
    <row r="62" ht="17.25" customHeight="1">
      <c r="A62" s="17"/>
      <c r="B62" s="61"/>
      <c r="C62" s="61"/>
      <c r="D62" s="61"/>
      <c r="E62" s="61"/>
      <c r="F62" s="61"/>
      <c r="G62" s="61"/>
      <c r="H62" s="61"/>
      <c r="I62" s="61"/>
      <c r="J62" s="61"/>
      <c r="K62" s="61"/>
      <c r="L62" s="61"/>
      <c r="M62" s="61"/>
      <c r="N62" s="61"/>
      <c r="O62" s="61"/>
      <c r="P62" s="61"/>
      <c r="Q62" s="61"/>
      <c r="R62" s="17"/>
      <c r="S62" s="17"/>
      <c r="T62" s="17"/>
      <c r="U62" s="17"/>
      <c r="V62" s="17"/>
      <c r="W62" s="17"/>
      <c r="X62" s="17"/>
      <c r="Y62" s="17"/>
      <c r="Z62" s="17"/>
    </row>
    <row r="63" ht="17.25" customHeight="1">
      <c r="A63" s="17"/>
      <c r="B63" s="61"/>
      <c r="C63" s="61"/>
      <c r="D63" s="61"/>
      <c r="E63" s="61"/>
      <c r="F63" s="61"/>
      <c r="G63" s="61"/>
      <c r="H63" s="61"/>
      <c r="I63" s="61"/>
      <c r="J63" s="61"/>
      <c r="K63" s="61"/>
      <c r="L63" s="61"/>
      <c r="M63" s="61"/>
      <c r="N63" s="61"/>
      <c r="O63" s="61"/>
      <c r="P63" s="61"/>
      <c r="Q63" s="61"/>
      <c r="R63" s="17"/>
      <c r="S63" s="17"/>
      <c r="T63" s="17"/>
      <c r="U63" s="17"/>
      <c r="V63" s="17"/>
      <c r="W63" s="17"/>
      <c r="X63" s="17"/>
      <c r="Y63" s="17"/>
      <c r="Z63" s="17"/>
    </row>
    <row r="64" ht="17.25" customHeight="1">
      <c r="A64" s="17"/>
      <c r="B64" s="61"/>
      <c r="C64" s="61"/>
      <c r="D64" s="61"/>
      <c r="E64" s="61"/>
      <c r="F64" s="61"/>
      <c r="G64" s="61"/>
      <c r="H64" s="61"/>
      <c r="I64" s="61"/>
      <c r="J64" s="61"/>
      <c r="K64" s="61"/>
      <c r="L64" s="61"/>
      <c r="M64" s="61"/>
      <c r="N64" s="61"/>
      <c r="O64" s="61"/>
      <c r="P64" s="61"/>
      <c r="Q64" s="61"/>
      <c r="R64" s="17"/>
      <c r="S64" s="17"/>
      <c r="T64" s="17"/>
      <c r="U64" s="17"/>
      <c r="V64" s="17"/>
      <c r="W64" s="17"/>
      <c r="X64" s="17"/>
      <c r="Y64" s="17"/>
      <c r="Z64" s="17"/>
    </row>
    <row r="65" ht="17.25" customHeight="1">
      <c r="A65" s="17"/>
      <c r="B65" s="61"/>
      <c r="C65" s="61"/>
      <c r="D65" s="61"/>
      <c r="E65" s="61"/>
      <c r="F65" s="61"/>
      <c r="G65" s="61"/>
      <c r="H65" s="61"/>
      <c r="I65" s="61"/>
      <c r="J65" s="61"/>
      <c r="K65" s="61"/>
      <c r="L65" s="61"/>
      <c r="M65" s="61"/>
      <c r="N65" s="61"/>
      <c r="O65" s="61"/>
      <c r="P65" s="61"/>
      <c r="Q65" s="61"/>
      <c r="R65" s="17"/>
      <c r="S65" s="17"/>
      <c r="T65" s="17"/>
      <c r="U65" s="17"/>
      <c r="V65" s="17"/>
      <c r="W65" s="17"/>
      <c r="X65" s="17"/>
      <c r="Y65" s="17"/>
      <c r="Z65" s="17"/>
    </row>
    <row r="66" ht="17.25" customHeight="1">
      <c r="A66" s="17"/>
      <c r="B66" s="61"/>
      <c r="C66" s="61"/>
      <c r="D66" s="61"/>
      <c r="E66" s="61"/>
      <c r="F66" s="61"/>
      <c r="G66" s="61"/>
      <c r="H66" s="61"/>
      <c r="I66" s="61"/>
      <c r="J66" s="61"/>
      <c r="K66" s="61"/>
      <c r="L66" s="61"/>
      <c r="M66" s="61"/>
      <c r="N66" s="61"/>
      <c r="O66" s="61"/>
      <c r="P66" s="61"/>
      <c r="Q66" s="61"/>
      <c r="R66" s="17"/>
      <c r="S66" s="17"/>
      <c r="T66" s="17"/>
      <c r="U66" s="17"/>
      <c r="V66" s="17"/>
      <c r="W66" s="17"/>
      <c r="X66" s="17"/>
      <c r="Y66" s="17"/>
      <c r="Z66" s="17"/>
    </row>
    <row r="67" ht="17.25" customHeight="1">
      <c r="A67" s="17"/>
      <c r="B67" s="61"/>
      <c r="C67" s="61"/>
      <c r="D67" s="61"/>
      <c r="E67" s="61"/>
      <c r="F67" s="61"/>
      <c r="G67" s="61"/>
      <c r="H67" s="61"/>
      <c r="I67" s="61"/>
      <c r="J67" s="61"/>
      <c r="K67" s="61"/>
      <c r="L67" s="61"/>
      <c r="M67" s="61"/>
      <c r="N67" s="61"/>
      <c r="O67" s="61"/>
      <c r="P67" s="61"/>
      <c r="Q67" s="61"/>
      <c r="R67" s="17"/>
      <c r="S67" s="17"/>
      <c r="T67" s="17"/>
      <c r="U67" s="17"/>
      <c r="V67" s="17"/>
      <c r="W67" s="17"/>
      <c r="X67" s="17"/>
      <c r="Y67" s="17"/>
      <c r="Z67" s="17"/>
    </row>
    <row r="68" ht="17.25" customHeight="1">
      <c r="A68" s="17"/>
      <c r="B68" s="61"/>
      <c r="C68" s="61"/>
      <c r="D68" s="61"/>
      <c r="E68" s="61"/>
      <c r="F68" s="61"/>
      <c r="G68" s="61"/>
      <c r="H68" s="61"/>
      <c r="I68" s="61"/>
      <c r="J68" s="61"/>
      <c r="K68" s="61"/>
      <c r="L68" s="61"/>
      <c r="M68" s="61"/>
      <c r="N68" s="61"/>
      <c r="O68" s="61"/>
      <c r="P68" s="61"/>
      <c r="Q68" s="61"/>
      <c r="R68" s="17"/>
      <c r="S68" s="17"/>
      <c r="T68" s="17"/>
      <c r="U68" s="17"/>
      <c r="V68" s="17"/>
      <c r="W68" s="17"/>
      <c r="X68" s="17"/>
      <c r="Y68" s="17"/>
      <c r="Z68" s="17"/>
    </row>
    <row r="69" ht="17.25" customHeight="1">
      <c r="A69" s="17"/>
      <c r="B69" s="61"/>
      <c r="C69" s="61"/>
      <c r="D69" s="61"/>
      <c r="E69" s="61"/>
      <c r="F69" s="61"/>
      <c r="G69" s="61"/>
      <c r="H69" s="61"/>
      <c r="I69" s="61"/>
      <c r="J69" s="61"/>
      <c r="K69" s="61"/>
      <c r="L69" s="61"/>
      <c r="M69" s="61"/>
      <c r="N69" s="61"/>
      <c r="O69" s="61"/>
      <c r="P69" s="61"/>
      <c r="Q69" s="61"/>
      <c r="R69" s="17"/>
      <c r="S69" s="17"/>
      <c r="T69" s="17"/>
      <c r="U69" s="17"/>
      <c r="V69" s="17"/>
      <c r="W69" s="17"/>
      <c r="X69" s="17"/>
      <c r="Y69" s="17"/>
      <c r="Z69" s="17"/>
    </row>
    <row r="70" ht="17.25" customHeight="1">
      <c r="A70" s="17"/>
      <c r="B70" s="61"/>
      <c r="C70" s="61"/>
      <c r="D70" s="61"/>
      <c r="E70" s="61"/>
      <c r="F70" s="61"/>
      <c r="G70" s="61"/>
      <c r="H70" s="61"/>
      <c r="I70" s="61"/>
      <c r="J70" s="61"/>
      <c r="K70" s="61"/>
      <c r="L70" s="61"/>
      <c r="M70" s="61"/>
      <c r="N70" s="61"/>
      <c r="O70" s="61"/>
      <c r="P70" s="61"/>
      <c r="Q70" s="61"/>
      <c r="R70" s="17"/>
      <c r="S70" s="17"/>
      <c r="T70" s="17"/>
      <c r="U70" s="17"/>
      <c r="V70" s="17"/>
      <c r="W70" s="17"/>
      <c r="X70" s="17"/>
      <c r="Y70" s="17"/>
      <c r="Z70" s="17"/>
    </row>
    <row r="71" ht="17.25" customHeight="1">
      <c r="A71" s="17"/>
      <c r="B71" s="61"/>
      <c r="C71" s="61"/>
      <c r="D71" s="61"/>
      <c r="E71" s="61"/>
      <c r="F71" s="61"/>
      <c r="G71" s="61"/>
      <c r="H71" s="61"/>
      <c r="I71" s="61"/>
      <c r="J71" s="61"/>
      <c r="K71" s="61"/>
      <c r="L71" s="61"/>
      <c r="M71" s="61"/>
      <c r="N71" s="61"/>
      <c r="O71" s="61"/>
      <c r="P71" s="61"/>
      <c r="Q71" s="61"/>
      <c r="R71" s="17"/>
      <c r="S71" s="17"/>
      <c r="T71" s="17"/>
      <c r="U71" s="17"/>
      <c r="V71" s="17"/>
      <c r="W71" s="17"/>
      <c r="X71" s="17"/>
      <c r="Y71" s="17"/>
      <c r="Z71" s="17"/>
    </row>
    <row r="72" ht="17.25" customHeight="1">
      <c r="A72" s="17"/>
      <c r="B72" s="61"/>
      <c r="C72" s="61"/>
      <c r="D72" s="61"/>
      <c r="E72" s="61"/>
      <c r="F72" s="61"/>
      <c r="G72" s="61"/>
      <c r="H72" s="61"/>
      <c r="I72" s="61"/>
      <c r="J72" s="61"/>
      <c r="K72" s="61"/>
      <c r="L72" s="61"/>
      <c r="M72" s="61"/>
      <c r="N72" s="61"/>
      <c r="O72" s="61"/>
      <c r="P72" s="61"/>
      <c r="Q72" s="61"/>
      <c r="R72" s="17"/>
      <c r="S72" s="17"/>
      <c r="T72" s="17"/>
      <c r="U72" s="17"/>
      <c r="V72" s="17"/>
      <c r="W72" s="17"/>
      <c r="X72" s="17"/>
      <c r="Y72" s="17"/>
      <c r="Z72" s="17"/>
    </row>
    <row r="73" ht="17.25" customHeight="1">
      <c r="A73" s="17"/>
      <c r="B73" s="61"/>
      <c r="C73" s="61"/>
      <c r="D73" s="61"/>
      <c r="E73" s="61"/>
      <c r="F73" s="61"/>
      <c r="G73" s="61"/>
      <c r="H73" s="61"/>
      <c r="I73" s="61"/>
      <c r="J73" s="61"/>
      <c r="K73" s="61"/>
      <c r="L73" s="61"/>
      <c r="M73" s="61"/>
      <c r="N73" s="61"/>
      <c r="O73" s="61"/>
      <c r="P73" s="61"/>
      <c r="Q73" s="61"/>
      <c r="R73" s="17"/>
      <c r="S73" s="17"/>
      <c r="T73" s="17"/>
      <c r="U73" s="17"/>
      <c r="V73" s="17"/>
      <c r="W73" s="17"/>
      <c r="X73" s="17"/>
      <c r="Y73" s="17"/>
      <c r="Z73" s="17"/>
    </row>
    <row r="74" ht="17.25" customHeight="1">
      <c r="A74" s="17"/>
      <c r="B74" s="61"/>
      <c r="C74" s="61"/>
      <c r="D74" s="61"/>
      <c r="E74" s="61"/>
      <c r="F74" s="61"/>
      <c r="G74" s="61"/>
      <c r="H74" s="61"/>
      <c r="I74" s="61"/>
      <c r="J74" s="61"/>
      <c r="K74" s="61"/>
      <c r="L74" s="61"/>
      <c r="M74" s="61"/>
      <c r="N74" s="61"/>
      <c r="O74" s="61"/>
      <c r="P74" s="61"/>
      <c r="Q74" s="61"/>
      <c r="R74" s="17"/>
      <c r="S74" s="17"/>
      <c r="T74" s="17"/>
      <c r="U74" s="17"/>
      <c r="V74" s="17"/>
      <c r="W74" s="17"/>
      <c r="X74" s="17"/>
      <c r="Y74" s="17"/>
      <c r="Z74" s="17"/>
    </row>
    <row r="75" ht="17.25" customHeight="1">
      <c r="A75" s="17"/>
      <c r="B75" s="61"/>
      <c r="C75" s="61"/>
      <c r="D75" s="61"/>
      <c r="E75" s="61"/>
      <c r="F75" s="61"/>
      <c r="G75" s="61"/>
      <c r="H75" s="61"/>
      <c r="I75" s="61"/>
      <c r="J75" s="61"/>
      <c r="K75" s="61"/>
      <c r="L75" s="61"/>
      <c r="M75" s="61"/>
      <c r="N75" s="61"/>
      <c r="O75" s="61"/>
      <c r="P75" s="61"/>
      <c r="Q75" s="61"/>
      <c r="R75" s="17"/>
      <c r="S75" s="17"/>
      <c r="T75" s="17"/>
      <c r="U75" s="17"/>
      <c r="V75" s="17"/>
      <c r="W75" s="17"/>
      <c r="X75" s="17"/>
      <c r="Y75" s="17"/>
      <c r="Z75" s="17"/>
    </row>
    <row r="76" ht="17.25" customHeight="1">
      <c r="A76" s="17"/>
      <c r="B76" s="61"/>
      <c r="C76" s="61"/>
      <c r="D76" s="61"/>
      <c r="E76" s="61"/>
      <c r="F76" s="61"/>
      <c r="G76" s="61"/>
      <c r="H76" s="61"/>
      <c r="I76" s="61"/>
      <c r="J76" s="61"/>
      <c r="K76" s="61"/>
      <c r="L76" s="61"/>
      <c r="M76" s="61"/>
      <c r="N76" s="61"/>
      <c r="O76" s="61"/>
      <c r="P76" s="61"/>
      <c r="Q76" s="61"/>
      <c r="R76" s="17"/>
      <c r="S76" s="17"/>
      <c r="T76" s="17"/>
      <c r="U76" s="17"/>
      <c r="V76" s="17"/>
      <c r="W76" s="17"/>
      <c r="X76" s="17"/>
      <c r="Y76" s="17"/>
      <c r="Z76" s="17"/>
    </row>
    <row r="77" ht="17.25" customHeight="1">
      <c r="A77" s="17"/>
      <c r="B77" s="61"/>
      <c r="C77" s="61"/>
      <c r="D77" s="61"/>
      <c r="E77" s="61"/>
      <c r="F77" s="61"/>
      <c r="G77" s="61"/>
      <c r="H77" s="61"/>
      <c r="I77" s="61"/>
      <c r="J77" s="61"/>
      <c r="K77" s="61"/>
      <c r="L77" s="61"/>
      <c r="M77" s="61"/>
      <c r="N77" s="61"/>
      <c r="O77" s="61"/>
      <c r="P77" s="61"/>
      <c r="Q77" s="61"/>
      <c r="R77" s="17"/>
      <c r="S77" s="17"/>
      <c r="T77" s="17"/>
      <c r="U77" s="17"/>
      <c r="V77" s="17"/>
      <c r="W77" s="17"/>
      <c r="X77" s="17"/>
      <c r="Y77" s="17"/>
      <c r="Z77" s="17"/>
    </row>
    <row r="78" ht="17.25" customHeight="1">
      <c r="A78" s="17"/>
      <c r="B78" s="61"/>
      <c r="C78" s="61"/>
      <c r="D78" s="61"/>
      <c r="E78" s="61"/>
      <c r="F78" s="61"/>
      <c r="G78" s="61"/>
      <c r="H78" s="61"/>
      <c r="I78" s="61"/>
      <c r="J78" s="61"/>
      <c r="K78" s="61"/>
      <c r="L78" s="61"/>
      <c r="M78" s="61"/>
      <c r="N78" s="61"/>
      <c r="O78" s="61"/>
      <c r="P78" s="61"/>
      <c r="Q78" s="61"/>
      <c r="R78" s="17"/>
      <c r="S78" s="17"/>
      <c r="T78" s="17"/>
      <c r="U78" s="17"/>
      <c r="V78" s="17"/>
      <c r="W78" s="17"/>
      <c r="X78" s="17"/>
      <c r="Y78" s="17"/>
      <c r="Z78" s="17"/>
    </row>
    <row r="79" ht="17.25" customHeight="1">
      <c r="A79" s="17"/>
      <c r="B79" s="61"/>
      <c r="C79" s="61"/>
      <c r="D79" s="61"/>
      <c r="E79" s="61"/>
      <c r="F79" s="61"/>
      <c r="G79" s="61"/>
      <c r="H79" s="61"/>
      <c r="I79" s="61"/>
      <c r="J79" s="61"/>
      <c r="K79" s="61"/>
      <c r="L79" s="61"/>
      <c r="M79" s="61"/>
      <c r="N79" s="61"/>
      <c r="O79" s="61"/>
      <c r="P79" s="61"/>
      <c r="Q79" s="61"/>
      <c r="R79" s="17"/>
      <c r="S79" s="17"/>
      <c r="T79" s="17"/>
      <c r="U79" s="17"/>
      <c r="V79" s="17"/>
      <c r="W79" s="17"/>
      <c r="X79" s="17"/>
      <c r="Y79" s="17"/>
      <c r="Z79" s="17"/>
    </row>
    <row r="80" ht="17.25" customHeight="1">
      <c r="A80" s="17"/>
      <c r="B80" s="61"/>
      <c r="C80" s="61"/>
      <c r="D80" s="61"/>
      <c r="E80" s="61"/>
      <c r="F80" s="61"/>
      <c r="G80" s="61"/>
      <c r="H80" s="61"/>
      <c r="I80" s="61"/>
      <c r="J80" s="61"/>
      <c r="K80" s="61"/>
      <c r="L80" s="61"/>
      <c r="M80" s="61"/>
      <c r="N80" s="61"/>
      <c r="O80" s="61"/>
      <c r="P80" s="61"/>
      <c r="Q80" s="61"/>
      <c r="R80" s="17"/>
      <c r="S80" s="17"/>
      <c r="T80" s="17"/>
      <c r="U80" s="17"/>
      <c r="V80" s="17"/>
      <c r="W80" s="17"/>
      <c r="X80" s="17"/>
      <c r="Y80" s="17"/>
      <c r="Z80" s="17"/>
    </row>
    <row r="81" ht="17.25" customHeight="1">
      <c r="A81" s="17"/>
      <c r="B81" s="61"/>
      <c r="C81" s="61"/>
      <c r="D81" s="61"/>
      <c r="E81" s="61"/>
      <c r="F81" s="61"/>
      <c r="G81" s="61"/>
      <c r="H81" s="61"/>
      <c r="I81" s="61"/>
      <c r="J81" s="61"/>
      <c r="K81" s="61"/>
      <c r="L81" s="61"/>
      <c r="M81" s="61"/>
      <c r="N81" s="61"/>
      <c r="O81" s="61"/>
      <c r="P81" s="61"/>
      <c r="Q81" s="61"/>
      <c r="R81" s="17"/>
      <c r="S81" s="17"/>
      <c r="T81" s="17"/>
      <c r="U81" s="17"/>
      <c r="V81" s="17"/>
      <c r="W81" s="17"/>
      <c r="X81" s="17"/>
      <c r="Y81" s="17"/>
      <c r="Z81" s="17"/>
    </row>
    <row r="82" ht="17.25" customHeight="1">
      <c r="A82" s="17"/>
      <c r="B82" s="61"/>
      <c r="C82" s="61"/>
      <c r="D82" s="61"/>
      <c r="E82" s="61"/>
      <c r="F82" s="61"/>
      <c r="G82" s="61"/>
      <c r="H82" s="61"/>
      <c r="I82" s="61"/>
      <c r="J82" s="61"/>
      <c r="K82" s="61"/>
      <c r="L82" s="61"/>
      <c r="M82" s="61"/>
      <c r="N82" s="61"/>
      <c r="O82" s="61"/>
      <c r="P82" s="61"/>
      <c r="Q82" s="61"/>
      <c r="R82" s="17"/>
      <c r="S82" s="17"/>
      <c r="T82" s="17"/>
      <c r="U82" s="17"/>
      <c r="V82" s="17"/>
      <c r="W82" s="17"/>
      <c r="X82" s="17"/>
      <c r="Y82" s="17"/>
      <c r="Z82" s="17"/>
    </row>
    <row r="83" ht="17.25" customHeight="1">
      <c r="A83" s="17"/>
      <c r="B83" s="61"/>
      <c r="C83" s="61"/>
      <c r="D83" s="61"/>
      <c r="E83" s="61"/>
      <c r="F83" s="61"/>
      <c r="G83" s="61"/>
      <c r="H83" s="61"/>
      <c r="I83" s="61"/>
      <c r="J83" s="61"/>
      <c r="K83" s="61"/>
      <c r="L83" s="61"/>
      <c r="M83" s="61"/>
      <c r="N83" s="61"/>
      <c r="O83" s="61"/>
      <c r="P83" s="61"/>
      <c r="Q83" s="61"/>
      <c r="R83" s="17"/>
      <c r="S83" s="17"/>
      <c r="T83" s="17"/>
      <c r="U83" s="17"/>
      <c r="V83" s="17"/>
      <c r="W83" s="17"/>
      <c r="X83" s="17"/>
      <c r="Y83" s="17"/>
      <c r="Z83" s="17"/>
    </row>
    <row r="84" ht="17.25" customHeight="1">
      <c r="A84" s="17"/>
      <c r="B84" s="61"/>
      <c r="C84" s="61"/>
      <c r="D84" s="61"/>
      <c r="E84" s="61"/>
      <c r="F84" s="61"/>
      <c r="G84" s="61"/>
      <c r="H84" s="61"/>
      <c r="I84" s="61"/>
      <c r="J84" s="61"/>
      <c r="K84" s="61"/>
      <c r="L84" s="61"/>
      <c r="M84" s="61"/>
      <c r="N84" s="61"/>
      <c r="O84" s="61"/>
      <c r="P84" s="61"/>
      <c r="Q84" s="61"/>
      <c r="R84" s="17"/>
      <c r="S84" s="17"/>
      <c r="T84" s="17"/>
      <c r="U84" s="17"/>
      <c r="V84" s="17"/>
      <c r="W84" s="17"/>
      <c r="X84" s="17"/>
      <c r="Y84" s="17"/>
      <c r="Z84" s="17"/>
    </row>
    <row r="85" ht="17.25" customHeight="1">
      <c r="A85" s="17"/>
      <c r="B85" s="61"/>
      <c r="C85" s="61"/>
      <c r="D85" s="61"/>
      <c r="E85" s="61"/>
      <c r="F85" s="61"/>
      <c r="G85" s="61"/>
      <c r="H85" s="61"/>
      <c r="I85" s="61"/>
      <c r="J85" s="61"/>
      <c r="K85" s="61"/>
      <c r="L85" s="61"/>
      <c r="M85" s="61"/>
      <c r="N85" s="61"/>
      <c r="O85" s="61"/>
      <c r="P85" s="61"/>
      <c r="Q85" s="61"/>
      <c r="R85" s="17"/>
      <c r="S85" s="17"/>
      <c r="T85" s="17"/>
      <c r="U85" s="17"/>
      <c r="V85" s="17"/>
      <c r="W85" s="17"/>
      <c r="X85" s="17"/>
      <c r="Y85" s="17"/>
      <c r="Z85" s="17"/>
    </row>
    <row r="86" ht="17.25" customHeight="1">
      <c r="A86" s="17"/>
      <c r="B86" s="61"/>
      <c r="C86" s="61"/>
      <c r="D86" s="61"/>
      <c r="E86" s="61"/>
      <c r="F86" s="61"/>
      <c r="G86" s="61"/>
      <c r="H86" s="61"/>
      <c r="I86" s="61"/>
      <c r="J86" s="61"/>
      <c r="K86" s="61"/>
      <c r="L86" s="61"/>
      <c r="M86" s="61"/>
      <c r="N86" s="61"/>
      <c r="O86" s="61"/>
      <c r="P86" s="61"/>
      <c r="Q86" s="61"/>
      <c r="R86" s="17"/>
      <c r="S86" s="17"/>
      <c r="T86" s="17"/>
      <c r="U86" s="17"/>
      <c r="V86" s="17"/>
      <c r="W86" s="17"/>
      <c r="X86" s="17"/>
      <c r="Y86" s="17"/>
      <c r="Z86" s="17"/>
    </row>
    <row r="87" ht="17.25" customHeight="1">
      <c r="A87" s="17"/>
      <c r="B87" s="61"/>
      <c r="C87" s="61"/>
      <c r="D87" s="61"/>
      <c r="E87" s="61"/>
      <c r="F87" s="61"/>
      <c r="G87" s="61"/>
      <c r="H87" s="61"/>
      <c r="I87" s="61"/>
      <c r="J87" s="61"/>
      <c r="K87" s="61"/>
      <c r="L87" s="61"/>
      <c r="M87" s="61"/>
      <c r="N87" s="61"/>
      <c r="O87" s="61"/>
      <c r="P87" s="61"/>
      <c r="Q87" s="61"/>
      <c r="R87" s="17"/>
      <c r="S87" s="17"/>
      <c r="T87" s="17"/>
      <c r="U87" s="17"/>
      <c r="V87" s="17"/>
      <c r="W87" s="17"/>
      <c r="X87" s="17"/>
      <c r="Y87" s="17"/>
      <c r="Z87" s="17"/>
    </row>
    <row r="88" ht="17.25" customHeight="1">
      <c r="A88" s="17"/>
      <c r="B88" s="61"/>
      <c r="C88" s="61"/>
      <c r="D88" s="61"/>
      <c r="E88" s="61"/>
      <c r="F88" s="61"/>
      <c r="G88" s="61"/>
      <c r="H88" s="61"/>
      <c r="I88" s="61"/>
      <c r="J88" s="61"/>
      <c r="K88" s="61"/>
      <c r="L88" s="61"/>
      <c r="M88" s="61"/>
      <c r="N88" s="61"/>
      <c r="O88" s="61"/>
      <c r="P88" s="61"/>
      <c r="Q88" s="61"/>
      <c r="R88" s="17"/>
      <c r="S88" s="17"/>
      <c r="T88" s="17"/>
      <c r="U88" s="17"/>
      <c r="V88" s="17"/>
      <c r="W88" s="17"/>
      <c r="X88" s="17"/>
      <c r="Y88" s="17"/>
      <c r="Z88" s="17"/>
    </row>
    <row r="89" ht="17.25" customHeight="1">
      <c r="A89" s="17"/>
      <c r="B89" s="61"/>
      <c r="C89" s="61"/>
      <c r="D89" s="61"/>
      <c r="E89" s="61"/>
      <c r="F89" s="61"/>
      <c r="G89" s="61"/>
      <c r="H89" s="61"/>
      <c r="I89" s="61"/>
      <c r="J89" s="61"/>
      <c r="K89" s="61"/>
      <c r="L89" s="61"/>
      <c r="M89" s="61"/>
      <c r="N89" s="61"/>
      <c r="O89" s="61"/>
      <c r="P89" s="61"/>
      <c r="Q89" s="61"/>
      <c r="R89" s="17"/>
      <c r="S89" s="17"/>
      <c r="T89" s="17"/>
      <c r="U89" s="17"/>
      <c r="V89" s="17"/>
      <c r="W89" s="17"/>
      <c r="X89" s="17"/>
      <c r="Y89" s="17"/>
      <c r="Z89" s="17"/>
    </row>
    <row r="90" ht="17.25" customHeight="1">
      <c r="A90" s="17"/>
      <c r="B90" s="61"/>
      <c r="C90" s="61"/>
      <c r="D90" s="61"/>
      <c r="E90" s="61"/>
      <c r="F90" s="61"/>
      <c r="G90" s="61"/>
      <c r="H90" s="61"/>
      <c r="I90" s="61"/>
      <c r="J90" s="61"/>
      <c r="K90" s="61"/>
      <c r="L90" s="61"/>
      <c r="M90" s="61"/>
      <c r="N90" s="61"/>
      <c r="O90" s="61"/>
      <c r="P90" s="61"/>
      <c r="Q90" s="61"/>
      <c r="R90" s="17"/>
      <c r="S90" s="17"/>
      <c r="T90" s="17"/>
      <c r="U90" s="17"/>
      <c r="V90" s="17"/>
      <c r="W90" s="17"/>
      <c r="X90" s="17"/>
      <c r="Y90" s="17"/>
      <c r="Z90" s="17"/>
    </row>
    <row r="91" ht="17.25" customHeight="1">
      <c r="A91" s="17"/>
      <c r="B91" s="61"/>
      <c r="C91" s="61"/>
      <c r="D91" s="61"/>
      <c r="E91" s="61"/>
      <c r="F91" s="61"/>
      <c r="G91" s="61"/>
      <c r="H91" s="61"/>
      <c r="I91" s="61"/>
      <c r="J91" s="61"/>
      <c r="K91" s="61"/>
      <c r="L91" s="61"/>
      <c r="M91" s="61"/>
      <c r="N91" s="61"/>
      <c r="O91" s="61"/>
      <c r="P91" s="61"/>
      <c r="Q91" s="61"/>
      <c r="R91" s="17"/>
      <c r="S91" s="17"/>
      <c r="T91" s="17"/>
      <c r="U91" s="17"/>
      <c r="V91" s="17"/>
      <c r="W91" s="17"/>
      <c r="X91" s="17"/>
      <c r="Y91" s="17"/>
      <c r="Z91" s="17"/>
    </row>
    <row r="92" ht="17.25" customHeight="1">
      <c r="A92" s="17"/>
      <c r="B92" s="61"/>
      <c r="C92" s="61"/>
      <c r="D92" s="61"/>
      <c r="E92" s="61"/>
      <c r="F92" s="61"/>
      <c r="G92" s="61"/>
      <c r="H92" s="61"/>
      <c r="I92" s="61"/>
      <c r="J92" s="61"/>
      <c r="K92" s="61"/>
      <c r="L92" s="61"/>
      <c r="M92" s="61"/>
      <c r="N92" s="61"/>
      <c r="O92" s="61"/>
      <c r="P92" s="61"/>
      <c r="Q92" s="61"/>
      <c r="R92" s="17"/>
      <c r="S92" s="17"/>
      <c r="T92" s="17"/>
      <c r="U92" s="17"/>
      <c r="V92" s="17"/>
      <c r="W92" s="17"/>
      <c r="X92" s="17"/>
      <c r="Y92" s="17"/>
      <c r="Z92" s="17"/>
    </row>
    <row r="93" ht="17.25" customHeight="1">
      <c r="A93" s="17"/>
      <c r="B93" s="61"/>
      <c r="C93" s="61"/>
      <c r="D93" s="61"/>
      <c r="E93" s="61"/>
      <c r="F93" s="61"/>
      <c r="G93" s="61"/>
      <c r="H93" s="61"/>
      <c r="I93" s="61"/>
      <c r="J93" s="61"/>
      <c r="K93" s="61"/>
      <c r="L93" s="61"/>
      <c r="M93" s="61"/>
      <c r="N93" s="61"/>
      <c r="O93" s="61"/>
      <c r="P93" s="61"/>
      <c r="Q93" s="61"/>
      <c r="R93" s="17"/>
      <c r="S93" s="17"/>
      <c r="T93" s="17"/>
      <c r="U93" s="17"/>
      <c r="V93" s="17"/>
      <c r="W93" s="17"/>
      <c r="X93" s="17"/>
      <c r="Y93" s="17"/>
      <c r="Z93" s="17"/>
    </row>
    <row r="94" ht="17.25" customHeight="1">
      <c r="A94" s="17"/>
      <c r="B94" s="61"/>
      <c r="C94" s="61"/>
      <c r="D94" s="61"/>
      <c r="E94" s="61"/>
      <c r="F94" s="61"/>
      <c r="G94" s="61"/>
      <c r="H94" s="61"/>
      <c r="I94" s="61"/>
      <c r="J94" s="61"/>
      <c r="K94" s="61"/>
      <c r="L94" s="61"/>
      <c r="M94" s="61"/>
      <c r="N94" s="61"/>
      <c r="O94" s="61"/>
      <c r="P94" s="61"/>
      <c r="Q94" s="61"/>
      <c r="R94" s="17"/>
      <c r="S94" s="17"/>
      <c r="T94" s="17"/>
      <c r="U94" s="17"/>
      <c r="V94" s="17"/>
      <c r="W94" s="17"/>
      <c r="X94" s="17"/>
      <c r="Y94" s="17"/>
      <c r="Z94" s="17"/>
    </row>
    <row r="95" ht="17.25" customHeight="1">
      <c r="A95" s="17"/>
      <c r="B95" s="61"/>
      <c r="C95" s="61"/>
      <c r="D95" s="61"/>
      <c r="E95" s="61"/>
      <c r="F95" s="61"/>
      <c r="G95" s="61"/>
      <c r="H95" s="61"/>
      <c r="I95" s="61"/>
      <c r="J95" s="61"/>
      <c r="K95" s="61"/>
      <c r="L95" s="61"/>
      <c r="M95" s="61"/>
      <c r="N95" s="61"/>
      <c r="O95" s="61"/>
      <c r="P95" s="61"/>
      <c r="Q95" s="61"/>
      <c r="R95" s="17"/>
      <c r="S95" s="17"/>
      <c r="T95" s="17"/>
      <c r="U95" s="17"/>
      <c r="V95" s="17"/>
      <c r="W95" s="17"/>
      <c r="X95" s="17"/>
      <c r="Y95" s="17"/>
      <c r="Z95" s="17"/>
    </row>
    <row r="96" ht="17.25" customHeight="1">
      <c r="A96" s="17"/>
      <c r="B96" s="61"/>
      <c r="C96" s="61"/>
      <c r="D96" s="61"/>
      <c r="E96" s="61"/>
      <c r="F96" s="61"/>
      <c r="G96" s="61"/>
      <c r="H96" s="61"/>
      <c r="I96" s="61"/>
      <c r="J96" s="61"/>
      <c r="K96" s="61"/>
      <c r="L96" s="61"/>
      <c r="M96" s="61"/>
      <c r="N96" s="61"/>
      <c r="O96" s="61"/>
      <c r="P96" s="61"/>
      <c r="Q96" s="61"/>
      <c r="R96" s="17"/>
      <c r="S96" s="17"/>
      <c r="T96" s="17"/>
      <c r="U96" s="17"/>
      <c r="V96" s="17"/>
      <c r="W96" s="17"/>
      <c r="X96" s="17"/>
      <c r="Y96" s="17"/>
      <c r="Z96" s="17"/>
    </row>
    <row r="97" ht="17.25" customHeight="1">
      <c r="A97" s="17"/>
      <c r="B97" s="61"/>
      <c r="C97" s="61"/>
      <c r="D97" s="61"/>
      <c r="E97" s="61"/>
      <c r="F97" s="61"/>
      <c r="G97" s="61"/>
      <c r="H97" s="61"/>
      <c r="I97" s="61"/>
      <c r="J97" s="61"/>
      <c r="K97" s="61"/>
      <c r="L97" s="61"/>
      <c r="M97" s="61"/>
      <c r="N97" s="61"/>
      <c r="O97" s="61"/>
      <c r="P97" s="61"/>
      <c r="Q97" s="61"/>
      <c r="R97" s="17"/>
      <c r="S97" s="17"/>
      <c r="T97" s="17"/>
      <c r="U97" s="17"/>
      <c r="V97" s="17"/>
      <c r="W97" s="17"/>
      <c r="X97" s="17"/>
      <c r="Y97" s="17"/>
      <c r="Z97" s="17"/>
    </row>
    <row r="98" ht="17.25" customHeight="1">
      <c r="A98" s="17"/>
      <c r="B98" s="61"/>
      <c r="C98" s="61"/>
      <c r="D98" s="61"/>
      <c r="E98" s="61"/>
      <c r="F98" s="61"/>
      <c r="G98" s="61"/>
      <c r="H98" s="61"/>
      <c r="I98" s="61"/>
      <c r="J98" s="61"/>
      <c r="K98" s="61"/>
      <c r="L98" s="61"/>
      <c r="M98" s="61"/>
      <c r="N98" s="61"/>
      <c r="O98" s="61"/>
      <c r="P98" s="61"/>
      <c r="Q98" s="61"/>
      <c r="R98" s="17"/>
      <c r="S98" s="17"/>
      <c r="T98" s="17"/>
      <c r="U98" s="17"/>
      <c r="V98" s="17"/>
      <c r="W98" s="17"/>
      <c r="X98" s="17"/>
      <c r="Y98" s="17"/>
      <c r="Z98" s="17"/>
    </row>
    <row r="99" ht="17.25" customHeight="1">
      <c r="A99" s="17"/>
      <c r="B99" s="61"/>
      <c r="C99" s="61"/>
      <c r="D99" s="61"/>
      <c r="E99" s="61"/>
      <c r="F99" s="61"/>
      <c r="G99" s="61"/>
      <c r="H99" s="61"/>
      <c r="I99" s="61"/>
      <c r="J99" s="61"/>
      <c r="K99" s="61"/>
      <c r="L99" s="61"/>
      <c r="M99" s="61"/>
      <c r="N99" s="61"/>
      <c r="O99" s="61"/>
      <c r="P99" s="61"/>
      <c r="Q99" s="61"/>
      <c r="R99" s="17"/>
      <c r="S99" s="17"/>
      <c r="T99" s="17"/>
      <c r="U99" s="17"/>
      <c r="V99" s="17"/>
      <c r="W99" s="17"/>
      <c r="X99" s="17"/>
      <c r="Y99" s="17"/>
      <c r="Z99" s="17"/>
    </row>
    <row r="100" ht="17.25" customHeight="1">
      <c r="A100" s="17"/>
      <c r="B100" s="61"/>
      <c r="C100" s="61"/>
      <c r="D100" s="61"/>
      <c r="E100" s="61"/>
      <c r="F100" s="61"/>
      <c r="G100" s="61"/>
      <c r="H100" s="61"/>
      <c r="I100" s="61"/>
      <c r="J100" s="61"/>
      <c r="K100" s="61"/>
      <c r="L100" s="61"/>
      <c r="M100" s="61"/>
      <c r="N100" s="61"/>
      <c r="O100" s="61"/>
      <c r="P100" s="61"/>
      <c r="Q100" s="61"/>
      <c r="R100" s="17"/>
      <c r="S100" s="17"/>
      <c r="T100" s="17"/>
      <c r="U100" s="17"/>
      <c r="V100" s="17"/>
      <c r="W100" s="17"/>
      <c r="X100" s="17"/>
      <c r="Y100" s="17"/>
      <c r="Z100" s="17"/>
    </row>
    <row r="101" ht="17.25" customHeight="1">
      <c r="A101" s="17"/>
      <c r="B101" s="61"/>
      <c r="C101" s="61"/>
      <c r="D101" s="61"/>
      <c r="E101" s="61"/>
      <c r="F101" s="61"/>
      <c r="G101" s="61"/>
      <c r="H101" s="61"/>
      <c r="I101" s="61"/>
      <c r="J101" s="61"/>
      <c r="K101" s="61"/>
      <c r="L101" s="61"/>
      <c r="M101" s="61"/>
      <c r="N101" s="61"/>
      <c r="O101" s="61"/>
      <c r="P101" s="61"/>
      <c r="Q101" s="61"/>
      <c r="R101" s="17"/>
      <c r="S101" s="17"/>
      <c r="T101" s="17"/>
      <c r="U101" s="17"/>
      <c r="V101" s="17"/>
      <c r="W101" s="17"/>
      <c r="X101" s="17"/>
      <c r="Y101" s="17"/>
      <c r="Z101" s="17"/>
    </row>
    <row r="102" ht="17.25" customHeight="1">
      <c r="A102" s="17"/>
      <c r="B102" s="61"/>
      <c r="C102" s="61"/>
      <c r="D102" s="61"/>
      <c r="E102" s="61"/>
      <c r="F102" s="61"/>
      <c r="G102" s="61"/>
      <c r="H102" s="61"/>
      <c r="I102" s="61"/>
      <c r="J102" s="61"/>
      <c r="K102" s="61"/>
      <c r="L102" s="61"/>
      <c r="M102" s="61"/>
      <c r="N102" s="61"/>
      <c r="O102" s="61"/>
      <c r="P102" s="61"/>
      <c r="Q102" s="61"/>
      <c r="R102" s="17"/>
      <c r="S102" s="17"/>
      <c r="T102" s="17"/>
      <c r="U102" s="17"/>
      <c r="V102" s="17"/>
      <c r="W102" s="17"/>
      <c r="X102" s="17"/>
      <c r="Y102" s="17"/>
      <c r="Z102" s="17"/>
    </row>
    <row r="103" ht="17.25" customHeight="1">
      <c r="A103" s="17"/>
      <c r="B103" s="61"/>
      <c r="C103" s="61"/>
      <c r="D103" s="61"/>
      <c r="E103" s="61"/>
      <c r="F103" s="61"/>
      <c r="G103" s="61"/>
      <c r="H103" s="61"/>
      <c r="I103" s="61"/>
      <c r="J103" s="61"/>
      <c r="K103" s="61"/>
      <c r="L103" s="61"/>
      <c r="M103" s="61"/>
      <c r="N103" s="61"/>
      <c r="O103" s="61"/>
      <c r="P103" s="61"/>
      <c r="Q103" s="61"/>
      <c r="R103" s="17"/>
      <c r="S103" s="17"/>
      <c r="T103" s="17"/>
      <c r="U103" s="17"/>
      <c r="V103" s="17"/>
      <c r="W103" s="17"/>
      <c r="X103" s="17"/>
      <c r="Y103" s="17"/>
      <c r="Z103" s="17"/>
    </row>
    <row r="104" ht="17.25" customHeight="1">
      <c r="A104" s="17"/>
      <c r="B104" s="61"/>
      <c r="C104" s="61"/>
      <c r="D104" s="61"/>
      <c r="E104" s="61"/>
      <c r="F104" s="61"/>
      <c r="G104" s="61"/>
      <c r="H104" s="61"/>
      <c r="I104" s="61"/>
      <c r="J104" s="61"/>
      <c r="K104" s="61"/>
      <c r="L104" s="61"/>
      <c r="M104" s="61"/>
      <c r="N104" s="61"/>
      <c r="O104" s="61"/>
      <c r="P104" s="61"/>
      <c r="Q104" s="61"/>
      <c r="R104" s="17"/>
      <c r="S104" s="17"/>
      <c r="T104" s="17"/>
      <c r="U104" s="17"/>
      <c r="V104" s="17"/>
      <c r="W104" s="17"/>
      <c r="X104" s="17"/>
      <c r="Y104" s="17"/>
      <c r="Z104" s="17"/>
    </row>
    <row r="105" ht="17.25" customHeight="1">
      <c r="A105" s="17"/>
      <c r="B105" s="61"/>
      <c r="C105" s="61"/>
      <c r="D105" s="61"/>
      <c r="E105" s="61"/>
      <c r="F105" s="61"/>
      <c r="G105" s="61"/>
      <c r="H105" s="61"/>
      <c r="I105" s="61"/>
      <c r="J105" s="61"/>
      <c r="K105" s="61"/>
      <c r="L105" s="61"/>
      <c r="M105" s="61"/>
      <c r="N105" s="61"/>
      <c r="O105" s="61"/>
      <c r="P105" s="61"/>
      <c r="Q105" s="61"/>
      <c r="R105" s="17"/>
      <c r="S105" s="17"/>
      <c r="T105" s="17"/>
      <c r="U105" s="17"/>
      <c r="V105" s="17"/>
      <c r="W105" s="17"/>
      <c r="X105" s="17"/>
      <c r="Y105" s="17"/>
      <c r="Z105" s="17"/>
    </row>
    <row r="106" ht="17.25" customHeight="1">
      <c r="A106" s="17"/>
      <c r="B106" s="61"/>
      <c r="C106" s="61"/>
      <c r="D106" s="61"/>
      <c r="E106" s="61"/>
      <c r="F106" s="61"/>
      <c r="G106" s="61"/>
      <c r="H106" s="61"/>
      <c r="I106" s="61"/>
      <c r="J106" s="61"/>
      <c r="K106" s="61"/>
      <c r="L106" s="61"/>
      <c r="M106" s="61"/>
      <c r="N106" s="61"/>
      <c r="O106" s="61"/>
      <c r="P106" s="61"/>
      <c r="Q106" s="61"/>
      <c r="R106" s="17"/>
      <c r="S106" s="17"/>
      <c r="T106" s="17"/>
      <c r="U106" s="17"/>
      <c r="V106" s="17"/>
      <c r="W106" s="17"/>
      <c r="X106" s="17"/>
      <c r="Y106" s="17"/>
      <c r="Z106" s="17"/>
    </row>
    <row r="107" ht="17.25" customHeight="1">
      <c r="A107" s="17"/>
      <c r="B107" s="61"/>
      <c r="C107" s="61"/>
      <c r="D107" s="61"/>
      <c r="E107" s="61"/>
      <c r="F107" s="61"/>
      <c r="G107" s="61"/>
      <c r="H107" s="61"/>
      <c r="I107" s="61"/>
      <c r="J107" s="61"/>
      <c r="K107" s="61"/>
      <c r="L107" s="61"/>
      <c r="M107" s="61"/>
      <c r="N107" s="61"/>
      <c r="O107" s="61"/>
      <c r="P107" s="61"/>
      <c r="Q107" s="61"/>
      <c r="R107" s="17"/>
      <c r="S107" s="17"/>
      <c r="T107" s="17"/>
      <c r="U107" s="17"/>
      <c r="V107" s="17"/>
      <c r="W107" s="17"/>
      <c r="X107" s="17"/>
      <c r="Y107" s="17"/>
      <c r="Z107" s="17"/>
    </row>
    <row r="108" ht="17.25" customHeight="1">
      <c r="A108" s="17"/>
      <c r="B108" s="61"/>
      <c r="C108" s="61"/>
      <c r="D108" s="61"/>
      <c r="E108" s="61"/>
      <c r="F108" s="61"/>
      <c r="G108" s="61"/>
      <c r="H108" s="61"/>
      <c r="I108" s="61"/>
      <c r="J108" s="61"/>
      <c r="K108" s="61"/>
      <c r="L108" s="61"/>
      <c r="M108" s="61"/>
      <c r="N108" s="61"/>
      <c r="O108" s="61"/>
      <c r="P108" s="61"/>
      <c r="Q108" s="61"/>
      <c r="R108" s="17"/>
      <c r="S108" s="17"/>
      <c r="T108" s="17"/>
      <c r="U108" s="17"/>
      <c r="V108" s="17"/>
      <c r="W108" s="17"/>
      <c r="X108" s="17"/>
      <c r="Y108" s="17"/>
      <c r="Z108" s="17"/>
    </row>
    <row r="109" ht="17.25" customHeight="1">
      <c r="A109" s="17"/>
      <c r="B109" s="61"/>
      <c r="C109" s="61"/>
      <c r="D109" s="61"/>
      <c r="E109" s="61"/>
      <c r="F109" s="61"/>
      <c r="G109" s="61"/>
      <c r="H109" s="61"/>
      <c r="I109" s="61"/>
      <c r="J109" s="61"/>
      <c r="K109" s="61"/>
      <c r="L109" s="61"/>
      <c r="M109" s="61"/>
      <c r="N109" s="61"/>
      <c r="O109" s="61"/>
      <c r="P109" s="61"/>
      <c r="Q109" s="61"/>
      <c r="R109" s="17"/>
      <c r="S109" s="17"/>
      <c r="T109" s="17"/>
      <c r="U109" s="17"/>
      <c r="V109" s="17"/>
      <c r="W109" s="17"/>
      <c r="X109" s="17"/>
      <c r="Y109" s="17"/>
      <c r="Z109" s="17"/>
    </row>
    <row r="110" ht="17.25" customHeight="1">
      <c r="A110" s="17"/>
      <c r="B110" s="61"/>
      <c r="C110" s="61"/>
      <c r="D110" s="61"/>
      <c r="E110" s="61"/>
      <c r="F110" s="61"/>
      <c r="G110" s="61"/>
      <c r="H110" s="61"/>
      <c r="I110" s="61"/>
      <c r="J110" s="61"/>
      <c r="K110" s="61"/>
      <c r="L110" s="61"/>
      <c r="M110" s="61"/>
      <c r="N110" s="61"/>
      <c r="O110" s="61"/>
      <c r="P110" s="61"/>
      <c r="Q110" s="61"/>
      <c r="R110" s="17"/>
      <c r="S110" s="17"/>
      <c r="T110" s="17"/>
      <c r="U110" s="17"/>
      <c r="V110" s="17"/>
      <c r="W110" s="17"/>
      <c r="X110" s="17"/>
      <c r="Y110" s="17"/>
      <c r="Z110" s="17"/>
    </row>
    <row r="111" ht="17.25" customHeight="1">
      <c r="A111" s="17"/>
      <c r="B111" s="61"/>
      <c r="C111" s="61"/>
      <c r="D111" s="61"/>
      <c r="E111" s="61"/>
      <c r="F111" s="61"/>
      <c r="G111" s="61"/>
      <c r="H111" s="61"/>
      <c r="I111" s="61"/>
      <c r="J111" s="61"/>
      <c r="K111" s="61"/>
      <c r="L111" s="61"/>
      <c r="M111" s="61"/>
      <c r="N111" s="61"/>
      <c r="O111" s="61"/>
      <c r="P111" s="61"/>
      <c r="Q111" s="61"/>
      <c r="R111" s="17"/>
      <c r="S111" s="17"/>
      <c r="T111" s="17"/>
      <c r="U111" s="17"/>
      <c r="V111" s="17"/>
      <c r="W111" s="17"/>
      <c r="X111" s="17"/>
      <c r="Y111" s="17"/>
      <c r="Z111" s="17"/>
    </row>
    <row r="112" ht="17.25" customHeight="1">
      <c r="A112" s="17"/>
      <c r="B112" s="61"/>
      <c r="C112" s="61"/>
      <c r="D112" s="61"/>
      <c r="E112" s="61"/>
      <c r="F112" s="61"/>
      <c r="G112" s="61"/>
      <c r="H112" s="61"/>
      <c r="I112" s="61"/>
      <c r="J112" s="61"/>
      <c r="K112" s="61"/>
      <c r="L112" s="61"/>
      <c r="M112" s="61"/>
      <c r="N112" s="61"/>
      <c r="O112" s="61"/>
      <c r="P112" s="61"/>
      <c r="Q112" s="61"/>
      <c r="R112" s="17"/>
      <c r="S112" s="17"/>
      <c r="T112" s="17"/>
      <c r="U112" s="17"/>
      <c r="V112" s="17"/>
      <c r="W112" s="17"/>
      <c r="X112" s="17"/>
      <c r="Y112" s="17"/>
      <c r="Z112" s="17"/>
    </row>
    <row r="113" ht="17.25" customHeight="1">
      <c r="A113" s="17"/>
      <c r="B113" s="61"/>
      <c r="C113" s="61"/>
      <c r="D113" s="61"/>
      <c r="E113" s="61"/>
      <c r="F113" s="61"/>
      <c r="G113" s="61"/>
      <c r="H113" s="61"/>
      <c r="I113" s="61"/>
      <c r="J113" s="61"/>
      <c r="K113" s="61"/>
      <c r="L113" s="61"/>
      <c r="M113" s="61"/>
      <c r="N113" s="61"/>
      <c r="O113" s="61"/>
      <c r="P113" s="61"/>
      <c r="Q113" s="61"/>
      <c r="R113" s="17"/>
      <c r="S113" s="17"/>
      <c r="T113" s="17"/>
      <c r="U113" s="17"/>
      <c r="V113" s="17"/>
      <c r="W113" s="17"/>
      <c r="X113" s="17"/>
      <c r="Y113" s="17"/>
      <c r="Z113" s="17"/>
    </row>
    <row r="114" ht="17.25" customHeight="1">
      <c r="A114" s="17"/>
      <c r="B114" s="61"/>
      <c r="C114" s="61"/>
      <c r="D114" s="61"/>
      <c r="E114" s="61"/>
      <c r="F114" s="61"/>
      <c r="G114" s="61"/>
      <c r="H114" s="61"/>
      <c r="I114" s="61"/>
      <c r="J114" s="61"/>
      <c r="K114" s="61"/>
      <c r="L114" s="61"/>
      <c r="M114" s="61"/>
      <c r="N114" s="61"/>
      <c r="O114" s="61"/>
      <c r="P114" s="61"/>
      <c r="Q114" s="61"/>
      <c r="R114" s="17"/>
      <c r="S114" s="17"/>
      <c r="T114" s="17"/>
      <c r="U114" s="17"/>
      <c r="V114" s="17"/>
      <c r="W114" s="17"/>
      <c r="X114" s="17"/>
      <c r="Y114" s="17"/>
      <c r="Z114" s="17"/>
    </row>
    <row r="115" ht="17.25" customHeight="1">
      <c r="A115" s="17"/>
      <c r="B115" s="61"/>
      <c r="C115" s="61"/>
      <c r="D115" s="61"/>
      <c r="E115" s="61"/>
      <c r="F115" s="61"/>
      <c r="G115" s="61"/>
      <c r="H115" s="61"/>
      <c r="I115" s="61"/>
      <c r="J115" s="61"/>
      <c r="K115" s="61"/>
      <c r="L115" s="61"/>
      <c r="M115" s="61"/>
      <c r="N115" s="61"/>
      <c r="O115" s="61"/>
      <c r="P115" s="61"/>
      <c r="Q115" s="61"/>
      <c r="R115" s="17"/>
      <c r="S115" s="17"/>
      <c r="T115" s="17"/>
      <c r="U115" s="17"/>
      <c r="V115" s="17"/>
      <c r="W115" s="17"/>
      <c r="X115" s="17"/>
      <c r="Y115" s="17"/>
      <c r="Z115" s="17"/>
    </row>
    <row r="116" ht="17.25" customHeight="1">
      <c r="A116" s="17"/>
      <c r="B116" s="61"/>
      <c r="C116" s="61"/>
      <c r="D116" s="61"/>
      <c r="E116" s="61"/>
      <c r="F116" s="61"/>
      <c r="G116" s="61"/>
      <c r="H116" s="61"/>
      <c r="I116" s="61"/>
      <c r="J116" s="61"/>
      <c r="K116" s="61"/>
      <c r="L116" s="61"/>
      <c r="M116" s="61"/>
      <c r="N116" s="61"/>
      <c r="O116" s="61"/>
      <c r="P116" s="61"/>
      <c r="Q116" s="61"/>
      <c r="R116" s="17"/>
      <c r="S116" s="17"/>
      <c r="T116" s="17"/>
      <c r="U116" s="17"/>
      <c r="V116" s="17"/>
      <c r="W116" s="17"/>
      <c r="X116" s="17"/>
      <c r="Y116" s="17"/>
      <c r="Z116" s="17"/>
    </row>
    <row r="117" ht="17.25" customHeight="1">
      <c r="A117" s="17"/>
      <c r="B117" s="61"/>
      <c r="C117" s="61"/>
      <c r="D117" s="61"/>
      <c r="E117" s="61"/>
      <c r="F117" s="61"/>
      <c r="G117" s="61"/>
      <c r="H117" s="61"/>
      <c r="I117" s="61"/>
      <c r="J117" s="61"/>
      <c r="K117" s="61"/>
      <c r="L117" s="61"/>
      <c r="M117" s="61"/>
      <c r="N117" s="61"/>
      <c r="O117" s="61"/>
      <c r="P117" s="61"/>
      <c r="Q117" s="61"/>
      <c r="R117" s="17"/>
      <c r="S117" s="17"/>
      <c r="T117" s="17"/>
      <c r="U117" s="17"/>
      <c r="V117" s="17"/>
      <c r="W117" s="17"/>
      <c r="X117" s="17"/>
      <c r="Y117" s="17"/>
      <c r="Z117" s="17"/>
    </row>
    <row r="118" ht="17.25" customHeight="1">
      <c r="A118" s="17"/>
      <c r="B118" s="61"/>
      <c r="C118" s="61"/>
      <c r="D118" s="61"/>
      <c r="E118" s="61"/>
      <c r="F118" s="61"/>
      <c r="G118" s="61"/>
      <c r="H118" s="61"/>
      <c r="I118" s="61"/>
      <c r="J118" s="61"/>
      <c r="K118" s="61"/>
      <c r="L118" s="61"/>
      <c r="M118" s="61"/>
      <c r="N118" s="61"/>
      <c r="O118" s="61"/>
      <c r="P118" s="61"/>
      <c r="Q118" s="61"/>
      <c r="R118" s="17"/>
      <c r="S118" s="17"/>
      <c r="T118" s="17"/>
      <c r="U118" s="17"/>
      <c r="V118" s="17"/>
      <c r="W118" s="17"/>
      <c r="X118" s="17"/>
      <c r="Y118" s="17"/>
      <c r="Z118" s="17"/>
    </row>
    <row r="119" ht="17.25" customHeight="1">
      <c r="A119" s="17"/>
      <c r="B119" s="61"/>
      <c r="C119" s="61"/>
      <c r="D119" s="61"/>
      <c r="E119" s="61"/>
      <c r="F119" s="61"/>
      <c r="G119" s="61"/>
      <c r="H119" s="61"/>
      <c r="I119" s="61"/>
      <c r="J119" s="61"/>
      <c r="K119" s="61"/>
      <c r="L119" s="61"/>
      <c r="M119" s="61"/>
      <c r="N119" s="61"/>
      <c r="O119" s="61"/>
      <c r="P119" s="61"/>
      <c r="Q119" s="61"/>
      <c r="R119" s="17"/>
      <c r="S119" s="17"/>
      <c r="T119" s="17"/>
      <c r="U119" s="17"/>
      <c r="V119" s="17"/>
      <c r="W119" s="17"/>
      <c r="X119" s="17"/>
      <c r="Y119" s="17"/>
      <c r="Z119" s="17"/>
    </row>
    <row r="120" ht="17.25" customHeight="1">
      <c r="A120" s="17"/>
      <c r="B120" s="61"/>
      <c r="C120" s="61"/>
      <c r="D120" s="61"/>
      <c r="E120" s="61"/>
      <c r="F120" s="61"/>
      <c r="G120" s="61"/>
      <c r="H120" s="61"/>
      <c r="I120" s="61"/>
      <c r="J120" s="61"/>
      <c r="K120" s="61"/>
      <c r="L120" s="61"/>
      <c r="M120" s="61"/>
      <c r="N120" s="61"/>
      <c r="O120" s="61"/>
      <c r="P120" s="61"/>
      <c r="Q120" s="61"/>
      <c r="R120" s="17"/>
      <c r="S120" s="17"/>
      <c r="T120" s="17"/>
      <c r="U120" s="17"/>
      <c r="V120" s="17"/>
      <c r="W120" s="17"/>
      <c r="X120" s="17"/>
      <c r="Y120" s="17"/>
      <c r="Z120" s="17"/>
    </row>
    <row r="121" ht="17.25" customHeight="1">
      <c r="A121" s="17"/>
      <c r="B121" s="61"/>
      <c r="C121" s="61"/>
      <c r="D121" s="61"/>
      <c r="E121" s="61"/>
      <c r="F121" s="61"/>
      <c r="G121" s="61"/>
      <c r="H121" s="61"/>
      <c r="I121" s="61"/>
      <c r="J121" s="61"/>
      <c r="K121" s="61"/>
      <c r="L121" s="61"/>
      <c r="M121" s="61"/>
      <c r="N121" s="61"/>
      <c r="O121" s="61"/>
      <c r="P121" s="61"/>
      <c r="Q121" s="61"/>
      <c r="R121" s="17"/>
      <c r="S121" s="17"/>
      <c r="T121" s="17"/>
      <c r="U121" s="17"/>
      <c r="V121" s="17"/>
      <c r="W121" s="17"/>
      <c r="X121" s="17"/>
      <c r="Y121" s="17"/>
      <c r="Z121" s="17"/>
    </row>
    <row r="122" ht="17.25" customHeight="1">
      <c r="A122" s="17"/>
      <c r="B122" s="61"/>
      <c r="C122" s="61"/>
      <c r="D122" s="61"/>
      <c r="E122" s="61"/>
      <c r="F122" s="61"/>
      <c r="G122" s="61"/>
      <c r="H122" s="61"/>
      <c r="I122" s="61"/>
      <c r="J122" s="61"/>
      <c r="K122" s="61"/>
      <c r="L122" s="61"/>
      <c r="M122" s="61"/>
      <c r="N122" s="61"/>
      <c r="O122" s="61"/>
      <c r="P122" s="61"/>
      <c r="Q122" s="61"/>
      <c r="R122" s="17"/>
      <c r="S122" s="17"/>
      <c r="T122" s="17"/>
      <c r="U122" s="17"/>
      <c r="V122" s="17"/>
      <c r="W122" s="17"/>
      <c r="X122" s="17"/>
      <c r="Y122" s="17"/>
      <c r="Z122" s="17"/>
    </row>
    <row r="123" ht="17.25" customHeight="1">
      <c r="A123" s="17"/>
      <c r="B123" s="61"/>
      <c r="C123" s="61"/>
      <c r="D123" s="61"/>
      <c r="E123" s="61"/>
      <c r="F123" s="61"/>
      <c r="G123" s="61"/>
      <c r="H123" s="61"/>
      <c r="I123" s="61"/>
      <c r="J123" s="61"/>
      <c r="K123" s="61"/>
      <c r="L123" s="61"/>
      <c r="M123" s="61"/>
      <c r="N123" s="61"/>
      <c r="O123" s="61"/>
      <c r="P123" s="61"/>
      <c r="Q123" s="61"/>
      <c r="R123" s="17"/>
      <c r="S123" s="17"/>
      <c r="T123" s="17"/>
      <c r="U123" s="17"/>
      <c r="V123" s="17"/>
      <c r="W123" s="17"/>
      <c r="X123" s="17"/>
      <c r="Y123" s="17"/>
      <c r="Z123" s="17"/>
    </row>
    <row r="124" ht="17.25" customHeight="1">
      <c r="A124" s="17"/>
      <c r="B124" s="61"/>
      <c r="C124" s="61"/>
      <c r="D124" s="61"/>
      <c r="E124" s="61"/>
      <c r="F124" s="61"/>
      <c r="G124" s="61"/>
      <c r="H124" s="61"/>
      <c r="I124" s="61"/>
      <c r="J124" s="61"/>
      <c r="K124" s="61"/>
      <c r="L124" s="61"/>
      <c r="M124" s="61"/>
      <c r="N124" s="61"/>
      <c r="O124" s="61"/>
      <c r="P124" s="61"/>
      <c r="Q124" s="61"/>
      <c r="R124" s="17"/>
      <c r="S124" s="17"/>
      <c r="T124" s="17"/>
      <c r="U124" s="17"/>
      <c r="V124" s="17"/>
      <c r="W124" s="17"/>
      <c r="X124" s="17"/>
      <c r="Y124" s="17"/>
      <c r="Z124" s="17"/>
    </row>
    <row r="125" ht="17.25" customHeight="1">
      <c r="A125" s="17"/>
      <c r="B125" s="61"/>
      <c r="C125" s="61"/>
      <c r="D125" s="61"/>
      <c r="E125" s="61"/>
      <c r="F125" s="61"/>
      <c r="G125" s="61"/>
      <c r="H125" s="61"/>
      <c r="I125" s="61"/>
      <c r="J125" s="61"/>
      <c r="K125" s="61"/>
      <c r="L125" s="61"/>
      <c r="M125" s="61"/>
      <c r="N125" s="61"/>
      <c r="O125" s="61"/>
      <c r="P125" s="61"/>
      <c r="Q125" s="61"/>
      <c r="R125" s="17"/>
      <c r="S125" s="17"/>
      <c r="T125" s="17"/>
      <c r="U125" s="17"/>
      <c r="V125" s="17"/>
      <c r="W125" s="17"/>
      <c r="X125" s="17"/>
      <c r="Y125" s="17"/>
      <c r="Z125" s="17"/>
    </row>
    <row r="126" ht="17.25" customHeight="1">
      <c r="A126" s="17"/>
      <c r="B126" s="61"/>
      <c r="C126" s="61"/>
      <c r="D126" s="61"/>
      <c r="E126" s="61"/>
      <c r="F126" s="61"/>
      <c r="G126" s="61"/>
      <c r="H126" s="61"/>
      <c r="I126" s="61"/>
      <c r="J126" s="61"/>
      <c r="K126" s="61"/>
      <c r="L126" s="61"/>
      <c r="M126" s="61"/>
      <c r="N126" s="61"/>
      <c r="O126" s="61"/>
      <c r="P126" s="61"/>
      <c r="Q126" s="61"/>
      <c r="R126" s="17"/>
      <c r="S126" s="17"/>
      <c r="T126" s="17"/>
      <c r="U126" s="17"/>
      <c r="V126" s="17"/>
      <c r="W126" s="17"/>
      <c r="X126" s="17"/>
      <c r="Y126" s="17"/>
      <c r="Z126" s="17"/>
    </row>
    <row r="127" ht="17.25" customHeight="1">
      <c r="A127" s="17"/>
      <c r="B127" s="61"/>
      <c r="C127" s="61"/>
      <c r="D127" s="61"/>
      <c r="E127" s="61"/>
      <c r="F127" s="61"/>
      <c r="G127" s="61"/>
      <c r="H127" s="61"/>
      <c r="I127" s="61"/>
      <c r="J127" s="61"/>
      <c r="K127" s="61"/>
      <c r="L127" s="61"/>
      <c r="M127" s="61"/>
      <c r="N127" s="61"/>
      <c r="O127" s="61"/>
      <c r="P127" s="61"/>
      <c r="Q127" s="61"/>
      <c r="R127" s="17"/>
      <c r="S127" s="17"/>
      <c r="T127" s="17"/>
      <c r="U127" s="17"/>
      <c r="V127" s="17"/>
      <c r="W127" s="17"/>
      <c r="X127" s="17"/>
      <c r="Y127" s="17"/>
      <c r="Z127" s="17"/>
    </row>
    <row r="128" ht="17.25" customHeight="1">
      <c r="A128" s="17"/>
      <c r="B128" s="61"/>
      <c r="C128" s="61"/>
      <c r="D128" s="61"/>
      <c r="E128" s="61"/>
      <c r="F128" s="61"/>
      <c r="G128" s="61"/>
      <c r="H128" s="61"/>
      <c r="I128" s="61"/>
      <c r="J128" s="61"/>
      <c r="K128" s="61"/>
      <c r="L128" s="61"/>
      <c r="M128" s="61"/>
      <c r="N128" s="61"/>
      <c r="O128" s="61"/>
      <c r="P128" s="61"/>
      <c r="Q128" s="61"/>
      <c r="R128" s="17"/>
      <c r="S128" s="17"/>
      <c r="T128" s="17"/>
      <c r="U128" s="17"/>
      <c r="V128" s="17"/>
      <c r="W128" s="17"/>
      <c r="X128" s="17"/>
      <c r="Y128" s="17"/>
      <c r="Z128" s="17"/>
    </row>
    <row r="129" ht="17.25" customHeight="1">
      <c r="A129" s="17"/>
      <c r="B129" s="61"/>
      <c r="C129" s="61"/>
      <c r="D129" s="61"/>
      <c r="E129" s="61"/>
      <c r="F129" s="61"/>
      <c r="G129" s="61"/>
      <c r="H129" s="61"/>
      <c r="I129" s="61"/>
      <c r="J129" s="61"/>
      <c r="K129" s="61"/>
      <c r="L129" s="61"/>
      <c r="M129" s="61"/>
      <c r="N129" s="61"/>
      <c r="O129" s="61"/>
      <c r="P129" s="61"/>
      <c r="Q129" s="61"/>
      <c r="R129" s="17"/>
      <c r="S129" s="17"/>
      <c r="T129" s="17"/>
      <c r="U129" s="17"/>
      <c r="V129" s="17"/>
      <c r="W129" s="17"/>
      <c r="X129" s="17"/>
      <c r="Y129" s="17"/>
      <c r="Z129" s="17"/>
    </row>
    <row r="130" ht="17.25" customHeight="1">
      <c r="A130" s="17"/>
      <c r="B130" s="61"/>
      <c r="C130" s="61"/>
      <c r="D130" s="61"/>
      <c r="E130" s="61"/>
      <c r="F130" s="61"/>
      <c r="G130" s="61"/>
      <c r="H130" s="61"/>
      <c r="I130" s="61"/>
      <c r="J130" s="61"/>
      <c r="K130" s="61"/>
      <c r="L130" s="61"/>
      <c r="M130" s="61"/>
      <c r="N130" s="61"/>
      <c r="O130" s="61"/>
      <c r="P130" s="61"/>
      <c r="Q130" s="61"/>
      <c r="R130" s="17"/>
      <c r="S130" s="17"/>
      <c r="T130" s="17"/>
      <c r="U130" s="17"/>
      <c r="V130" s="17"/>
      <c r="W130" s="17"/>
      <c r="X130" s="17"/>
      <c r="Y130" s="17"/>
      <c r="Z130" s="17"/>
    </row>
    <row r="131" ht="17.25" customHeight="1">
      <c r="A131" s="17"/>
      <c r="B131" s="61"/>
      <c r="C131" s="61"/>
      <c r="D131" s="61"/>
      <c r="E131" s="61"/>
      <c r="F131" s="61"/>
      <c r="G131" s="61"/>
      <c r="H131" s="61"/>
      <c r="I131" s="61"/>
      <c r="J131" s="61"/>
      <c r="K131" s="61"/>
      <c r="L131" s="61"/>
      <c r="M131" s="61"/>
      <c r="N131" s="61"/>
      <c r="O131" s="61"/>
      <c r="P131" s="61"/>
      <c r="Q131" s="61"/>
      <c r="R131" s="17"/>
      <c r="S131" s="17"/>
      <c r="T131" s="17"/>
      <c r="U131" s="17"/>
      <c r="V131" s="17"/>
      <c r="W131" s="17"/>
      <c r="X131" s="17"/>
      <c r="Y131" s="17"/>
      <c r="Z131" s="17"/>
    </row>
    <row r="132" ht="17.25" customHeight="1">
      <c r="A132" s="17"/>
      <c r="B132" s="61"/>
      <c r="C132" s="61"/>
      <c r="D132" s="61"/>
      <c r="E132" s="61"/>
      <c r="F132" s="61"/>
      <c r="G132" s="61"/>
      <c r="H132" s="61"/>
      <c r="I132" s="61"/>
      <c r="J132" s="61"/>
      <c r="K132" s="61"/>
      <c r="L132" s="61"/>
      <c r="M132" s="61"/>
      <c r="N132" s="61"/>
      <c r="O132" s="61"/>
      <c r="P132" s="61"/>
      <c r="Q132" s="61"/>
      <c r="R132" s="17"/>
      <c r="S132" s="17"/>
      <c r="T132" s="17"/>
      <c r="U132" s="17"/>
      <c r="V132" s="17"/>
      <c r="W132" s="17"/>
      <c r="X132" s="17"/>
      <c r="Y132" s="17"/>
      <c r="Z132" s="17"/>
    </row>
    <row r="133" ht="17.25" customHeight="1">
      <c r="A133" s="17"/>
      <c r="B133" s="61"/>
      <c r="C133" s="61"/>
      <c r="D133" s="61"/>
      <c r="E133" s="61"/>
      <c r="F133" s="61"/>
      <c r="G133" s="61"/>
      <c r="H133" s="61"/>
      <c r="I133" s="61"/>
      <c r="J133" s="61"/>
      <c r="K133" s="61"/>
      <c r="L133" s="61"/>
      <c r="M133" s="61"/>
      <c r="N133" s="61"/>
      <c r="O133" s="61"/>
      <c r="P133" s="61"/>
      <c r="Q133" s="61"/>
      <c r="R133" s="17"/>
      <c r="S133" s="17"/>
      <c r="T133" s="17"/>
      <c r="U133" s="17"/>
      <c r="V133" s="17"/>
      <c r="W133" s="17"/>
      <c r="X133" s="17"/>
      <c r="Y133" s="17"/>
      <c r="Z133" s="17"/>
    </row>
    <row r="134" ht="17.25" customHeight="1">
      <c r="A134" s="17"/>
      <c r="B134" s="61"/>
      <c r="C134" s="61"/>
      <c r="D134" s="61"/>
      <c r="E134" s="61"/>
      <c r="F134" s="61"/>
      <c r="G134" s="61"/>
      <c r="H134" s="61"/>
      <c r="I134" s="61"/>
      <c r="J134" s="61"/>
      <c r="K134" s="61"/>
      <c r="L134" s="61"/>
      <c r="M134" s="61"/>
      <c r="N134" s="61"/>
      <c r="O134" s="61"/>
      <c r="P134" s="61"/>
      <c r="Q134" s="61"/>
      <c r="R134" s="17"/>
      <c r="S134" s="17"/>
      <c r="T134" s="17"/>
      <c r="U134" s="17"/>
      <c r="V134" s="17"/>
      <c r="W134" s="17"/>
      <c r="X134" s="17"/>
      <c r="Y134" s="17"/>
      <c r="Z134" s="17"/>
    </row>
    <row r="135" ht="17.25" customHeight="1">
      <c r="A135" s="17"/>
      <c r="B135" s="61"/>
      <c r="C135" s="61"/>
      <c r="D135" s="61"/>
      <c r="E135" s="61"/>
      <c r="F135" s="61"/>
      <c r="G135" s="61"/>
      <c r="H135" s="61"/>
      <c r="I135" s="61"/>
      <c r="J135" s="61"/>
      <c r="K135" s="61"/>
      <c r="L135" s="61"/>
      <c r="M135" s="61"/>
      <c r="N135" s="61"/>
      <c r="O135" s="61"/>
      <c r="P135" s="61"/>
      <c r="Q135" s="61"/>
      <c r="R135" s="17"/>
      <c r="S135" s="17"/>
      <c r="T135" s="17"/>
      <c r="U135" s="17"/>
      <c r="V135" s="17"/>
      <c r="W135" s="17"/>
      <c r="X135" s="17"/>
      <c r="Y135" s="17"/>
      <c r="Z135" s="17"/>
    </row>
    <row r="136" ht="17.25" customHeight="1">
      <c r="A136" s="17"/>
      <c r="B136" s="61"/>
      <c r="C136" s="61"/>
      <c r="D136" s="61"/>
      <c r="E136" s="61"/>
      <c r="F136" s="61"/>
      <c r="G136" s="61"/>
      <c r="H136" s="61"/>
      <c r="I136" s="61"/>
      <c r="J136" s="61"/>
      <c r="K136" s="61"/>
      <c r="L136" s="61"/>
      <c r="M136" s="61"/>
      <c r="N136" s="61"/>
      <c r="O136" s="61"/>
      <c r="P136" s="61"/>
      <c r="Q136" s="61"/>
      <c r="R136" s="17"/>
      <c r="S136" s="17"/>
      <c r="T136" s="17"/>
      <c r="U136" s="17"/>
      <c r="V136" s="17"/>
      <c r="W136" s="17"/>
      <c r="X136" s="17"/>
      <c r="Y136" s="17"/>
      <c r="Z136" s="17"/>
    </row>
    <row r="137" ht="17.25" customHeight="1">
      <c r="A137" s="17"/>
      <c r="B137" s="61"/>
      <c r="C137" s="61"/>
      <c r="D137" s="61"/>
      <c r="E137" s="61"/>
      <c r="F137" s="61"/>
      <c r="G137" s="61"/>
      <c r="H137" s="61"/>
      <c r="I137" s="61"/>
      <c r="J137" s="61"/>
      <c r="K137" s="61"/>
      <c r="L137" s="61"/>
      <c r="M137" s="61"/>
      <c r="N137" s="61"/>
      <c r="O137" s="61"/>
      <c r="P137" s="61"/>
      <c r="Q137" s="61"/>
      <c r="R137" s="17"/>
      <c r="S137" s="17"/>
      <c r="T137" s="17"/>
      <c r="U137" s="17"/>
      <c r="V137" s="17"/>
      <c r="W137" s="17"/>
      <c r="X137" s="17"/>
      <c r="Y137" s="17"/>
      <c r="Z137" s="17"/>
    </row>
    <row r="138" ht="17.25" customHeight="1">
      <c r="A138" s="17"/>
      <c r="B138" s="61"/>
      <c r="C138" s="61"/>
      <c r="D138" s="61"/>
      <c r="E138" s="61"/>
      <c r="F138" s="61"/>
      <c r="G138" s="61"/>
      <c r="H138" s="61"/>
      <c r="I138" s="61"/>
      <c r="J138" s="61"/>
      <c r="K138" s="61"/>
      <c r="L138" s="61"/>
      <c r="M138" s="61"/>
      <c r="N138" s="61"/>
      <c r="O138" s="61"/>
      <c r="P138" s="61"/>
      <c r="Q138" s="61"/>
      <c r="R138" s="17"/>
      <c r="S138" s="17"/>
      <c r="T138" s="17"/>
      <c r="U138" s="17"/>
      <c r="V138" s="17"/>
      <c r="W138" s="17"/>
      <c r="X138" s="17"/>
      <c r="Y138" s="17"/>
      <c r="Z138" s="17"/>
    </row>
    <row r="139" ht="17.25" customHeight="1">
      <c r="A139" s="17"/>
      <c r="B139" s="61"/>
      <c r="C139" s="61"/>
      <c r="D139" s="61"/>
      <c r="E139" s="61"/>
      <c r="F139" s="61"/>
      <c r="G139" s="61"/>
      <c r="H139" s="61"/>
      <c r="I139" s="61"/>
      <c r="J139" s="61"/>
      <c r="K139" s="61"/>
      <c r="L139" s="61"/>
      <c r="M139" s="61"/>
      <c r="N139" s="61"/>
      <c r="O139" s="61"/>
      <c r="P139" s="61"/>
      <c r="Q139" s="61"/>
      <c r="R139" s="17"/>
      <c r="S139" s="17"/>
      <c r="T139" s="17"/>
      <c r="U139" s="17"/>
      <c r="V139" s="17"/>
      <c r="W139" s="17"/>
      <c r="X139" s="17"/>
      <c r="Y139" s="17"/>
      <c r="Z139" s="17"/>
    </row>
    <row r="140" ht="17.25" customHeight="1">
      <c r="A140" s="17"/>
      <c r="B140" s="61"/>
      <c r="C140" s="61"/>
      <c r="D140" s="61"/>
      <c r="E140" s="61"/>
      <c r="F140" s="61"/>
      <c r="G140" s="61"/>
      <c r="H140" s="61"/>
      <c r="I140" s="61"/>
      <c r="J140" s="61"/>
      <c r="K140" s="61"/>
      <c r="L140" s="61"/>
      <c r="M140" s="61"/>
      <c r="N140" s="61"/>
      <c r="O140" s="61"/>
      <c r="P140" s="61"/>
      <c r="Q140" s="61"/>
      <c r="R140" s="17"/>
      <c r="S140" s="17"/>
      <c r="T140" s="17"/>
      <c r="U140" s="17"/>
      <c r="V140" s="17"/>
      <c r="W140" s="17"/>
      <c r="X140" s="17"/>
      <c r="Y140" s="17"/>
      <c r="Z140" s="17"/>
    </row>
    <row r="141" ht="17.25" customHeight="1">
      <c r="A141" s="17"/>
      <c r="B141" s="61"/>
      <c r="C141" s="61"/>
      <c r="D141" s="61"/>
      <c r="E141" s="61"/>
      <c r="F141" s="61"/>
      <c r="G141" s="61"/>
      <c r="H141" s="61"/>
      <c r="I141" s="61"/>
      <c r="J141" s="61"/>
      <c r="K141" s="61"/>
      <c r="L141" s="61"/>
      <c r="M141" s="61"/>
      <c r="N141" s="61"/>
      <c r="O141" s="61"/>
      <c r="P141" s="61"/>
      <c r="Q141" s="61"/>
      <c r="R141" s="17"/>
      <c r="S141" s="17"/>
      <c r="T141" s="17"/>
      <c r="U141" s="17"/>
      <c r="V141" s="17"/>
      <c r="W141" s="17"/>
      <c r="X141" s="17"/>
      <c r="Y141" s="17"/>
      <c r="Z141" s="17"/>
    </row>
    <row r="142" ht="17.25" customHeight="1">
      <c r="A142" s="17"/>
      <c r="B142" s="61"/>
      <c r="C142" s="61"/>
      <c r="D142" s="61"/>
      <c r="E142" s="61"/>
      <c r="F142" s="61"/>
      <c r="G142" s="61"/>
      <c r="H142" s="61"/>
      <c r="I142" s="61"/>
      <c r="J142" s="61"/>
      <c r="K142" s="61"/>
      <c r="L142" s="61"/>
      <c r="M142" s="61"/>
      <c r="N142" s="61"/>
      <c r="O142" s="61"/>
      <c r="P142" s="61"/>
      <c r="Q142" s="61"/>
      <c r="R142" s="17"/>
      <c r="S142" s="17"/>
      <c r="T142" s="17"/>
      <c r="U142" s="17"/>
      <c r="V142" s="17"/>
      <c r="W142" s="17"/>
      <c r="X142" s="17"/>
      <c r="Y142" s="17"/>
      <c r="Z142" s="17"/>
    </row>
    <row r="143" ht="17.25" customHeight="1">
      <c r="A143" s="17"/>
      <c r="B143" s="61"/>
      <c r="C143" s="61"/>
      <c r="D143" s="61"/>
      <c r="E143" s="61"/>
      <c r="F143" s="61"/>
      <c r="G143" s="61"/>
      <c r="H143" s="61"/>
      <c r="I143" s="61"/>
      <c r="J143" s="61"/>
      <c r="K143" s="61"/>
      <c r="L143" s="61"/>
      <c r="M143" s="61"/>
      <c r="N143" s="61"/>
      <c r="O143" s="61"/>
      <c r="P143" s="61"/>
      <c r="Q143" s="61"/>
      <c r="R143" s="17"/>
      <c r="S143" s="17"/>
      <c r="T143" s="17"/>
      <c r="U143" s="17"/>
      <c r="V143" s="17"/>
      <c r="W143" s="17"/>
      <c r="X143" s="17"/>
      <c r="Y143" s="17"/>
      <c r="Z143" s="17"/>
    </row>
    <row r="144" ht="17.25" customHeight="1">
      <c r="A144" s="17"/>
      <c r="B144" s="61"/>
      <c r="C144" s="61"/>
      <c r="D144" s="61"/>
      <c r="E144" s="61"/>
      <c r="F144" s="61"/>
      <c r="G144" s="61"/>
      <c r="H144" s="61"/>
      <c r="I144" s="61"/>
      <c r="J144" s="61"/>
      <c r="K144" s="61"/>
      <c r="L144" s="61"/>
      <c r="M144" s="61"/>
      <c r="N144" s="61"/>
      <c r="O144" s="61"/>
      <c r="P144" s="61"/>
      <c r="Q144" s="61"/>
      <c r="R144" s="17"/>
      <c r="S144" s="17"/>
      <c r="T144" s="17"/>
      <c r="U144" s="17"/>
      <c r="V144" s="17"/>
      <c r="W144" s="17"/>
      <c r="X144" s="17"/>
      <c r="Y144" s="17"/>
      <c r="Z144" s="17"/>
    </row>
    <row r="145" ht="17.25" customHeight="1">
      <c r="A145" s="17"/>
      <c r="B145" s="61"/>
      <c r="C145" s="61"/>
      <c r="D145" s="61"/>
      <c r="E145" s="61"/>
      <c r="F145" s="61"/>
      <c r="G145" s="61"/>
      <c r="H145" s="61"/>
      <c r="I145" s="61"/>
      <c r="J145" s="61"/>
      <c r="K145" s="61"/>
      <c r="L145" s="61"/>
      <c r="M145" s="61"/>
      <c r="N145" s="61"/>
      <c r="O145" s="61"/>
      <c r="P145" s="61"/>
      <c r="Q145" s="61"/>
      <c r="R145" s="17"/>
      <c r="S145" s="17"/>
      <c r="T145" s="17"/>
      <c r="U145" s="17"/>
      <c r="V145" s="17"/>
      <c r="W145" s="17"/>
      <c r="X145" s="17"/>
      <c r="Y145" s="17"/>
      <c r="Z145" s="17"/>
    </row>
    <row r="146" ht="17.25" customHeight="1">
      <c r="A146" s="17"/>
      <c r="B146" s="61"/>
      <c r="C146" s="61"/>
      <c r="D146" s="61"/>
      <c r="E146" s="61"/>
      <c r="F146" s="61"/>
      <c r="G146" s="61"/>
      <c r="H146" s="61"/>
      <c r="I146" s="61"/>
      <c r="J146" s="61"/>
      <c r="K146" s="61"/>
      <c r="L146" s="61"/>
      <c r="M146" s="61"/>
      <c r="N146" s="61"/>
      <c r="O146" s="61"/>
      <c r="P146" s="61"/>
      <c r="Q146" s="61"/>
      <c r="R146" s="17"/>
      <c r="S146" s="17"/>
      <c r="T146" s="17"/>
      <c r="U146" s="17"/>
      <c r="V146" s="17"/>
      <c r="W146" s="17"/>
      <c r="X146" s="17"/>
      <c r="Y146" s="17"/>
      <c r="Z146" s="17"/>
    </row>
    <row r="147" ht="17.25" customHeight="1">
      <c r="A147" s="17"/>
      <c r="B147" s="61"/>
      <c r="C147" s="61"/>
      <c r="D147" s="61"/>
      <c r="E147" s="61"/>
      <c r="F147" s="61"/>
      <c r="G147" s="61"/>
      <c r="H147" s="61"/>
      <c r="I147" s="61"/>
      <c r="J147" s="61"/>
      <c r="K147" s="61"/>
      <c r="L147" s="61"/>
      <c r="M147" s="61"/>
      <c r="N147" s="61"/>
      <c r="O147" s="61"/>
      <c r="P147" s="61"/>
      <c r="Q147" s="61"/>
      <c r="R147" s="17"/>
      <c r="S147" s="17"/>
      <c r="T147" s="17"/>
      <c r="U147" s="17"/>
      <c r="V147" s="17"/>
      <c r="W147" s="17"/>
      <c r="X147" s="17"/>
      <c r="Y147" s="17"/>
      <c r="Z147" s="17"/>
    </row>
    <row r="148" ht="17.25" customHeight="1">
      <c r="A148" s="17"/>
      <c r="B148" s="61"/>
      <c r="C148" s="61"/>
      <c r="D148" s="61"/>
      <c r="E148" s="61"/>
      <c r="F148" s="61"/>
      <c r="G148" s="61"/>
      <c r="H148" s="61"/>
      <c r="I148" s="61"/>
      <c r="J148" s="61"/>
      <c r="K148" s="61"/>
      <c r="L148" s="61"/>
      <c r="M148" s="61"/>
      <c r="N148" s="61"/>
      <c r="O148" s="61"/>
      <c r="P148" s="61"/>
      <c r="Q148" s="61"/>
      <c r="R148" s="17"/>
      <c r="S148" s="17"/>
      <c r="T148" s="17"/>
      <c r="U148" s="17"/>
      <c r="V148" s="17"/>
      <c r="W148" s="17"/>
      <c r="X148" s="17"/>
      <c r="Y148" s="17"/>
      <c r="Z148" s="17"/>
    </row>
    <row r="149" ht="17.25" customHeight="1">
      <c r="A149" s="17"/>
      <c r="B149" s="61"/>
      <c r="C149" s="61"/>
      <c r="D149" s="61"/>
      <c r="E149" s="61"/>
      <c r="F149" s="61"/>
      <c r="G149" s="61"/>
      <c r="H149" s="61"/>
      <c r="I149" s="61"/>
      <c r="J149" s="61"/>
      <c r="K149" s="61"/>
      <c r="L149" s="61"/>
      <c r="M149" s="61"/>
      <c r="N149" s="61"/>
      <c r="O149" s="61"/>
      <c r="P149" s="61"/>
      <c r="Q149" s="61"/>
      <c r="R149" s="17"/>
      <c r="S149" s="17"/>
      <c r="T149" s="17"/>
      <c r="U149" s="17"/>
      <c r="V149" s="17"/>
      <c r="W149" s="17"/>
      <c r="X149" s="17"/>
      <c r="Y149" s="17"/>
      <c r="Z149" s="17"/>
    </row>
    <row r="150" ht="17.25" customHeight="1">
      <c r="A150" s="17"/>
      <c r="B150" s="61"/>
      <c r="C150" s="61"/>
      <c r="D150" s="61"/>
      <c r="E150" s="61"/>
      <c r="F150" s="61"/>
      <c r="G150" s="61"/>
      <c r="H150" s="61"/>
      <c r="I150" s="61"/>
      <c r="J150" s="61"/>
      <c r="K150" s="61"/>
      <c r="L150" s="61"/>
      <c r="M150" s="61"/>
      <c r="N150" s="61"/>
      <c r="O150" s="61"/>
      <c r="P150" s="61"/>
      <c r="Q150" s="61"/>
      <c r="R150" s="17"/>
      <c r="S150" s="17"/>
      <c r="T150" s="17"/>
      <c r="U150" s="17"/>
      <c r="V150" s="17"/>
      <c r="W150" s="17"/>
      <c r="X150" s="17"/>
      <c r="Y150" s="17"/>
      <c r="Z150" s="17"/>
    </row>
    <row r="151" ht="17.25" customHeight="1">
      <c r="A151" s="17"/>
      <c r="B151" s="61"/>
      <c r="C151" s="61"/>
      <c r="D151" s="61"/>
      <c r="E151" s="61"/>
      <c r="F151" s="61"/>
      <c r="G151" s="61"/>
      <c r="H151" s="61"/>
      <c r="I151" s="61"/>
      <c r="J151" s="61"/>
      <c r="K151" s="61"/>
      <c r="L151" s="61"/>
      <c r="M151" s="61"/>
      <c r="N151" s="61"/>
      <c r="O151" s="61"/>
      <c r="P151" s="61"/>
      <c r="Q151" s="61"/>
      <c r="R151" s="17"/>
      <c r="S151" s="17"/>
      <c r="T151" s="17"/>
      <c r="U151" s="17"/>
      <c r="V151" s="17"/>
      <c r="W151" s="17"/>
      <c r="X151" s="17"/>
      <c r="Y151" s="17"/>
      <c r="Z151" s="17"/>
    </row>
    <row r="152" ht="17.25" customHeight="1">
      <c r="A152" s="17"/>
      <c r="B152" s="61"/>
      <c r="C152" s="61"/>
      <c r="D152" s="61"/>
      <c r="E152" s="61"/>
      <c r="F152" s="61"/>
      <c r="G152" s="61"/>
      <c r="H152" s="61"/>
      <c r="I152" s="61"/>
      <c r="J152" s="61"/>
      <c r="K152" s="61"/>
      <c r="L152" s="61"/>
      <c r="M152" s="61"/>
      <c r="N152" s="61"/>
      <c r="O152" s="61"/>
      <c r="P152" s="61"/>
      <c r="Q152" s="61"/>
      <c r="R152" s="17"/>
      <c r="S152" s="17"/>
      <c r="T152" s="17"/>
      <c r="U152" s="17"/>
      <c r="V152" s="17"/>
      <c r="W152" s="17"/>
      <c r="X152" s="17"/>
      <c r="Y152" s="17"/>
      <c r="Z152" s="17"/>
    </row>
    <row r="153" ht="17.25" customHeight="1">
      <c r="A153" s="17"/>
      <c r="B153" s="61"/>
      <c r="C153" s="61"/>
      <c r="D153" s="61"/>
      <c r="E153" s="61"/>
      <c r="F153" s="61"/>
      <c r="G153" s="61"/>
      <c r="H153" s="61"/>
      <c r="I153" s="61"/>
      <c r="J153" s="61"/>
      <c r="K153" s="61"/>
      <c r="L153" s="61"/>
      <c r="M153" s="61"/>
      <c r="N153" s="61"/>
      <c r="O153" s="61"/>
      <c r="P153" s="61"/>
      <c r="Q153" s="61"/>
      <c r="R153" s="17"/>
      <c r="S153" s="17"/>
      <c r="T153" s="17"/>
      <c r="U153" s="17"/>
      <c r="V153" s="17"/>
      <c r="W153" s="17"/>
      <c r="X153" s="17"/>
      <c r="Y153" s="17"/>
      <c r="Z153" s="17"/>
    </row>
    <row r="154" ht="17.25" customHeight="1">
      <c r="A154" s="17"/>
      <c r="B154" s="61"/>
      <c r="C154" s="61"/>
      <c r="D154" s="61"/>
      <c r="E154" s="61"/>
      <c r="F154" s="61"/>
      <c r="G154" s="61"/>
      <c r="H154" s="61"/>
      <c r="I154" s="61"/>
      <c r="J154" s="61"/>
      <c r="K154" s="61"/>
      <c r="L154" s="61"/>
      <c r="M154" s="61"/>
      <c r="N154" s="61"/>
      <c r="O154" s="61"/>
      <c r="P154" s="61"/>
      <c r="Q154" s="61"/>
      <c r="R154" s="17"/>
      <c r="S154" s="17"/>
      <c r="T154" s="17"/>
      <c r="U154" s="17"/>
      <c r="V154" s="17"/>
      <c r="W154" s="17"/>
      <c r="X154" s="17"/>
      <c r="Y154" s="17"/>
      <c r="Z154" s="17"/>
    </row>
    <row r="155" ht="17.25" customHeight="1">
      <c r="A155" s="17"/>
      <c r="B155" s="61"/>
      <c r="C155" s="61"/>
      <c r="D155" s="61"/>
      <c r="E155" s="61"/>
      <c r="F155" s="61"/>
      <c r="G155" s="61"/>
      <c r="H155" s="61"/>
      <c r="I155" s="61"/>
      <c r="J155" s="61"/>
      <c r="K155" s="61"/>
      <c r="L155" s="61"/>
      <c r="M155" s="61"/>
      <c r="N155" s="61"/>
      <c r="O155" s="61"/>
      <c r="P155" s="61"/>
      <c r="Q155" s="61"/>
      <c r="R155" s="17"/>
      <c r="S155" s="17"/>
      <c r="T155" s="17"/>
      <c r="U155" s="17"/>
      <c r="V155" s="17"/>
      <c r="W155" s="17"/>
      <c r="X155" s="17"/>
      <c r="Y155" s="17"/>
      <c r="Z155" s="17"/>
    </row>
    <row r="156" ht="17.25" customHeight="1">
      <c r="A156" s="17"/>
      <c r="B156" s="61"/>
      <c r="C156" s="61"/>
      <c r="D156" s="61"/>
      <c r="E156" s="61"/>
      <c r="F156" s="61"/>
      <c r="G156" s="61"/>
      <c r="H156" s="61"/>
      <c r="I156" s="61"/>
      <c r="J156" s="61"/>
      <c r="K156" s="61"/>
      <c r="L156" s="61"/>
      <c r="M156" s="61"/>
      <c r="N156" s="61"/>
      <c r="O156" s="61"/>
      <c r="P156" s="61"/>
      <c r="Q156" s="61"/>
      <c r="R156" s="17"/>
      <c r="S156" s="17"/>
      <c r="T156" s="17"/>
      <c r="U156" s="17"/>
      <c r="V156" s="17"/>
      <c r="W156" s="17"/>
      <c r="X156" s="17"/>
      <c r="Y156" s="17"/>
      <c r="Z156" s="17"/>
    </row>
    <row r="157" ht="17.25" customHeight="1">
      <c r="A157" s="17"/>
      <c r="B157" s="61"/>
      <c r="C157" s="61"/>
      <c r="D157" s="61"/>
      <c r="E157" s="61"/>
      <c r="F157" s="61"/>
      <c r="G157" s="61"/>
      <c r="H157" s="61"/>
      <c r="I157" s="61"/>
      <c r="J157" s="61"/>
      <c r="K157" s="61"/>
      <c r="L157" s="61"/>
      <c r="M157" s="61"/>
      <c r="N157" s="61"/>
      <c r="O157" s="61"/>
      <c r="P157" s="61"/>
      <c r="Q157" s="61"/>
      <c r="R157" s="17"/>
      <c r="S157" s="17"/>
      <c r="T157" s="17"/>
      <c r="U157" s="17"/>
      <c r="V157" s="17"/>
      <c r="W157" s="17"/>
      <c r="X157" s="17"/>
      <c r="Y157" s="17"/>
      <c r="Z157" s="17"/>
    </row>
    <row r="158" ht="17.25" customHeight="1">
      <c r="A158" s="17"/>
      <c r="B158" s="61"/>
      <c r="C158" s="61"/>
      <c r="D158" s="61"/>
      <c r="E158" s="61"/>
      <c r="F158" s="61"/>
      <c r="G158" s="61"/>
      <c r="H158" s="61"/>
      <c r="I158" s="61"/>
      <c r="J158" s="61"/>
      <c r="K158" s="61"/>
      <c r="L158" s="61"/>
      <c r="M158" s="61"/>
      <c r="N158" s="61"/>
      <c r="O158" s="61"/>
      <c r="P158" s="61"/>
      <c r="Q158" s="61"/>
      <c r="R158" s="17"/>
      <c r="S158" s="17"/>
      <c r="T158" s="17"/>
      <c r="U158" s="17"/>
      <c r="V158" s="17"/>
      <c r="W158" s="17"/>
      <c r="X158" s="17"/>
      <c r="Y158" s="17"/>
      <c r="Z158" s="17"/>
    </row>
    <row r="159" ht="17.25" customHeight="1">
      <c r="A159" s="17"/>
      <c r="B159" s="61"/>
      <c r="C159" s="61"/>
      <c r="D159" s="61"/>
      <c r="E159" s="61"/>
      <c r="F159" s="61"/>
      <c r="G159" s="61"/>
      <c r="H159" s="61"/>
      <c r="I159" s="61"/>
      <c r="J159" s="61"/>
      <c r="K159" s="61"/>
      <c r="L159" s="61"/>
      <c r="M159" s="61"/>
      <c r="N159" s="61"/>
      <c r="O159" s="61"/>
      <c r="P159" s="61"/>
      <c r="Q159" s="61"/>
      <c r="R159" s="17"/>
      <c r="S159" s="17"/>
      <c r="T159" s="17"/>
      <c r="U159" s="17"/>
      <c r="V159" s="17"/>
      <c r="W159" s="17"/>
      <c r="X159" s="17"/>
      <c r="Y159" s="17"/>
      <c r="Z159" s="17"/>
    </row>
    <row r="160" ht="17.25" customHeight="1">
      <c r="A160" s="17"/>
      <c r="B160" s="61"/>
      <c r="C160" s="61"/>
      <c r="D160" s="61"/>
      <c r="E160" s="61"/>
      <c r="F160" s="61"/>
      <c r="G160" s="61"/>
      <c r="H160" s="61"/>
      <c r="I160" s="61"/>
      <c r="J160" s="61"/>
      <c r="K160" s="61"/>
      <c r="L160" s="61"/>
      <c r="M160" s="61"/>
      <c r="N160" s="61"/>
      <c r="O160" s="61"/>
      <c r="P160" s="61"/>
      <c r="Q160" s="61"/>
      <c r="R160" s="17"/>
      <c r="S160" s="17"/>
      <c r="T160" s="17"/>
      <c r="U160" s="17"/>
      <c r="V160" s="17"/>
      <c r="W160" s="17"/>
      <c r="X160" s="17"/>
      <c r="Y160" s="17"/>
      <c r="Z160" s="17"/>
    </row>
    <row r="161" ht="17.25" customHeight="1">
      <c r="A161" s="17"/>
      <c r="B161" s="61"/>
      <c r="C161" s="61"/>
      <c r="D161" s="61"/>
      <c r="E161" s="61"/>
      <c r="F161" s="61"/>
      <c r="G161" s="61"/>
      <c r="H161" s="61"/>
      <c r="I161" s="61"/>
      <c r="J161" s="61"/>
      <c r="K161" s="61"/>
      <c r="L161" s="61"/>
      <c r="M161" s="61"/>
      <c r="N161" s="61"/>
      <c r="O161" s="61"/>
      <c r="P161" s="61"/>
      <c r="Q161" s="61"/>
      <c r="R161" s="17"/>
      <c r="S161" s="17"/>
      <c r="T161" s="17"/>
      <c r="U161" s="17"/>
      <c r="V161" s="17"/>
      <c r="W161" s="17"/>
      <c r="X161" s="17"/>
      <c r="Y161" s="17"/>
      <c r="Z161" s="17"/>
    </row>
    <row r="162" ht="17.25" customHeight="1">
      <c r="A162" s="17"/>
      <c r="B162" s="61"/>
      <c r="C162" s="61"/>
      <c r="D162" s="61"/>
      <c r="E162" s="61"/>
      <c r="F162" s="61"/>
      <c r="G162" s="61"/>
      <c r="H162" s="61"/>
      <c r="I162" s="61"/>
      <c r="J162" s="61"/>
      <c r="K162" s="61"/>
      <c r="L162" s="61"/>
      <c r="M162" s="61"/>
      <c r="N162" s="61"/>
      <c r="O162" s="61"/>
      <c r="P162" s="61"/>
      <c r="Q162" s="61"/>
      <c r="R162" s="17"/>
      <c r="S162" s="17"/>
      <c r="T162" s="17"/>
      <c r="U162" s="17"/>
      <c r="V162" s="17"/>
      <c r="W162" s="17"/>
      <c r="X162" s="17"/>
      <c r="Y162" s="17"/>
      <c r="Z162" s="17"/>
    </row>
    <row r="163" ht="17.25" customHeight="1">
      <c r="A163" s="17"/>
      <c r="B163" s="61"/>
      <c r="C163" s="61"/>
      <c r="D163" s="61"/>
      <c r="E163" s="61"/>
      <c r="F163" s="61"/>
      <c r="G163" s="61"/>
      <c r="H163" s="61"/>
      <c r="I163" s="61"/>
      <c r="J163" s="61"/>
      <c r="K163" s="61"/>
      <c r="L163" s="61"/>
      <c r="M163" s="61"/>
      <c r="N163" s="61"/>
      <c r="O163" s="61"/>
      <c r="P163" s="61"/>
      <c r="Q163" s="61"/>
      <c r="R163" s="17"/>
      <c r="S163" s="17"/>
      <c r="T163" s="17"/>
      <c r="U163" s="17"/>
      <c r="V163" s="17"/>
      <c r="W163" s="17"/>
      <c r="X163" s="17"/>
      <c r="Y163" s="17"/>
      <c r="Z163" s="17"/>
    </row>
    <row r="164" ht="17.25" customHeight="1">
      <c r="A164" s="17"/>
      <c r="B164" s="61"/>
      <c r="C164" s="61"/>
      <c r="D164" s="61"/>
      <c r="E164" s="61"/>
      <c r="F164" s="61"/>
      <c r="G164" s="61"/>
      <c r="H164" s="61"/>
      <c r="I164" s="61"/>
      <c r="J164" s="61"/>
      <c r="K164" s="61"/>
      <c r="L164" s="61"/>
      <c r="M164" s="61"/>
      <c r="N164" s="61"/>
      <c r="O164" s="61"/>
      <c r="P164" s="61"/>
      <c r="Q164" s="61"/>
      <c r="R164" s="17"/>
      <c r="S164" s="17"/>
      <c r="T164" s="17"/>
      <c r="U164" s="17"/>
      <c r="V164" s="17"/>
      <c r="W164" s="17"/>
      <c r="X164" s="17"/>
      <c r="Y164" s="17"/>
      <c r="Z164" s="17"/>
    </row>
    <row r="165" ht="17.25" customHeight="1">
      <c r="A165" s="17"/>
      <c r="B165" s="61"/>
      <c r="C165" s="61"/>
      <c r="D165" s="61"/>
      <c r="E165" s="61"/>
      <c r="F165" s="61"/>
      <c r="G165" s="61"/>
      <c r="H165" s="61"/>
      <c r="I165" s="61"/>
      <c r="J165" s="61"/>
      <c r="K165" s="61"/>
      <c r="L165" s="61"/>
      <c r="M165" s="61"/>
      <c r="N165" s="61"/>
      <c r="O165" s="61"/>
      <c r="P165" s="61"/>
      <c r="Q165" s="61"/>
      <c r="R165" s="17"/>
      <c r="S165" s="17"/>
      <c r="T165" s="17"/>
      <c r="U165" s="17"/>
      <c r="V165" s="17"/>
      <c r="W165" s="17"/>
      <c r="X165" s="17"/>
      <c r="Y165" s="17"/>
      <c r="Z165" s="17"/>
    </row>
    <row r="166" ht="17.25" customHeight="1">
      <c r="A166" s="17"/>
      <c r="B166" s="61"/>
      <c r="C166" s="61"/>
      <c r="D166" s="61"/>
      <c r="E166" s="61"/>
      <c r="F166" s="61"/>
      <c r="G166" s="61"/>
      <c r="H166" s="61"/>
      <c r="I166" s="61"/>
      <c r="J166" s="61"/>
      <c r="K166" s="61"/>
      <c r="L166" s="61"/>
      <c r="M166" s="61"/>
      <c r="N166" s="61"/>
      <c r="O166" s="61"/>
      <c r="P166" s="61"/>
      <c r="Q166" s="61"/>
      <c r="R166" s="17"/>
      <c r="S166" s="17"/>
      <c r="T166" s="17"/>
      <c r="U166" s="17"/>
      <c r="V166" s="17"/>
      <c r="W166" s="17"/>
      <c r="X166" s="17"/>
      <c r="Y166" s="17"/>
      <c r="Z166" s="17"/>
    </row>
    <row r="167" ht="17.25" customHeight="1">
      <c r="A167" s="17"/>
      <c r="B167" s="61"/>
      <c r="C167" s="61"/>
      <c r="D167" s="61"/>
      <c r="E167" s="61"/>
      <c r="F167" s="61"/>
      <c r="G167" s="61"/>
      <c r="H167" s="61"/>
      <c r="I167" s="61"/>
      <c r="J167" s="61"/>
      <c r="K167" s="61"/>
      <c r="L167" s="61"/>
      <c r="M167" s="61"/>
      <c r="N167" s="61"/>
      <c r="O167" s="61"/>
      <c r="P167" s="61"/>
      <c r="Q167" s="61"/>
      <c r="R167" s="17"/>
      <c r="S167" s="17"/>
      <c r="T167" s="17"/>
      <c r="U167" s="17"/>
      <c r="V167" s="17"/>
      <c r="W167" s="17"/>
      <c r="X167" s="17"/>
      <c r="Y167" s="17"/>
      <c r="Z167" s="17"/>
    </row>
    <row r="168" ht="17.25" customHeight="1">
      <c r="A168" s="17"/>
      <c r="B168" s="61"/>
      <c r="C168" s="61"/>
      <c r="D168" s="61"/>
      <c r="E168" s="61"/>
      <c r="F168" s="61"/>
      <c r="G168" s="61"/>
      <c r="H168" s="61"/>
      <c r="I168" s="61"/>
      <c r="J168" s="61"/>
      <c r="K168" s="61"/>
      <c r="L168" s="61"/>
      <c r="M168" s="61"/>
      <c r="N168" s="61"/>
      <c r="O168" s="61"/>
      <c r="P168" s="61"/>
      <c r="Q168" s="61"/>
      <c r="R168" s="17"/>
      <c r="S168" s="17"/>
      <c r="T168" s="17"/>
      <c r="U168" s="17"/>
      <c r="V168" s="17"/>
      <c r="W168" s="17"/>
      <c r="X168" s="17"/>
      <c r="Y168" s="17"/>
      <c r="Z168" s="17"/>
    </row>
    <row r="169" ht="17.25" customHeight="1">
      <c r="A169" s="17"/>
      <c r="B169" s="61"/>
      <c r="C169" s="61"/>
      <c r="D169" s="61"/>
      <c r="E169" s="61"/>
      <c r="F169" s="61"/>
      <c r="G169" s="61"/>
      <c r="H169" s="61"/>
      <c r="I169" s="61"/>
      <c r="J169" s="61"/>
      <c r="K169" s="61"/>
      <c r="L169" s="61"/>
      <c r="M169" s="61"/>
      <c r="N169" s="61"/>
      <c r="O169" s="61"/>
      <c r="P169" s="61"/>
      <c r="Q169" s="61"/>
      <c r="R169" s="17"/>
      <c r="S169" s="17"/>
      <c r="T169" s="17"/>
      <c r="U169" s="17"/>
      <c r="V169" s="17"/>
      <c r="W169" s="17"/>
      <c r="X169" s="17"/>
      <c r="Y169" s="17"/>
      <c r="Z169" s="17"/>
    </row>
    <row r="170" ht="17.25" customHeight="1">
      <c r="A170" s="17"/>
      <c r="B170" s="61"/>
      <c r="C170" s="61"/>
      <c r="D170" s="61"/>
      <c r="E170" s="61"/>
      <c r="F170" s="61"/>
      <c r="G170" s="61"/>
      <c r="H170" s="61"/>
      <c r="I170" s="61"/>
      <c r="J170" s="61"/>
      <c r="K170" s="61"/>
      <c r="L170" s="61"/>
      <c r="M170" s="61"/>
      <c r="N170" s="61"/>
      <c r="O170" s="61"/>
      <c r="P170" s="61"/>
      <c r="Q170" s="61"/>
      <c r="R170" s="17"/>
      <c r="S170" s="17"/>
      <c r="T170" s="17"/>
      <c r="U170" s="17"/>
      <c r="V170" s="17"/>
      <c r="W170" s="17"/>
      <c r="X170" s="17"/>
      <c r="Y170" s="17"/>
      <c r="Z170" s="17"/>
    </row>
    <row r="171" ht="17.25" customHeight="1">
      <c r="A171" s="17"/>
      <c r="B171" s="61"/>
      <c r="C171" s="61"/>
      <c r="D171" s="61"/>
      <c r="E171" s="61"/>
      <c r="F171" s="61"/>
      <c r="G171" s="61"/>
      <c r="H171" s="61"/>
      <c r="I171" s="61"/>
      <c r="J171" s="61"/>
      <c r="K171" s="61"/>
      <c r="L171" s="61"/>
      <c r="M171" s="61"/>
      <c r="N171" s="61"/>
      <c r="O171" s="61"/>
      <c r="P171" s="61"/>
      <c r="Q171" s="61"/>
      <c r="R171" s="17"/>
      <c r="S171" s="17"/>
      <c r="T171" s="17"/>
      <c r="U171" s="17"/>
      <c r="V171" s="17"/>
      <c r="W171" s="17"/>
      <c r="X171" s="17"/>
      <c r="Y171" s="17"/>
      <c r="Z171" s="17"/>
    </row>
    <row r="172" ht="17.25" customHeight="1">
      <c r="A172" s="17"/>
      <c r="B172" s="61"/>
      <c r="C172" s="61"/>
      <c r="D172" s="61"/>
      <c r="E172" s="61"/>
      <c r="F172" s="61"/>
      <c r="G172" s="61"/>
      <c r="H172" s="61"/>
      <c r="I172" s="61"/>
      <c r="J172" s="61"/>
      <c r="K172" s="61"/>
      <c r="L172" s="61"/>
      <c r="M172" s="61"/>
      <c r="N172" s="61"/>
      <c r="O172" s="61"/>
      <c r="P172" s="61"/>
      <c r="Q172" s="61"/>
      <c r="R172" s="17"/>
      <c r="S172" s="17"/>
      <c r="T172" s="17"/>
      <c r="U172" s="17"/>
      <c r="V172" s="17"/>
      <c r="W172" s="17"/>
      <c r="X172" s="17"/>
      <c r="Y172" s="17"/>
      <c r="Z172" s="17"/>
    </row>
    <row r="173" ht="17.25" customHeight="1">
      <c r="A173" s="17"/>
      <c r="B173" s="61"/>
      <c r="C173" s="61"/>
      <c r="D173" s="61"/>
      <c r="E173" s="61"/>
      <c r="F173" s="61"/>
      <c r="G173" s="61"/>
      <c r="H173" s="61"/>
      <c r="I173" s="61"/>
      <c r="J173" s="61"/>
      <c r="K173" s="61"/>
      <c r="L173" s="61"/>
      <c r="M173" s="61"/>
      <c r="N173" s="61"/>
      <c r="O173" s="61"/>
      <c r="P173" s="61"/>
      <c r="Q173" s="61"/>
      <c r="R173" s="17"/>
      <c r="S173" s="17"/>
      <c r="T173" s="17"/>
      <c r="U173" s="17"/>
      <c r="V173" s="17"/>
      <c r="W173" s="17"/>
      <c r="X173" s="17"/>
      <c r="Y173" s="17"/>
      <c r="Z173" s="17"/>
    </row>
    <row r="174" ht="17.25" customHeight="1">
      <c r="A174" s="17"/>
      <c r="B174" s="61"/>
      <c r="C174" s="61"/>
      <c r="D174" s="61"/>
      <c r="E174" s="61"/>
      <c r="F174" s="61"/>
      <c r="G174" s="61"/>
      <c r="H174" s="61"/>
      <c r="I174" s="61"/>
      <c r="J174" s="61"/>
      <c r="K174" s="61"/>
      <c r="L174" s="61"/>
      <c r="M174" s="61"/>
      <c r="N174" s="61"/>
      <c r="O174" s="61"/>
      <c r="P174" s="61"/>
      <c r="Q174" s="61"/>
      <c r="R174" s="17"/>
      <c r="S174" s="17"/>
      <c r="T174" s="17"/>
      <c r="U174" s="17"/>
      <c r="V174" s="17"/>
      <c r="W174" s="17"/>
      <c r="X174" s="17"/>
      <c r="Y174" s="17"/>
      <c r="Z174" s="17"/>
    </row>
    <row r="175" ht="17.25" customHeight="1">
      <c r="A175" s="17"/>
      <c r="B175" s="61"/>
      <c r="C175" s="61"/>
      <c r="D175" s="61"/>
      <c r="E175" s="61"/>
      <c r="F175" s="61"/>
      <c r="G175" s="61"/>
      <c r="H175" s="61"/>
      <c r="I175" s="61"/>
      <c r="J175" s="61"/>
      <c r="K175" s="61"/>
      <c r="L175" s="61"/>
      <c r="M175" s="61"/>
      <c r="N175" s="61"/>
      <c r="O175" s="61"/>
      <c r="P175" s="61"/>
      <c r="Q175" s="61"/>
      <c r="R175" s="17"/>
      <c r="S175" s="17"/>
      <c r="T175" s="17"/>
      <c r="U175" s="17"/>
      <c r="V175" s="17"/>
      <c r="W175" s="17"/>
      <c r="X175" s="17"/>
      <c r="Y175" s="17"/>
      <c r="Z175" s="17"/>
    </row>
    <row r="176" ht="17.25" customHeight="1">
      <c r="A176" s="17"/>
      <c r="B176" s="61"/>
      <c r="C176" s="61"/>
      <c r="D176" s="61"/>
      <c r="E176" s="61"/>
      <c r="F176" s="61"/>
      <c r="G176" s="61"/>
      <c r="H176" s="61"/>
      <c r="I176" s="61"/>
      <c r="J176" s="61"/>
      <c r="K176" s="61"/>
      <c r="L176" s="61"/>
      <c r="M176" s="61"/>
      <c r="N176" s="61"/>
      <c r="O176" s="61"/>
      <c r="P176" s="61"/>
      <c r="Q176" s="61"/>
      <c r="R176" s="17"/>
      <c r="S176" s="17"/>
      <c r="T176" s="17"/>
      <c r="U176" s="17"/>
      <c r="V176" s="17"/>
      <c r="W176" s="17"/>
      <c r="X176" s="17"/>
      <c r="Y176" s="17"/>
      <c r="Z176" s="17"/>
    </row>
    <row r="177" ht="17.25" customHeight="1">
      <c r="A177" s="17"/>
      <c r="B177" s="61"/>
      <c r="C177" s="61"/>
      <c r="D177" s="61"/>
      <c r="E177" s="61"/>
      <c r="F177" s="61"/>
      <c r="G177" s="61"/>
      <c r="H177" s="61"/>
      <c r="I177" s="61"/>
      <c r="J177" s="61"/>
      <c r="K177" s="61"/>
      <c r="L177" s="61"/>
      <c r="M177" s="61"/>
      <c r="N177" s="61"/>
      <c r="O177" s="61"/>
      <c r="P177" s="61"/>
      <c r="Q177" s="61"/>
      <c r="R177" s="17"/>
      <c r="S177" s="17"/>
      <c r="T177" s="17"/>
      <c r="U177" s="17"/>
      <c r="V177" s="17"/>
      <c r="W177" s="17"/>
      <c r="X177" s="17"/>
      <c r="Y177" s="17"/>
      <c r="Z177" s="17"/>
    </row>
    <row r="178" ht="17.25" customHeight="1">
      <c r="A178" s="17"/>
      <c r="B178" s="61"/>
      <c r="C178" s="61"/>
      <c r="D178" s="61"/>
      <c r="E178" s="61"/>
      <c r="F178" s="61"/>
      <c r="G178" s="61"/>
      <c r="H178" s="61"/>
      <c r="I178" s="61"/>
      <c r="J178" s="61"/>
      <c r="K178" s="61"/>
      <c r="L178" s="61"/>
      <c r="M178" s="61"/>
      <c r="N178" s="61"/>
      <c r="O178" s="61"/>
      <c r="P178" s="61"/>
      <c r="Q178" s="61"/>
      <c r="R178" s="17"/>
      <c r="S178" s="17"/>
      <c r="T178" s="17"/>
      <c r="U178" s="17"/>
      <c r="V178" s="17"/>
      <c r="W178" s="17"/>
      <c r="X178" s="17"/>
      <c r="Y178" s="17"/>
      <c r="Z178" s="17"/>
    </row>
    <row r="179" ht="17.25" customHeight="1">
      <c r="A179" s="17"/>
      <c r="B179" s="61"/>
      <c r="C179" s="61"/>
      <c r="D179" s="61"/>
      <c r="E179" s="61"/>
      <c r="F179" s="61"/>
      <c r="G179" s="61"/>
      <c r="H179" s="61"/>
      <c r="I179" s="61"/>
      <c r="J179" s="61"/>
      <c r="K179" s="61"/>
      <c r="L179" s="61"/>
      <c r="M179" s="61"/>
      <c r="N179" s="61"/>
      <c r="O179" s="61"/>
      <c r="P179" s="61"/>
      <c r="Q179" s="61"/>
      <c r="R179" s="17"/>
      <c r="S179" s="17"/>
      <c r="T179" s="17"/>
      <c r="U179" s="17"/>
      <c r="V179" s="17"/>
      <c r="W179" s="17"/>
      <c r="X179" s="17"/>
      <c r="Y179" s="17"/>
      <c r="Z179" s="17"/>
    </row>
    <row r="180" ht="17.25" customHeight="1">
      <c r="A180" s="17"/>
      <c r="B180" s="61"/>
      <c r="C180" s="61"/>
      <c r="D180" s="61"/>
      <c r="E180" s="61"/>
      <c r="F180" s="61"/>
      <c r="G180" s="61"/>
      <c r="H180" s="61"/>
      <c r="I180" s="61"/>
      <c r="J180" s="61"/>
      <c r="K180" s="61"/>
      <c r="L180" s="61"/>
      <c r="M180" s="61"/>
      <c r="N180" s="61"/>
      <c r="O180" s="61"/>
      <c r="P180" s="61"/>
      <c r="Q180" s="61"/>
      <c r="R180" s="17"/>
      <c r="S180" s="17"/>
      <c r="T180" s="17"/>
      <c r="U180" s="17"/>
      <c r="V180" s="17"/>
      <c r="W180" s="17"/>
      <c r="X180" s="17"/>
      <c r="Y180" s="17"/>
      <c r="Z180" s="17"/>
    </row>
    <row r="181" ht="17.25" customHeight="1">
      <c r="A181" s="17"/>
      <c r="B181" s="61"/>
      <c r="C181" s="61"/>
      <c r="D181" s="61"/>
      <c r="E181" s="61"/>
      <c r="F181" s="61"/>
      <c r="G181" s="61"/>
      <c r="H181" s="61"/>
      <c r="I181" s="61"/>
      <c r="J181" s="61"/>
      <c r="K181" s="61"/>
      <c r="L181" s="61"/>
      <c r="M181" s="61"/>
      <c r="N181" s="61"/>
      <c r="O181" s="61"/>
      <c r="P181" s="61"/>
      <c r="Q181" s="61"/>
      <c r="R181" s="17"/>
      <c r="S181" s="17"/>
      <c r="T181" s="17"/>
      <c r="U181" s="17"/>
      <c r="V181" s="17"/>
      <c r="W181" s="17"/>
      <c r="X181" s="17"/>
      <c r="Y181" s="17"/>
      <c r="Z181" s="17"/>
    </row>
    <row r="182" ht="17.25" customHeight="1">
      <c r="A182" s="17"/>
      <c r="B182" s="61"/>
      <c r="C182" s="61"/>
      <c r="D182" s="61"/>
      <c r="E182" s="61"/>
      <c r="F182" s="61"/>
      <c r="G182" s="61"/>
      <c r="H182" s="61"/>
      <c r="I182" s="61"/>
      <c r="J182" s="61"/>
      <c r="K182" s="61"/>
      <c r="L182" s="61"/>
      <c r="M182" s="61"/>
      <c r="N182" s="61"/>
      <c r="O182" s="61"/>
      <c r="P182" s="61"/>
      <c r="Q182" s="61"/>
      <c r="R182" s="17"/>
      <c r="S182" s="17"/>
      <c r="T182" s="17"/>
      <c r="U182" s="17"/>
      <c r="V182" s="17"/>
      <c r="W182" s="17"/>
      <c r="X182" s="17"/>
      <c r="Y182" s="17"/>
      <c r="Z182" s="17"/>
    </row>
    <row r="183" ht="17.25" customHeight="1">
      <c r="A183" s="17"/>
      <c r="B183" s="61"/>
      <c r="C183" s="61"/>
      <c r="D183" s="61"/>
      <c r="E183" s="61"/>
      <c r="F183" s="61"/>
      <c r="G183" s="61"/>
      <c r="H183" s="61"/>
      <c r="I183" s="61"/>
      <c r="J183" s="61"/>
      <c r="K183" s="61"/>
      <c r="L183" s="61"/>
      <c r="M183" s="61"/>
      <c r="N183" s="61"/>
      <c r="O183" s="61"/>
      <c r="P183" s="61"/>
      <c r="Q183" s="61"/>
      <c r="R183" s="17"/>
      <c r="S183" s="17"/>
      <c r="T183" s="17"/>
      <c r="U183" s="17"/>
      <c r="V183" s="17"/>
      <c r="W183" s="17"/>
      <c r="X183" s="17"/>
      <c r="Y183" s="17"/>
      <c r="Z183" s="17"/>
    </row>
    <row r="184" ht="17.25" customHeight="1">
      <c r="A184" s="17"/>
      <c r="B184" s="61"/>
      <c r="C184" s="61"/>
      <c r="D184" s="61"/>
      <c r="E184" s="61"/>
      <c r="F184" s="61"/>
      <c r="G184" s="61"/>
      <c r="H184" s="61"/>
      <c r="I184" s="61"/>
      <c r="J184" s="61"/>
      <c r="K184" s="61"/>
      <c r="L184" s="61"/>
      <c r="M184" s="61"/>
      <c r="N184" s="61"/>
      <c r="O184" s="61"/>
      <c r="P184" s="61"/>
      <c r="Q184" s="61"/>
      <c r="R184" s="17"/>
      <c r="S184" s="17"/>
      <c r="T184" s="17"/>
      <c r="U184" s="17"/>
      <c r="V184" s="17"/>
      <c r="W184" s="17"/>
      <c r="X184" s="17"/>
      <c r="Y184" s="17"/>
      <c r="Z184" s="17"/>
    </row>
    <row r="185" ht="17.25" customHeight="1">
      <c r="A185" s="17"/>
      <c r="B185" s="61"/>
      <c r="C185" s="61"/>
      <c r="D185" s="61"/>
      <c r="E185" s="61"/>
      <c r="F185" s="61"/>
      <c r="G185" s="61"/>
      <c r="H185" s="61"/>
      <c r="I185" s="61"/>
      <c r="J185" s="61"/>
      <c r="K185" s="61"/>
      <c r="L185" s="61"/>
      <c r="M185" s="61"/>
      <c r="N185" s="61"/>
      <c r="O185" s="61"/>
      <c r="P185" s="61"/>
      <c r="Q185" s="61"/>
      <c r="R185" s="17"/>
      <c r="S185" s="17"/>
      <c r="T185" s="17"/>
      <c r="U185" s="17"/>
      <c r="V185" s="17"/>
      <c r="W185" s="17"/>
      <c r="X185" s="17"/>
      <c r="Y185" s="17"/>
      <c r="Z185" s="17"/>
    </row>
    <row r="186" ht="17.25" customHeight="1">
      <c r="A186" s="17"/>
      <c r="B186" s="61"/>
      <c r="C186" s="61"/>
      <c r="D186" s="61"/>
      <c r="E186" s="61"/>
      <c r="F186" s="61"/>
      <c r="G186" s="61"/>
      <c r="H186" s="61"/>
      <c r="I186" s="61"/>
      <c r="J186" s="61"/>
      <c r="K186" s="61"/>
      <c r="L186" s="61"/>
      <c r="M186" s="61"/>
      <c r="N186" s="61"/>
      <c r="O186" s="61"/>
      <c r="P186" s="61"/>
      <c r="Q186" s="61"/>
      <c r="R186" s="17"/>
      <c r="S186" s="17"/>
      <c r="T186" s="17"/>
      <c r="U186" s="17"/>
      <c r="V186" s="17"/>
      <c r="W186" s="17"/>
      <c r="X186" s="17"/>
      <c r="Y186" s="17"/>
      <c r="Z186" s="17"/>
    </row>
    <row r="187" ht="17.25" customHeight="1">
      <c r="A187" s="17"/>
      <c r="B187" s="61"/>
      <c r="C187" s="61"/>
      <c r="D187" s="61"/>
      <c r="E187" s="61"/>
      <c r="F187" s="61"/>
      <c r="G187" s="61"/>
      <c r="H187" s="61"/>
      <c r="I187" s="61"/>
      <c r="J187" s="61"/>
      <c r="K187" s="61"/>
      <c r="L187" s="61"/>
      <c r="M187" s="61"/>
      <c r="N187" s="61"/>
      <c r="O187" s="61"/>
      <c r="P187" s="61"/>
      <c r="Q187" s="61"/>
      <c r="R187" s="17"/>
      <c r="S187" s="17"/>
      <c r="T187" s="17"/>
      <c r="U187" s="17"/>
      <c r="V187" s="17"/>
      <c r="W187" s="17"/>
      <c r="X187" s="17"/>
      <c r="Y187" s="17"/>
      <c r="Z187" s="17"/>
    </row>
    <row r="188" ht="17.25" customHeight="1">
      <c r="A188" s="17"/>
      <c r="B188" s="61"/>
      <c r="C188" s="61"/>
      <c r="D188" s="61"/>
      <c r="E188" s="61"/>
      <c r="F188" s="61"/>
      <c r="G188" s="61"/>
      <c r="H188" s="61"/>
      <c r="I188" s="61"/>
      <c r="J188" s="61"/>
      <c r="K188" s="61"/>
      <c r="L188" s="61"/>
      <c r="M188" s="61"/>
      <c r="N188" s="61"/>
      <c r="O188" s="61"/>
      <c r="P188" s="61"/>
      <c r="Q188" s="61"/>
      <c r="R188" s="17"/>
      <c r="S188" s="17"/>
      <c r="T188" s="17"/>
      <c r="U188" s="17"/>
      <c r="V188" s="17"/>
      <c r="W188" s="17"/>
      <c r="X188" s="17"/>
      <c r="Y188" s="17"/>
      <c r="Z188" s="17"/>
    </row>
    <row r="189" ht="17.25" customHeight="1">
      <c r="A189" s="17"/>
      <c r="B189" s="61"/>
      <c r="C189" s="61"/>
      <c r="D189" s="61"/>
      <c r="E189" s="61"/>
      <c r="F189" s="61"/>
      <c r="G189" s="61"/>
      <c r="H189" s="61"/>
      <c r="I189" s="61"/>
      <c r="J189" s="61"/>
      <c r="K189" s="61"/>
      <c r="L189" s="61"/>
      <c r="M189" s="61"/>
      <c r="N189" s="61"/>
      <c r="O189" s="61"/>
      <c r="P189" s="61"/>
      <c r="Q189" s="61"/>
      <c r="R189" s="17"/>
      <c r="S189" s="17"/>
      <c r="T189" s="17"/>
      <c r="U189" s="17"/>
      <c r="V189" s="17"/>
      <c r="W189" s="17"/>
      <c r="X189" s="17"/>
      <c r="Y189" s="17"/>
      <c r="Z189" s="17"/>
    </row>
    <row r="190" ht="17.25" customHeight="1">
      <c r="A190" s="17"/>
      <c r="B190" s="61"/>
      <c r="C190" s="61"/>
      <c r="D190" s="61"/>
      <c r="E190" s="61"/>
      <c r="F190" s="61"/>
      <c r="G190" s="61"/>
      <c r="H190" s="61"/>
      <c r="I190" s="61"/>
      <c r="J190" s="61"/>
      <c r="K190" s="61"/>
      <c r="L190" s="61"/>
      <c r="M190" s="61"/>
      <c r="N190" s="61"/>
      <c r="O190" s="61"/>
      <c r="P190" s="61"/>
      <c r="Q190" s="61"/>
      <c r="R190" s="17"/>
      <c r="S190" s="17"/>
      <c r="T190" s="17"/>
      <c r="U190" s="17"/>
      <c r="V190" s="17"/>
      <c r="W190" s="17"/>
      <c r="X190" s="17"/>
      <c r="Y190" s="17"/>
      <c r="Z190" s="17"/>
    </row>
    <row r="191" ht="17.25" customHeight="1">
      <c r="A191" s="17"/>
      <c r="B191" s="61"/>
      <c r="C191" s="61"/>
      <c r="D191" s="61"/>
      <c r="E191" s="61"/>
      <c r="F191" s="61"/>
      <c r="G191" s="61"/>
      <c r="H191" s="61"/>
      <c r="I191" s="61"/>
      <c r="J191" s="61"/>
      <c r="K191" s="61"/>
      <c r="L191" s="61"/>
      <c r="M191" s="61"/>
      <c r="N191" s="61"/>
      <c r="O191" s="61"/>
      <c r="P191" s="61"/>
      <c r="Q191" s="61"/>
      <c r="R191" s="17"/>
      <c r="S191" s="17"/>
      <c r="T191" s="17"/>
      <c r="U191" s="17"/>
      <c r="V191" s="17"/>
      <c r="W191" s="17"/>
      <c r="X191" s="17"/>
      <c r="Y191" s="17"/>
      <c r="Z191" s="17"/>
    </row>
    <row r="192" ht="17.25" customHeight="1">
      <c r="A192" s="17"/>
      <c r="B192" s="61"/>
      <c r="C192" s="61"/>
      <c r="D192" s="61"/>
      <c r="E192" s="61"/>
      <c r="F192" s="61"/>
      <c r="G192" s="61"/>
      <c r="H192" s="61"/>
      <c r="I192" s="61"/>
      <c r="J192" s="61"/>
      <c r="K192" s="61"/>
      <c r="L192" s="61"/>
      <c r="M192" s="61"/>
      <c r="N192" s="61"/>
      <c r="O192" s="61"/>
      <c r="P192" s="61"/>
      <c r="Q192" s="61"/>
      <c r="R192" s="17"/>
      <c r="S192" s="17"/>
      <c r="T192" s="17"/>
      <c r="U192" s="17"/>
      <c r="V192" s="17"/>
      <c r="W192" s="17"/>
      <c r="X192" s="17"/>
      <c r="Y192" s="17"/>
      <c r="Z192" s="17"/>
    </row>
    <row r="193" ht="17.25" customHeight="1">
      <c r="A193" s="17"/>
      <c r="B193" s="61"/>
      <c r="C193" s="61"/>
      <c r="D193" s="61"/>
      <c r="E193" s="61"/>
      <c r="F193" s="61"/>
      <c r="G193" s="61"/>
      <c r="H193" s="61"/>
      <c r="I193" s="61"/>
      <c r="J193" s="61"/>
      <c r="K193" s="61"/>
      <c r="L193" s="61"/>
      <c r="M193" s="61"/>
      <c r="N193" s="61"/>
      <c r="O193" s="61"/>
      <c r="P193" s="61"/>
      <c r="Q193" s="61"/>
      <c r="R193" s="17"/>
      <c r="S193" s="17"/>
      <c r="T193" s="17"/>
      <c r="U193" s="17"/>
      <c r="V193" s="17"/>
      <c r="W193" s="17"/>
      <c r="X193" s="17"/>
      <c r="Y193" s="17"/>
      <c r="Z193" s="17"/>
    </row>
    <row r="194" ht="17.25" customHeight="1">
      <c r="A194" s="17"/>
      <c r="B194" s="61"/>
      <c r="C194" s="61"/>
      <c r="D194" s="61"/>
      <c r="E194" s="61"/>
      <c r="F194" s="61"/>
      <c r="G194" s="61"/>
      <c r="H194" s="61"/>
      <c r="I194" s="61"/>
      <c r="J194" s="61"/>
      <c r="K194" s="61"/>
      <c r="L194" s="61"/>
      <c r="M194" s="61"/>
      <c r="N194" s="61"/>
      <c r="O194" s="61"/>
      <c r="P194" s="61"/>
      <c r="Q194" s="61"/>
      <c r="R194" s="17"/>
      <c r="S194" s="17"/>
      <c r="T194" s="17"/>
      <c r="U194" s="17"/>
      <c r="V194" s="17"/>
      <c r="W194" s="17"/>
      <c r="X194" s="17"/>
      <c r="Y194" s="17"/>
      <c r="Z194" s="17"/>
    </row>
    <row r="195" ht="17.25" customHeight="1">
      <c r="A195" s="17"/>
      <c r="B195" s="61"/>
      <c r="C195" s="61"/>
      <c r="D195" s="61"/>
      <c r="E195" s="61"/>
      <c r="F195" s="61"/>
      <c r="G195" s="61"/>
      <c r="H195" s="61"/>
      <c r="I195" s="61"/>
      <c r="J195" s="61"/>
      <c r="K195" s="61"/>
      <c r="L195" s="61"/>
      <c r="M195" s="61"/>
      <c r="N195" s="61"/>
      <c r="O195" s="61"/>
      <c r="P195" s="61"/>
      <c r="Q195" s="61"/>
      <c r="R195" s="17"/>
      <c r="S195" s="17"/>
      <c r="T195" s="17"/>
      <c r="U195" s="17"/>
      <c r="V195" s="17"/>
      <c r="W195" s="17"/>
      <c r="X195" s="17"/>
      <c r="Y195" s="17"/>
      <c r="Z195" s="17"/>
    </row>
    <row r="196" ht="17.25" customHeight="1">
      <c r="A196" s="17"/>
      <c r="B196" s="61"/>
      <c r="C196" s="61"/>
      <c r="D196" s="61"/>
      <c r="E196" s="61"/>
      <c r="F196" s="61"/>
      <c r="G196" s="61"/>
      <c r="H196" s="61"/>
      <c r="I196" s="61"/>
      <c r="J196" s="61"/>
      <c r="K196" s="61"/>
      <c r="L196" s="61"/>
      <c r="M196" s="61"/>
      <c r="N196" s="61"/>
      <c r="O196" s="61"/>
      <c r="P196" s="61"/>
      <c r="Q196" s="61"/>
      <c r="R196" s="17"/>
      <c r="S196" s="17"/>
      <c r="T196" s="17"/>
      <c r="U196" s="17"/>
      <c r="V196" s="17"/>
      <c r="W196" s="17"/>
      <c r="X196" s="17"/>
      <c r="Y196" s="17"/>
      <c r="Z196" s="17"/>
    </row>
    <row r="197" ht="17.25" customHeight="1">
      <c r="A197" s="17"/>
      <c r="B197" s="61"/>
      <c r="C197" s="61"/>
      <c r="D197" s="61"/>
      <c r="E197" s="61"/>
      <c r="F197" s="61"/>
      <c r="G197" s="61"/>
      <c r="H197" s="61"/>
      <c r="I197" s="61"/>
      <c r="J197" s="61"/>
      <c r="K197" s="61"/>
      <c r="L197" s="61"/>
      <c r="M197" s="61"/>
      <c r="N197" s="61"/>
      <c r="O197" s="61"/>
      <c r="P197" s="61"/>
      <c r="Q197" s="61"/>
      <c r="R197" s="17"/>
      <c r="S197" s="17"/>
      <c r="T197" s="17"/>
      <c r="U197" s="17"/>
      <c r="V197" s="17"/>
      <c r="W197" s="17"/>
      <c r="X197" s="17"/>
      <c r="Y197" s="17"/>
      <c r="Z197" s="17"/>
    </row>
    <row r="198" ht="17.25" customHeight="1">
      <c r="A198" s="17"/>
      <c r="B198" s="61"/>
      <c r="C198" s="61"/>
      <c r="D198" s="61"/>
      <c r="E198" s="61"/>
      <c r="F198" s="61"/>
      <c r="G198" s="61"/>
      <c r="H198" s="61"/>
      <c r="I198" s="61"/>
      <c r="J198" s="61"/>
      <c r="K198" s="61"/>
      <c r="L198" s="61"/>
      <c r="M198" s="61"/>
      <c r="N198" s="61"/>
      <c r="O198" s="61"/>
      <c r="P198" s="61"/>
      <c r="Q198" s="61"/>
      <c r="R198" s="17"/>
      <c r="S198" s="17"/>
      <c r="T198" s="17"/>
      <c r="U198" s="17"/>
      <c r="V198" s="17"/>
      <c r="W198" s="17"/>
      <c r="X198" s="17"/>
      <c r="Y198" s="17"/>
      <c r="Z198" s="17"/>
    </row>
    <row r="199" ht="17.25" customHeight="1">
      <c r="A199" s="17"/>
      <c r="B199" s="61"/>
      <c r="C199" s="61"/>
      <c r="D199" s="61"/>
      <c r="E199" s="61"/>
      <c r="F199" s="61"/>
      <c r="G199" s="61"/>
      <c r="H199" s="61"/>
      <c r="I199" s="61"/>
      <c r="J199" s="61"/>
      <c r="K199" s="61"/>
      <c r="L199" s="61"/>
      <c r="M199" s="61"/>
      <c r="N199" s="61"/>
      <c r="O199" s="61"/>
      <c r="P199" s="61"/>
      <c r="Q199" s="61"/>
      <c r="R199" s="17"/>
      <c r="S199" s="17"/>
      <c r="T199" s="17"/>
      <c r="U199" s="17"/>
      <c r="V199" s="17"/>
      <c r="W199" s="17"/>
      <c r="X199" s="17"/>
      <c r="Y199" s="17"/>
      <c r="Z199" s="17"/>
    </row>
    <row r="200" ht="17.25" customHeight="1">
      <c r="A200" s="17"/>
      <c r="B200" s="61"/>
      <c r="C200" s="61"/>
      <c r="D200" s="61"/>
      <c r="E200" s="61"/>
      <c r="F200" s="61"/>
      <c r="G200" s="61"/>
      <c r="H200" s="61"/>
      <c r="I200" s="61"/>
      <c r="J200" s="61"/>
      <c r="K200" s="61"/>
      <c r="L200" s="61"/>
      <c r="M200" s="61"/>
      <c r="N200" s="61"/>
      <c r="O200" s="61"/>
      <c r="P200" s="61"/>
      <c r="Q200" s="61"/>
      <c r="R200" s="17"/>
      <c r="S200" s="17"/>
      <c r="T200" s="17"/>
      <c r="U200" s="17"/>
      <c r="V200" s="17"/>
      <c r="W200" s="17"/>
      <c r="X200" s="17"/>
      <c r="Y200" s="17"/>
      <c r="Z200" s="17"/>
    </row>
    <row r="201" ht="17.25" customHeight="1">
      <c r="A201" s="17"/>
      <c r="B201" s="61"/>
      <c r="C201" s="61"/>
      <c r="D201" s="61"/>
      <c r="E201" s="61"/>
      <c r="F201" s="61"/>
      <c r="G201" s="61"/>
      <c r="H201" s="61"/>
      <c r="I201" s="61"/>
      <c r="J201" s="61"/>
      <c r="K201" s="61"/>
      <c r="L201" s="61"/>
      <c r="M201" s="61"/>
      <c r="N201" s="61"/>
      <c r="O201" s="61"/>
      <c r="P201" s="61"/>
      <c r="Q201" s="61"/>
      <c r="R201" s="17"/>
      <c r="S201" s="17"/>
      <c r="T201" s="17"/>
      <c r="U201" s="17"/>
      <c r="V201" s="17"/>
      <c r="W201" s="17"/>
      <c r="X201" s="17"/>
      <c r="Y201" s="17"/>
      <c r="Z201" s="17"/>
    </row>
    <row r="202" ht="17.25" customHeight="1">
      <c r="A202" s="17"/>
      <c r="B202" s="61"/>
      <c r="C202" s="61"/>
      <c r="D202" s="61"/>
      <c r="E202" s="61"/>
      <c r="F202" s="61"/>
      <c r="G202" s="61"/>
      <c r="H202" s="61"/>
      <c r="I202" s="61"/>
      <c r="J202" s="61"/>
      <c r="K202" s="61"/>
      <c r="L202" s="61"/>
      <c r="M202" s="61"/>
      <c r="N202" s="61"/>
      <c r="O202" s="61"/>
      <c r="P202" s="61"/>
      <c r="Q202" s="61"/>
      <c r="R202" s="17"/>
      <c r="S202" s="17"/>
      <c r="T202" s="17"/>
      <c r="U202" s="17"/>
      <c r="V202" s="17"/>
      <c r="W202" s="17"/>
      <c r="X202" s="17"/>
      <c r="Y202" s="17"/>
      <c r="Z202" s="17"/>
    </row>
    <row r="203" ht="17.25" customHeight="1">
      <c r="A203" s="17"/>
      <c r="B203" s="61"/>
      <c r="C203" s="61"/>
      <c r="D203" s="61"/>
      <c r="E203" s="61"/>
      <c r="F203" s="61"/>
      <c r="G203" s="61"/>
      <c r="H203" s="61"/>
      <c r="I203" s="61"/>
      <c r="J203" s="61"/>
      <c r="K203" s="61"/>
      <c r="L203" s="61"/>
      <c r="M203" s="61"/>
      <c r="N203" s="61"/>
      <c r="O203" s="61"/>
      <c r="P203" s="61"/>
      <c r="Q203" s="61"/>
      <c r="R203" s="17"/>
      <c r="S203" s="17"/>
      <c r="T203" s="17"/>
      <c r="U203" s="17"/>
      <c r="V203" s="17"/>
      <c r="W203" s="17"/>
      <c r="X203" s="17"/>
      <c r="Y203" s="17"/>
      <c r="Z203" s="17"/>
    </row>
    <row r="204" ht="17.25" customHeight="1">
      <c r="A204" s="17"/>
      <c r="B204" s="61"/>
      <c r="C204" s="61"/>
      <c r="D204" s="61"/>
      <c r="E204" s="61"/>
      <c r="F204" s="61"/>
      <c r="G204" s="61"/>
      <c r="H204" s="61"/>
      <c r="I204" s="61"/>
      <c r="J204" s="61"/>
      <c r="K204" s="61"/>
      <c r="L204" s="61"/>
      <c r="M204" s="61"/>
      <c r="N204" s="61"/>
      <c r="O204" s="61"/>
      <c r="P204" s="61"/>
      <c r="Q204" s="61"/>
      <c r="R204" s="17"/>
      <c r="S204" s="17"/>
      <c r="T204" s="17"/>
      <c r="U204" s="17"/>
      <c r="V204" s="17"/>
      <c r="W204" s="17"/>
      <c r="X204" s="17"/>
      <c r="Y204" s="17"/>
      <c r="Z204" s="17"/>
    </row>
    <row r="205" ht="17.25" customHeight="1">
      <c r="A205" s="17"/>
      <c r="B205" s="61"/>
      <c r="C205" s="61"/>
      <c r="D205" s="61"/>
      <c r="E205" s="61"/>
      <c r="F205" s="61"/>
      <c r="G205" s="61"/>
      <c r="H205" s="61"/>
      <c r="I205" s="61"/>
      <c r="J205" s="61"/>
      <c r="K205" s="61"/>
      <c r="L205" s="61"/>
      <c r="M205" s="61"/>
      <c r="N205" s="61"/>
      <c r="O205" s="61"/>
      <c r="P205" s="61"/>
      <c r="Q205" s="61"/>
      <c r="R205" s="17"/>
      <c r="S205" s="17"/>
      <c r="T205" s="17"/>
      <c r="U205" s="17"/>
      <c r="V205" s="17"/>
      <c r="W205" s="17"/>
      <c r="X205" s="17"/>
      <c r="Y205" s="17"/>
      <c r="Z205" s="17"/>
    </row>
    <row r="206" ht="17.25" customHeight="1">
      <c r="A206" s="17"/>
      <c r="B206" s="61"/>
      <c r="C206" s="61"/>
      <c r="D206" s="61"/>
      <c r="E206" s="61"/>
      <c r="F206" s="61"/>
      <c r="G206" s="61"/>
      <c r="H206" s="61"/>
      <c r="I206" s="61"/>
      <c r="J206" s="61"/>
      <c r="K206" s="61"/>
      <c r="L206" s="61"/>
      <c r="M206" s="61"/>
      <c r="N206" s="61"/>
      <c r="O206" s="61"/>
      <c r="P206" s="61"/>
      <c r="Q206" s="61"/>
      <c r="R206" s="17"/>
      <c r="S206" s="17"/>
      <c r="T206" s="17"/>
      <c r="U206" s="17"/>
      <c r="V206" s="17"/>
      <c r="W206" s="17"/>
      <c r="X206" s="17"/>
      <c r="Y206" s="17"/>
      <c r="Z206" s="17"/>
    </row>
    <row r="207" ht="17.25" customHeight="1">
      <c r="A207" s="17"/>
      <c r="B207" s="61"/>
      <c r="C207" s="61"/>
      <c r="D207" s="61"/>
      <c r="E207" s="61"/>
      <c r="F207" s="61"/>
      <c r="G207" s="61"/>
      <c r="H207" s="61"/>
      <c r="I207" s="61"/>
      <c r="J207" s="61"/>
      <c r="K207" s="61"/>
      <c r="L207" s="61"/>
      <c r="M207" s="61"/>
      <c r="N207" s="61"/>
      <c r="O207" s="61"/>
      <c r="P207" s="61"/>
      <c r="Q207" s="61"/>
      <c r="R207" s="17"/>
      <c r="S207" s="17"/>
      <c r="T207" s="17"/>
      <c r="U207" s="17"/>
      <c r="V207" s="17"/>
      <c r="W207" s="17"/>
      <c r="X207" s="17"/>
      <c r="Y207" s="17"/>
      <c r="Z207" s="17"/>
    </row>
    <row r="208" ht="17.25" customHeight="1">
      <c r="A208" s="17"/>
      <c r="B208" s="61"/>
      <c r="C208" s="61"/>
      <c r="D208" s="61"/>
      <c r="E208" s="61"/>
      <c r="F208" s="61"/>
      <c r="G208" s="61"/>
      <c r="H208" s="61"/>
      <c r="I208" s="61"/>
      <c r="J208" s="61"/>
      <c r="K208" s="61"/>
      <c r="L208" s="61"/>
      <c r="M208" s="61"/>
      <c r="N208" s="61"/>
      <c r="O208" s="61"/>
      <c r="P208" s="61"/>
      <c r="Q208" s="61"/>
      <c r="R208" s="17"/>
      <c r="S208" s="17"/>
      <c r="T208" s="17"/>
      <c r="U208" s="17"/>
      <c r="V208" s="17"/>
      <c r="W208" s="17"/>
      <c r="X208" s="17"/>
      <c r="Y208" s="17"/>
      <c r="Z208" s="17"/>
    </row>
    <row r="209" ht="17.25" customHeight="1">
      <c r="A209" s="17"/>
      <c r="B209" s="61"/>
      <c r="C209" s="61"/>
      <c r="D209" s="61"/>
      <c r="E209" s="61"/>
      <c r="F209" s="61"/>
      <c r="G209" s="61"/>
      <c r="H209" s="61"/>
      <c r="I209" s="61"/>
      <c r="J209" s="61"/>
      <c r="K209" s="61"/>
      <c r="L209" s="61"/>
      <c r="M209" s="61"/>
      <c r="N209" s="61"/>
      <c r="O209" s="61"/>
      <c r="P209" s="61"/>
      <c r="Q209" s="61"/>
      <c r="R209" s="17"/>
      <c r="S209" s="17"/>
      <c r="T209" s="17"/>
      <c r="U209" s="17"/>
      <c r="V209" s="17"/>
      <c r="W209" s="17"/>
      <c r="X209" s="17"/>
      <c r="Y209" s="17"/>
      <c r="Z209" s="17"/>
    </row>
    <row r="210" ht="17.25" customHeight="1">
      <c r="A210" s="17"/>
      <c r="B210" s="61"/>
      <c r="C210" s="61"/>
      <c r="D210" s="61"/>
      <c r="E210" s="61"/>
      <c r="F210" s="61"/>
      <c r="G210" s="61"/>
      <c r="H210" s="61"/>
      <c r="I210" s="61"/>
      <c r="J210" s="61"/>
      <c r="K210" s="61"/>
      <c r="L210" s="61"/>
      <c r="M210" s="61"/>
      <c r="N210" s="61"/>
      <c r="O210" s="61"/>
      <c r="P210" s="61"/>
      <c r="Q210" s="61"/>
      <c r="R210" s="17"/>
      <c r="S210" s="17"/>
      <c r="T210" s="17"/>
      <c r="U210" s="17"/>
      <c r="V210" s="17"/>
      <c r="W210" s="17"/>
      <c r="X210" s="17"/>
      <c r="Y210" s="17"/>
      <c r="Z210" s="17"/>
    </row>
    <row r="211" ht="17.25" customHeight="1">
      <c r="A211" s="17"/>
      <c r="B211" s="61"/>
      <c r="C211" s="61"/>
      <c r="D211" s="61"/>
      <c r="E211" s="61"/>
      <c r="F211" s="61"/>
      <c r="G211" s="61"/>
      <c r="H211" s="61"/>
      <c r="I211" s="61"/>
      <c r="J211" s="61"/>
      <c r="K211" s="61"/>
      <c r="L211" s="61"/>
      <c r="M211" s="61"/>
      <c r="N211" s="61"/>
      <c r="O211" s="61"/>
      <c r="P211" s="61"/>
      <c r="Q211" s="61"/>
      <c r="R211" s="17"/>
      <c r="S211" s="17"/>
      <c r="T211" s="17"/>
      <c r="U211" s="17"/>
      <c r="V211" s="17"/>
      <c r="W211" s="17"/>
      <c r="X211" s="17"/>
      <c r="Y211" s="17"/>
      <c r="Z211" s="17"/>
    </row>
    <row r="212" ht="17.25" customHeight="1">
      <c r="A212" s="17"/>
      <c r="B212" s="61"/>
      <c r="C212" s="61"/>
      <c r="D212" s="61"/>
      <c r="E212" s="61"/>
      <c r="F212" s="61"/>
      <c r="G212" s="61"/>
      <c r="H212" s="61"/>
      <c r="I212" s="61"/>
      <c r="J212" s="61"/>
      <c r="K212" s="61"/>
      <c r="L212" s="61"/>
      <c r="M212" s="61"/>
      <c r="N212" s="61"/>
      <c r="O212" s="61"/>
      <c r="P212" s="61"/>
      <c r="Q212" s="61"/>
      <c r="R212" s="17"/>
      <c r="S212" s="17"/>
      <c r="T212" s="17"/>
      <c r="U212" s="17"/>
      <c r="V212" s="17"/>
      <c r="W212" s="17"/>
      <c r="X212" s="17"/>
      <c r="Y212" s="17"/>
      <c r="Z212" s="17"/>
    </row>
    <row r="213" ht="17.25" customHeight="1">
      <c r="A213" s="17"/>
      <c r="B213" s="61"/>
      <c r="C213" s="61"/>
      <c r="D213" s="61"/>
      <c r="E213" s="61"/>
      <c r="F213" s="61"/>
      <c r="G213" s="61"/>
      <c r="H213" s="61"/>
      <c r="I213" s="61"/>
      <c r="J213" s="61"/>
      <c r="K213" s="61"/>
      <c r="L213" s="61"/>
      <c r="M213" s="61"/>
      <c r="N213" s="61"/>
      <c r="O213" s="61"/>
      <c r="P213" s="61"/>
      <c r="Q213" s="61"/>
      <c r="R213" s="17"/>
      <c r="S213" s="17"/>
      <c r="T213" s="17"/>
      <c r="U213" s="17"/>
      <c r="V213" s="17"/>
      <c r="W213" s="17"/>
      <c r="X213" s="17"/>
      <c r="Y213" s="17"/>
      <c r="Z213" s="17"/>
    </row>
    <row r="214" ht="17.25" customHeight="1">
      <c r="A214" s="17"/>
      <c r="B214" s="61"/>
      <c r="C214" s="61"/>
      <c r="D214" s="61"/>
      <c r="E214" s="61"/>
      <c r="F214" s="61"/>
      <c r="G214" s="61"/>
      <c r="H214" s="61"/>
      <c r="I214" s="61"/>
      <c r="J214" s="61"/>
      <c r="K214" s="61"/>
      <c r="L214" s="61"/>
      <c r="M214" s="61"/>
      <c r="N214" s="61"/>
      <c r="O214" s="61"/>
      <c r="P214" s="61"/>
      <c r="Q214" s="61"/>
      <c r="R214" s="17"/>
      <c r="S214" s="17"/>
      <c r="T214" s="17"/>
      <c r="U214" s="17"/>
      <c r="V214" s="17"/>
      <c r="W214" s="17"/>
      <c r="X214" s="17"/>
      <c r="Y214" s="17"/>
      <c r="Z214" s="17"/>
    </row>
    <row r="215" ht="17.25" customHeight="1">
      <c r="A215" s="17"/>
      <c r="B215" s="61"/>
      <c r="C215" s="61"/>
      <c r="D215" s="61"/>
      <c r="E215" s="61"/>
      <c r="F215" s="61"/>
      <c r="G215" s="61"/>
      <c r="H215" s="61"/>
      <c r="I215" s="61"/>
      <c r="J215" s="61"/>
      <c r="K215" s="61"/>
      <c r="L215" s="61"/>
      <c r="M215" s="61"/>
      <c r="N215" s="61"/>
      <c r="O215" s="61"/>
      <c r="P215" s="61"/>
      <c r="Q215" s="61"/>
      <c r="R215" s="17"/>
      <c r="S215" s="17"/>
      <c r="T215" s="17"/>
      <c r="U215" s="17"/>
      <c r="V215" s="17"/>
      <c r="W215" s="17"/>
      <c r="X215" s="17"/>
      <c r="Y215" s="17"/>
      <c r="Z215" s="17"/>
    </row>
    <row r="216" ht="17.25" customHeight="1">
      <c r="A216" s="17"/>
      <c r="B216" s="61"/>
      <c r="C216" s="61"/>
      <c r="D216" s="61"/>
      <c r="E216" s="61"/>
      <c r="F216" s="61"/>
      <c r="G216" s="61"/>
      <c r="H216" s="61"/>
      <c r="I216" s="61"/>
      <c r="J216" s="61"/>
      <c r="K216" s="61"/>
      <c r="L216" s="61"/>
      <c r="M216" s="61"/>
      <c r="N216" s="61"/>
      <c r="O216" s="61"/>
      <c r="P216" s="61"/>
      <c r="Q216" s="61"/>
      <c r="R216" s="17"/>
      <c r="S216" s="17"/>
      <c r="T216" s="17"/>
      <c r="U216" s="17"/>
      <c r="V216" s="17"/>
      <c r="W216" s="17"/>
      <c r="X216" s="17"/>
      <c r="Y216" s="17"/>
      <c r="Z216" s="17"/>
    </row>
    <row r="217" ht="17.25" customHeight="1">
      <c r="A217" s="17"/>
      <c r="B217" s="61"/>
      <c r="C217" s="61"/>
      <c r="D217" s="61"/>
      <c r="E217" s="61"/>
      <c r="F217" s="61"/>
      <c r="G217" s="61"/>
      <c r="H217" s="61"/>
      <c r="I217" s="61"/>
      <c r="J217" s="61"/>
      <c r="K217" s="61"/>
      <c r="L217" s="61"/>
      <c r="M217" s="61"/>
      <c r="N217" s="61"/>
      <c r="O217" s="61"/>
      <c r="P217" s="61"/>
      <c r="Q217" s="61"/>
      <c r="R217" s="17"/>
      <c r="S217" s="17"/>
      <c r="T217" s="17"/>
      <c r="U217" s="17"/>
      <c r="V217" s="17"/>
      <c r="W217" s="17"/>
      <c r="X217" s="17"/>
      <c r="Y217" s="17"/>
      <c r="Z217" s="17"/>
    </row>
    <row r="218" ht="17.25" customHeight="1">
      <c r="A218" s="17"/>
      <c r="B218" s="61"/>
      <c r="C218" s="61"/>
      <c r="D218" s="61"/>
      <c r="E218" s="61"/>
      <c r="F218" s="61"/>
      <c r="G218" s="61"/>
      <c r="H218" s="61"/>
      <c r="I218" s="61"/>
      <c r="J218" s="61"/>
      <c r="K218" s="61"/>
      <c r="L218" s="61"/>
      <c r="M218" s="61"/>
      <c r="N218" s="61"/>
      <c r="O218" s="61"/>
      <c r="P218" s="61"/>
      <c r="Q218" s="61"/>
      <c r="R218" s="17"/>
      <c r="S218" s="17"/>
      <c r="T218" s="17"/>
      <c r="U218" s="17"/>
      <c r="V218" s="17"/>
      <c r="W218" s="17"/>
      <c r="X218" s="17"/>
      <c r="Y218" s="17"/>
      <c r="Z218" s="17"/>
    </row>
    <row r="219" ht="17.25" customHeight="1">
      <c r="A219" s="17"/>
      <c r="B219" s="61"/>
      <c r="C219" s="61"/>
      <c r="D219" s="61"/>
      <c r="E219" s="61"/>
      <c r="F219" s="61"/>
      <c r="G219" s="61"/>
      <c r="H219" s="61"/>
      <c r="I219" s="61"/>
      <c r="J219" s="61"/>
      <c r="K219" s="61"/>
      <c r="L219" s="61"/>
      <c r="M219" s="61"/>
      <c r="N219" s="61"/>
      <c r="O219" s="61"/>
      <c r="P219" s="61"/>
      <c r="Q219" s="61"/>
      <c r="R219" s="17"/>
      <c r="S219" s="17"/>
      <c r="T219" s="17"/>
      <c r="U219" s="17"/>
      <c r="V219" s="17"/>
      <c r="W219" s="17"/>
      <c r="X219" s="17"/>
      <c r="Y219" s="17"/>
      <c r="Z219" s="17"/>
    </row>
    <row r="220" ht="17.25" customHeight="1">
      <c r="A220" s="17"/>
      <c r="B220" s="61"/>
      <c r="C220" s="61"/>
      <c r="D220" s="61"/>
      <c r="E220" s="61"/>
      <c r="F220" s="61"/>
      <c r="G220" s="61"/>
      <c r="H220" s="61"/>
      <c r="I220" s="61"/>
      <c r="J220" s="61"/>
      <c r="K220" s="61"/>
      <c r="L220" s="61"/>
      <c r="M220" s="61"/>
      <c r="N220" s="61"/>
      <c r="O220" s="61"/>
      <c r="P220" s="61"/>
      <c r="Q220" s="61"/>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7" t="str">
        <f>IF('1.IS'!A1&lt;&gt;"",'1.IS'!A1,"")</f>
        <v/>
      </c>
      <c r="B1" s="10" t="s">
        <v>125</v>
      </c>
      <c r="C1" s="61"/>
      <c r="D1" s="61"/>
      <c r="E1" s="61"/>
      <c r="F1" s="61"/>
      <c r="G1" s="61"/>
      <c r="H1" s="61"/>
      <c r="I1" s="61"/>
      <c r="J1" s="17"/>
      <c r="K1" s="17"/>
      <c r="L1" s="17"/>
      <c r="M1" s="17"/>
      <c r="N1" s="17"/>
      <c r="O1" s="17"/>
      <c r="P1" s="17"/>
      <c r="Q1" s="17"/>
      <c r="R1" s="17"/>
      <c r="S1" s="17"/>
      <c r="T1" s="17"/>
      <c r="U1" s="17"/>
      <c r="V1" s="17"/>
      <c r="W1" s="17"/>
      <c r="X1" s="17"/>
      <c r="Y1" s="17"/>
      <c r="Z1" s="17"/>
    </row>
    <row r="2" ht="17.25" customHeight="1">
      <c r="A2" s="17"/>
      <c r="B2" s="61"/>
      <c r="C2" s="61"/>
      <c r="D2" s="61"/>
      <c r="E2" s="61"/>
      <c r="F2" s="61"/>
      <c r="G2" s="61"/>
      <c r="H2" s="61"/>
      <c r="I2" s="61"/>
      <c r="J2" s="17"/>
      <c r="K2" s="17"/>
      <c r="L2" s="17"/>
      <c r="M2" s="17"/>
      <c r="N2" s="17"/>
      <c r="O2" s="17"/>
      <c r="P2" s="17"/>
      <c r="Q2" s="17"/>
      <c r="R2" s="17"/>
      <c r="S2" s="17"/>
      <c r="T2" s="17"/>
      <c r="U2" s="17"/>
      <c r="V2" s="17"/>
      <c r="W2" s="17"/>
      <c r="X2" s="17"/>
      <c r="Y2" s="17"/>
      <c r="Z2" s="17"/>
    </row>
    <row r="3" ht="17.25" customHeight="1">
      <c r="A3" s="17"/>
      <c r="B3" s="61"/>
      <c r="C3" s="61"/>
      <c r="D3" s="61"/>
      <c r="E3" s="61"/>
      <c r="F3" s="61"/>
      <c r="G3" s="61"/>
      <c r="H3" s="61"/>
      <c r="I3" s="61"/>
      <c r="J3" s="17"/>
      <c r="K3" s="17"/>
      <c r="L3" s="17"/>
      <c r="M3" s="17"/>
      <c r="N3" s="17"/>
      <c r="O3" s="17"/>
      <c r="P3" s="17"/>
      <c r="Q3" s="17"/>
      <c r="R3" s="17"/>
      <c r="S3" s="17"/>
      <c r="T3" s="17"/>
      <c r="U3" s="17"/>
      <c r="V3" s="17"/>
      <c r="W3" s="17"/>
      <c r="X3" s="17"/>
      <c r="Y3" s="17"/>
      <c r="Z3" s="17"/>
    </row>
    <row r="4" ht="17.25" customHeight="1">
      <c r="A4" s="17"/>
      <c r="B4" s="61"/>
      <c r="C4" s="61"/>
      <c r="D4" s="61"/>
      <c r="E4" s="61"/>
      <c r="F4" s="61"/>
      <c r="G4" s="61"/>
      <c r="H4" s="61"/>
      <c r="I4" s="61"/>
      <c r="J4" s="17"/>
      <c r="K4" s="17"/>
      <c r="L4" s="17"/>
      <c r="M4" s="17"/>
      <c r="N4" s="17"/>
      <c r="O4" s="17"/>
      <c r="P4" s="17"/>
      <c r="Q4" s="17"/>
      <c r="R4" s="17"/>
      <c r="S4" s="17"/>
      <c r="T4" s="17"/>
      <c r="U4" s="17"/>
      <c r="V4" s="17"/>
      <c r="W4" s="17"/>
      <c r="X4" s="17"/>
      <c r="Y4" s="17"/>
      <c r="Z4" s="17"/>
    </row>
    <row r="5" ht="17.25" customHeight="1">
      <c r="A5" s="17"/>
      <c r="B5" s="61"/>
      <c r="C5" s="61"/>
      <c r="D5" s="61"/>
      <c r="E5" s="61"/>
      <c r="F5" s="61"/>
      <c r="G5" s="61"/>
      <c r="H5" s="61"/>
      <c r="I5" s="61"/>
      <c r="J5" s="17"/>
      <c r="K5" s="17"/>
      <c r="L5" s="17"/>
      <c r="M5" s="17"/>
      <c r="N5" s="17"/>
      <c r="O5" s="17"/>
      <c r="P5" s="17"/>
      <c r="Q5" s="17"/>
      <c r="R5" s="17"/>
      <c r="S5" s="17"/>
      <c r="T5" s="17"/>
      <c r="U5" s="17"/>
      <c r="V5" s="17"/>
      <c r="W5" s="17"/>
      <c r="X5" s="17"/>
      <c r="Y5" s="17"/>
      <c r="Z5" s="17"/>
    </row>
    <row r="6" ht="17.25" customHeight="1">
      <c r="A6" s="17"/>
      <c r="B6" s="61"/>
      <c r="C6" s="61"/>
      <c r="D6" s="61"/>
      <c r="E6" s="61"/>
      <c r="F6" s="61"/>
      <c r="G6" s="61"/>
      <c r="H6" s="61"/>
      <c r="I6" s="61"/>
      <c r="J6" s="17"/>
      <c r="K6" s="17"/>
      <c r="L6" s="17"/>
      <c r="M6" s="17"/>
      <c r="N6" s="17"/>
      <c r="O6" s="17"/>
      <c r="P6" s="17"/>
      <c r="Q6" s="17"/>
      <c r="R6" s="17"/>
      <c r="S6" s="17"/>
      <c r="T6" s="17"/>
      <c r="U6" s="17"/>
      <c r="V6" s="17"/>
      <c r="W6" s="17"/>
      <c r="X6" s="17"/>
      <c r="Y6" s="17"/>
      <c r="Z6" s="17"/>
    </row>
    <row r="7" ht="17.25" customHeight="1">
      <c r="A7" s="17"/>
      <c r="B7" s="61"/>
      <c r="C7" s="61"/>
      <c r="D7" s="61"/>
      <c r="E7" s="61"/>
      <c r="F7" s="61"/>
      <c r="G7" s="61"/>
      <c r="H7" s="61"/>
      <c r="I7" s="61"/>
      <c r="J7" s="17"/>
      <c r="K7" s="17"/>
      <c r="L7" s="17"/>
      <c r="M7" s="17"/>
      <c r="N7" s="17"/>
      <c r="O7" s="17"/>
      <c r="P7" s="17"/>
      <c r="Q7" s="17"/>
      <c r="R7" s="17"/>
      <c r="S7" s="17"/>
      <c r="T7" s="17"/>
      <c r="U7" s="17"/>
      <c r="V7" s="17"/>
      <c r="W7" s="17"/>
      <c r="X7" s="17"/>
      <c r="Y7" s="17"/>
      <c r="Z7" s="17"/>
    </row>
    <row r="8" ht="17.25" customHeight="1">
      <c r="A8" s="17"/>
      <c r="B8" s="61"/>
      <c r="C8" s="61"/>
      <c r="D8" s="61"/>
      <c r="E8" s="61"/>
      <c r="F8" s="61"/>
      <c r="G8" s="61"/>
      <c r="H8" s="61"/>
      <c r="I8" s="61"/>
      <c r="J8" s="17"/>
      <c r="K8" s="17"/>
      <c r="L8" s="17"/>
      <c r="M8" s="17"/>
      <c r="N8" s="17"/>
      <c r="O8" s="17"/>
      <c r="P8" s="17"/>
      <c r="Q8" s="17"/>
      <c r="R8" s="17"/>
      <c r="S8" s="17"/>
      <c r="T8" s="17"/>
      <c r="U8" s="17"/>
      <c r="V8" s="17"/>
      <c r="W8" s="17"/>
      <c r="X8" s="17"/>
      <c r="Y8" s="17"/>
      <c r="Z8" s="17"/>
    </row>
    <row r="9" ht="17.25" customHeight="1">
      <c r="A9" s="17"/>
      <c r="B9" s="61"/>
      <c r="C9" s="61"/>
      <c r="D9" s="61"/>
      <c r="E9" s="61"/>
      <c r="F9" s="61"/>
      <c r="G9" s="61"/>
      <c r="H9" s="61"/>
      <c r="I9" s="61"/>
      <c r="J9" s="17"/>
      <c r="K9" s="17"/>
      <c r="L9" s="17"/>
      <c r="M9" s="17"/>
      <c r="N9" s="17"/>
      <c r="O9" s="17"/>
      <c r="P9" s="17"/>
      <c r="Q9" s="17"/>
      <c r="R9" s="17"/>
      <c r="S9" s="17"/>
      <c r="T9" s="17"/>
      <c r="U9" s="17"/>
      <c r="V9" s="17"/>
      <c r="W9" s="17"/>
      <c r="X9" s="17"/>
      <c r="Y9" s="17"/>
      <c r="Z9" s="17"/>
    </row>
    <row r="10" ht="17.25" customHeight="1">
      <c r="A10" s="17"/>
      <c r="B10" s="61"/>
      <c r="C10" s="61"/>
      <c r="D10" s="61"/>
      <c r="E10" s="61"/>
      <c r="F10" s="61"/>
      <c r="G10" s="61"/>
      <c r="H10" s="61"/>
      <c r="I10" s="61"/>
      <c r="J10" s="17"/>
      <c r="K10" s="17"/>
      <c r="L10" s="17"/>
      <c r="M10" s="17"/>
      <c r="N10" s="17"/>
      <c r="O10" s="17"/>
      <c r="P10" s="17"/>
      <c r="Q10" s="17"/>
      <c r="R10" s="17"/>
      <c r="S10" s="17"/>
      <c r="T10" s="17"/>
      <c r="U10" s="17"/>
      <c r="V10" s="17"/>
      <c r="W10" s="17"/>
      <c r="X10" s="17"/>
      <c r="Y10" s="17"/>
      <c r="Z10" s="17"/>
    </row>
    <row r="11" ht="17.25" customHeight="1">
      <c r="A11" s="17"/>
      <c r="B11" s="61"/>
      <c r="C11" s="61"/>
      <c r="D11" s="61"/>
      <c r="E11" s="61"/>
      <c r="F11" s="61"/>
      <c r="G11" s="61"/>
      <c r="H11" s="61"/>
      <c r="I11" s="61"/>
      <c r="J11" s="17"/>
      <c r="K11" s="17"/>
      <c r="L11" s="17"/>
      <c r="M11" s="17"/>
      <c r="N11" s="17"/>
      <c r="O11" s="17"/>
      <c r="P11" s="17"/>
      <c r="Q11" s="17"/>
      <c r="R11" s="17"/>
      <c r="S11" s="17"/>
      <c r="T11" s="17"/>
      <c r="U11" s="17"/>
      <c r="V11" s="17"/>
      <c r="W11" s="17"/>
      <c r="X11" s="17"/>
      <c r="Y11" s="17"/>
      <c r="Z11" s="17"/>
    </row>
    <row r="12" ht="17.25" customHeight="1">
      <c r="A12" s="17"/>
      <c r="B12" s="61"/>
      <c r="C12" s="61"/>
      <c r="D12" s="61"/>
      <c r="E12" s="61"/>
      <c r="F12" s="61"/>
      <c r="G12" s="61"/>
      <c r="H12" s="61"/>
      <c r="I12" s="61"/>
      <c r="J12" s="17"/>
      <c r="K12" s="17"/>
      <c r="L12" s="17"/>
      <c r="M12" s="17"/>
      <c r="N12" s="17"/>
      <c r="O12" s="17"/>
      <c r="P12" s="17"/>
      <c r="Q12" s="17"/>
      <c r="R12" s="17"/>
      <c r="S12" s="17"/>
      <c r="T12" s="17"/>
      <c r="U12" s="17"/>
      <c r="V12" s="17"/>
      <c r="W12" s="17"/>
      <c r="X12" s="17"/>
      <c r="Y12" s="17"/>
      <c r="Z12" s="17"/>
    </row>
    <row r="13" ht="17.25" customHeight="1">
      <c r="A13" s="17"/>
      <c r="B13" s="61"/>
      <c r="C13" s="61"/>
      <c r="D13" s="61"/>
      <c r="E13" s="61"/>
      <c r="F13" s="61"/>
      <c r="G13" s="61"/>
      <c r="H13" s="61"/>
      <c r="I13" s="61"/>
      <c r="J13" s="17"/>
      <c r="K13" s="17"/>
      <c r="L13" s="17"/>
      <c r="M13" s="17"/>
      <c r="N13" s="17"/>
      <c r="O13" s="17"/>
      <c r="P13" s="17"/>
      <c r="Q13" s="17"/>
      <c r="R13" s="17"/>
      <c r="S13" s="17"/>
      <c r="T13" s="17"/>
      <c r="U13" s="17"/>
      <c r="V13" s="17"/>
      <c r="W13" s="17"/>
      <c r="X13" s="17"/>
      <c r="Y13" s="17"/>
      <c r="Z13" s="17"/>
    </row>
    <row r="14" ht="17.25" customHeight="1">
      <c r="A14" s="17"/>
      <c r="B14" s="61"/>
      <c r="C14" s="61"/>
      <c r="D14" s="61"/>
      <c r="E14" s="61"/>
      <c r="F14" s="61"/>
      <c r="G14" s="61"/>
      <c r="H14" s="61"/>
      <c r="I14" s="61"/>
      <c r="J14" s="17"/>
      <c r="K14" s="17"/>
      <c r="L14" s="17"/>
      <c r="M14" s="17"/>
      <c r="N14" s="17"/>
      <c r="O14" s="17"/>
      <c r="P14" s="17"/>
      <c r="Q14" s="17"/>
      <c r="R14" s="17"/>
      <c r="S14" s="17"/>
      <c r="T14" s="17"/>
      <c r="U14" s="17"/>
      <c r="V14" s="17"/>
      <c r="W14" s="17"/>
      <c r="X14" s="17"/>
      <c r="Y14" s="17"/>
      <c r="Z14" s="17"/>
    </row>
    <row r="15" ht="17.25" customHeight="1">
      <c r="A15" s="17"/>
      <c r="B15" s="61"/>
      <c r="C15" s="61"/>
      <c r="D15" s="61"/>
      <c r="E15" s="61"/>
      <c r="F15" s="61"/>
      <c r="G15" s="61"/>
      <c r="H15" s="61"/>
      <c r="I15" s="61"/>
      <c r="J15" s="17"/>
      <c r="K15" s="17"/>
      <c r="L15" s="17"/>
      <c r="M15" s="17"/>
      <c r="N15" s="17"/>
      <c r="O15" s="17"/>
      <c r="P15" s="17"/>
      <c r="Q15" s="17"/>
      <c r="R15" s="17"/>
      <c r="S15" s="17"/>
      <c r="T15" s="17"/>
      <c r="U15" s="17"/>
      <c r="V15" s="17"/>
      <c r="W15" s="17"/>
      <c r="X15" s="17"/>
      <c r="Y15" s="17"/>
      <c r="Z15" s="17"/>
    </row>
    <row r="16" ht="17.25" customHeight="1">
      <c r="A16" s="17"/>
      <c r="B16" s="61"/>
      <c r="C16" s="61"/>
      <c r="D16" s="61"/>
      <c r="E16" s="61"/>
      <c r="F16" s="61"/>
      <c r="G16" s="61"/>
      <c r="H16" s="61"/>
      <c r="I16" s="61"/>
      <c r="J16" s="17"/>
      <c r="K16" s="17"/>
      <c r="L16" s="17"/>
      <c r="M16" s="17"/>
      <c r="N16" s="17"/>
      <c r="O16" s="17"/>
      <c r="P16" s="17"/>
      <c r="Q16" s="17"/>
      <c r="R16" s="17"/>
      <c r="S16" s="17"/>
      <c r="T16" s="17"/>
      <c r="U16" s="17"/>
      <c r="V16" s="17"/>
      <c r="W16" s="17"/>
      <c r="X16" s="17"/>
      <c r="Y16" s="17"/>
      <c r="Z16" s="17"/>
    </row>
    <row r="17" ht="17.25" customHeight="1">
      <c r="A17" s="17"/>
      <c r="B17" s="61"/>
      <c r="C17" s="61"/>
      <c r="D17" s="61"/>
      <c r="E17" s="61"/>
      <c r="F17" s="61"/>
      <c r="G17" s="61"/>
      <c r="H17" s="61"/>
      <c r="I17" s="61"/>
      <c r="J17" s="17"/>
      <c r="K17" s="17"/>
      <c r="L17" s="17"/>
      <c r="M17" s="17"/>
      <c r="N17" s="17"/>
      <c r="O17" s="17"/>
      <c r="P17" s="17"/>
      <c r="Q17" s="17"/>
      <c r="R17" s="17"/>
      <c r="S17" s="17"/>
      <c r="T17" s="17"/>
      <c r="U17" s="17"/>
      <c r="V17" s="17"/>
      <c r="W17" s="17"/>
      <c r="X17" s="17"/>
      <c r="Y17" s="17"/>
      <c r="Z17" s="17"/>
    </row>
    <row r="18" ht="17.25" customHeight="1">
      <c r="A18" s="17"/>
      <c r="B18" s="61"/>
      <c r="C18" s="61"/>
      <c r="D18" s="61"/>
      <c r="E18" s="61"/>
      <c r="F18" s="61"/>
      <c r="G18" s="61"/>
      <c r="H18" s="61"/>
      <c r="I18" s="61"/>
      <c r="J18" s="17"/>
      <c r="K18" s="17"/>
      <c r="L18" s="17"/>
      <c r="M18" s="17"/>
      <c r="N18" s="17"/>
      <c r="O18" s="17"/>
      <c r="P18" s="17"/>
      <c r="Q18" s="17"/>
      <c r="R18" s="17"/>
      <c r="S18" s="17"/>
      <c r="T18" s="17"/>
      <c r="U18" s="17"/>
      <c r="V18" s="17"/>
      <c r="W18" s="17"/>
      <c r="X18" s="17"/>
      <c r="Y18" s="17"/>
      <c r="Z18" s="17"/>
    </row>
    <row r="19" ht="17.25" customHeight="1">
      <c r="A19" s="17"/>
      <c r="B19" s="61"/>
      <c r="C19" s="61"/>
      <c r="D19" s="61"/>
      <c r="E19" s="61"/>
      <c r="F19" s="61"/>
      <c r="G19" s="61"/>
      <c r="H19" s="61"/>
      <c r="I19" s="61"/>
      <c r="J19" s="17"/>
      <c r="K19" s="17"/>
      <c r="L19" s="17"/>
      <c r="M19" s="17"/>
      <c r="N19" s="17"/>
      <c r="O19" s="17"/>
      <c r="P19" s="17"/>
      <c r="Q19" s="17"/>
      <c r="R19" s="17"/>
      <c r="S19" s="17"/>
      <c r="T19" s="17"/>
      <c r="U19" s="17"/>
      <c r="V19" s="17"/>
      <c r="W19" s="17"/>
      <c r="X19" s="17"/>
      <c r="Y19" s="17"/>
      <c r="Z19" s="17"/>
    </row>
    <row r="20" ht="17.25" customHeight="1">
      <c r="A20" s="17"/>
      <c r="B20" s="61"/>
      <c r="C20" s="61"/>
      <c r="D20" s="61"/>
      <c r="E20" s="61"/>
      <c r="F20" s="61"/>
      <c r="G20" s="61"/>
      <c r="H20" s="61"/>
      <c r="I20" s="61"/>
      <c r="J20" s="17"/>
      <c r="K20" s="17"/>
      <c r="L20" s="17"/>
      <c r="M20" s="17"/>
      <c r="N20" s="17"/>
      <c r="O20" s="17"/>
      <c r="P20" s="17"/>
      <c r="Q20" s="17"/>
      <c r="R20" s="17"/>
      <c r="S20" s="17"/>
      <c r="T20" s="17"/>
      <c r="U20" s="17"/>
      <c r="V20" s="17"/>
      <c r="W20" s="17"/>
      <c r="X20" s="17"/>
      <c r="Y20" s="17"/>
      <c r="Z20" s="17"/>
    </row>
    <row r="21" ht="17.25" customHeight="1">
      <c r="A21" s="17"/>
      <c r="B21" s="61"/>
      <c r="C21" s="61"/>
      <c r="D21" s="61"/>
      <c r="E21" s="61"/>
      <c r="F21" s="61"/>
      <c r="G21" s="61"/>
      <c r="H21" s="61"/>
      <c r="I21" s="61"/>
      <c r="J21" s="17"/>
      <c r="K21" s="17"/>
      <c r="L21" s="17"/>
      <c r="M21" s="17"/>
      <c r="N21" s="17"/>
      <c r="O21" s="17"/>
      <c r="P21" s="17"/>
      <c r="Q21" s="17"/>
      <c r="R21" s="17"/>
      <c r="S21" s="17"/>
      <c r="T21" s="17"/>
      <c r="U21" s="17"/>
      <c r="V21" s="17"/>
      <c r="W21" s="17"/>
      <c r="X21" s="17"/>
      <c r="Y21" s="17"/>
      <c r="Z21" s="17"/>
    </row>
    <row r="22" ht="17.25" customHeight="1">
      <c r="A22" s="17"/>
      <c r="B22" s="61"/>
      <c r="C22" s="61"/>
      <c r="D22" s="61"/>
      <c r="E22" s="61"/>
      <c r="F22" s="61"/>
      <c r="G22" s="61"/>
      <c r="H22" s="61"/>
      <c r="I22" s="61"/>
      <c r="J22" s="17"/>
      <c r="K22" s="17"/>
      <c r="L22" s="17"/>
      <c r="M22" s="17"/>
      <c r="N22" s="17"/>
      <c r="O22" s="17"/>
      <c r="P22" s="17"/>
      <c r="Q22" s="17"/>
      <c r="R22" s="17"/>
      <c r="S22" s="17"/>
      <c r="T22" s="17"/>
      <c r="U22" s="17"/>
      <c r="V22" s="17"/>
      <c r="W22" s="17"/>
      <c r="X22" s="17"/>
      <c r="Y22" s="17"/>
      <c r="Z22" s="17"/>
    </row>
    <row r="23" ht="17.25" customHeight="1">
      <c r="A23" s="17"/>
      <c r="B23" s="61"/>
      <c r="C23" s="61"/>
      <c r="D23" s="61"/>
      <c r="E23" s="61"/>
      <c r="F23" s="61"/>
      <c r="G23" s="61"/>
      <c r="H23" s="61"/>
      <c r="I23" s="61"/>
      <c r="J23" s="17"/>
      <c r="K23" s="17"/>
      <c r="L23" s="17"/>
      <c r="M23" s="17"/>
      <c r="N23" s="17"/>
      <c r="O23" s="17"/>
      <c r="P23" s="17"/>
      <c r="Q23" s="17"/>
      <c r="R23" s="17"/>
      <c r="S23" s="17"/>
      <c r="T23" s="17"/>
      <c r="U23" s="17"/>
      <c r="V23" s="17"/>
      <c r="W23" s="17"/>
      <c r="X23" s="17"/>
      <c r="Y23" s="17"/>
      <c r="Z23" s="17"/>
    </row>
    <row r="24" ht="17.25" customHeight="1">
      <c r="A24" s="17"/>
      <c r="B24" s="61"/>
      <c r="C24" s="61"/>
      <c r="D24" s="61"/>
      <c r="E24" s="61"/>
      <c r="F24" s="61"/>
      <c r="G24" s="61"/>
      <c r="H24" s="61"/>
      <c r="I24" s="61"/>
      <c r="J24" s="17"/>
      <c r="K24" s="17"/>
      <c r="L24" s="17"/>
      <c r="M24" s="17"/>
      <c r="N24" s="17"/>
      <c r="O24" s="17"/>
      <c r="P24" s="17"/>
      <c r="Q24" s="17"/>
      <c r="R24" s="17"/>
      <c r="S24" s="17"/>
      <c r="T24" s="17"/>
      <c r="U24" s="17"/>
      <c r="V24" s="17"/>
      <c r="W24" s="17"/>
      <c r="X24" s="17"/>
      <c r="Y24" s="17"/>
      <c r="Z24" s="17"/>
    </row>
    <row r="25" ht="17.25" customHeight="1">
      <c r="A25" s="17"/>
      <c r="B25" s="61"/>
      <c r="C25" s="61"/>
      <c r="D25" s="61"/>
      <c r="E25" s="61"/>
      <c r="F25" s="61"/>
      <c r="G25" s="61"/>
      <c r="H25" s="61"/>
      <c r="I25" s="61"/>
      <c r="J25" s="17"/>
      <c r="K25" s="17"/>
      <c r="L25" s="17"/>
      <c r="M25" s="17"/>
      <c r="N25" s="17"/>
      <c r="O25" s="17"/>
      <c r="P25" s="17"/>
      <c r="Q25" s="17"/>
      <c r="R25" s="17"/>
      <c r="S25" s="17"/>
      <c r="T25" s="17"/>
      <c r="U25" s="17"/>
      <c r="V25" s="17"/>
      <c r="W25" s="17"/>
      <c r="X25" s="17"/>
      <c r="Y25" s="17"/>
      <c r="Z25" s="17"/>
    </row>
    <row r="26" ht="17.25" customHeight="1">
      <c r="A26" s="17"/>
      <c r="B26" s="61"/>
      <c r="C26" s="61"/>
      <c r="D26" s="61"/>
      <c r="E26" s="61"/>
      <c r="F26" s="61"/>
      <c r="G26" s="61"/>
      <c r="H26" s="61"/>
      <c r="I26" s="61"/>
      <c r="J26" s="17"/>
      <c r="K26" s="17"/>
      <c r="L26" s="17"/>
      <c r="M26" s="17"/>
      <c r="N26" s="17"/>
      <c r="O26" s="17"/>
      <c r="P26" s="17"/>
      <c r="Q26" s="17"/>
      <c r="R26" s="17"/>
      <c r="S26" s="17"/>
      <c r="T26" s="17"/>
      <c r="U26" s="17"/>
      <c r="V26" s="17"/>
      <c r="W26" s="17"/>
      <c r="X26" s="17"/>
      <c r="Y26" s="17"/>
      <c r="Z26" s="17"/>
    </row>
    <row r="27" ht="17.25" customHeight="1">
      <c r="A27" s="17"/>
      <c r="B27" s="61"/>
      <c r="C27" s="61"/>
      <c r="D27" s="61"/>
      <c r="E27" s="61"/>
      <c r="F27" s="61"/>
      <c r="G27" s="61"/>
      <c r="H27" s="61"/>
      <c r="I27" s="61"/>
      <c r="J27" s="17"/>
      <c r="K27" s="17"/>
      <c r="L27" s="17"/>
      <c r="M27" s="17"/>
      <c r="N27" s="17"/>
      <c r="O27" s="17"/>
      <c r="P27" s="17"/>
      <c r="Q27" s="17"/>
      <c r="R27" s="17"/>
      <c r="S27" s="17"/>
      <c r="T27" s="17"/>
      <c r="U27" s="17"/>
      <c r="V27" s="17"/>
      <c r="W27" s="17"/>
      <c r="X27" s="17"/>
      <c r="Y27" s="17"/>
      <c r="Z27" s="17"/>
    </row>
    <row r="28" ht="17.25" customHeight="1">
      <c r="A28" s="17"/>
      <c r="B28" s="61"/>
      <c r="C28" s="61"/>
      <c r="D28" s="61"/>
      <c r="E28" s="61"/>
      <c r="F28" s="61"/>
      <c r="G28" s="61"/>
      <c r="H28" s="61"/>
      <c r="I28" s="61"/>
      <c r="J28" s="17"/>
      <c r="K28" s="17"/>
      <c r="L28" s="17"/>
      <c r="M28" s="17"/>
      <c r="N28" s="17"/>
      <c r="O28" s="17"/>
      <c r="P28" s="17"/>
      <c r="Q28" s="17"/>
      <c r="R28" s="17"/>
      <c r="S28" s="17"/>
      <c r="T28" s="17"/>
      <c r="U28" s="17"/>
      <c r="V28" s="17"/>
      <c r="W28" s="17"/>
      <c r="X28" s="17"/>
      <c r="Y28" s="17"/>
      <c r="Z28" s="17"/>
    </row>
    <row r="29" ht="17.25" customHeight="1">
      <c r="A29" s="17"/>
      <c r="B29" s="61"/>
      <c r="C29" s="61"/>
      <c r="D29" s="61"/>
      <c r="E29" s="61"/>
      <c r="F29" s="61"/>
      <c r="G29" s="61"/>
      <c r="H29" s="61"/>
      <c r="I29" s="61"/>
      <c r="J29" s="17"/>
      <c r="K29" s="17"/>
      <c r="L29" s="17"/>
      <c r="M29" s="17"/>
      <c r="N29" s="17"/>
      <c r="O29" s="17"/>
      <c r="P29" s="17"/>
      <c r="Q29" s="17"/>
      <c r="R29" s="17"/>
      <c r="S29" s="17"/>
      <c r="T29" s="17"/>
      <c r="U29" s="17"/>
      <c r="V29" s="17"/>
      <c r="W29" s="17"/>
      <c r="X29" s="17"/>
      <c r="Y29" s="17"/>
      <c r="Z29" s="17"/>
    </row>
    <row r="30" ht="17.25" customHeight="1">
      <c r="A30" s="17"/>
      <c r="B30" s="61"/>
      <c r="C30" s="61"/>
      <c r="D30" s="61"/>
      <c r="E30" s="61"/>
      <c r="F30" s="61"/>
      <c r="G30" s="61"/>
      <c r="H30" s="61"/>
      <c r="I30" s="61"/>
      <c r="J30" s="17"/>
      <c r="K30" s="17"/>
      <c r="L30" s="17"/>
      <c r="M30" s="17"/>
      <c r="N30" s="17"/>
      <c r="O30" s="17"/>
      <c r="P30" s="17"/>
      <c r="Q30" s="17"/>
      <c r="R30" s="17"/>
      <c r="S30" s="17"/>
      <c r="T30" s="17"/>
      <c r="U30" s="17"/>
      <c r="V30" s="17"/>
      <c r="W30" s="17"/>
      <c r="X30" s="17"/>
      <c r="Y30" s="17"/>
      <c r="Z30" s="17"/>
    </row>
    <row r="31" ht="19.5" customHeight="1">
      <c r="A31" s="17"/>
      <c r="B31" s="61"/>
      <c r="C31" s="61"/>
      <c r="D31" s="61"/>
      <c r="E31" s="61"/>
      <c r="F31" s="61"/>
      <c r="G31" s="61"/>
      <c r="H31" s="61"/>
      <c r="I31" s="61"/>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9"/>
      <c r="C52" s="239"/>
      <c r="D52" s="239"/>
      <c r="E52" s="239"/>
      <c r="F52" s="239"/>
      <c r="G52" s="239"/>
      <c r="H52" s="239"/>
      <c r="I52" s="57"/>
      <c r="J52" s="21"/>
      <c r="K52" s="21"/>
      <c r="L52" s="21"/>
      <c r="M52" s="21"/>
      <c r="N52" s="21"/>
      <c r="O52" s="21"/>
      <c r="P52" s="21"/>
      <c r="Q52" s="21"/>
      <c r="R52" s="21"/>
      <c r="S52" s="21"/>
      <c r="T52" s="21"/>
      <c r="U52" s="21"/>
      <c r="V52" s="21"/>
      <c r="W52" s="21"/>
      <c r="X52" s="21"/>
      <c r="Y52" s="21"/>
      <c r="Z52" s="21"/>
    </row>
    <row r="53" ht="17.25" customHeight="1">
      <c r="A53" s="21"/>
      <c r="B53" s="239"/>
      <c r="C53" s="239"/>
      <c r="D53" s="239"/>
      <c r="E53" s="239"/>
      <c r="F53" s="239"/>
      <c r="G53" s="239"/>
      <c r="H53" s="239"/>
      <c r="I53" s="57"/>
      <c r="J53" s="21"/>
      <c r="K53" s="21"/>
      <c r="L53" s="21"/>
      <c r="M53" s="21"/>
      <c r="N53" s="21"/>
      <c r="O53" s="21"/>
      <c r="P53" s="21"/>
      <c r="Q53" s="21"/>
      <c r="R53" s="21"/>
      <c r="S53" s="21"/>
      <c r="T53" s="21"/>
      <c r="U53" s="21"/>
      <c r="V53" s="21"/>
      <c r="W53" s="21"/>
      <c r="X53" s="21"/>
      <c r="Y53" s="21"/>
      <c r="Z53" s="21"/>
    </row>
    <row r="54" ht="17.25" customHeight="1">
      <c r="A54" s="21"/>
      <c r="B54" s="239"/>
      <c r="C54" s="239"/>
      <c r="D54" s="239"/>
      <c r="E54" s="239"/>
      <c r="F54" s="239"/>
      <c r="G54" s="239"/>
      <c r="H54" s="239"/>
      <c r="I54" s="57"/>
      <c r="J54" s="21"/>
      <c r="K54" s="21"/>
      <c r="L54" s="21"/>
      <c r="M54" s="21"/>
      <c r="N54" s="21"/>
      <c r="O54" s="21"/>
      <c r="P54" s="21"/>
      <c r="Q54" s="21"/>
      <c r="R54" s="21"/>
      <c r="S54" s="21"/>
      <c r="T54" s="21"/>
      <c r="U54" s="21"/>
      <c r="V54" s="21"/>
      <c r="W54" s="21"/>
      <c r="X54" s="21"/>
      <c r="Y54" s="21"/>
      <c r="Z54" s="21"/>
    </row>
    <row r="55" ht="17.25" customHeight="1">
      <c r="A55" s="21"/>
      <c r="B55" s="239"/>
      <c r="C55" s="239"/>
      <c r="D55" s="239"/>
      <c r="E55" s="239"/>
      <c r="F55" s="239"/>
      <c r="G55" s="239"/>
      <c r="H55" s="239"/>
      <c r="I55" s="57"/>
      <c r="J55" s="21"/>
      <c r="K55" s="21"/>
      <c r="L55" s="21"/>
      <c r="M55" s="21"/>
      <c r="N55" s="21"/>
      <c r="O55" s="21"/>
      <c r="P55" s="21"/>
      <c r="Q55" s="21"/>
      <c r="R55" s="21"/>
      <c r="S55" s="21"/>
      <c r="T55" s="21"/>
      <c r="U55" s="21"/>
      <c r="V55" s="21"/>
      <c r="W55" s="21"/>
      <c r="X55" s="21"/>
      <c r="Y55" s="21"/>
      <c r="Z55" s="21"/>
    </row>
    <row r="56" ht="17.25" customHeight="1">
      <c r="A56" s="21"/>
      <c r="B56" s="57"/>
      <c r="C56" s="57"/>
      <c r="D56" s="57"/>
      <c r="E56" s="57"/>
      <c r="F56" s="57"/>
      <c r="G56" s="57"/>
      <c r="H56" s="57"/>
      <c r="I56" s="57"/>
      <c r="J56" s="21"/>
      <c r="K56" s="21"/>
      <c r="L56" s="21"/>
      <c r="M56" s="21"/>
      <c r="N56" s="21"/>
      <c r="O56" s="21"/>
      <c r="P56" s="21"/>
      <c r="Q56" s="21"/>
      <c r="R56" s="21"/>
      <c r="S56" s="21"/>
      <c r="T56" s="21"/>
      <c r="U56" s="21"/>
      <c r="V56" s="21"/>
      <c r="W56" s="21"/>
      <c r="X56" s="21"/>
      <c r="Y56" s="21"/>
      <c r="Z56" s="21"/>
    </row>
    <row r="57" ht="17.25" customHeight="1">
      <c r="A57" s="21"/>
      <c r="B57" s="57"/>
      <c r="C57" s="57"/>
      <c r="D57" s="57"/>
      <c r="E57" s="57"/>
      <c r="F57" s="57"/>
      <c r="G57" s="57"/>
      <c r="H57" s="57"/>
      <c r="I57" s="57"/>
      <c r="J57" s="21"/>
      <c r="K57" s="21"/>
      <c r="L57" s="21"/>
      <c r="M57" s="21"/>
      <c r="N57" s="21"/>
      <c r="O57" s="21"/>
      <c r="P57" s="21"/>
      <c r="Q57" s="21"/>
      <c r="R57" s="21"/>
      <c r="S57" s="21"/>
      <c r="T57" s="21"/>
      <c r="U57" s="21"/>
      <c r="V57" s="21"/>
      <c r="W57" s="21"/>
      <c r="X57" s="21"/>
      <c r="Y57" s="21"/>
      <c r="Z57" s="21"/>
    </row>
    <row r="58" ht="17.25" customHeight="1">
      <c r="A58" s="21"/>
      <c r="B58" s="57"/>
      <c r="C58" s="57"/>
      <c r="D58" s="57"/>
      <c r="E58" s="57"/>
      <c r="F58" s="57"/>
      <c r="G58" s="57"/>
      <c r="H58" s="57"/>
      <c r="I58" s="57"/>
      <c r="J58" s="21"/>
      <c r="K58" s="21"/>
      <c r="L58" s="21"/>
      <c r="M58" s="21"/>
      <c r="N58" s="21"/>
      <c r="O58" s="21"/>
      <c r="P58" s="21"/>
      <c r="Q58" s="21"/>
      <c r="R58" s="21"/>
      <c r="S58" s="21"/>
      <c r="T58" s="21"/>
      <c r="U58" s="21"/>
      <c r="V58" s="21"/>
      <c r="W58" s="21"/>
      <c r="X58" s="21"/>
      <c r="Y58" s="21"/>
      <c r="Z58" s="21"/>
    </row>
    <row r="59" ht="17.25" customHeight="1">
      <c r="A59" s="21"/>
      <c r="B59" s="57"/>
      <c r="C59" s="57"/>
      <c r="D59" s="57"/>
      <c r="E59" s="57"/>
      <c r="F59" s="57"/>
      <c r="G59" s="57"/>
      <c r="H59" s="57"/>
      <c r="I59" s="57"/>
      <c r="J59" s="21"/>
      <c r="K59" s="21"/>
      <c r="L59" s="21"/>
      <c r="M59" s="21"/>
      <c r="N59" s="21"/>
      <c r="O59" s="21"/>
      <c r="P59" s="21"/>
      <c r="Q59" s="21"/>
      <c r="R59" s="21"/>
      <c r="S59" s="21"/>
      <c r="T59" s="21"/>
      <c r="U59" s="21"/>
      <c r="V59" s="21"/>
      <c r="W59" s="21"/>
      <c r="X59" s="21"/>
      <c r="Y59" s="21"/>
      <c r="Z59" s="21"/>
    </row>
    <row r="60" ht="17.25" customHeight="1">
      <c r="A60" s="21"/>
      <c r="B60" s="57"/>
      <c r="C60" s="57"/>
      <c r="D60" s="57"/>
      <c r="E60" s="57"/>
      <c r="F60" s="57"/>
      <c r="G60" s="57"/>
      <c r="H60" s="57"/>
      <c r="I60" s="57"/>
      <c r="J60" s="21"/>
      <c r="K60" s="21"/>
      <c r="L60" s="21"/>
      <c r="M60" s="21"/>
      <c r="N60" s="21"/>
      <c r="O60" s="21"/>
      <c r="P60" s="21"/>
      <c r="Q60" s="21"/>
      <c r="R60" s="21"/>
      <c r="S60" s="21"/>
      <c r="T60" s="21"/>
      <c r="U60" s="21"/>
      <c r="V60" s="21"/>
      <c r="W60" s="21"/>
      <c r="X60" s="21"/>
      <c r="Y60" s="21"/>
      <c r="Z60" s="21"/>
    </row>
    <row r="61" ht="17.25" customHeight="1">
      <c r="A61" s="21"/>
      <c r="B61" s="57"/>
      <c r="C61" s="57"/>
      <c r="D61" s="57"/>
      <c r="E61" s="57"/>
      <c r="F61" s="57"/>
      <c r="G61" s="57"/>
      <c r="H61" s="57"/>
      <c r="I61" s="57"/>
      <c r="J61" s="21"/>
      <c r="K61" s="21"/>
      <c r="L61" s="21"/>
      <c r="M61" s="21"/>
      <c r="N61" s="21"/>
      <c r="O61" s="21"/>
      <c r="P61" s="21"/>
      <c r="Q61" s="21"/>
      <c r="R61" s="21"/>
      <c r="S61" s="21"/>
      <c r="T61" s="21"/>
      <c r="U61" s="21"/>
      <c r="V61" s="21"/>
      <c r="W61" s="21"/>
      <c r="X61" s="21"/>
      <c r="Y61" s="21"/>
      <c r="Z61" s="21"/>
    </row>
    <row r="62" ht="17.25" customHeight="1">
      <c r="A62" s="21"/>
      <c r="B62" s="57"/>
      <c r="C62" s="57"/>
      <c r="D62" s="57"/>
      <c r="E62" s="57"/>
      <c r="F62" s="57"/>
      <c r="G62" s="57"/>
      <c r="H62" s="57"/>
      <c r="I62" s="57"/>
      <c r="J62" s="21"/>
      <c r="K62" s="21"/>
      <c r="L62" s="21"/>
      <c r="M62" s="21"/>
      <c r="N62" s="21"/>
      <c r="O62" s="21"/>
      <c r="P62" s="21"/>
      <c r="Q62" s="21"/>
      <c r="R62" s="21"/>
      <c r="S62" s="21"/>
      <c r="T62" s="21"/>
      <c r="U62" s="21"/>
      <c r="V62" s="21"/>
      <c r="W62" s="21"/>
      <c r="X62" s="21"/>
      <c r="Y62" s="21"/>
      <c r="Z62" s="21"/>
    </row>
    <row r="63" ht="17.25" customHeight="1">
      <c r="A63" s="21"/>
      <c r="B63" s="57"/>
      <c r="C63" s="57"/>
      <c r="D63" s="57"/>
      <c r="E63" s="57"/>
      <c r="F63" s="57"/>
      <c r="G63" s="57"/>
      <c r="H63" s="57"/>
      <c r="I63" s="57"/>
      <c r="J63" s="21"/>
      <c r="K63" s="21"/>
      <c r="L63" s="21"/>
      <c r="M63" s="21"/>
      <c r="N63" s="21"/>
      <c r="O63" s="21"/>
      <c r="P63" s="21"/>
      <c r="Q63" s="21"/>
      <c r="R63" s="21"/>
      <c r="S63" s="21"/>
      <c r="T63" s="21"/>
      <c r="U63" s="21"/>
      <c r="V63" s="21"/>
      <c r="W63" s="21"/>
      <c r="X63" s="21"/>
      <c r="Y63" s="21"/>
      <c r="Z63" s="21"/>
    </row>
    <row r="64" ht="17.25" customHeight="1">
      <c r="A64" s="21"/>
      <c r="B64" s="57"/>
      <c r="C64" s="57"/>
      <c r="D64" s="57"/>
      <c r="E64" s="57"/>
      <c r="F64" s="57"/>
      <c r="G64" s="57"/>
      <c r="H64" s="57"/>
      <c r="I64" s="57"/>
      <c r="J64" s="21"/>
      <c r="K64" s="21"/>
      <c r="L64" s="21"/>
      <c r="M64" s="21"/>
      <c r="N64" s="21"/>
      <c r="O64" s="21"/>
      <c r="P64" s="21"/>
      <c r="Q64" s="21"/>
      <c r="R64" s="21"/>
      <c r="S64" s="21"/>
      <c r="T64" s="21"/>
      <c r="U64" s="21"/>
      <c r="V64" s="21"/>
      <c r="W64" s="21"/>
      <c r="X64" s="21"/>
      <c r="Y64" s="21"/>
      <c r="Z64" s="21"/>
    </row>
    <row r="65" ht="17.25" customHeight="1">
      <c r="A65" s="21"/>
      <c r="B65" s="57"/>
      <c r="C65" s="57"/>
      <c r="D65" s="57"/>
      <c r="E65" s="57"/>
      <c r="F65" s="57"/>
      <c r="G65" s="57"/>
      <c r="H65" s="57"/>
      <c r="I65" s="57"/>
      <c r="J65" s="21"/>
      <c r="K65" s="21"/>
      <c r="L65" s="21"/>
      <c r="M65" s="21"/>
      <c r="N65" s="21"/>
      <c r="O65" s="21"/>
      <c r="P65" s="21"/>
      <c r="Q65" s="21"/>
      <c r="R65" s="21"/>
      <c r="S65" s="21"/>
      <c r="T65" s="21"/>
      <c r="U65" s="21"/>
      <c r="V65" s="21"/>
      <c r="W65" s="21"/>
      <c r="X65" s="21"/>
      <c r="Y65" s="21"/>
      <c r="Z65" s="21"/>
    </row>
    <row r="66" ht="17.25" customHeight="1">
      <c r="A66" s="21"/>
      <c r="B66" s="57"/>
      <c r="C66" s="57"/>
      <c r="D66" s="57"/>
      <c r="E66" s="57"/>
      <c r="F66" s="57"/>
      <c r="G66" s="57"/>
      <c r="H66" s="57"/>
      <c r="I66" s="57"/>
      <c r="J66" s="21"/>
      <c r="K66" s="21"/>
      <c r="L66" s="21"/>
      <c r="M66" s="21"/>
      <c r="N66" s="21"/>
      <c r="O66" s="21"/>
      <c r="P66" s="21"/>
      <c r="Q66" s="21"/>
      <c r="R66" s="21"/>
      <c r="S66" s="21"/>
      <c r="T66" s="21"/>
      <c r="U66" s="21"/>
      <c r="V66" s="21"/>
      <c r="W66" s="21"/>
      <c r="X66" s="21"/>
      <c r="Y66" s="21"/>
      <c r="Z66" s="21"/>
    </row>
    <row r="67" ht="17.25" customHeight="1">
      <c r="A67" s="21"/>
      <c r="B67" s="57"/>
      <c r="C67" s="57"/>
      <c r="D67" s="57"/>
      <c r="E67" s="57"/>
      <c r="F67" s="57"/>
      <c r="G67" s="57"/>
      <c r="H67" s="57"/>
      <c r="I67" s="57"/>
      <c r="J67" s="21"/>
      <c r="K67" s="21"/>
      <c r="L67" s="21"/>
      <c r="M67" s="21"/>
      <c r="N67" s="21"/>
      <c r="O67" s="21"/>
      <c r="P67" s="21"/>
      <c r="Q67" s="21"/>
      <c r="R67" s="21"/>
      <c r="S67" s="21"/>
      <c r="T67" s="21"/>
      <c r="U67" s="21"/>
      <c r="V67" s="21"/>
      <c r="W67" s="21"/>
      <c r="X67" s="21"/>
      <c r="Y67" s="21"/>
      <c r="Z67" s="21"/>
    </row>
    <row r="68" ht="17.25" customHeight="1">
      <c r="A68" s="21"/>
      <c r="B68" s="57"/>
      <c r="C68" s="57"/>
      <c r="D68" s="57"/>
      <c r="E68" s="57"/>
      <c r="F68" s="57"/>
      <c r="G68" s="57"/>
      <c r="H68" s="57"/>
      <c r="I68" s="57"/>
      <c r="J68" s="21"/>
      <c r="K68" s="21"/>
      <c r="L68" s="21"/>
      <c r="M68" s="21"/>
      <c r="N68" s="21"/>
      <c r="O68" s="21"/>
      <c r="P68" s="21"/>
      <c r="Q68" s="21"/>
      <c r="R68" s="21"/>
      <c r="S68" s="21"/>
      <c r="T68" s="21"/>
      <c r="U68" s="21"/>
      <c r="V68" s="21"/>
      <c r="W68" s="21"/>
      <c r="X68" s="21"/>
      <c r="Y68" s="21"/>
      <c r="Z68" s="21"/>
    </row>
    <row r="69" ht="17.25" customHeight="1">
      <c r="A69" s="21"/>
      <c r="B69" s="57"/>
      <c r="C69" s="57"/>
      <c r="D69" s="57"/>
      <c r="E69" s="57"/>
      <c r="F69" s="57"/>
      <c r="G69" s="57"/>
      <c r="H69" s="57"/>
      <c r="I69" s="57"/>
      <c r="J69" s="21"/>
      <c r="K69" s="21"/>
      <c r="L69" s="21"/>
      <c r="M69" s="21"/>
      <c r="N69" s="21"/>
      <c r="O69" s="21"/>
      <c r="P69" s="21"/>
      <c r="Q69" s="21"/>
      <c r="R69" s="21"/>
      <c r="S69" s="21"/>
      <c r="T69" s="21"/>
      <c r="U69" s="21"/>
      <c r="V69" s="21"/>
      <c r="W69" s="21"/>
      <c r="X69" s="21"/>
      <c r="Y69" s="21"/>
      <c r="Z69" s="21"/>
    </row>
    <row r="70" ht="17.25" customHeight="1">
      <c r="A70" s="21"/>
      <c r="B70" s="57"/>
      <c r="C70" s="57"/>
      <c r="D70" s="57"/>
      <c r="E70" s="57"/>
      <c r="F70" s="57"/>
      <c r="G70" s="57"/>
      <c r="H70" s="57"/>
      <c r="I70" s="57"/>
      <c r="J70" s="21"/>
      <c r="K70" s="21"/>
      <c r="L70" s="21"/>
      <c r="M70" s="21"/>
      <c r="N70" s="21"/>
      <c r="O70" s="21"/>
      <c r="P70" s="21"/>
      <c r="Q70" s="21"/>
      <c r="R70" s="21"/>
      <c r="S70" s="21"/>
      <c r="T70" s="21"/>
      <c r="U70" s="21"/>
      <c r="V70" s="21"/>
      <c r="W70" s="21"/>
      <c r="X70" s="21"/>
      <c r="Y70" s="21"/>
      <c r="Z70" s="21"/>
    </row>
    <row r="71" ht="17.25" customHeight="1">
      <c r="A71" s="21"/>
      <c r="B71" s="57"/>
      <c r="C71" s="57"/>
      <c r="D71" s="57"/>
      <c r="E71" s="57"/>
      <c r="F71" s="57"/>
      <c r="G71" s="57"/>
      <c r="H71" s="57"/>
      <c r="I71" s="57"/>
      <c r="J71" s="21"/>
      <c r="K71" s="21"/>
      <c r="L71" s="21"/>
      <c r="M71" s="21"/>
      <c r="N71" s="21"/>
      <c r="O71" s="21"/>
      <c r="P71" s="21"/>
      <c r="Q71" s="21"/>
      <c r="R71" s="21"/>
      <c r="S71" s="21"/>
      <c r="T71" s="21"/>
      <c r="U71" s="21"/>
      <c r="V71" s="21"/>
      <c r="W71" s="21"/>
      <c r="X71" s="21"/>
      <c r="Y71" s="21"/>
      <c r="Z71" s="21"/>
    </row>
    <row r="72" ht="17.25" customHeight="1">
      <c r="A72" s="21"/>
      <c r="B72" s="57"/>
      <c r="C72" s="57"/>
      <c r="D72" s="57"/>
      <c r="E72" s="57"/>
      <c r="F72" s="57"/>
      <c r="G72" s="57"/>
      <c r="H72" s="57"/>
      <c r="I72" s="57"/>
      <c r="J72" s="21"/>
      <c r="K72" s="21"/>
      <c r="L72" s="21"/>
      <c r="M72" s="21"/>
      <c r="N72" s="21"/>
      <c r="O72" s="21"/>
      <c r="P72" s="21"/>
      <c r="Q72" s="21"/>
      <c r="R72" s="21"/>
      <c r="S72" s="21"/>
      <c r="T72" s="21"/>
      <c r="U72" s="21"/>
      <c r="V72" s="21"/>
      <c r="W72" s="21"/>
      <c r="X72" s="21"/>
      <c r="Y72" s="21"/>
      <c r="Z72" s="21"/>
    </row>
    <row r="73" ht="17.25" customHeight="1">
      <c r="A73" s="21"/>
      <c r="B73" s="57"/>
      <c r="C73" s="57"/>
      <c r="D73" s="57"/>
      <c r="E73" s="57"/>
      <c r="F73" s="57"/>
      <c r="G73" s="57"/>
      <c r="H73" s="57"/>
      <c r="I73" s="57"/>
      <c r="J73" s="21"/>
      <c r="K73" s="21"/>
      <c r="L73" s="21"/>
      <c r="M73" s="21"/>
      <c r="N73" s="21"/>
      <c r="O73" s="21"/>
      <c r="P73" s="21"/>
      <c r="Q73" s="21"/>
      <c r="R73" s="21"/>
      <c r="S73" s="21"/>
      <c r="T73" s="21"/>
      <c r="U73" s="21"/>
      <c r="V73" s="21"/>
      <c r="W73" s="21"/>
      <c r="X73" s="21"/>
      <c r="Y73" s="21"/>
      <c r="Z73" s="21"/>
    </row>
    <row r="74" ht="17.25" customHeight="1">
      <c r="A74" s="21"/>
      <c r="B74" s="57"/>
      <c r="C74" s="57"/>
      <c r="D74" s="57"/>
      <c r="E74" s="57"/>
      <c r="F74" s="57"/>
      <c r="G74" s="57"/>
      <c r="H74" s="57"/>
      <c r="I74" s="57"/>
      <c r="J74" s="21"/>
      <c r="K74" s="21"/>
      <c r="L74" s="21"/>
      <c r="M74" s="21"/>
      <c r="N74" s="21"/>
      <c r="O74" s="21"/>
      <c r="P74" s="21"/>
      <c r="Q74" s="21"/>
      <c r="R74" s="21"/>
      <c r="S74" s="21"/>
      <c r="T74" s="21"/>
      <c r="U74" s="21"/>
      <c r="V74" s="21"/>
      <c r="W74" s="21"/>
      <c r="X74" s="21"/>
      <c r="Y74" s="21"/>
      <c r="Z74" s="21"/>
    </row>
    <row r="75" ht="17.25" customHeight="1">
      <c r="A75" s="21"/>
      <c r="B75" s="57"/>
      <c r="C75" s="57"/>
      <c r="D75" s="57"/>
      <c r="E75" s="57"/>
      <c r="F75" s="57"/>
      <c r="G75" s="57"/>
      <c r="H75" s="57"/>
      <c r="I75" s="57"/>
      <c r="J75" s="21"/>
      <c r="K75" s="21"/>
      <c r="L75" s="21"/>
      <c r="M75" s="21"/>
      <c r="N75" s="21"/>
      <c r="O75" s="21"/>
      <c r="P75" s="21"/>
      <c r="Q75" s="21"/>
      <c r="R75" s="21"/>
      <c r="S75" s="21"/>
      <c r="T75" s="21"/>
      <c r="U75" s="21"/>
      <c r="V75" s="21"/>
      <c r="W75" s="21"/>
      <c r="X75" s="21"/>
      <c r="Y75" s="21"/>
      <c r="Z75" s="21"/>
    </row>
    <row r="76" ht="17.25" customHeight="1">
      <c r="A76" s="21"/>
      <c r="B76" s="57"/>
      <c r="C76" s="57"/>
      <c r="D76" s="57"/>
      <c r="E76" s="57"/>
      <c r="F76" s="57"/>
      <c r="G76" s="57"/>
      <c r="H76" s="57"/>
      <c r="I76" s="57"/>
      <c r="J76" s="21"/>
      <c r="K76" s="21"/>
      <c r="L76" s="21"/>
      <c r="M76" s="21"/>
      <c r="N76" s="21"/>
      <c r="O76" s="21"/>
      <c r="P76" s="21"/>
      <c r="Q76" s="21"/>
      <c r="R76" s="21"/>
      <c r="S76" s="21"/>
      <c r="T76" s="21"/>
      <c r="U76" s="21"/>
      <c r="V76" s="21"/>
      <c r="W76" s="21"/>
      <c r="X76" s="21"/>
      <c r="Y76" s="21"/>
      <c r="Z76" s="21"/>
    </row>
    <row r="77" ht="17.25" customHeight="1">
      <c r="A77" s="21"/>
      <c r="B77" s="57"/>
      <c r="C77" s="57"/>
      <c r="D77" s="57"/>
      <c r="E77" s="57"/>
      <c r="F77" s="57"/>
      <c r="G77" s="57"/>
      <c r="H77" s="57"/>
      <c r="I77" s="57"/>
      <c r="J77" s="21"/>
      <c r="K77" s="21"/>
      <c r="L77" s="21"/>
      <c r="M77" s="21"/>
      <c r="N77" s="21"/>
      <c r="O77" s="21"/>
      <c r="P77" s="21"/>
      <c r="Q77" s="21"/>
      <c r="R77" s="21"/>
      <c r="S77" s="21"/>
      <c r="T77" s="21"/>
      <c r="U77" s="21"/>
      <c r="V77" s="21"/>
      <c r="W77" s="21"/>
      <c r="X77" s="21"/>
      <c r="Y77" s="21"/>
      <c r="Z77" s="21"/>
    </row>
    <row r="78" ht="17.25" customHeight="1">
      <c r="A78" s="21"/>
      <c r="B78" s="57"/>
      <c r="C78" s="57"/>
      <c r="D78" s="57"/>
      <c r="E78" s="57"/>
      <c r="F78" s="57"/>
      <c r="G78" s="57"/>
      <c r="H78" s="57"/>
      <c r="I78" s="57"/>
      <c r="J78" s="21"/>
      <c r="K78" s="21"/>
      <c r="L78" s="21"/>
      <c r="M78" s="21"/>
      <c r="N78" s="21"/>
      <c r="O78" s="21"/>
      <c r="P78" s="21"/>
      <c r="Q78" s="21"/>
      <c r="R78" s="21"/>
      <c r="S78" s="21"/>
      <c r="T78" s="21"/>
      <c r="U78" s="21"/>
      <c r="V78" s="21"/>
      <c r="W78" s="21"/>
      <c r="X78" s="21"/>
      <c r="Y78" s="21"/>
      <c r="Z78" s="21"/>
    </row>
    <row r="79" ht="17.25" customHeight="1">
      <c r="A79" s="21"/>
      <c r="B79" s="57"/>
      <c r="C79" s="57"/>
      <c r="D79" s="57"/>
      <c r="E79" s="57"/>
      <c r="F79" s="57"/>
      <c r="G79" s="57"/>
      <c r="H79" s="57"/>
      <c r="I79" s="57"/>
      <c r="J79" s="21"/>
      <c r="K79" s="21"/>
      <c r="L79" s="21"/>
      <c r="M79" s="21"/>
      <c r="N79" s="21"/>
      <c r="O79" s="21"/>
      <c r="P79" s="21"/>
      <c r="Q79" s="21"/>
      <c r="R79" s="21"/>
      <c r="S79" s="21"/>
      <c r="T79" s="21"/>
      <c r="U79" s="21"/>
      <c r="V79" s="21"/>
      <c r="W79" s="21"/>
      <c r="X79" s="21"/>
      <c r="Y79" s="21"/>
      <c r="Z79" s="21"/>
    </row>
    <row r="80" ht="17.25" customHeight="1">
      <c r="A80" s="21"/>
      <c r="B80" s="57"/>
      <c r="C80" s="57"/>
      <c r="D80" s="57"/>
      <c r="E80" s="57"/>
      <c r="F80" s="57"/>
      <c r="G80" s="57"/>
      <c r="H80" s="57"/>
      <c r="I80" s="57"/>
      <c r="J80" s="21"/>
      <c r="K80" s="21"/>
      <c r="L80" s="21"/>
      <c r="M80" s="21"/>
      <c r="N80" s="21"/>
      <c r="O80" s="21"/>
      <c r="P80" s="21"/>
      <c r="Q80" s="21"/>
      <c r="R80" s="21"/>
      <c r="S80" s="21"/>
      <c r="T80" s="21"/>
      <c r="U80" s="21"/>
      <c r="V80" s="21"/>
      <c r="W80" s="21"/>
      <c r="X80" s="21"/>
      <c r="Y80" s="21"/>
      <c r="Z80" s="21"/>
    </row>
    <row r="81" ht="17.25" customHeight="1">
      <c r="A81" s="21"/>
      <c r="B81" s="57"/>
      <c r="C81" s="57"/>
      <c r="D81" s="57"/>
      <c r="E81" s="57"/>
      <c r="F81" s="57"/>
      <c r="G81" s="57"/>
      <c r="H81" s="57"/>
      <c r="I81" s="57"/>
      <c r="J81" s="21"/>
      <c r="K81" s="21"/>
      <c r="L81" s="21"/>
      <c r="M81" s="21"/>
      <c r="N81" s="21"/>
      <c r="O81" s="21"/>
      <c r="P81" s="21"/>
      <c r="Q81" s="21"/>
      <c r="R81" s="21"/>
      <c r="S81" s="21"/>
      <c r="T81" s="21"/>
      <c r="U81" s="21"/>
      <c r="V81" s="21"/>
      <c r="W81" s="21"/>
      <c r="X81" s="21"/>
      <c r="Y81" s="21"/>
      <c r="Z81" s="21"/>
    </row>
    <row r="82" ht="17.25" customHeight="1">
      <c r="A82" s="21"/>
      <c r="B82" s="57"/>
      <c r="C82" s="57"/>
      <c r="D82" s="57"/>
      <c r="E82" s="57"/>
      <c r="F82" s="57"/>
      <c r="G82" s="57"/>
      <c r="H82" s="57"/>
      <c r="I82" s="57"/>
      <c r="J82" s="21"/>
      <c r="K82" s="21"/>
      <c r="L82" s="21"/>
      <c r="M82" s="21"/>
      <c r="N82" s="21"/>
      <c r="O82" s="21"/>
      <c r="P82" s="21"/>
      <c r="Q82" s="21"/>
      <c r="R82" s="21"/>
      <c r="S82" s="21"/>
      <c r="T82" s="21"/>
      <c r="U82" s="21"/>
      <c r="V82" s="21"/>
      <c r="W82" s="21"/>
      <c r="X82" s="21"/>
      <c r="Y82" s="21"/>
      <c r="Z82" s="21"/>
    </row>
    <row r="83" ht="17.25" customHeight="1">
      <c r="A83" s="21"/>
      <c r="B83" s="57"/>
      <c r="C83" s="57"/>
      <c r="D83" s="57"/>
      <c r="E83" s="57"/>
      <c r="F83" s="57"/>
      <c r="G83" s="57"/>
      <c r="H83" s="57"/>
      <c r="I83" s="57"/>
      <c r="J83" s="21"/>
      <c r="K83" s="21"/>
      <c r="L83" s="21"/>
      <c r="M83" s="21"/>
      <c r="N83" s="21"/>
      <c r="O83" s="21"/>
      <c r="P83" s="21"/>
      <c r="Q83" s="21"/>
      <c r="R83" s="21"/>
      <c r="S83" s="21"/>
      <c r="T83" s="21"/>
      <c r="U83" s="21"/>
      <c r="V83" s="21"/>
      <c r="W83" s="21"/>
      <c r="X83" s="21"/>
      <c r="Y83" s="21"/>
      <c r="Z83" s="21"/>
    </row>
    <row r="84" ht="17.25" customHeight="1">
      <c r="A84" s="21"/>
      <c r="B84" s="57"/>
      <c r="C84" s="57"/>
      <c r="D84" s="57"/>
      <c r="E84" s="57"/>
      <c r="F84" s="57"/>
      <c r="G84" s="57"/>
      <c r="H84" s="57"/>
      <c r="I84" s="57"/>
      <c r="J84" s="21"/>
      <c r="K84" s="21"/>
      <c r="L84" s="21"/>
      <c r="M84" s="21"/>
      <c r="N84" s="21"/>
      <c r="O84" s="21"/>
      <c r="P84" s="21"/>
      <c r="Q84" s="21"/>
      <c r="R84" s="21"/>
      <c r="S84" s="21"/>
      <c r="T84" s="21"/>
      <c r="U84" s="21"/>
      <c r="V84" s="21"/>
      <c r="W84" s="21"/>
      <c r="X84" s="21"/>
      <c r="Y84" s="21"/>
      <c r="Z84" s="21"/>
    </row>
    <row r="85" ht="17.25" customHeight="1">
      <c r="A85" s="21"/>
      <c r="B85" s="57"/>
      <c r="C85" s="57"/>
      <c r="D85" s="57"/>
      <c r="E85" s="57"/>
      <c r="F85" s="57"/>
      <c r="G85" s="57"/>
      <c r="H85" s="57"/>
      <c r="I85" s="57"/>
      <c r="J85" s="21"/>
      <c r="K85" s="21"/>
      <c r="L85" s="21"/>
      <c r="M85" s="21"/>
      <c r="N85" s="21"/>
      <c r="O85" s="21"/>
      <c r="P85" s="21"/>
      <c r="Q85" s="21"/>
      <c r="R85" s="21"/>
      <c r="S85" s="21"/>
      <c r="T85" s="21"/>
      <c r="U85" s="21"/>
      <c r="V85" s="21"/>
      <c r="W85" s="21"/>
      <c r="X85" s="21"/>
      <c r="Y85" s="21"/>
      <c r="Z85" s="21"/>
    </row>
    <row r="86" ht="17.25" customHeight="1">
      <c r="A86" s="21"/>
      <c r="B86" s="57"/>
      <c r="C86" s="57"/>
      <c r="D86" s="57"/>
      <c r="E86" s="57"/>
      <c r="F86" s="57"/>
      <c r="G86" s="57"/>
      <c r="H86" s="57"/>
      <c r="I86" s="57"/>
      <c r="J86" s="21"/>
      <c r="K86" s="21"/>
      <c r="L86" s="21"/>
      <c r="M86" s="21"/>
      <c r="N86" s="21"/>
      <c r="O86" s="21"/>
      <c r="P86" s="21"/>
      <c r="Q86" s="21"/>
      <c r="R86" s="21"/>
      <c r="S86" s="21"/>
      <c r="T86" s="21"/>
      <c r="U86" s="21"/>
      <c r="V86" s="21"/>
      <c r="W86" s="21"/>
      <c r="X86" s="21"/>
      <c r="Y86" s="21"/>
      <c r="Z86" s="21"/>
    </row>
    <row r="87" ht="17.25" customHeight="1">
      <c r="A87" s="17"/>
      <c r="B87" s="61"/>
      <c r="C87" s="61"/>
      <c r="D87" s="61"/>
      <c r="E87" s="61"/>
      <c r="F87" s="61"/>
      <c r="G87" s="61"/>
      <c r="H87" s="61"/>
      <c r="I87" s="61"/>
      <c r="J87" s="17"/>
      <c r="K87" s="17"/>
      <c r="L87" s="17"/>
      <c r="M87" s="17"/>
      <c r="N87" s="17"/>
      <c r="O87" s="17"/>
      <c r="P87" s="17"/>
      <c r="Q87" s="17"/>
      <c r="R87" s="17"/>
      <c r="S87" s="17"/>
      <c r="T87" s="17"/>
      <c r="U87" s="17"/>
      <c r="V87" s="17"/>
      <c r="W87" s="17"/>
      <c r="X87" s="17"/>
      <c r="Y87" s="17"/>
      <c r="Z87" s="17"/>
    </row>
    <row r="88" ht="17.25" customHeight="1">
      <c r="A88" s="17"/>
      <c r="B88" s="61"/>
      <c r="C88" s="61"/>
      <c r="D88" s="61"/>
      <c r="E88" s="61"/>
      <c r="F88" s="61"/>
      <c r="G88" s="61"/>
      <c r="H88" s="61"/>
      <c r="I88" s="61"/>
      <c r="J88" s="17"/>
      <c r="K88" s="17"/>
      <c r="L88" s="17"/>
      <c r="M88" s="17"/>
      <c r="N88" s="17"/>
      <c r="O88" s="17"/>
      <c r="P88" s="17"/>
      <c r="Q88" s="17"/>
      <c r="R88" s="17"/>
      <c r="S88" s="17"/>
      <c r="T88" s="17"/>
      <c r="U88" s="17"/>
      <c r="V88" s="17"/>
      <c r="W88" s="17"/>
      <c r="X88" s="17"/>
      <c r="Y88" s="17"/>
      <c r="Z88" s="17"/>
    </row>
    <row r="89" ht="17.25" customHeight="1">
      <c r="A89" s="17"/>
      <c r="B89" s="61"/>
      <c r="C89" s="61"/>
      <c r="D89" s="61"/>
      <c r="E89" s="61"/>
      <c r="F89" s="61"/>
      <c r="G89" s="61"/>
      <c r="H89" s="61"/>
      <c r="I89" s="61"/>
      <c r="J89" s="17"/>
      <c r="K89" s="17"/>
      <c r="L89" s="17"/>
      <c r="M89" s="17"/>
      <c r="N89" s="17"/>
      <c r="O89" s="17"/>
      <c r="P89" s="17"/>
      <c r="Q89" s="17"/>
      <c r="R89" s="17"/>
      <c r="S89" s="17"/>
      <c r="T89" s="17"/>
      <c r="U89" s="17"/>
      <c r="V89" s="17"/>
      <c r="W89" s="17"/>
      <c r="X89" s="17"/>
      <c r="Y89" s="17"/>
      <c r="Z89" s="17"/>
    </row>
    <row r="90" ht="17.25" customHeight="1">
      <c r="A90" s="17"/>
      <c r="B90" s="61"/>
      <c r="C90" s="61"/>
      <c r="D90" s="61"/>
      <c r="E90" s="61"/>
      <c r="F90" s="61"/>
      <c r="G90" s="61"/>
      <c r="H90" s="61"/>
      <c r="I90" s="61"/>
      <c r="J90" s="17"/>
      <c r="K90" s="17"/>
      <c r="L90" s="17"/>
      <c r="M90" s="17"/>
      <c r="N90" s="17"/>
      <c r="O90" s="17"/>
      <c r="P90" s="17"/>
      <c r="Q90" s="17"/>
      <c r="R90" s="17"/>
      <c r="S90" s="17"/>
      <c r="T90" s="17"/>
      <c r="U90" s="17"/>
      <c r="V90" s="17"/>
      <c r="W90" s="17"/>
      <c r="X90" s="17"/>
      <c r="Y90" s="17"/>
      <c r="Z90" s="17"/>
    </row>
    <row r="91" ht="17.25" customHeight="1">
      <c r="A91" s="17"/>
      <c r="B91" s="61"/>
      <c r="C91" s="61"/>
      <c r="D91" s="61"/>
      <c r="E91" s="61"/>
      <c r="F91" s="61"/>
      <c r="G91" s="61"/>
      <c r="H91" s="61"/>
      <c r="I91" s="61"/>
      <c r="J91" s="17"/>
      <c r="K91" s="17"/>
      <c r="L91" s="17"/>
      <c r="M91" s="17"/>
      <c r="N91" s="17"/>
      <c r="O91" s="17"/>
      <c r="P91" s="17"/>
      <c r="Q91" s="17"/>
      <c r="R91" s="17"/>
      <c r="S91" s="17"/>
      <c r="T91" s="17"/>
      <c r="U91" s="17"/>
      <c r="V91" s="17"/>
      <c r="W91" s="17"/>
      <c r="X91" s="17"/>
      <c r="Y91" s="17"/>
      <c r="Z91" s="17"/>
    </row>
    <row r="92" ht="17.25" customHeight="1">
      <c r="A92" s="17"/>
      <c r="B92" s="61"/>
      <c r="C92" s="61"/>
      <c r="D92" s="61"/>
      <c r="E92" s="61"/>
      <c r="F92" s="61"/>
      <c r="G92" s="61"/>
      <c r="H92" s="61"/>
      <c r="I92" s="61"/>
      <c r="J92" s="17"/>
      <c r="K92" s="17"/>
      <c r="L92" s="17"/>
      <c r="M92" s="17"/>
      <c r="N92" s="17"/>
      <c r="O92" s="17"/>
      <c r="P92" s="17"/>
      <c r="Q92" s="17"/>
      <c r="R92" s="17"/>
      <c r="S92" s="17"/>
      <c r="T92" s="17"/>
      <c r="U92" s="17"/>
      <c r="V92" s="17"/>
      <c r="W92" s="17"/>
      <c r="X92" s="17"/>
      <c r="Y92" s="17"/>
      <c r="Z92" s="17"/>
    </row>
    <row r="93" ht="17.25" customHeight="1">
      <c r="A93" s="17"/>
      <c r="B93" s="61"/>
      <c r="C93" s="61"/>
      <c r="D93" s="61"/>
      <c r="E93" s="61"/>
      <c r="F93" s="61"/>
      <c r="G93" s="61"/>
      <c r="H93" s="61"/>
      <c r="I93" s="61"/>
      <c r="J93" s="17"/>
      <c r="K93" s="17"/>
      <c r="L93" s="17"/>
      <c r="M93" s="17"/>
      <c r="N93" s="17"/>
      <c r="O93" s="17"/>
      <c r="P93" s="17"/>
      <c r="Q93" s="17"/>
      <c r="R93" s="17"/>
      <c r="S93" s="17"/>
      <c r="T93" s="17"/>
      <c r="U93" s="17"/>
      <c r="V93" s="17"/>
      <c r="W93" s="17"/>
      <c r="X93" s="17"/>
      <c r="Y93" s="17"/>
      <c r="Z93" s="17"/>
    </row>
    <row r="94" ht="17.25" customHeight="1">
      <c r="A94" s="17"/>
      <c r="B94" s="61"/>
      <c r="C94" s="61"/>
      <c r="D94" s="61"/>
      <c r="E94" s="61"/>
      <c r="F94" s="61"/>
      <c r="G94" s="61"/>
      <c r="H94" s="61"/>
      <c r="I94" s="61"/>
      <c r="J94" s="17"/>
      <c r="K94" s="17"/>
      <c r="L94" s="17"/>
      <c r="M94" s="17"/>
      <c r="N94" s="17"/>
      <c r="O94" s="17"/>
      <c r="P94" s="17"/>
      <c r="Q94" s="17"/>
      <c r="R94" s="17"/>
      <c r="S94" s="17"/>
      <c r="T94" s="17"/>
      <c r="U94" s="17"/>
      <c r="V94" s="17"/>
      <c r="W94" s="17"/>
      <c r="X94" s="17"/>
      <c r="Y94" s="17"/>
      <c r="Z94" s="17"/>
    </row>
    <row r="95" ht="17.25" customHeight="1">
      <c r="A95" s="17"/>
      <c r="B95" s="61"/>
      <c r="C95" s="61"/>
      <c r="D95" s="61"/>
      <c r="E95" s="61"/>
      <c r="F95" s="61"/>
      <c r="G95" s="61"/>
      <c r="H95" s="61"/>
      <c r="I95" s="61"/>
      <c r="J95" s="17"/>
      <c r="K95" s="17"/>
      <c r="L95" s="17"/>
      <c r="M95" s="17"/>
      <c r="N95" s="17"/>
      <c r="O95" s="17"/>
      <c r="P95" s="17"/>
      <c r="Q95" s="17"/>
      <c r="R95" s="17"/>
      <c r="S95" s="17"/>
      <c r="T95" s="17"/>
      <c r="U95" s="17"/>
      <c r="V95" s="17"/>
      <c r="W95" s="17"/>
      <c r="X95" s="17"/>
      <c r="Y95" s="17"/>
      <c r="Z95" s="17"/>
    </row>
    <row r="96" ht="17.25" customHeight="1">
      <c r="A96" s="17"/>
      <c r="B96" s="61"/>
      <c r="C96" s="61"/>
      <c r="D96" s="61"/>
      <c r="E96" s="61"/>
      <c r="F96" s="61"/>
      <c r="G96" s="61"/>
      <c r="H96" s="61"/>
      <c r="I96" s="61"/>
      <c r="J96" s="17"/>
      <c r="K96" s="17"/>
      <c r="L96" s="17"/>
      <c r="M96" s="17"/>
      <c r="N96" s="17"/>
      <c r="O96" s="17"/>
      <c r="P96" s="17"/>
      <c r="Q96" s="17"/>
      <c r="R96" s="17"/>
      <c r="S96" s="17"/>
      <c r="T96" s="17"/>
      <c r="U96" s="17"/>
      <c r="V96" s="17"/>
      <c r="W96" s="17"/>
      <c r="X96" s="17"/>
      <c r="Y96" s="17"/>
      <c r="Z96" s="17"/>
    </row>
    <row r="97" ht="17.25" customHeight="1">
      <c r="A97" s="17"/>
      <c r="B97" s="61"/>
      <c r="C97" s="61"/>
      <c r="D97" s="61"/>
      <c r="E97" s="61"/>
      <c r="F97" s="61"/>
      <c r="G97" s="61"/>
      <c r="H97" s="61"/>
      <c r="I97" s="61"/>
      <c r="J97" s="17"/>
      <c r="K97" s="17"/>
      <c r="L97" s="17"/>
      <c r="M97" s="17"/>
      <c r="N97" s="17"/>
      <c r="O97" s="17"/>
      <c r="P97" s="17"/>
      <c r="Q97" s="17"/>
      <c r="R97" s="17"/>
      <c r="S97" s="17"/>
      <c r="T97" s="17"/>
      <c r="U97" s="17"/>
      <c r="V97" s="17"/>
      <c r="W97" s="17"/>
      <c r="X97" s="17"/>
      <c r="Y97" s="17"/>
      <c r="Z97" s="17"/>
    </row>
    <row r="98" ht="17.25" customHeight="1">
      <c r="A98" s="17"/>
      <c r="B98" s="61"/>
      <c r="C98" s="61"/>
      <c r="D98" s="61"/>
      <c r="E98" s="61"/>
      <c r="F98" s="61"/>
      <c r="G98" s="61"/>
      <c r="H98" s="61"/>
      <c r="I98" s="61"/>
      <c r="J98" s="17"/>
      <c r="K98" s="17"/>
      <c r="L98" s="17"/>
      <c r="M98" s="17"/>
      <c r="N98" s="17"/>
      <c r="O98" s="17"/>
      <c r="P98" s="17"/>
      <c r="Q98" s="17"/>
      <c r="R98" s="17"/>
      <c r="S98" s="17"/>
      <c r="T98" s="17"/>
      <c r="U98" s="17"/>
      <c r="V98" s="17"/>
      <c r="W98" s="17"/>
      <c r="X98" s="17"/>
      <c r="Y98" s="17"/>
      <c r="Z98" s="17"/>
    </row>
    <row r="99" ht="17.25" customHeight="1">
      <c r="A99" s="17"/>
      <c r="B99" s="61"/>
      <c r="C99" s="61"/>
      <c r="D99" s="61"/>
      <c r="E99" s="61"/>
      <c r="F99" s="61"/>
      <c r="G99" s="61"/>
      <c r="H99" s="61"/>
      <c r="I99" s="61"/>
      <c r="J99" s="17"/>
      <c r="K99" s="17"/>
      <c r="L99" s="17"/>
      <c r="M99" s="17"/>
      <c r="N99" s="17"/>
      <c r="O99" s="17"/>
      <c r="P99" s="17"/>
      <c r="Q99" s="17"/>
      <c r="R99" s="17"/>
      <c r="S99" s="17"/>
      <c r="T99" s="17"/>
      <c r="U99" s="17"/>
      <c r="V99" s="17"/>
      <c r="W99" s="17"/>
      <c r="X99" s="17"/>
      <c r="Y99" s="17"/>
      <c r="Z99" s="17"/>
    </row>
    <row r="100" ht="17.25" customHeight="1">
      <c r="A100" s="17"/>
      <c r="B100" s="61"/>
      <c r="C100" s="61"/>
      <c r="D100" s="61"/>
      <c r="E100" s="61"/>
      <c r="F100" s="61"/>
      <c r="G100" s="61"/>
      <c r="H100" s="61"/>
      <c r="I100" s="61"/>
      <c r="J100" s="17"/>
      <c r="K100" s="17"/>
      <c r="L100" s="17"/>
      <c r="M100" s="17"/>
      <c r="N100" s="17"/>
      <c r="O100" s="17"/>
      <c r="P100" s="17"/>
      <c r="Q100" s="17"/>
      <c r="R100" s="17"/>
      <c r="S100" s="17"/>
      <c r="T100" s="17"/>
      <c r="U100" s="17"/>
      <c r="V100" s="17"/>
      <c r="W100" s="17"/>
      <c r="X100" s="17"/>
      <c r="Y100" s="17"/>
      <c r="Z100" s="17"/>
    </row>
    <row r="101" ht="17.25" customHeight="1">
      <c r="A101" s="17"/>
      <c r="B101" s="61"/>
      <c r="C101" s="61"/>
      <c r="D101" s="61"/>
      <c r="E101" s="61"/>
      <c r="F101" s="61"/>
      <c r="G101" s="61"/>
      <c r="H101" s="61"/>
      <c r="I101" s="61"/>
      <c r="J101" s="17"/>
      <c r="K101" s="17"/>
      <c r="L101" s="17"/>
      <c r="M101" s="17"/>
      <c r="N101" s="17"/>
      <c r="O101" s="17"/>
      <c r="P101" s="17"/>
      <c r="Q101" s="17"/>
      <c r="R101" s="17"/>
      <c r="S101" s="17"/>
      <c r="T101" s="17"/>
      <c r="U101" s="17"/>
      <c r="V101" s="17"/>
      <c r="W101" s="17"/>
      <c r="X101" s="17"/>
      <c r="Y101" s="17"/>
      <c r="Z101" s="17"/>
    </row>
    <row r="102" ht="17.25" customHeight="1">
      <c r="A102" s="17"/>
      <c r="B102" s="61"/>
      <c r="C102" s="61"/>
      <c r="D102" s="61"/>
      <c r="E102" s="61"/>
      <c r="F102" s="61"/>
      <c r="G102" s="61"/>
      <c r="H102" s="61"/>
      <c r="I102" s="61"/>
      <c r="J102" s="17"/>
      <c r="K102" s="17"/>
      <c r="L102" s="17"/>
      <c r="M102" s="17"/>
      <c r="N102" s="17"/>
      <c r="O102" s="17"/>
      <c r="P102" s="17"/>
      <c r="Q102" s="17"/>
      <c r="R102" s="17"/>
      <c r="S102" s="17"/>
      <c r="T102" s="17"/>
      <c r="U102" s="17"/>
      <c r="V102" s="17"/>
      <c r="W102" s="17"/>
      <c r="X102" s="17"/>
      <c r="Y102" s="17"/>
      <c r="Z102" s="17"/>
    </row>
    <row r="103" ht="17.25" customHeight="1">
      <c r="A103" s="17"/>
      <c r="B103" s="61"/>
      <c r="C103" s="61"/>
      <c r="D103" s="61"/>
      <c r="E103" s="61"/>
      <c r="F103" s="61"/>
      <c r="G103" s="61"/>
      <c r="H103" s="61"/>
      <c r="I103" s="61"/>
      <c r="J103" s="17"/>
      <c r="K103" s="17"/>
      <c r="L103" s="17"/>
      <c r="M103" s="17"/>
      <c r="N103" s="17"/>
      <c r="O103" s="17"/>
      <c r="P103" s="17"/>
      <c r="Q103" s="17"/>
      <c r="R103" s="17"/>
      <c r="S103" s="17"/>
      <c r="T103" s="17"/>
      <c r="U103" s="17"/>
      <c r="V103" s="17"/>
      <c r="W103" s="17"/>
      <c r="X103" s="17"/>
      <c r="Y103" s="17"/>
      <c r="Z103" s="17"/>
    </row>
    <row r="104" ht="17.25" customHeight="1">
      <c r="A104" s="17"/>
      <c r="B104" s="61"/>
      <c r="C104" s="61"/>
      <c r="D104" s="61"/>
      <c r="E104" s="61"/>
      <c r="F104" s="61"/>
      <c r="G104" s="61"/>
      <c r="H104" s="61"/>
      <c r="I104" s="61"/>
      <c r="J104" s="17"/>
      <c r="K104" s="17"/>
      <c r="L104" s="17"/>
      <c r="M104" s="17"/>
      <c r="N104" s="17"/>
      <c r="O104" s="17"/>
      <c r="P104" s="17"/>
      <c r="Q104" s="17"/>
      <c r="R104" s="17"/>
      <c r="S104" s="17"/>
      <c r="T104" s="17"/>
      <c r="U104" s="17"/>
      <c r="V104" s="17"/>
      <c r="W104" s="17"/>
      <c r="X104" s="17"/>
      <c r="Y104" s="17"/>
      <c r="Z104" s="17"/>
    </row>
    <row r="105" ht="17.25" customHeight="1">
      <c r="A105" s="17"/>
      <c r="B105" s="61"/>
      <c r="C105" s="61"/>
      <c r="D105" s="61"/>
      <c r="E105" s="61"/>
      <c r="F105" s="61"/>
      <c r="G105" s="61"/>
      <c r="H105" s="61"/>
      <c r="I105" s="61"/>
      <c r="J105" s="17"/>
      <c r="K105" s="17"/>
      <c r="L105" s="17"/>
      <c r="M105" s="17"/>
      <c r="N105" s="17"/>
      <c r="O105" s="17"/>
      <c r="P105" s="17"/>
      <c r="Q105" s="17"/>
      <c r="R105" s="17"/>
      <c r="S105" s="17"/>
      <c r="T105" s="17"/>
      <c r="U105" s="17"/>
      <c r="V105" s="17"/>
      <c r="W105" s="17"/>
      <c r="X105" s="17"/>
      <c r="Y105" s="17"/>
      <c r="Z105" s="17"/>
    </row>
    <row r="106" ht="17.25" customHeight="1">
      <c r="A106" s="17"/>
      <c r="B106" s="61"/>
      <c r="C106" s="61"/>
      <c r="D106" s="61"/>
      <c r="E106" s="61"/>
      <c r="F106" s="61"/>
      <c r="G106" s="61"/>
      <c r="H106" s="61"/>
      <c r="I106" s="61"/>
      <c r="J106" s="17"/>
      <c r="K106" s="17"/>
      <c r="L106" s="17"/>
      <c r="M106" s="17"/>
      <c r="N106" s="17"/>
      <c r="O106" s="17"/>
      <c r="P106" s="17"/>
      <c r="Q106" s="17"/>
      <c r="R106" s="17"/>
      <c r="S106" s="17"/>
      <c r="T106" s="17"/>
      <c r="U106" s="17"/>
      <c r="V106" s="17"/>
      <c r="W106" s="17"/>
      <c r="X106" s="17"/>
      <c r="Y106" s="17"/>
      <c r="Z106" s="17"/>
    </row>
    <row r="107" ht="17.25" customHeight="1">
      <c r="A107" s="17"/>
      <c r="B107" s="61"/>
      <c r="C107" s="61"/>
      <c r="D107" s="61"/>
      <c r="E107" s="61"/>
      <c r="F107" s="61"/>
      <c r="G107" s="61"/>
      <c r="H107" s="61"/>
      <c r="I107" s="61"/>
      <c r="J107" s="17"/>
      <c r="K107" s="17"/>
      <c r="L107" s="17"/>
      <c r="M107" s="17"/>
      <c r="N107" s="17"/>
      <c r="O107" s="17"/>
      <c r="P107" s="17"/>
      <c r="Q107" s="17"/>
      <c r="R107" s="17"/>
      <c r="S107" s="17"/>
      <c r="T107" s="17"/>
      <c r="U107" s="17"/>
      <c r="V107" s="17"/>
      <c r="W107" s="17"/>
      <c r="X107" s="17"/>
      <c r="Y107" s="17"/>
      <c r="Z107" s="17"/>
    </row>
    <row r="108" ht="17.25" customHeight="1">
      <c r="A108" s="17"/>
      <c r="B108" s="61"/>
      <c r="C108" s="61"/>
      <c r="D108" s="61"/>
      <c r="E108" s="61"/>
      <c r="F108" s="61"/>
      <c r="G108" s="61"/>
      <c r="H108" s="61"/>
      <c r="I108" s="61"/>
      <c r="J108" s="17"/>
      <c r="K108" s="17"/>
      <c r="L108" s="17"/>
      <c r="M108" s="17"/>
      <c r="N108" s="17"/>
      <c r="O108" s="17"/>
      <c r="P108" s="17"/>
      <c r="Q108" s="17"/>
      <c r="R108" s="17"/>
      <c r="S108" s="17"/>
      <c r="T108" s="17"/>
      <c r="U108" s="17"/>
      <c r="V108" s="17"/>
      <c r="W108" s="17"/>
      <c r="X108" s="17"/>
      <c r="Y108" s="17"/>
      <c r="Z108" s="17"/>
    </row>
    <row r="109" ht="17.25" customHeight="1">
      <c r="A109" s="17"/>
      <c r="B109" s="61"/>
      <c r="C109" s="61"/>
      <c r="D109" s="61"/>
      <c r="E109" s="61"/>
      <c r="F109" s="61"/>
      <c r="G109" s="61"/>
      <c r="H109" s="61"/>
      <c r="I109" s="61"/>
      <c r="J109" s="17"/>
      <c r="K109" s="17"/>
      <c r="L109" s="17"/>
      <c r="M109" s="17"/>
      <c r="N109" s="17"/>
      <c r="O109" s="17"/>
      <c r="P109" s="17"/>
      <c r="Q109" s="17"/>
      <c r="R109" s="17"/>
      <c r="S109" s="17"/>
      <c r="T109" s="17"/>
      <c r="U109" s="17"/>
      <c r="V109" s="17"/>
      <c r="W109" s="17"/>
      <c r="X109" s="17"/>
      <c r="Y109" s="17"/>
      <c r="Z109" s="17"/>
    </row>
    <row r="110" ht="17.25" customHeight="1">
      <c r="A110" s="17"/>
      <c r="B110" s="61"/>
      <c r="C110" s="61"/>
      <c r="D110" s="61"/>
      <c r="E110" s="61"/>
      <c r="F110" s="61"/>
      <c r="G110" s="61"/>
      <c r="H110" s="61"/>
      <c r="I110" s="61"/>
      <c r="J110" s="17"/>
      <c r="K110" s="17"/>
      <c r="L110" s="17"/>
      <c r="M110" s="17"/>
      <c r="N110" s="17"/>
      <c r="O110" s="17"/>
      <c r="P110" s="17"/>
      <c r="Q110" s="17"/>
      <c r="R110" s="17"/>
      <c r="S110" s="17"/>
      <c r="T110" s="17"/>
      <c r="U110" s="17"/>
      <c r="V110" s="17"/>
      <c r="W110" s="17"/>
      <c r="X110" s="17"/>
      <c r="Y110" s="17"/>
      <c r="Z110" s="17"/>
    </row>
    <row r="111" ht="17.25" customHeight="1">
      <c r="A111" s="17"/>
      <c r="B111" s="61"/>
      <c r="C111" s="61"/>
      <c r="D111" s="61"/>
      <c r="E111" s="61"/>
      <c r="F111" s="61"/>
      <c r="G111" s="61"/>
      <c r="H111" s="61"/>
      <c r="I111" s="61"/>
      <c r="J111" s="17"/>
      <c r="K111" s="17"/>
      <c r="L111" s="17"/>
      <c r="M111" s="17"/>
      <c r="N111" s="17"/>
      <c r="O111" s="17"/>
      <c r="P111" s="17"/>
      <c r="Q111" s="17"/>
      <c r="R111" s="17"/>
      <c r="S111" s="17"/>
      <c r="T111" s="17"/>
      <c r="U111" s="17"/>
      <c r="V111" s="17"/>
      <c r="W111" s="17"/>
      <c r="X111" s="17"/>
      <c r="Y111" s="17"/>
      <c r="Z111" s="17"/>
    </row>
    <row r="112" ht="17.25" customHeight="1">
      <c r="A112" s="17"/>
      <c r="B112" s="61"/>
      <c r="C112" s="61"/>
      <c r="D112" s="61"/>
      <c r="E112" s="61"/>
      <c r="F112" s="61"/>
      <c r="G112" s="61"/>
      <c r="H112" s="61"/>
      <c r="I112" s="61"/>
      <c r="J112" s="17"/>
      <c r="K112" s="17"/>
      <c r="L112" s="17"/>
      <c r="M112" s="17"/>
      <c r="N112" s="17"/>
      <c r="O112" s="17"/>
      <c r="P112" s="17"/>
      <c r="Q112" s="17"/>
      <c r="R112" s="17"/>
      <c r="S112" s="17"/>
      <c r="T112" s="17"/>
      <c r="U112" s="17"/>
      <c r="V112" s="17"/>
      <c r="W112" s="17"/>
      <c r="X112" s="17"/>
      <c r="Y112" s="17"/>
      <c r="Z112" s="17"/>
    </row>
    <row r="113" ht="17.25" customHeight="1">
      <c r="A113" s="17"/>
      <c r="B113" s="61"/>
      <c r="C113" s="61"/>
      <c r="D113" s="61"/>
      <c r="E113" s="61"/>
      <c r="F113" s="61"/>
      <c r="G113" s="61"/>
      <c r="H113" s="61"/>
      <c r="I113" s="61"/>
      <c r="J113" s="17"/>
      <c r="K113" s="17"/>
      <c r="L113" s="17"/>
      <c r="M113" s="17"/>
      <c r="N113" s="17"/>
      <c r="O113" s="17"/>
      <c r="P113" s="17"/>
      <c r="Q113" s="17"/>
      <c r="R113" s="17"/>
      <c r="S113" s="17"/>
      <c r="T113" s="17"/>
      <c r="U113" s="17"/>
      <c r="V113" s="17"/>
      <c r="W113" s="17"/>
      <c r="X113" s="17"/>
      <c r="Y113" s="17"/>
      <c r="Z113" s="17"/>
    </row>
    <row r="114" ht="17.25" customHeight="1">
      <c r="A114" s="17"/>
      <c r="B114" s="61"/>
      <c r="C114" s="61"/>
      <c r="D114" s="61"/>
      <c r="E114" s="61"/>
      <c r="F114" s="61"/>
      <c r="G114" s="61"/>
      <c r="H114" s="61"/>
      <c r="I114" s="61"/>
      <c r="J114" s="17"/>
      <c r="K114" s="17"/>
      <c r="L114" s="17"/>
      <c r="M114" s="17"/>
      <c r="N114" s="17"/>
      <c r="O114" s="17"/>
      <c r="P114" s="17"/>
      <c r="Q114" s="17"/>
      <c r="R114" s="17"/>
      <c r="S114" s="17"/>
      <c r="T114" s="17"/>
      <c r="U114" s="17"/>
      <c r="V114" s="17"/>
      <c r="W114" s="17"/>
      <c r="X114" s="17"/>
      <c r="Y114" s="17"/>
      <c r="Z114" s="17"/>
    </row>
    <row r="115" ht="17.25" customHeight="1">
      <c r="A115" s="17"/>
      <c r="B115" s="61"/>
      <c r="C115" s="61"/>
      <c r="D115" s="61"/>
      <c r="E115" s="61"/>
      <c r="F115" s="61"/>
      <c r="G115" s="61"/>
      <c r="H115" s="61"/>
      <c r="I115" s="61"/>
      <c r="J115" s="17"/>
      <c r="K115" s="17"/>
      <c r="L115" s="17"/>
      <c r="M115" s="17"/>
      <c r="N115" s="17"/>
      <c r="O115" s="17"/>
      <c r="P115" s="17"/>
      <c r="Q115" s="17"/>
      <c r="R115" s="17"/>
      <c r="S115" s="17"/>
      <c r="T115" s="17"/>
      <c r="U115" s="17"/>
      <c r="V115" s="17"/>
      <c r="W115" s="17"/>
      <c r="X115" s="17"/>
      <c r="Y115" s="17"/>
      <c r="Z115" s="17"/>
    </row>
    <row r="116" ht="17.25" customHeight="1">
      <c r="A116" s="17"/>
      <c r="B116" s="61"/>
      <c r="C116" s="61"/>
      <c r="D116" s="61"/>
      <c r="E116" s="61"/>
      <c r="F116" s="61"/>
      <c r="G116" s="61"/>
      <c r="H116" s="61"/>
      <c r="I116" s="61"/>
      <c r="J116" s="17"/>
      <c r="K116" s="17"/>
      <c r="L116" s="17"/>
      <c r="M116" s="17"/>
      <c r="N116" s="17"/>
      <c r="O116" s="17"/>
      <c r="P116" s="17"/>
      <c r="Q116" s="17"/>
      <c r="R116" s="17"/>
      <c r="S116" s="17"/>
      <c r="T116" s="17"/>
      <c r="U116" s="17"/>
      <c r="V116" s="17"/>
      <c r="W116" s="17"/>
      <c r="X116" s="17"/>
      <c r="Y116" s="17"/>
      <c r="Z116" s="17"/>
    </row>
    <row r="117" ht="17.25" customHeight="1">
      <c r="A117" s="17"/>
      <c r="B117" s="61"/>
      <c r="C117" s="61"/>
      <c r="D117" s="61"/>
      <c r="E117" s="61"/>
      <c r="F117" s="61"/>
      <c r="G117" s="61"/>
      <c r="H117" s="61"/>
      <c r="I117" s="61"/>
      <c r="J117" s="17"/>
      <c r="K117" s="17"/>
      <c r="L117" s="17"/>
      <c r="M117" s="17"/>
      <c r="N117" s="17"/>
      <c r="O117" s="17"/>
      <c r="P117" s="17"/>
      <c r="Q117" s="17"/>
      <c r="R117" s="17"/>
      <c r="S117" s="17"/>
      <c r="T117" s="17"/>
      <c r="U117" s="17"/>
      <c r="V117" s="17"/>
      <c r="W117" s="17"/>
      <c r="X117" s="17"/>
      <c r="Y117" s="17"/>
      <c r="Z117" s="17"/>
    </row>
    <row r="118" ht="17.25" customHeight="1">
      <c r="A118" s="17"/>
      <c r="B118" s="61"/>
      <c r="C118" s="61"/>
      <c r="D118" s="61"/>
      <c r="E118" s="61"/>
      <c r="F118" s="61"/>
      <c r="G118" s="61"/>
      <c r="H118" s="61"/>
      <c r="I118" s="61"/>
      <c r="J118" s="17"/>
      <c r="K118" s="17"/>
      <c r="L118" s="17"/>
      <c r="M118" s="17"/>
      <c r="N118" s="17"/>
      <c r="O118" s="17"/>
      <c r="P118" s="17"/>
      <c r="Q118" s="17"/>
      <c r="R118" s="17"/>
      <c r="S118" s="17"/>
      <c r="T118" s="17"/>
      <c r="U118" s="17"/>
      <c r="V118" s="17"/>
      <c r="W118" s="17"/>
      <c r="X118" s="17"/>
      <c r="Y118" s="17"/>
      <c r="Z118" s="17"/>
    </row>
    <row r="119" ht="17.25" customHeight="1">
      <c r="A119" s="17"/>
      <c r="B119" s="61"/>
      <c r="C119" s="61"/>
      <c r="D119" s="61"/>
      <c r="E119" s="61"/>
      <c r="F119" s="61"/>
      <c r="G119" s="61"/>
      <c r="H119" s="61"/>
      <c r="I119" s="61"/>
      <c r="J119" s="17"/>
      <c r="K119" s="17"/>
      <c r="L119" s="17"/>
      <c r="M119" s="17"/>
      <c r="N119" s="17"/>
      <c r="O119" s="17"/>
      <c r="P119" s="17"/>
      <c r="Q119" s="17"/>
      <c r="R119" s="17"/>
      <c r="S119" s="17"/>
      <c r="T119" s="17"/>
      <c r="U119" s="17"/>
      <c r="V119" s="17"/>
      <c r="W119" s="17"/>
      <c r="X119" s="17"/>
      <c r="Y119" s="17"/>
      <c r="Z119" s="17"/>
    </row>
    <row r="120" ht="17.25" customHeight="1">
      <c r="A120" s="17"/>
      <c r="B120" s="61"/>
      <c r="C120" s="61"/>
      <c r="D120" s="61"/>
      <c r="E120" s="61"/>
      <c r="F120" s="61"/>
      <c r="G120" s="61"/>
      <c r="H120" s="61"/>
      <c r="I120" s="61"/>
      <c r="J120" s="17"/>
      <c r="K120" s="17"/>
      <c r="L120" s="17"/>
      <c r="M120" s="17"/>
      <c r="N120" s="17"/>
      <c r="O120" s="17"/>
      <c r="P120" s="17"/>
      <c r="Q120" s="17"/>
      <c r="R120" s="17"/>
      <c r="S120" s="17"/>
      <c r="T120" s="17"/>
      <c r="U120" s="17"/>
      <c r="V120" s="17"/>
      <c r="W120" s="17"/>
      <c r="X120" s="17"/>
      <c r="Y120" s="17"/>
      <c r="Z120" s="17"/>
    </row>
    <row r="121" ht="17.25" customHeight="1">
      <c r="A121" s="17"/>
      <c r="B121" s="61"/>
      <c r="C121" s="61"/>
      <c r="D121" s="61"/>
      <c r="E121" s="61"/>
      <c r="F121" s="61"/>
      <c r="G121" s="61"/>
      <c r="H121" s="61"/>
      <c r="I121" s="61"/>
      <c r="J121" s="17"/>
      <c r="K121" s="17"/>
      <c r="L121" s="17"/>
      <c r="M121" s="17"/>
      <c r="N121" s="17"/>
      <c r="O121" s="17"/>
      <c r="P121" s="17"/>
      <c r="Q121" s="17"/>
      <c r="R121" s="17"/>
      <c r="S121" s="17"/>
      <c r="T121" s="17"/>
      <c r="U121" s="17"/>
      <c r="V121" s="17"/>
      <c r="W121" s="17"/>
      <c r="X121" s="17"/>
      <c r="Y121" s="17"/>
      <c r="Z121" s="17"/>
    </row>
    <row r="122" ht="17.25" customHeight="1">
      <c r="A122" s="17"/>
      <c r="B122" s="61"/>
      <c r="C122" s="61"/>
      <c r="D122" s="61"/>
      <c r="E122" s="61"/>
      <c r="F122" s="61"/>
      <c r="G122" s="61"/>
      <c r="H122" s="61"/>
      <c r="I122" s="61"/>
      <c r="J122" s="17"/>
      <c r="K122" s="17"/>
      <c r="L122" s="17"/>
      <c r="M122" s="17"/>
      <c r="N122" s="17"/>
      <c r="O122" s="17"/>
      <c r="P122" s="17"/>
      <c r="Q122" s="17"/>
      <c r="R122" s="17"/>
      <c r="S122" s="17"/>
      <c r="T122" s="17"/>
      <c r="U122" s="17"/>
      <c r="V122" s="17"/>
      <c r="W122" s="17"/>
      <c r="X122" s="17"/>
      <c r="Y122" s="17"/>
      <c r="Z122" s="17"/>
    </row>
    <row r="123" ht="17.25" customHeight="1">
      <c r="A123" s="17"/>
      <c r="B123" s="61"/>
      <c r="C123" s="61"/>
      <c r="D123" s="61"/>
      <c r="E123" s="61"/>
      <c r="F123" s="61"/>
      <c r="G123" s="61"/>
      <c r="H123" s="61"/>
      <c r="I123" s="61"/>
      <c r="J123" s="17"/>
      <c r="K123" s="17"/>
      <c r="L123" s="17"/>
      <c r="M123" s="17"/>
      <c r="N123" s="17"/>
      <c r="O123" s="17"/>
      <c r="P123" s="17"/>
      <c r="Q123" s="17"/>
      <c r="R123" s="17"/>
      <c r="S123" s="17"/>
      <c r="T123" s="17"/>
      <c r="U123" s="17"/>
      <c r="V123" s="17"/>
      <c r="W123" s="17"/>
      <c r="X123" s="17"/>
      <c r="Y123" s="17"/>
      <c r="Z123" s="17"/>
    </row>
    <row r="124" ht="17.25" customHeight="1">
      <c r="A124" s="17"/>
      <c r="B124" s="61"/>
      <c r="C124" s="61"/>
      <c r="D124" s="61"/>
      <c r="E124" s="61"/>
      <c r="F124" s="61"/>
      <c r="G124" s="61"/>
      <c r="H124" s="61"/>
      <c r="I124" s="61"/>
      <c r="J124" s="17"/>
      <c r="K124" s="17"/>
      <c r="L124" s="17"/>
      <c r="M124" s="17"/>
      <c r="N124" s="17"/>
      <c r="O124" s="17"/>
      <c r="P124" s="17"/>
      <c r="Q124" s="17"/>
      <c r="R124" s="17"/>
      <c r="S124" s="17"/>
      <c r="T124" s="17"/>
      <c r="U124" s="17"/>
      <c r="V124" s="17"/>
      <c r="W124" s="17"/>
      <c r="X124" s="17"/>
      <c r="Y124" s="17"/>
      <c r="Z124" s="17"/>
    </row>
    <row r="125" ht="17.25" customHeight="1">
      <c r="A125" s="17"/>
      <c r="B125" s="61"/>
      <c r="C125" s="61"/>
      <c r="D125" s="61"/>
      <c r="E125" s="61"/>
      <c r="F125" s="61"/>
      <c r="G125" s="61"/>
      <c r="H125" s="61"/>
      <c r="I125" s="61"/>
      <c r="J125" s="17"/>
      <c r="K125" s="17"/>
      <c r="L125" s="17"/>
      <c r="M125" s="17"/>
      <c r="N125" s="17"/>
      <c r="O125" s="17"/>
      <c r="P125" s="17"/>
      <c r="Q125" s="17"/>
      <c r="R125" s="17"/>
      <c r="S125" s="17"/>
      <c r="T125" s="17"/>
      <c r="U125" s="17"/>
      <c r="V125" s="17"/>
      <c r="W125" s="17"/>
      <c r="X125" s="17"/>
      <c r="Y125" s="17"/>
      <c r="Z125" s="17"/>
    </row>
    <row r="126" ht="17.25" customHeight="1">
      <c r="A126" s="17"/>
      <c r="B126" s="61"/>
      <c r="C126" s="61"/>
      <c r="D126" s="61"/>
      <c r="E126" s="61"/>
      <c r="F126" s="61"/>
      <c r="G126" s="61"/>
      <c r="H126" s="61"/>
      <c r="I126" s="61"/>
      <c r="J126" s="17"/>
      <c r="K126" s="17"/>
      <c r="L126" s="17"/>
      <c r="M126" s="17"/>
      <c r="N126" s="17"/>
      <c r="O126" s="17"/>
      <c r="P126" s="17"/>
      <c r="Q126" s="17"/>
      <c r="R126" s="17"/>
      <c r="S126" s="17"/>
      <c r="T126" s="17"/>
      <c r="U126" s="17"/>
      <c r="V126" s="17"/>
      <c r="W126" s="17"/>
      <c r="X126" s="17"/>
      <c r="Y126" s="17"/>
      <c r="Z126" s="17"/>
    </row>
    <row r="127" ht="17.25" customHeight="1">
      <c r="A127" s="17"/>
      <c r="B127" s="61"/>
      <c r="C127" s="61"/>
      <c r="D127" s="61"/>
      <c r="E127" s="61"/>
      <c r="F127" s="61"/>
      <c r="G127" s="61"/>
      <c r="H127" s="61"/>
      <c r="I127" s="61"/>
      <c r="J127" s="17"/>
      <c r="K127" s="17"/>
      <c r="L127" s="17"/>
      <c r="M127" s="17"/>
      <c r="N127" s="17"/>
      <c r="O127" s="17"/>
      <c r="P127" s="17"/>
      <c r="Q127" s="17"/>
      <c r="R127" s="17"/>
      <c r="S127" s="17"/>
      <c r="T127" s="17"/>
      <c r="U127" s="17"/>
      <c r="V127" s="17"/>
      <c r="W127" s="17"/>
      <c r="X127" s="17"/>
      <c r="Y127" s="17"/>
      <c r="Z127" s="17"/>
    </row>
    <row r="128" ht="17.25" customHeight="1">
      <c r="A128" s="17"/>
      <c r="B128" s="61"/>
      <c r="C128" s="61"/>
      <c r="D128" s="61"/>
      <c r="E128" s="61"/>
      <c r="F128" s="61"/>
      <c r="G128" s="61"/>
      <c r="H128" s="61"/>
      <c r="I128" s="61"/>
      <c r="J128" s="17"/>
      <c r="K128" s="17"/>
      <c r="L128" s="17"/>
      <c r="M128" s="17"/>
      <c r="N128" s="17"/>
      <c r="O128" s="17"/>
      <c r="P128" s="17"/>
      <c r="Q128" s="17"/>
      <c r="R128" s="17"/>
      <c r="S128" s="17"/>
      <c r="T128" s="17"/>
      <c r="U128" s="17"/>
      <c r="V128" s="17"/>
      <c r="W128" s="17"/>
      <c r="X128" s="17"/>
      <c r="Y128" s="17"/>
      <c r="Z128" s="17"/>
    </row>
    <row r="129" ht="17.25" customHeight="1">
      <c r="A129" s="17"/>
      <c r="B129" s="61"/>
      <c r="C129" s="61"/>
      <c r="D129" s="61"/>
      <c r="E129" s="61"/>
      <c r="F129" s="61"/>
      <c r="G129" s="61"/>
      <c r="H129" s="61"/>
      <c r="I129" s="61"/>
      <c r="J129" s="17"/>
      <c r="K129" s="17"/>
      <c r="L129" s="17"/>
      <c r="M129" s="17"/>
      <c r="N129" s="17"/>
      <c r="O129" s="17"/>
      <c r="P129" s="17"/>
      <c r="Q129" s="17"/>
      <c r="R129" s="17"/>
      <c r="S129" s="17"/>
      <c r="T129" s="17"/>
      <c r="U129" s="17"/>
      <c r="V129" s="17"/>
      <c r="W129" s="17"/>
      <c r="X129" s="17"/>
      <c r="Y129" s="17"/>
      <c r="Z129" s="17"/>
    </row>
    <row r="130" ht="17.25" customHeight="1">
      <c r="A130" s="17"/>
      <c r="B130" s="61"/>
      <c r="C130" s="61"/>
      <c r="D130" s="61"/>
      <c r="E130" s="61"/>
      <c r="F130" s="61"/>
      <c r="G130" s="61"/>
      <c r="H130" s="61"/>
      <c r="I130" s="61"/>
      <c r="J130" s="17"/>
      <c r="K130" s="17"/>
      <c r="L130" s="17"/>
      <c r="M130" s="17"/>
      <c r="N130" s="17"/>
      <c r="O130" s="17"/>
      <c r="P130" s="17"/>
      <c r="Q130" s="17"/>
      <c r="R130" s="17"/>
      <c r="S130" s="17"/>
      <c r="T130" s="17"/>
      <c r="U130" s="17"/>
      <c r="V130" s="17"/>
      <c r="W130" s="17"/>
      <c r="X130" s="17"/>
      <c r="Y130" s="17"/>
      <c r="Z130" s="17"/>
    </row>
    <row r="131" ht="17.25" customHeight="1">
      <c r="A131" s="17"/>
      <c r="B131" s="61"/>
      <c r="C131" s="61"/>
      <c r="D131" s="61"/>
      <c r="E131" s="61"/>
      <c r="F131" s="61"/>
      <c r="G131" s="61"/>
      <c r="H131" s="61"/>
      <c r="I131" s="61"/>
      <c r="J131" s="17"/>
      <c r="K131" s="17"/>
      <c r="L131" s="17"/>
      <c r="M131" s="17"/>
      <c r="N131" s="17"/>
      <c r="O131" s="17"/>
      <c r="P131" s="17"/>
      <c r="Q131" s="17"/>
      <c r="R131" s="17"/>
      <c r="S131" s="17"/>
      <c r="T131" s="17"/>
      <c r="U131" s="17"/>
      <c r="V131" s="17"/>
      <c r="W131" s="17"/>
      <c r="X131" s="17"/>
      <c r="Y131" s="17"/>
      <c r="Z131" s="17"/>
    </row>
    <row r="132" ht="17.25" customHeight="1">
      <c r="A132" s="17"/>
      <c r="B132" s="61"/>
      <c r="C132" s="61"/>
      <c r="D132" s="61"/>
      <c r="E132" s="61"/>
      <c r="F132" s="61"/>
      <c r="G132" s="61"/>
      <c r="H132" s="61"/>
      <c r="I132" s="61"/>
      <c r="J132" s="17"/>
      <c r="K132" s="17"/>
      <c r="L132" s="17"/>
      <c r="M132" s="17"/>
      <c r="N132" s="17"/>
      <c r="O132" s="17"/>
      <c r="P132" s="17"/>
      <c r="Q132" s="17"/>
      <c r="R132" s="17"/>
      <c r="S132" s="17"/>
      <c r="T132" s="17"/>
      <c r="U132" s="17"/>
      <c r="V132" s="17"/>
      <c r="W132" s="17"/>
      <c r="X132" s="17"/>
      <c r="Y132" s="17"/>
      <c r="Z132" s="17"/>
    </row>
    <row r="133" ht="17.25" customHeight="1">
      <c r="A133" s="17"/>
      <c r="B133" s="61"/>
      <c r="C133" s="61"/>
      <c r="D133" s="61"/>
      <c r="E133" s="61"/>
      <c r="F133" s="61"/>
      <c r="G133" s="61"/>
      <c r="H133" s="61"/>
      <c r="I133" s="61"/>
      <c r="J133" s="17"/>
      <c r="K133" s="17"/>
      <c r="L133" s="17"/>
      <c r="M133" s="17"/>
      <c r="N133" s="17"/>
      <c r="O133" s="17"/>
      <c r="P133" s="17"/>
      <c r="Q133" s="17"/>
      <c r="R133" s="17"/>
      <c r="S133" s="17"/>
      <c r="T133" s="17"/>
      <c r="U133" s="17"/>
      <c r="V133" s="17"/>
      <c r="W133" s="17"/>
      <c r="X133" s="17"/>
      <c r="Y133" s="17"/>
      <c r="Z133" s="17"/>
    </row>
    <row r="134" ht="17.25" customHeight="1">
      <c r="A134" s="17"/>
      <c r="B134" s="61"/>
      <c r="C134" s="61"/>
      <c r="D134" s="61"/>
      <c r="E134" s="61"/>
      <c r="F134" s="61"/>
      <c r="G134" s="61"/>
      <c r="H134" s="61"/>
      <c r="I134" s="61"/>
      <c r="J134" s="17"/>
      <c r="K134" s="17"/>
      <c r="L134" s="17"/>
      <c r="M134" s="17"/>
      <c r="N134" s="17"/>
      <c r="O134" s="17"/>
      <c r="P134" s="17"/>
      <c r="Q134" s="17"/>
      <c r="R134" s="17"/>
      <c r="S134" s="17"/>
      <c r="T134" s="17"/>
      <c r="U134" s="17"/>
      <c r="V134" s="17"/>
      <c r="W134" s="17"/>
      <c r="X134" s="17"/>
      <c r="Y134" s="17"/>
      <c r="Z134" s="17"/>
    </row>
    <row r="135" ht="17.25" customHeight="1">
      <c r="A135" s="17"/>
      <c r="B135" s="61"/>
      <c r="C135" s="61"/>
      <c r="D135" s="61"/>
      <c r="E135" s="61"/>
      <c r="F135" s="61"/>
      <c r="G135" s="61"/>
      <c r="H135" s="61"/>
      <c r="I135" s="61"/>
      <c r="J135" s="17"/>
      <c r="K135" s="17"/>
      <c r="L135" s="17"/>
      <c r="M135" s="17"/>
      <c r="N135" s="17"/>
      <c r="O135" s="17"/>
      <c r="P135" s="17"/>
      <c r="Q135" s="17"/>
      <c r="R135" s="17"/>
      <c r="S135" s="17"/>
      <c r="T135" s="17"/>
      <c r="U135" s="17"/>
      <c r="V135" s="17"/>
      <c r="W135" s="17"/>
      <c r="X135" s="17"/>
      <c r="Y135" s="17"/>
      <c r="Z135" s="17"/>
    </row>
    <row r="136" ht="17.25" customHeight="1">
      <c r="A136" s="17"/>
      <c r="B136" s="61"/>
      <c r="C136" s="61"/>
      <c r="D136" s="61"/>
      <c r="E136" s="61"/>
      <c r="F136" s="61"/>
      <c r="G136" s="61"/>
      <c r="H136" s="61"/>
      <c r="I136" s="61"/>
      <c r="J136" s="17"/>
      <c r="K136" s="17"/>
      <c r="L136" s="17"/>
      <c r="M136" s="17"/>
      <c r="N136" s="17"/>
      <c r="O136" s="17"/>
      <c r="P136" s="17"/>
      <c r="Q136" s="17"/>
      <c r="R136" s="17"/>
      <c r="S136" s="17"/>
      <c r="T136" s="17"/>
      <c r="U136" s="17"/>
      <c r="V136" s="17"/>
      <c r="W136" s="17"/>
      <c r="X136" s="17"/>
      <c r="Y136" s="17"/>
      <c r="Z136" s="17"/>
    </row>
    <row r="137" ht="17.25" customHeight="1">
      <c r="A137" s="17"/>
      <c r="B137" s="61"/>
      <c r="C137" s="61"/>
      <c r="D137" s="61"/>
      <c r="E137" s="61"/>
      <c r="F137" s="61"/>
      <c r="G137" s="61"/>
      <c r="H137" s="61"/>
      <c r="I137" s="61"/>
      <c r="J137" s="17"/>
      <c r="K137" s="17"/>
      <c r="L137" s="17"/>
      <c r="M137" s="17"/>
      <c r="N137" s="17"/>
      <c r="O137" s="17"/>
      <c r="P137" s="17"/>
      <c r="Q137" s="17"/>
      <c r="R137" s="17"/>
      <c r="S137" s="17"/>
      <c r="T137" s="17"/>
      <c r="U137" s="17"/>
      <c r="V137" s="17"/>
      <c r="W137" s="17"/>
      <c r="X137" s="17"/>
      <c r="Y137" s="17"/>
      <c r="Z137" s="17"/>
    </row>
    <row r="138" ht="17.25" customHeight="1">
      <c r="A138" s="17"/>
      <c r="B138" s="61"/>
      <c r="C138" s="61"/>
      <c r="D138" s="61"/>
      <c r="E138" s="61"/>
      <c r="F138" s="61"/>
      <c r="G138" s="61"/>
      <c r="H138" s="61"/>
      <c r="I138" s="61"/>
      <c r="J138" s="17"/>
      <c r="K138" s="17"/>
      <c r="L138" s="17"/>
      <c r="M138" s="17"/>
      <c r="N138" s="17"/>
      <c r="O138" s="17"/>
      <c r="P138" s="17"/>
      <c r="Q138" s="17"/>
      <c r="R138" s="17"/>
      <c r="S138" s="17"/>
      <c r="T138" s="17"/>
      <c r="U138" s="17"/>
      <c r="V138" s="17"/>
      <c r="W138" s="17"/>
      <c r="X138" s="17"/>
      <c r="Y138" s="17"/>
      <c r="Z138" s="17"/>
    </row>
    <row r="139" ht="17.25" customHeight="1">
      <c r="A139" s="17"/>
      <c r="B139" s="61"/>
      <c r="C139" s="61"/>
      <c r="D139" s="61"/>
      <c r="E139" s="61"/>
      <c r="F139" s="61"/>
      <c r="G139" s="61"/>
      <c r="H139" s="61"/>
      <c r="I139" s="61"/>
      <c r="J139" s="17"/>
      <c r="K139" s="17"/>
      <c r="L139" s="17"/>
      <c r="M139" s="17"/>
      <c r="N139" s="17"/>
      <c r="O139" s="17"/>
      <c r="P139" s="17"/>
      <c r="Q139" s="17"/>
      <c r="R139" s="17"/>
      <c r="S139" s="17"/>
      <c r="T139" s="17"/>
      <c r="U139" s="17"/>
      <c r="V139" s="17"/>
      <c r="W139" s="17"/>
      <c r="X139" s="17"/>
      <c r="Y139" s="17"/>
      <c r="Z139" s="17"/>
    </row>
    <row r="140" ht="17.25" customHeight="1">
      <c r="A140" s="17"/>
      <c r="B140" s="61"/>
      <c r="C140" s="61"/>
      <c r="D140" s="61"/>
      <c r="E140" s="61"/>
      <c r="F140" s="61"/>
      <c r="G140" s="61"/>
      <c r="H140" s="61"/>
      <c r="I140" s="61"/>
      <c r="J140" s="17"/>
      <c r="K140" s="17"/>
      <c r="L140" s="17"/>
      <c r="M140" s="17"/>
      <c r="N140" s="17"/>
      <c r="O140" s="17"/>
      <c r="P140" s="17"/>
      <c r="Q140" s="17"/>
      <c r="R140" s="17"/>
      <c r="S140" s="17"/>
      <c r="T140" s="17"/>
      <c r="U140" s="17"/>
      <c r="V140" s="17"/>
      <c r="W140" s="17"/>
      <c r="X140" s="17"/>
      <c r="Y140" s="17"/>
      <c r="Z140" s="17"/>
    </row>
    <row r="141" ht="17.25" customHeight="1">
      <c r="A141" s="17"/>
      <c r="B141" s="61"/>
      <c r="C141" s="61"/>
      <c r="D141" s="61"/>
      <c r="E141" s="61"/>
      <c r="F141" s="61"/>
      <c r="G141" s="61"/>
      <c r="H141" s="61"/>
      <c r="I141" s="61"/>
      <c r="J141" s="17"/>
      <c r="K141" s="17"/>
      <c r="L141" s="17"/>
      <c r="M141" s="17"/>
      <c r="N141" s="17"/>
      <c r="O141" s="17"/>
      <c r="P141" s="17"/>
      <c r="Q141" s="17"/>
      <c r="R141" s="17"/>
      <c r="S141" s="17"/>
      <c r="T141" s="17"/>
      <c r="U141" s="17"/>
      <c r="V141" s="17"/>
      <c r="W141" s="17"/>
      <c r="X141" s="17"/>
      <c r="Y141" s="17"/>
      <c r="Z141" s="17"/>
    </row>
    <row r="142" ht="17.25" customHeight="1">
      <c r="A142" s="17"/>
      <c r="B142" s="61"/>
      <c r="C142" s="61"/>
      <c r="D142" s="61"/>
      <c r="E142" s="61"/>
      <c r="F142" s="61"/>
      <c r="G142" s="61"/>
      <c r="H142" s="61"/>
      <c r="I142" s="61"/>
      <c r="J142" s="17"/>
      <c r="K142" s="17"/>
      <c r="L142" s="17"/>
      <c r="M142" s="17"/>
      <c r="N142" s="17"/>
      <c r="O142" s="17"/>
      <c r="P142" s="17"/>
      <c r="Q142" s="17"/>
      <c r="R142" s="17"/>
      <c r="S142" s="17"/>
      <c r="T142" s="17"/>
      <c r="U142" s="17"/>
      <c r="V142" s="17"/>
      <c r="W142" s="17"/>
      <c r="X142" s="17"/>
      <c r="Y142" s="17"/>
      <c r="Z142" s="17"/>
    </row>
    <row r="143" ht="17.25" customHeight="1">
      <c r="A143" s="17"/>
      <c r="B143" s="61"/>
      <c r="C143" s="61"/>
      <c r="D143" s="61"/>
      <c r="E143" s="61"/>
      <c r="F143" s="61"/>
      <c r="G143" s="61"/>
      <c r="H143" s="61"/>
      <c r="I143" s="61"/>
      <c r="J143" s="17"/>
      <c r="K143" s="17"/>
      <c r="L143" s="17"/>
      <c r="M143" s="17"/>
      <c r="N143" s="17"/>
      <c r="O143" s="17"/>
      <c r="P143" s="17"/>
      <c r="Q143" s="17"/>
      <c r="R143" s="17"/>
      <c r="S143" s="17"/>
      <c r="T143" s="17"/>
      <c r="U143" s="17"/>
      <c r="V143" s="17"/>
      <c r="W143" s="17"/>
      <c r="X143" s="17"/>
      <c r="Y143" s="17"/>
      <c r="Z143" s="17"/>
    </row>
    <row r="144" ht="17.25" customHeight="1">
      <c r="A144" s="17"/>
      <c r="B144" s="61"/>
      <c r="C144" s="61"/>
      <c r="D144" s="61"/>
      <c r="E144" s="61"/>
      <c r="F144" s="61"/>
      <c r="G144" s="61"/>
      <c r="H144" s="61"/>
      <c r="I144" s="61"/>
      <c r="J144" s="17"/>
      <c r="K144" s="17"/>
      <c r="L144" s="17"/>
      <c r="M144" s="17"/>
      <c r="N144" s="17"/>
      <c r="O144" s="17"/>
      <c r="P144" s="17"/>
      <c r="Q144" s="17"/>
      <c r="R144" s="17"/>
      <c r="S144" s="17"/>
      <c r="T144" s="17"/>
      <c r="U144" s="17"/>
      <c r="V144" s="17"/>
      <c r="W144" s="17"/>
      <c r="X144" s="17"/>
      <c r="Y144" s="17"/>
      <c r="Z144" s="17"/>
    </row>
    <row r="145" ht="17.25" customHeight="1">
      <c r="A145" s="17"/>
      <c r="B145" s="61"/>
      <c r="C145" s="61"/>
      <c r="D145" s="61"/>
      <c r="E145" s="61"/>
      <c r="F145" s="61"/>
      <c r="G145" s="61"/>
      <c r="H145" s="61"/>
      <c r="I145" s="61"/>
      <c r="J145" s="17"/>
      <c r="K145" s="17"/>
      <c r="L145" s="17"/>
      <c r="M145" s="17"/>
      <c r="N145" s="17"/>
      <c r="O145" s="17"/>
      <c r="P145" s="17"/>
      <c r="Q145" s="17"/>
      <c r="R145" s="17"/>
      <c r="S145" s="17"/>
      <c r="T145" s="17"/>
      <c r="U145" s="17"/>
      <c r="V145" s="17"/>
      <c r="W145" s="17"/>
      <c r="X145" s="17"/>
      <c r="Y145" s="17"/>
      <c r="Z145" s="17"/>
    </row>
    <row r="146" ht="17.25" customHeight="1">
      <c r="A146" s="17"/>
      <c r="B146" s="61"/>
      <c r="C146" s="61"/>
      <c r="D146" s="61"/>
      <c r="E146" s="61"/>
      <c r="F146" s="61"/>
      <c r="G146" s="61"/>
      <c r="H146" s="61"/>
      <c r="I146" s="61"/>
      <c r="J146" s="17"/>
      <c r="K146" s="17"/>
      <c r="L146" s="17"/>
      <c r="M146" s="17"/>
      <c r="N146" s="17"/>
      <c r="O146" s="17"/>
      <c r="P146" s="17"/>
      <c r="Q146" s="17"/>
      <c r="R146" s="17"/>
      <c r="S146" s="17"/>
      <c r="T146" s="17"/>
      <c r="U146" s="17"/>
      <c r="V146" s="17"/>
      <c r="W146" s="17"/>
      <c r="X146" s="17"/>
      <c r="Y146" s="17"/>
      <c r="Z146" s="17"/>
    </row>
    <row r="147" ht="17.25" customHeight="1">
      <c r="A147" s="17"/>
      <c r="B147" s="61"/>
      <c r="C147" s="61"/>
      <c r="D147" s="61"/>
      <c r="E147" s="61"/>
      <c r="F147" s="61"/>
      <c r="G147" s="61"/>
      <c r="H147" s="61"/>
      <c r="I147" s="61"/>
      <c r="J147" s="17"/>
      <c r="K147" s="17"/>
      <c r="L147" s="17"/>
      <c r="M147" s="17"/>
      <c r="N147" s="17"/>
      <c r="O147" s="17"/>
      <c r="P147" s="17"/>
      <c r="Q147" s="17"/>
      <c r="R147" s="17"/>
      <c r="S147" s="17"/>
      <c r="T147" s="17"/>
      <c r="U147" s="17"/>
      <c r="V147" s="17"/>
      <c r="W147" s="17"/>
      <c r="X147" s="17"/>
      <c r="Y147" s="17"/>
      <c r="Z147" s="17"/>
    </row>
    <row r="148" ht="17.25" customHeight="1">
      <c r="A148" s="17"/>
      <c r="B148" s="61"/>
      <c r="C148" s="61"/>
      <c r="D148" s="61"/>
      <c r="E148" s="61"/>
      <c r="F148" s="61"/>
      <c r="G148" s="61"/>
      <c r="H148" s="61"/>
      <c r="I148" s="61"/>
      <c r="J148" s="17"/>
      <c r="K148" s="17"/>
      <c r="L148" s="17"/>
      <c r="M148" s="17"/>
      <c r="N148" s="17"/>
      <c r="O148" s="17"/>
      <c r="P148" s="17"/>
      <c r="Q148" s="17"/>
      <c r="R148" s="17"/>
      <c r="S148" s="17"/>
      <c r="T148" s="17"/>
      <c r="U148" s="17"/>
      <c r="V148" s="17"/>
      <c r="W148" s="17"/>
      <c r="X148" s="17"/>
      <c r="Y148" s="17"/>
      <c r="Z148" s="17"/>
    </row>
    <row r="149" ht="17.25" customHeight="1">
      <c r="A149" s="17"/>
      <c r="B149" s="61"/>
      <c r="C149" s="61"/>
      <c r="D149" s="61"/>
      <c r="E149" s="61"/>
      <c r="F149" s="61"/>
      <c r="G149" s="61"/>
      <c r="H149" s="61"/>
      <c r="I149" s="61"/>
      <c r="J149" s="17"/>
      <c r="K149" s="17"/>
      <c r="L149" s="17"/>
      <c r="M149" s="17"/>
      <c r="N149" s="17"/>
      <c r="O149" s="17"/>
      <c r="P149" s="17"/>
      <c r="Q149" s="17"/>
      <c r="R149" s="17"/>
      <c r="S149" s="17"/>
      <c r="T149" s="17"/>
      <c r="U149" s="17"/>
      <c r="V149" s="17"/>
      <c r="W149" s="17"/>
      <c r="X149" s="17"/>
      <c r="Y149" s="17"/>
      <c r="Z149" s="17"/>
    </row>
    <row r="150" ht="17.25" customHeight="1">
      <c r="A150" s="17"/>
      <c r="B150" s="61"/>
      <c r="C150" s="61"/>
      <c r="D150" s="61"/>
      <c r="E150" s="61"/>
      <c r="F150" s="61"/>
      <c r="G150" s="61"/>
      <c r="H150" s="61"/>
      <c r="I150" s="61"/>
      <c r="J150" s="17"/>
      <c r="K150" s="17"/>
      <c r="L150" s="17"/>
      <c r="M150" s="17"/>
      <c r="N150" s="17"/>
      <c r="O150" s="17"/>
      <c r="P150" s="17"/>
      <c r="Q150" s="17"/>
      <c r="R150" s="17"/>
      <c r="S150" s="17"/>
      <c r="T150" s="17"/>
      <c r="U150" s="17"/>
      <c r="V150" s="17"/>
      <c r="W150" s="17"/>
      <c r="X150" s="17"/>
      <c r="Y150" s="17"/>
      <c r="Z150" s="17"/>
    </row>
    <row r="151" ht="17.25" customHeight="1">
      <c r="A151" s="17"/>
      <c r="B151" s="61"/>
      <c r="C151" s="61"/>
      <c r="D151" s="61"/>
      <c r="E151" s="61"/>
      <c r="F151" s="61"/>
      <c r="G151" s="61"/>
      <c r="H151" s="61"/>
      <c r="I151" s="61"/>
      <c r="J151" s="17"/>
      <c r="K151" s="17"/>
      <c r="L151" s="17"/>
      <c r="M151" s="17"/>
      <c r="N151" s="17"/>
      <c r="O151" s="17"/>
      <c r="P151" s="17"/>
      <c r="Q151" s="17"/>
      <c r="R151" s="17"/>
      <c r="S151" s="17"/>
      <c r="T151" s="17"/>
      <c r="U151" s="17"/>
      <c r="V151" s="17"/>
      <c r="W151" s="17"/>
      <c r="X151" s="17"/>
      <c r="Y151" s="17"/>
      <c r="Z151" s="17"/>
    </row>
    <row r="152" ht="17.25" customHeight="1">
      <c r="A152" s="17"/>
      <c r="B152" s="61"/>
      <c r="C152" s="61"/>
      <c r="D152" s="61"/>
      <c r="E152" s="61"/>
      <c r="F152" s="61"/>
      <c r="G152" s="61"/>
      <c r="H152" s="61"/>
      <c r="I152" s="61"/>
      <c r="J152" s="17"/>
      <c r="K152" s="17"/>
      <c r="L152" s="17"/>
      <c r="M152" s="17"/>
      <c r="N152" s="17"/>
      <c r="O152" s="17"/>
      <c r="P152" s="17"/>
      <c r="Q152" s="17"/>
      <c r="R152" s="17"/>
      <c r="S152" s="17"/>
      <c r="T152" s="17"/>
      <c r="U152" s="17"/>
      <c r="V152" s="17"/>
      <c r="W152" s="17"/>
      <c r="X152" s="17"/>
      <c r="Y152" s="17"/>
      <c r="Z152" s="17"/>
    </row>
    <row r="153" ht="17.25" customHeight="1">
      <c r="A153" s="17"/>
      <c r="B153" s="61"/>
      <c r="C153" s="61"/>
      <c r="D153" s="61"/>
      <c r="E153" s="61"/>
      <c r="F153" s="61"/>
      <c r="G153" s="61"/>
      <c r="H153" s="61"/>
      <c r="I153" s="61"/>
      <c r="J153" s="17"/>
      <c r="K153" s="17"/>
      <c r="L153" s="17"/>
      <c r="M153" s="17"/>
      <c r="N153" s="17"/>
      <c r="O153" s="17"/>
      <c r="P153" s="17"/>
      <c r="Q153" s="17"/>
      <c r="R153" s="17"/>
      <c r="S153" s="17"/>
      <c r="T153" s="17"/>
      <c r="U153" s="17"/>
      <c r="V153" s="17"/>
      <c r="W153" s="17"/>
      <c r="X153" s="17"/>
      <c r="Y153" s="17"/>
      <c r="Z153" s="17"/>
    </row>
    <row r="154" ht="17.25" customHeight="1">
      <c r="A154" s="17"/>
      <c r="B154" s="61"/>
      <c r="C154" s="61"/>
      <c r="D154" s="61"/>
      <c r="E154" s="61"/>
      <c r="F154" s="61"/>
      <c r="G154" s="61"/>
      <c r="H154" s="61"/>
      <c r="I154" s="61"/>
      <c r="J154" s="17"/>
      <c r="K154" s="17"/>
      <c r="L154" s="17"/>
      <c r="M154" s="17"/>
      <c r="N154" s="17"/>
      <c r="O154" s="17"/>
      <c r="P154" s="17"/>
      <c r="Q154" s="17"/>
      <c r="R154" s="17"/>
      <c r="S154" s="17"/>
      <c r="T154" s="17"/>
      <c r="U154" s="17"/>
      <c r="V154" s="17"/>
      <c r="W154" s="17"/>
      <c r="X154" s="17"/>
      <c r="Y154" s="17"/>
      <c r="Z154" s="17"/>
    </row>
    <row r="155" ht="17.25" customHeight="1">
      <c r="A155" s="17"/>
      <c r="B155" s="61"/>
      <c r="C155" s="61"/>
      <c r="D155" s="61"/>
      <c r="E155" s="61"/>
      <c r="F155" s="61"/>
      <c r="G155" s="61"/>
      <c r="H155" s="61"/>
      <c r="I155" s="61"/>
      <c r="J155" s="17"/>
      <c r="K155" s="17"/>
      <c r="L155" s="17"/>
      <c r="M155" s="17"/>
      <c r="N155" s="17"/>
      <c r="O155" s="17"/>
      <c r="P155" s="17"/>
      <c r="Q155" s="17"/>
      <c r="R155" s="17"/>
      <c r="S155" s="17"/>
      <c r="T155" s="17"/>
      <c r="U155" s="17"/>
      <c r="V155" s="17"/>
      <c r="W155" s="17"/>
      <c r="X155" s="17"/>
      <c r="Y155" s="17"/>
      <c r="Z155" s="17"/>
    </row>
    <row r="156" ht="17.25" customHeight="1">
      <c r="A156" s="17"/>
      <c r="B156" s="61"/>
      <c r="C156" s="61"/>
      <c r="D156" s="61"/>
      <c r="E156" s="61"/>
      <c r="F156" s="61"/>
      <c r="G156" s="61"/>
      <c r="H156" s="61"/>
      <c r="I156" s="61"/>
      <c r="J156" s="17"/>
      <c r="K156" s="17"/>
      <c r="L156" s="17"/>
      <c r="M156" s="17"/>
      <c r="N156" s="17"/>
      <c r="O156" s="17"/>
      <c r="P156" s="17"/>
      <c r="Q156" s="17"/>
      <c r="R156" s="17"/>
      <c r="S156" s="17"/>
      <c r="T156" s="17"/>
      <c r="U156" s="17"/>
      <c r="V156" s="17"/>
      <c r="W156" s="17"/>
      <c r="X156" s="17"/>
      <c r="Y156" s="17"/>
      <c r="Z156" s="17"/>
    </row>
    <row r="157" ht="17.25" customHeight="1">
      <c r="A157" s="17"/>
      <c r="B157" s="61"/>
      <c r="C157" s="61"/>
      <c r="D157" s="61"/>
      <c r="E157" s="61"/>
      <c r="F157" s="61"/>
      <c r="G157" s="61"/>
      <c r="H157" s="61"/>
      <c r="I157" s="61"/>
      <c r="J157" s="17"/>
      <c r="K157" s="17"/>
      <c r="L157" s="17"/>
      <c r="M157" s="17"/>
      <c r="N157" s="17"/>
      <c r="O157" s="17"/>
      <c r="P157" s="17"/>
      <c r="Q157" s="17"/>
      <c r="R157" s="17"/>
      <c r="S157" s="17"/>
      <c r="T157" s="17"/>
      <c r="U157" s="17"/>
      <c r="V157" s="17"/>
      <c r="W157" s="17"/>
      <c r="X157" s="17"/>
      <c r="Y157" s="17"/>
      <c r="Z157" s="17"/>
    </row>
    <row r="158" ht="17.25" customHeight="1">
      <c r="A158" s="17"/>
      <c r="B158" s="61"/>
      <c r="C158" s="61"/>
      <c r="D158" s="61"/>
      <c r="E158" s="61"/>
      <c r="F158" s="61"/>
      <c r="G158" s="61"/>
      <c r="H158" s="61"/>
      <c r="I158" s="61"/>
      <c r="J158" s="17"/>
      <c r="K158" s="17"/>
      <c r="L158" s="17"/>
      <c r="M158" s="17"/>
      <c r="N158" s="17"/>
      <c r="O158" s="17"/>
      <c r="P158" s="17"/>
      <c r="Q158" s="17"/>
      <c r="R158" s="17"/>
      <c r="S158" s="17"/>
      <c r="T158" s="17"/>
      <c r="U158" s="17"/>
      <c r="V158" s="17"/>
      <c r="W158" s="17"/>
      <c r="X158" s="17"/>
      <c r="Y158" s="17"/>
      <c r="Z158" s="17"/>
    </row>
    <row r="159" ht="17.25" customHeight="1">
      <c r="A159" s="17"/>
      <c r="B159" s="61"/>
      <c r="C159" s="61"/>
      <c r="D159" s="61"/>
      <c r="E159" s="61"/>
      <c r="F159" s="61"/>
      <c r="G159" s="61"/>
      <c r="H159" s="61"/>
      <c r="I159" s="61"/>
      <c r="J159" s="17"/>
      <c r="K159" s="17"/>
      <c r="L159" s="17"/>
      <c r="M159" s="17"/>
      <c r="N159" s="17"/>
      <c r="O159" s="17"/>
      <c r="P159" s="17"/>
      <c r="Q159" s="17"/>
      <c r="R159" s="17"/>
      <c r="S159" s="17"/>
      <c r="T159" s="17"/>
      <c r="U159" s="17"/>
      <c r="V159" s="17"/>
      <c r="W159" s="17"/>
      <c r="X159" s="17"/>
      <c r="Y159" s="17"/>
      <c r="Z159" s="17"/>
    </row>
    <row r="160" ht="17.25" customHeight="1">
      <c r="A160" s="17"/>
      <c r="B160" s="61"/>
      <c r="C160" s="61"/>
      <c r="D160" s="61"/>
      <c r="E160" s="61"/>
      <c r="F160" s="61"/>
      <c r="G160" s="61"/>
      <c r="H160" s="61"/>
      <c r="I160" s="61"/>
      <c r="J160" s="17"/>
      <c r="K160" s="17"/>
      <c r="L160" s="17"/>
      <c r="M160" s="17"/>
      <c r="N160" s="17"/>
      <c r="O160" s="17"/>
      <c r="P160" s="17"/>
      <c r="Q160" s="17"/>
      <c r="R160" s="17"/>
      <c r="S160" s="17"/>
      <c r="T160" s="17"/>
      <c r="U160" s="17"/>
      <c r="V160" s="17"/>
      <c r="W160" s="17"/>
      <c r="X160" s="17"/>
      <c r="Y160" s="17"/>
      <c r="Z160" s="17"/>
    </row>
    <row r="161" ht="17.25" customHeight="1">
      <c r="A161" s="17"/>
      <c r="B161" s="61"/>
      <c r="C161" s="61"/>
      <c r="D161" s="61"/>
      <c r="E161" s="61"/>
      <c r="F161" s="61"/>
      <c r="G161" s="61"/>
      <c r="H161" s="61"/>
      <c r="I161" s="61"/>
      <c r="J161" s="17"/>
      <c r="K161" s="17"/>
      <c r="L161" s="17"/>
      <c r="M161" s="17"/>
      <c r="N161" s="17"/>
      <c r="O161" s="17"/>
      <c r="P161" s="17"/>
      <c r="Q161" s="17"/>
      <c r="R161" s="17"/>
      <c r="S161" s="17"/>
      <c r="T161" s="17"/>
      <c r="U161" s="17"/>
      <c r="V161" s="17"/>
      <c r="W161" s="17"/>
      <c r="X161" s="17"/>
      <c r="Y161" s="17"/>
      <c r="Z161" s="17"/>
    </row>
    <row r="162" ht="17.25" customHeight="1">
      <c r="A162" s="17"/>
      <c r="B162" s="61"/>
      <c r="C162" s="61"/>
      <c r="D162" s="61"/>
      <c r="E162" s="61"/>
      <c r="F162" s="61"/>
      <c r="G162" s="61"/>
      <c r="H162" s="61"/>
      <c r="I162" s="61"/>
      <c r="J162" s="17"/>
      <c r="K162" s="17"/>
      <c r="L162" s="17"/>
      <c r="M162" s="17"/>
      <c r="N162" s="17"/>
      <c r="O162" s="17"/>
      <c r="P162" s="17"/>
      <c r="Q162" s="17"/>
      <c r="R162" s="17"/>
      <c r="S162" s="17"/>
      <c r="T162" s="17"/>
      <c r="U162" s="17"/>
      <c r="V162" s="17"/>
      <c r="W162" s="17"/>
      <c r="X162" s="17"/>
      <c r="Y162" s="17"/>
      <c r="Z162" s="17"/>
    </row>
    <row r="163" ht="17.25" customHeight="1">
      <c r="A163" s="17"/>
      <c r="B163" s="61"/>
      <c r="C163" s="61"/>
      <c r="D163" s="61"/>
      <c r="E163" s="61"/>
      <c r="F163" s="61"/>
      <c r="G163" s="61"/>
      <c r="H163" s="61"/>
      <c r="I163" s="61"/>
      <c r="J163" s="17"/>
      <c r="K163" s="17"/>
      <c r="L163" s="17"/>
      <c r="M163" s="17"/>
      <c r="N163" s="17"/>
      <c r="O163" s="17"/>
      <c r="P163" s="17"/>
      <c r="Q163" s="17"/>
      <c r="R163" s="17"/>
      <c r="S163" s="17"/>
      <c r="T163" s="17"/>
      <c r="U163" s="17"/>
      <c r="V163" s="17"/>
      <c r="W163" s="17"/>
      <c r="X163" s="17"/>
      <c r="Y163" s="17"/>
      <c r="Z163" s="17"/>
    </row>
    <row r="164" ht="17.25" customHeight="1">
      <c r="A164" s="17"/>
      <c r="B164" s="61"/>
      <c r="C164" s="61"/>
      <c r="D164" s="61"/>
      <c r="E164" s="61"/>
      <c r="F164" s="61"/>
      <c r="G164" s="61"/>
      <c r="H164" s="61"/>
      <c r="I164" s="61"/>
      <c r="J164" s="17"/>
      <c r="K164" s="17"/>
      <c r="L164" s="17"/>
      <c r="M164" s="17"/>
      <c r="N164" s="17"/>
      <c r="O164" s="17"/>
      <c r="P164" s="17"/>
      <c r="Q164" s="17"/>
      <c r="R164" s="17"/>
      <c r="S164" s="17"/>
      <c r="T164" s="17"/>
      <c r="U164" s="17"/>
      <c r="V164" s="17"/>
      <c r="W164" s="17"/>
      <c r="X164" s="17"/>
      <c r="Y164" s="17"/>
      <c r="Z164" s="17"/>
    </row>
    <row r="165" ht="17.25" customHeight="1">
      <c r="A165" s="17"/>
      <c r="B165" s="61"/>
      <c r="C165" s="61"/>
      <c r="D165" s="61"/>
      <c r="E165" s="61"/>
      <c r="F165" s="61"/>
      <c r="G165" s="61"/>
      <c r="H165" s="61"/>
      <c r="I165" s="61"/>
      <c r="J165" s="17"/>
      <c r="K165" s="17"/>
      <c r="L165" s="17"/>
      <c r="M165" s="17"/>
      <c r="N165" s="17"/>
      <c r="O165" s="17"/>
      <c r="P165" s="17"/>
      <c r="Q165" s="17"/>
      <c r="R165" s="17"/>
      <c r="S165" s="17"/>
      <c r="T165" s="17"/>
      <c r="U165" s="17"/>
      <c r="V165" s="17"/>
      <c r="W165" s="17"/>
      <c r="X165" s="17"/>
      <c r="Y165" s="17"/>
      <c r="Z165" s="17"/>
    </row>
    <row r="166" ht="17.25" customHeight="1">
      <c r="A166" s="17"/>
      <c r="B166" s="61"/>
      <c r="C166" s="61"/>
      <c r="D166" s="61"/>
      <c r="E166" s="61"/>
      <c r="F166" s="61"/>
      <c r="G166" s="61"/>
      <c r="H166" s="61"/>
      <c r="I166" s="61"/>
      <c r="J166" s="17"/>
      <c r="K166" s="17"/>
      <c r="L166" s="17"/>
      <c r="M166" s="17"/>
      <c r="N166" s="17"/>
      <c r="O166" s="17"/>
      <c r="P166" s="17"/>
      <c r="Q166" s="17"/>
      <c r="R166" s="17"/>
      <c r="S166" s="17"/>
      <c r="T166" s="17"/>
      <c r="U166" s="17"/>
      <c r="V166" s="17"/>
      <c r="W166" s="17"/>
      <c r="X166" s="17"/>
      <c r="Y166" s="17"/>
      <c r="Z166" s="17"/>
    </row>
    <row r="167" ht="17.25" customHeight="1">
      <c r="A167" s="17"/>
      <c r="B167" s="61"/>
      <c r="C167" s="61"/>
      <c r="D167" s="61"/>
      <c r="E167" s="61"/>
      <c r="F167" s="61"/>
      <c r="G167" s="61"/>
      <c r="H167" s="61"/>
      <c r="I167" s="61"/>
      <c r="J167" s="17"/>
      <c r="K167" s="17"/>
      <c r="L167" s="17"/>
      <c r="M167" s="17"/>
      <c r="N167" s="17"/>
      <c r="O167" s="17"/>
      <c r="P167" s="17"/>
      <c r="Q167" s="17"/>
      <c r="R167" s="17"/>
      <c r="S167" s="17"/>
      <c r="T167" s="17"/>
      <c r="U167" s="17"/>
      <c r="V167" s="17"/>
      <c r="W167" s="17"/>
      <c r="X167" s="17"/>
      <c r="Y167" s="17"/>
      <c r="Z167" s="17"/>
    </row>
    <row r="168" ht="17.25" customHeight="1">
      <c r="A168" s="17"/>
      <c r="B168" s="61"/>
      <c r="C168" s="61"/>
      <c r="D168" s="61"/>
      <c r="E168" s="61"/>
      <c r="F168" s="61"/>
      <c r="G168" s="61"/>
      <c r="H168" s="61"/>
      <c r="I168" s="61"/>
      <c r="J168" s="17"/>
      <c r="K168" s="17"/>
      <c r="L168" s="17"/>
      <c r="M168" s="17"/>
      <c r="N168" s="17"/>
      <c r="O168" s="17"/>
      <c r="P168" s="17"/>
      <c r="Q168" s="17"/>
      <c r="R168" s="17"/>
      <c r="S168" s="17"/>
      <c r="T168" s="17"/>
      <c r="U168" s="17"/>
      <c r="V168" s="17"/>
      <c r="W168" s="17"/>
      <c r="X168" s="17"/>
      <c r="Y168" s="17"/>
      <c r="Z168" s="17"/>
    </row>
    <row r="169" ht="17.25" customHeight="1">
      <c r="A169" s="17"/>
      <c r="B169" s="61"/>
      <c r="C169" s="61"/>
      <c r="D169" s="61"/>
      <c r="E169" s="61"/>
      <c r="F169" s="61"/>
      <c r="G169" s="61"/>
      <c r="H169" s="61"/>
      <c r="I169" s="61"/>
      <c r="J169" s="17"/>
      <c r="K169" s="17"/>
      <c r="L169" s="17"/>
      <c r="M169" s="17"/>
      <c r="N169" s="17"/>
      <c r="O169" s="17"/>
      <c r="P169" s="17"/>
      <c r="Q169" s="17"/>
      <c r="R169" s="17"/>
      <c r="S169" s="17"/>
      <c r="T169" s="17"/>
      <c r="U169" s="17"/>
      <c r="V169" s="17"/>
      <c r="W169" s="17"/>
      <c r="X169" s="17"/>
      <c r="Y169" s="17"/>
      <c r="Z169" s="17"/>
    </row>
    <row r="170" ht="17.25" customHeight="1">
      <c r="A170" s="17"/>
      <c r="B170" s="61"/>
      <c r="C170" s="61"/>
      <c r="D170" s="61"/>
      <c r="E170" s="61"/>
      <c r="F170" s="61"/>
      <c r="G170" s="61"/>
      <c r="H170" s="61"/>
      <c r="I170" s="61"/>
      <c r="J170" s="17"/>
      <c r="K170" s="17"/>
      <c r="L170" s="17"/>
      <c r="M170" s="17"/>
      <c r="N170" s="17"/>
      <c r="O170" s="17"/>
      <c r="P170" s="17"/>
      <c r="Q170" s="17"/>
      <c r="R170" s="17"/>
      <c r="S170" s="17"/>
      <c r="T170" s="17"/>
      <c r="U170" s="17"/>
      <c r="V170" s="17"/>
      <c r="W170" s="17"/>
      <c r="X170" s="17"/>
      <c r="Y170" s="17"/>
      <c r="Z170" s="17"/>
    </row>
    <row r="171" ht="17.25" customHeight="1">
      <c r="A171" s="17"/>
      <c r="B171" s="61"/>
      <c r="C171" s="61"/>
      <c r="D171" s="61"/>
      <c r="E171" s="61"/>
      <c r="F171" s="61"/>
      <c r="G171" s="61"/>
      <c r="H171" s="61"/>
      <c r="I171" s="61"/>
      <c r="J171" s="17"/>
      <c r="K171" s="17"/>
      <c r="L171" s="17"/>
      <c r="M171" s="17"/>
      <c r="N171" s="17"/>
      <c r="O171" s="17"/>
      <c r="P171" s="17"/>
      <c r="Q171" s="17"/>
      <c r="R171" s="17"/>
      <c r="S171" s="17"/>
      <c r="T171" s="17"/>
      <c r="U171" s="17"/>
      <c r="V171" s="17"/>
      <c r="W171" s="17"/>
      <c r="X171" s="17"/>
      <c r="Y171" s="17"/>
      <c r="Z171" s="17"/>
    </row>
    <row r="172" ht="17.25" customHeight="1">
      <c r="A172" s="17"/>
      <c r="B172" s="61"/>
      <c r="C172" s="61"/>
      <c r="D172" s="61"/>
      <c r="E172" s="61"/>
      <c r="F172" s="61"/>
      <c r="G172" s="61"/>
      <c r="H172" s="61"/>
      <c r="I172" s="61"/>
      <c r="J172" s="17"/>
      <c r="K172" s="17"/>
      <c r="L172" s="17"/>
      <c r="M172" s="17"/>
      <c r="N172" s="17"/>
      <c r="O172" s="17"/>
      <c r="P172" s="17"/>
      <c r="Q172" s="17"/>
      <c r="R172" s="17"/>
      <c r="S172" s="17"/>
      <c r="T172" s="17"/>
      <c r="U172" s="17"/>
      <c r="V172" s="17"/>
      <c r="W172" s="17"/>
      <c r="X172" s="17"/>
      <c r="Y172" s="17"/>
      <c r="Z172" s="17"/>
    </row>
    <row r="173" ht="17.25" customHeight="1">
      <c r="A173" s="17"/>
      <c r="B173" s="61"/>
      <c r="C173" s="61"/>
      <c r="D173" s="61"/>
      <c r="E173" s="61"/>
      <c r="F173" s="61"/>
      <c r="G173" s="61"/>
      <c r="H173" s="61"/>
      <c r="I173" s="61"/>
      <c r="J173" s="17"/>
      <c r="K173" s="17"/>
      <c r="L173" s="17"/>
      <c r="M173" s="17"/>
      <c r="N173" s="17"/>
      <c r="O173" s="17"/>
      <c r="P173" s="17"/>
      <c r="Q173" s="17"/>
      <c r="R173" s="17"/>
      <c r="S173" s="17"/>
      <c r="T173" s="17"/>
      <c r="U173" s="17"/>
      <c r="V173" s="17"/>
      <c r="W173" s="17"/>
      <c r="X173" s="17"/>
      <c r="Y173" s="17"/>
      <c r="Z173" s="17"/>
    </row>
    <row r="174" ht="17.25" customHeight="1">
      <c r="A174" s="17"/>
      <c r="B174" s="61"/>
      <c r="C174" s="61"/>
      <c r="D174" s="61"/>
      <c r="E174" s="61"/>
      <c r="F174" s="61"/>
      <c r="G174" s="61"/>
      <c r="H174" s="61"/>
      <c r="I174" s="61"/>
      <c r="J174" s="17"/>
      <c r="K174" s="17"/>
      <c r="L174" s="17"/>
      <c r="M174" s="17"/>
      <c r="N174" s="17"/>
      <c r="O174" s="17"/>
      <c r="P174" s="17"/>
      <c r="Q174" s="17"/>
      <c r="R174" s="17"/>
      <c r="S174" s="17"/>
      <c r="T174" s="17"/>
      <c r="U174" s="17"/>
      <c r="V174" s="17"/>
      <c r="W174" s="17"/>
      <c r="X174" s="17"/>
      <c r="Y174" s="17"/>
      <c r="Z174" s="17"/>
    </row>
    <row r="175" ht="17.25" customHeight="1">
      <c r="A175" s="17"/>
      <c r="B175" s="61"/>
      <c r="C175" s="61"/>
      <c r="D175" s="61"/>
      <c r="E175" s="61"/>
      <c r="F175" s="61"/>
      <c r="G175" s="61"/>
      <c r="H175" s="61"/>
      <c r="I175" s="61"/>
      <c r="J175" s="17"/>
      <c r="K175" s="17"/>
      <c r="L175" s="17"/>
      <c r="M175" s="17"/>
      <c r="N175" s="17"/>
      <c r="O175" s="17"/>
      <c r="P175" s="17"/>
      <c r="Q175" s="17"/>
      <c r="R175" s="17"/>
      <c r="S175" s="17"/>
      <c r="T175" s="17"/>
      <c r="U175" s="17"/>
      <c r="V175" s="17"/>
      <c r="W175" s="17"/>
      <c r="X175" s="17"/>
      <c r="Y175" s="17"/>
      <c r="Z175" s="17"/>
    </row>
    <row r="176" ht="17.25" customHeight="1">
      <c r="A176" s="17"/>
      <c r="B176" s="61"/>
      <c r="C176" s="61"/>
      <c r="D176" s="61"/>
      <c r="E176" s="61"/>
      <c r="F176" s="61"/>
      <c r="G176" s="61"/>
      <c r="H176" s="61"/>
      <c r="I176" s="61"/>
      <c r="J176" s="17"/>
      <c r="K176" s="17"/>
      <c r="L176" s="17"/>
      <c r="M176" s="17"/>
      <c r="N176" s="17"/>
      <c r="O176" s="17"/>
      <c r="P176" s="17"/>
      <c r="Q176" s="17"/>
      <c r="R176" s="17"/>
      <c r="S176" s="17"/>
      <c r="T176" s="17"/>
      <c r="U176" s="17"/>
      <c r="V176" s="17"/>
      <c r="W176" s="17"/>
      <c r="X176" s="17"/>
      <c r="Y176" s="17"/>
      <c r="Z176" s="17"/>
    </row>
    <row r="177" ht="17.25" customHeight="1">
      <c r="A177" s="17"/>
      <c r="B177" s="61"/>
      <c r="C177" s="61"/>
      <c r="D177" s="61"/>
      <c r="E177" s="61"/>
      <c r="F177" s="61"/>
      <c r="G177" s="61"/>
      <c r="H177" s="61"/>
      <c r="I177" s="61"/>
      <c r="J177" s="17"/>
      <c r="K177" s="17"/>
      <c r="L177" s="17"/>
      <c r="M177" s="17"/>
      <c r="N177" s="17"/>
      <c r="O177" s="17"/>
      <c r="P177" s="17"/>
      <c r="Q177" s="17"/>
      <c r="R177" s="17"/>
      <c r="S177" s="17"/>
      <c r="T177" s="17"/>
      <c r="U177" s="17"/>
      <c r="V177" s="17"/>
      <c r="W177" s="17"/>
      <c r="X177" s="17"/>
      <c r="Y177" s="17"/>
      <c r="Z177" s="17"/>
    </row>
    <row r="178" ht="17.25" customHeight="1">
      <c r="A178" s="17"/>
      <c r="B178" s="61"/>
      <c r="C178" s="61"/>
      <c r="D178" s="61"/>
      <c r="E178" s="61"/>
      <c r="F178" s="61"/>
      <c r="G178" s="61"/>
      <c r="H178" s="61"/>
      <c r="I178" s="61"/>
      <c r="J178" s="17"/>
      <c r="K178" s="17"/>
      <c r="L178" s="17"/>
      <c r="M178" s="17"/>
      <c r="N178" s="17"/>
      <c r="O178" s="17"/>
      <c r="P178" s="17"/>
      <c r="Q178" s="17"/>
      <c r="R178" s="17"/>
      <c r="S178" s="17"/>
      <c r="T178" s="17"/>
      <c r="U178" s="17"/>
      <c r="V178" s="17"/>
      <c r="W178" s="17"/>
      <c r="X178" s="17"/>
      <c r="Y178" s="17"/>
      <c r="Z178" s="17"/>
    </row>
    <row r="179" ht="17.25" customHeight="1">
      <c r="A179" s="17"/>
      <c r="B179" s="61"/>
      <c r="C179" s="61"/>
      <c r="D179" s="61"/>
      <c r="E179" s="61"/>
      <c r="F179" s="61"/>
      <c r="G179" s="61"/>
      <c r="H179" s="61"/>
      <c r="I179" s="61"/>
      <c r="J179" s="17"/>
      <c r="K179" s="17"/>
      <c r="L179" s="17"/>
      <c r="M179" s="17"/>
      <c r="N179" s="17"/>
      <c r="O179" s="17"/>
      <c r="P179" s="17"/>
      <c r="Q179" s="17"/>
      <c r="R179" s="17"/>
      <c r="S179" s="17"/>
      <c r="T179" s="17"/>
      <c r="U179" s="17"/>
      <c r="V179" s="17"/>
      <c r="W179" s="17"/>
      <c r="X179" s="17"/>
      <c r="Y179" s="17"/>
      <c r="Z179" s="17"/>
    </row>
    <row r="180" ht="17.25" customHeight="1">
      <c r="A180" s="17"/>
      <c r="B180" s="61"/>
      <c r="C180" s="61"/>
      <c r="D180" s="61"/>
      <c r="E180" s="61"/>
      <c r="F180" s="61"/>
      <c r="G180" s="61"/>
      <c r="H180" s="61"/>
      <c r="I180" s="61"/>
      <c r="J180" s="17"/>
      <c r="K180" s="17"/>
      <c r="L180" s="17"/>
      <c r="M180" s="17"/>
      <c r="N180" s="17"/>
      <c r="O180" s="17"/>
      <c r="P180" s="17"/>
      <c r="Q180" s="17"/>
      <c r="R180" s="17"/>
      <c r="S180" s="17"/>
      <c r="T180" s="17"/>
      <c r="U180" s="17"/>
      <c r="V180" s="17"/>
      <c r="W180" s="17"/>
      <c r="X180" s="17"/>
      <c r="Y180" s="17"/>
      <c r="Z180" s="17"/>
    </row>
    <row r="181" ht="17.25" customHeight="1">
      <c r="A181" s="17"/>
      <c r="B181" s="61"/>
      <c r="C181" s="61"/>
      <c r="D181" s="61"/>
      <c r="E181" s="61"/>
      <c r="F181" s="61"/>
      <c r="G181" s="61"/>
      <c r="H181" s="61"/>
      <c r="I181" s="61"/>
      <c r="J181" s="17"/>
      <c r="K181" s="17"/>
      <c r="L181" s="17"/>
      <c r="M181" s="17"/>
      <c r="N181" s="17"/>
      <c r="O181" s="17"/>
      <c r="P181" s="17"/>
      <c r="Q181" s="17"/>
      <c r="R181" s="17"/>
      <c r="S181" s="17"/>
      <c r="T181" s="17"/>
      <c r="U181" s="17"/>
      <c r="V181" s="17"/>
      <c r="W181" s="17"/>
      <c r="X181" s="17"/>
      <c r="Y181" s="17"/>
      <c r="Z181" s="17"/>
    </row>
    <row r="182" ht="17.25" customHeight="1">
      <c r="A182" s="17"/>
      <c r="B182" s="61"/>
      <c r="C182" s="61"/>
      <c r="D182" s="61"/>
      <c r="E182" s="61"/>
      <c r="F182" s="61"/>
      <c r="G182" s="61"/>
      <c r="H182" s="61"/>
      <c r="I182" s="61"/>
      <c r="J182" s="17"/>
      <c r="K182" s="17"/>
      <c r="L182" s="17"/>
      <c r="M182" s="17"/>
      <c r="N182" s="17"/>
      <c r="O182" s="17"/>
      <c r="P182" s="17"/>
      <c r="Q182" s="17"/>
      <c r="R182" s="17"/>
      <c r="S182" s="17"/>
      <c r="T182" s="17"/>
      <c r="U182" s="17"/>
      <c r="V182" s="17"/>
      <c r="W182" s="17"/>
      <c r="X182" s="17"/>
      <c r="Y182" s="17"/>
      <c r="Z182" s="17"/>
    </row>
    <row r="183" ht="17.25" customHeight="1">
      <c r="A183" s="17"/>
      <c r="B183" s="61"/>
      <c r="C183" s="61"/>
      <c r="D183" s="61"/>
      <c r="E183" s="61"/>
      <c r="F183" s="61"/>
      <c r="G183" s="61"/>
      <c r="H183" s="61"/>
      <c r="I183" s="61"/>
      <c r="J183" s="17"/>
      <c r="K183" s="17"/>
      <c r="L183" s="17"/>
      <c r="M183" s="17"/>
      <c r="N183" s="17"/>
      <c r="O183" s="17"/>
      <c r="P183" s="17"/>
      <c r="Q183" s="17"/>
      <c r="R183" s="17"/>
      <c r="S183" s="17"/>
      <c r="T183" s="17"/>
      <c r="U183" s="17"/>
      <c r="V183" s="17"/>
      <c r="W183" s="17"/>
      <c r="X183" s="17"/>
      <c r="Y183" s="17"/>
      <c r="Z183" s="17"/>
    </row>
    <row r="184" ht="17.25" customHeight="1">
      <c r="A184" s="17"/>
      <c r="B184" s="61"/>
      <c r="C184" s="61"/>
      <c r="D184" s="61"/>
      <c r="E184" s="61"/>
      <c r="F184" s="61"/>
      <c r="G184" s="61"/>
      <c r="H184" s="61"/>
      <c r="I184" s="61"/>
      <c r="J184" s="17"/>
      <c r="K184" s="17"/>
      <c r="L184" s="17"/>
      <c r="M184" s="17"/>
      <c r="N184" s="17"/>
      <c r="O184" s="17"/>
      <c r="P184" s="17"/>
      <c r="Q184" s="17"/>
      <c r="R184" s="17"/>
      <c r="S184" s="17"/>
      <c r="T184" s="17"/>
      <c r="U184" s="17"/>
      <c r="V184" s="17"/>
      <c r="W184" s="17"/>
      <c r="X184" s="17"/>
      <c r="Y184" s="17"/>
      <c r="Z184" s="17"/>
    </row>
    <row r="185" ht="17.25" customHeight="1">
      <c r="A185" s="17"/>
      <c r="B185" s="61"/>
      <c r="C185" s="61"/>
      <c r="D185" s="61"/>
      <c r="E185" s="61"/>
      <c r="F185" s="61"/>
      <c r="G185" s="61"/>
      <c r="H185" s="61"/>
      <c r="I185" s="61"/>
      <c r="J185" s="17"/>
      <c r="K185" s="17"/>
      <c r="L185" s="17"/>
      <c r="M185" s="17"/>
      <c r="N185" s="17"/>
      <c r="O185" s="17"/>
      <c r="P185" s="17"/>
      <c r="Q185" s="17"/>
      <c r="R185" s="17"/>
      <c r="S185" s="17"/>
      <c r="T185" s="17"/>
      <c r="U185" s="17"/>
      <c r="V185" s="17"/>
      <c r="W185" s="17"/>
      <c r="X185" s="17"/>
      <c r="Y185" s="17"/>
      <c r="Z185" s="17"/>
    </row>
    <row r="186" ht="17.25" customHeight="1">
      <c r="A186" s="17"/>
      <c r="B186" s="61"/>
      <c r="C186" s="61"/>
      <c r="D186" s="61"/>
      <c r="E186" s="61"/>
      <c r="F186" s="61"/>
      <c r="G186" s="61"/>
      <c r="H186" s="61"/>
      <c r="I186" s="61"/>
      <c r="J186" s="17"/>
      <c r="K186" s="17"/>
      <c r="L186" s="17"/>
      <c r="M186" s="17"/>
      <c r="N186" s="17"/>
      <c r="O186" s="17"/>
      <c r="P186" s="17"/>
      <c r="Q186" s="17"/>
      <c r="R186" s="17"/>
      <c r="S186" s="17"/>
      <c r="T186" s="17"/>
      <c r="U186" s="17"/>
      <c r="V186" s="17"/>
      <c r="W186" s="17"/>
      <c r="X186" s="17"/>
      <c r="Y186" s="17"/>
      <c r="Z186" s="17"/>
    </row>
    <row r="187" ht="17.25" customHeight="1">
      <c r="A187" s="17"/>
      <c r="B187" s="61"/>
      <c r="C187" s="61"/>
      <c r="D187" s="61"/>
      <c r="E187" s="61"/>
      <c r="F187" s="61"/>
      <c r="G187" s="61"/>
      <c r="H187" s="61"/>
      <c r="I187" s="61"/>
      <c r="J187" s="17"/>
      <c r="K187" s="17"/>
      <c r="L187" s="17"/>
      <c r="M187" s="17"/>
      <c r="N187" s="17"/>
      <c r="O187" s="17"/>
      <c r="P187" s="17"/>
      <c r="Q187" s="17"/>
      <c r="R187" s="17"/>
      <c r="S187" s="17"/>
      <c r="T187" s="17"/>
      <c r="U187" s="17"/>
      <c r="V187" s="17"/>
      <c r="W187" s="17"/>
      <c r="X187" s="17"/>
      <c r="Y187" s="17"/>
      <c r="Z187" s="17"/>
    </row>
    <row r="188" ht="17.25" customHeight="1">
      <c r="A188" s="17"/>
      <c r="B188" s="61"/>
      <c r="C188" s="61"/>
      <c r="D188" s="61"/>
      <c r="E188" s="61"/>
      <c r="F188" s="61"/>
      <c r="G188" s="61"/>
      <c r="H188" s="61"/>
      <c r="I188" s="61"/>
      <c r="J188" s="17"/>
      <c r="K188" s="17"/>
      <c r="L188" s="17"/>
      <c r="M188" s="17"/>
      <c r="N188" s="17"/>
      <c r="O188" s="17"/>
      <c r="P188" s="17"/>
      <c r="Q188" s="17"/>
      <c r="R188" s="17"/>
      <c r="S188" s="17"/>
      <c r="T188" s="17"/>
      <c r="U188" s="17"/>
      <c r="V188" s="17"/>
      <c r="W188" s="17"/>
      <c r="X188" s="17"/>
      <c r="Y188" s="17"/>
      <c r="Z188" s="17"/>
    </row>
    <row r="189" ht="17.25" customHeight="1">
      <c r="A189" s="17"/>
      <c r="B189" s="61"/>
      <c r="C189" s="61"/>
      <c r="D189" s="61"/>
      <c r="E189" s="61"/>
      <c r="F189" s="61"/>
      <c r="G189" s="61"/>
      <c r="H189" s="61"/>
      <c r="I189" s="61"/>
      <c r="J189" s="17"/>
      <c r="K189" s="17"/>
      <c r="L189" s="17"/>
      <c r="M189" s="17"/>
      <c r="N189" s="17"/>
      <c r="O189" s="17"/>
      <c r="P189" s="17"/>
      <c r="Q189" s="17"/>
      <c r="R189" s="17"/>
      <c r="S189" s="17"/>
      <c r="T189" s="17"/>
      <c r="U189" s="17"/>
      <c r="V189" s="17"/>
      <c r="W189" s="17"/>
      <c r="X189" s="17"/>
      <c r="Y189" s="17"/>
      <c r="Z189" s="17"/>
    </row>
    <row r="190" ht="17.25" customHeight="1">
      <c r="A190" s="17"/>
      <c r="B190" s="61"/>
      <c r="C190" s="61"/>
      <c r="D190" s="61"/>
      <c r="E190" s="61"/>
      <c r="F190" s="61"/>
      <c r="G190" s="61"/>
      <c r="H190" s="61"/>
      <c r="I190" s="61"/>
      <c r="J190" s="17"/>
      <c r="K190" s="17"/>
      <c r="L190" s="17"/>
      <c r="M190" s="17"/>
      <c r="N190" s="17"/>
      <c r="O190" s="17"/>
      <c r="P190" s="17"/>
      <c r="Q190" s="17"/>
      <c r="R190" s="17"/>
      <c r="S190" s="17"/>
      <c r="T190" s="17"/>
      <c r="U190" s="17"/>
      <c r="V190" s="17"/>
      <c r="W190" s="17"/>
      <c r="X190" s="17"/>
      <c r="Y190" s="17"/>
      <c r="Z190" s="17"/>
    </row>
    <row r="191" ht="17.25" customHeight="1">
      <c r="A191" s="17"/>
      <c r="B191" s="61"/>
      <c r="C191" s="61"/>
      <c r="D191" s="61"/>
      <c r="E191" s="61"/>
      <c r="F191" s="61"/>
      <c r="G191" s="61"/>
      <c r="H191" s="61"/>
      <c r="I191" s="61"/>
      <c r="J191" s="17"/>
      <c r="K191" s="17"/>
      <c r="L191" s="17"/>
      <c r="M191" s="17"/>
      <c r="N191" s="17"/>
      <c r="O191" s="17"/>
      <c r="P191" s="17"/>
      <c r="Q191" s="17"/>
      <c r="R191" s="17"/>
      <c r="S191" s="17"/>
      <c r="T191" s="17"/>
      <c r="U191" s="17"/>
      <c r="V191" s="17"/>
      <c r="W191" s="17"/>
      <c r="X191" s="17"/>
      <c r="Y191" s="17"/>
      <c r="Z191" s="17"/>
    </row>
    <row r="192" ht="17.25" customHeight="1">
      <c r="A192" s="17"/>
      <c r="B192" s="61"/>
      <c r="C192" s="61"/>
      <c r="D192" s="61"/>
      <c r="E192" s="61"/>
      <c r="F192" s="61"/>
      <c r="G192" s="61"/>
      <c r="H192" s="61"/>
      <c r="I192" s="61"/>
      <c r="J192" s="17"/>
      <c r="K192" s="17"/>
      <c r="L192" s="17"/>
      <c r="M192" s="17"/>
      <c r="N192" s="17"/>
      <c r="O192" s="17"/>
      <c r="P192" s="17"/>
      <c r="Q192" s="17"/>
      <c r="R192" s="17"/>
      <c r="S192" s="17"/>
      <c r="T192" s="17"/>
      <c r="U192" s="17"/>
      <c r="V192" s="17"/>
      <c r="W192" s="17"/>
      <c r="X192" s="17"/>
      <c r="Y192" s="17"/>
      <c r="Z192" s="17"/>
    </row>
    <row r="193" ht="17.25" customHeight="1">
      <c r="A193" s="17"/>
      <c r="B193" s="61"/>
      <c r="C193" s="61"/>
      <c r="D193" s="61"/>
      <c r="E193" s="61"/>
      <c r="F193" s="61"/>
      <c r="G193" s="61"/>
      <c r="H193" s="61"/>
      <c r="I193" s="61"/>
      <c r="J193" s="17"/>
      <c r="K193" s="17"/>
      <c r="L193" s="17"/>
      <c r="M193" s="17"/>
      <c r="N193" s="17"/>
      <c r="O193" s="17"/>
      <c r="P193" s="17"/>
      <c r="Q193" s="17"/>
      <c r="R193" s="17"/>
      <c r="S193" s="17"/>
      <c r="T193" s="17"/>
      <c r="U193" s="17"/>
      <c r="V193" s="17"/>
      <c r="W193" s="17"/>
      <c r="X193" s="17"/>
      <c r="Y193" s="17"/>
      <c r="Z193" s="17"/>
    </row>
    <row r="194" ht="17.25" customHeight="1">
      <c r="A194" s="17"/>
      <c r="B194" s="61"/>
      <c r="C194" s="61"/>
      <c r="D194" s="61"/>
      <c r="E194" s="61"/>
      <c r="F194" s="61"/>
      <c r="G194" s="61"/>
      <c r="H194" s="61"/>
      <c r="I194" s="61"/>
      <c r="J194" s="17"/>
      <c r="K194" s="17"/>
      <c r="L194" s="17"/>
      <c r="M194" s="17"/>
      <c r="N194" s="17"/>
      <c r="O194" s="17"/>
      <c r="P194" s="17"/>
      <c r="Q194" s="17"/>
      <c r="R194" s="17"/>
      <c r="S194" s="17"/>
      <c r="T194" s="17"/>
      <c r="U194" s="17"/>
      <c r="V194" s="17"/>
      <c r="W194" s="17"/>
      <c r="X194" s="17"/>
      <c r="Y194" s="17"/>
      <c r="Z194" s="17"/>
    </row>
    <row r="195" ht="17.25" customHeight="1">
      <c r="A195" s="17"/>
      <c r="B195" s="61"/>
      <c r="C195" s="61"/>
      <c r="D195" s="61"/>
      <c r="E195" s="61"/>
      <c r="F195" s="61"/>
      <c r="G195" s="61"/>
      <c r="H195" s="61"/>
      <c r="I195" s="61"/>
      <c r="J195" s="17"/>
      <c r="K195" s="17"/>
      <c r="L195" s="17"/>
      <c r="M195" s="17"/>
      <c r="N195" s="17"/>
      <c r="O195" s="17"/>
      <c r="P195" s="17"/>
      <c r="Q195" s="17"/>
      <c r="R195" s="17"/>
      <c r="S195" s="17"/>
      <c r="T195" s="17"/>
      <c r="U195" s="17"/>
      <c r="V195" s="17"/>
      <c r="W195" s="17"/>
      <c r="X195" s="17"/>
      <c r="Y195" s="17"/>
      <c r="Z195" s="17"/>
    </row>
    <row r="196" ht="17.25" customHeight="1">
      <c r="A196" s="17"/>
      <c r="B196" s="61"/>
      <c r="C196" s="61"/>
      <c r="D196" s="61"/>
      <c r="E196" s="61"/>
      <c r="F196" s="61"/>
      <c r="G196" s="61"/>
      <c r="H196" s="61"/>
      <c r="I196" s="61"/>
      <c r="J196" s="17"/>
      <c r="K196" s="17"/>
      <c r="L196" s="17"/>
      <c r="M196" s="17"/>
      <c r="N196" s="17"/>
      <c r="O196" s="17"/>
      <c r="P196" s="17"/>
      <c r="Q196" s="17"/>
      <c r="R196" s="17"/>
      <c r="S196" s="17"/>
      <c r="T196" s="17"/>
      <c r="U196" s="17"/>
      <c r="V196" s="17"/>
      <c r="W196" s="17"/>
      <c r="X196" s="17"/>
      <c r="Y196" s="17"/>
      <c r="Z196" s="17"/>
    </row>
    <row r="197" ht="17.25" customHeight="1">
      <c r="A197" s="17"/>
      <c r="B197" s="61"/>
      <c r="C197" s="61"/>
      <c r="D197" s="61"/>
      <c r="E197" s="61"/>
      <c r="F197" s="61"/>
      <c r="G197" s="61"/>
      <c r="H197" s="61"/>
      <c r="I197" s="61"/>
      <c r="J197" s="17"/>
      <c r="K197" s="17"/>
      <c r="L197" s="17"/>
      <c r="M197" s="17"/>
      <c r="N197" s="17"/>
      <c r="O197" s="17"/>
      <c r="P197" s="17"/>
      <c r="Q197" s="17"/>
      <c r="R197" s="17"/>
      <c r="S197" s="17"/>
      <c r="T197" s="17"/>
      <c r="U197" s="17"/>
      <c r="V197" s="17"/>
      <c r="W197" s="17"/>
      <c r="X197" s="17"/>
      <c r="Y197" s="17"/>
      <c r="Z197" s="17"/>
    </row>
    <row r="198" ht="17.25" customHeight="1">
      <c r="A198" s="17"/>
      <c r="B198" s="61"/>
      <c r="C198" s="61"/>
      <c r="D198" s="61"/>
      <c r="E198" s="61"/>
      <c r="F198" s="61"/>
      <c r="G198" s="61"/>
      <c r="H198" s="61"/>
      <c r="I198" s="61"/>
      <c r="J198" s="17"/>
      <c r="K198" s="17"/>
      <c r="L198" s="17"/>
      <c r="M198" s="17"/>
      <c r="N198" s="17"/>
      <c r="O198" s="17"/>
      <c r="P198" s="17"/>
      <c r="Q198" s="17"/>
      <c r="R198" s="17"/>
      <c r="S198" s="17"/>
      <c r="T198" s="17"/>
      <c r="U198" s="17"/>
      <c r="V198" s="17"/>
      <c r="W198" s="17"/>
      <c r="X198" s="17"/>
      <c r="Y198" s="17"/>
      <c r="Z198" s="17"/>
    </row>
    <row r="199" ht="17.25" customHeight="1">
      <c r="A199" s="17"/>
      <c r="B199" s="61"/>
      <c r="C199" s="61"/>
      <c r="D199" s="61"/>
      <c r="E199" s="61"/>
      <c r="F199" s="61"/>
      <c r="G199" s="61"/>
      <c r="H199" s="61"/>
      <c r="I199" s="61"/>
      <c r="J199" s="17"/>
      <c r="K199" s="17"/>
      <c r="L199" s="17"/>
      <c r="M199" s="17"/>
      <c r="N199" s="17"/>
      <c r="O199" s="17"/>
      <c r="P199" s="17"/>
      <c r="Q199" s="17"/>
      <c r="R199" s="17"/>
      <c r="S199" s="17"/>
      <c r="T199" s="17"/>
      <c r="U199" s="17"/>
      <c r="V199" s="17"/>
      <c r="W199" s="17"/>
      <c r="X199" s="17"/>
      <c r="Y199" s="17"/>
      <c r="Z199" s="17"/>
    </row>
    <row r="200" ht="17.25" customHeight="1">
      <c r="A200" s="17"/>
      <c r="B200" s="61"/>
      <c r="C200" s="61"/>
      <c r="D200" s="61"/>
      <c r="E200" s="61"/>
      <c r="F200" s="61"/>
      <c r="G200" s="61"/>
      <c r="H200" s="61"/>
      <c r="I200" s="61"/>
      <c r="J200" s="17"/>
      <c r="K200" s="17"/>
      <c r="L200" s="17"/>
      <c r="M200" s="17"/>
      <c r="N200" s="17"/>
      <c r="O200" s="17"/>
      <c r="P200" s="17"/>
      <c r="Q200" s="17"/>
      <c r="R200" s="17"/>
      <c r="S200" s="17"/>
      <c r="T200" s="17"/>
      <c r="U200" s="17"/>
      <c r="V200" s="17"/>
      <c r="W200" s="17"/>
      <c r="X200" s="17"/>
      <c r="Y200" s="17"/>
      <c r="Z200" s="17"/>
    </row>
    <row r="201" ht="17.25" customHeight="1">
      <c r="A201" s="17"/>
      <c r="B201" s="61"/>
      <c r="C201" s="61"/>
      <c r="D201" s="61"/>
      <c r="E201" s="61"/>
      <c r="F201" s="61"/>
      <c r="G201" s="61"/>
      <c r="H201" s="61"/>
      <c r="I201" s="61"/>
      <c r="J201" s="17"/>
      <c r="K201" s="17"/>
      <c r="L201" s="17"/>
      <c r="M201" s="17"/>
      <c r="N201" s="17"/>
      <c r="O201" s="17"/>
      <c r="P201" s="17"/>
      <c r="Q201" s="17"/>
      <c r="R201" s="17"/>
      <c r="S201" s="17"/>
      <c r="T201" s="17"/>
      <c r="U201" s="17"/>
      <c r="V201" s="17"/>
      <c r="W201" s="17"/>
      <c r="X201" s="17"/>
      <c r="Y201" s="17"/>
      <c r="Z201" s="17"/>
    </row>
    <row r="202" ht="17.25" customHeight="1">
      <c r="A202" s="17"/>
      <c r="B202" s="61"/>
      <c r="C202" s="61"/>
      <c r="D202" s="61"/>
      <c r="E202" s="61"/>
      <c r="F202" s="61"/>
      <c r="G202" s="61"/>
      <c r="H202" s="61"/>
      <c r="I202" s="61"/>
      <c r="J202" s="17"/>
      <c r="K202" s="17"/>
      <c r="L202" s="17"/>
      <c r="M202" s="17"/>
      <c r="N202" s="17"/>
      <c r="O202" s="17"/>
      <c r="P202" s="17"/>
      <c r="Q202" s="17"/>
      <c r="R202" s="17"/>
      <c r="S202" s="17"/>
      <c r="T202" s="17"/>
      <c r="U202" s="17"/>
      <c r="V202" s="17"/>
      <c r="W202" s="17"/>
      <c r="X202" s="17"/>
      <c r="Y202" s="17"/>
      <c r="Z202" s="17"/>
    </row>
    <row r="203" ht="17.25" customHeight="1">
      <c r="A203" s="17"/>
      <c r="B203" s="61"/>
      <c r="C203" s="61"/>
      <c r="D203" s="61"/>
      <c r="E203" s="61"/>
      <c r="F203" s="61"/>
      <c r="G203" s="61"/>
      <c r="H203" s="61"/>
      <c r="I203" s="61"/>
      <c r="J203" s="17"/>
      <c r="K203" s="17"/>
      <c r="L203" s="17"/>
      <c r="M203" s="17"/>
      <c r="N203" s="17"/>
      <c r="O203" s="17"/>
      <c r="P203" s="17"/>
      <c r="Q203" s="17"/>
      <c r="R203" s="17"/>
      <c r="S203" s="17"/>
      <c r="T203" s="17"/>
      <c r="U203" s="17"/>
      <c r="V203" s="17"/>
      <c r="W203" s="17"/>
      <c r="X203" s="17"/>
      <c r="Y203" s="17"/>
      <c r="Z203" s="17"/>
    </row>
    <row r="204" ht="17.25" customHeight="1">
      <c r="A204" s="17"/>
      <c r="B204" s="61"/>
      <c r="C204" s="61"/>
      <c r="D204" s="61"/>
      <c r="E204" s="61"/>
      <c r="F204" s="61"/>
      <c r="G204" s="61"/>
      <c r="H204" s="61"/>
      <c r="I204" s="61"/>
      <c r="J204" s="17"/>
      <c r="K204" s="17"/>
      <c r="L204" s="17"/>
      <c r="M204" s="17"/>
      <c r="N204" s="17"/>
      <c r="O204" s="17"/>
      <c r="P204" s="17"/>
      <c r="Q204" s="17"/>
      <c r="R204" s="17"/>
      <c r="S204" s="17"/>
      <c r="T204" s="17"/>
      <c r="U204" s="17"/>
      <c r="V204" s="17"/>
      <c r="W204" s="17"/>
      <c r="X204" s="17"/>
      <c r="Y204" s="17"/>
      <c r="Z204" s="17"/>
    </row>
    <row r="205" ht="17.25" customHeight="1">
      <c r="A205" s="17"/>
      <c r="B205" s="61"/>
      <c r="C205" s="61"/>
      <c r="D205" s="61"/>
      <c r="E205" s="61"/>
      <c r="F205" s="61"/>
      <c r="G205" s="61"/>
      <c r="H205" s="61"/>
      <c r="I205" s="61"/>
      <c r="J205" s="17"/>
      <c r="K205" s="17"/>
      <c r="L205" s="17"/>
      <c r="M205" s="17"/>
      <c r="N205" s="17"/>
      <c r="O205" s="17"/>
      <c r="P205" s="17"/>
      <c r="Q205" s="17"/>
      <c r="R205" s="17"/>
      <c r="S205" s="17"/>
      <c r="T205" s="17"/>
      <c r="U205" s="17"/>
      <c r="V205" s="17"/>
      <c r="W205" s="17"/>
      <c r="X205" s="17"/>
      <c r="Y205" s="17"/>
      <c r="Z205" s="17"/>
    </row>
    <row r="206" ht="17.25" customHeight="1">
      <c r="A206" s="17"/>
      <c r="B206" s="61"/>
      <c r="C206" s="61"/>
      <c r="D206" s="61"/>
      <c r="E206" s="61"/>
      <c r="F206" s="61"/>
      <c r="G206" s="61"/>
      <c r="H206" s="61"/>
      <c r="I206" s="61"/>
      <c r="J206" s="17"/>
      <c r="K206" s="17"/>
      <c r="L206" s="17"/>
      <c r="M206" s="17"/>
      <c r="N206" s="17"/>
      <c r="O206" s="17"/>
      <c r="P206" s="17"/>
      <c r="Q206" s="17"/>
      <c r="R206" s="17"/>
      <c r="S206" s="17"/>
      <c r="T206" s="17"/>
      <c r="U206" s="17"/>
      <c r="V206" s="17"/>
      <c r="W206" s="17"/>
      <c r="X206" s="17"/>
      <c r="Y206" s="17"/>
      <c r="Z206" s="17"/>
    </row>
    <row r="207" ht="17.25" customHeight="1">
      <c r="A207" s="17"/>
      <c r="B207" s="61"/>
      <c r="C207" s="61"/>
      <c r="D207" s="61"/>
      <c r="E207" s="61"/>
      <c r="F207" s="61"/>
      <c r="G207" s="61"/>
      <c r="H207" s="61"/>
      <c r="I207" s="61"/>
      <c r="J207" s="17"/>
      <c r="K207" s="17"/>
      <c r="L207" s="17"/>
      <c r="M207" s="17"/>
      <c r="N207" s="17"/>
      <c r="O207" s="17"/>
      <c r="P207" s="17"/>
      <c r="Q207" s="17"/>
      <c r="R207" s="17"/>
      <c r="S207" s="17"/>
      <c r="T207" s="17"/>
      <c r="U207" s="17"/>
      <c r="V207" s="17"/>
      <c r="W207" s="17"/>
      <c r="X207" s="17"/>
      <c r="Y207" s="17"/>
      <c r="Z207" s="17"/>
    </row>
    <row r="208" ht="17.25" customHeight="1">
      <c r="A208" s="17"/>
      <c r="B208" s="61"/>
      <c r="C208" s="61"/>
      <c r="D208" s="61"/>
      <c r="E208" s="61"/>
      <c r="F208" s="61"/>
      <c r="G208" s="61"/>
      <c r="H208" s="61"/>
      <c r="I208" s="61"/>
      <c r="J208" s="17"/>
      <c r="K208" s="17"/>
      <c r="L208" s="17"/>
      <c r="M208" s="17"/>
      <c r="N208" s="17"/>
      <c r="O208" s="17"/>
      <c r="P208" s="17"/>
      <c r="Q208" s="17"/>
      <c r="R208" s="17"/>
      <c r="S208" s="17"/>
      <c r="T208" s="17"/>
      <c r="U208" s="17"/>
      <c r="V208" s="17"/>
      <c r="W208" s="17"/>
      <c r="X208" s="17"/>
      <c r="Y208" s="17"/>
      <c r="Z208" s="17"/>
    </row>
    <row r="209" ht="17.25" customHeight="1">
      <c r="A209" s="17"/>
      <c r="B209" s="61"/>
      <c r="C209" s="61"/>
      <c r="D209" s="61"/>
      <c r="E209" s="61"/>
      <c r="F209" s="61"/>
      <c r="G209" s="61"/>
      <c r="H209" s="61"/>
      <c r="I209" s="61"/>
      <c r="J209" s="17"/>
      <c r="K209" s="17"/>
      <c r="L209" s="17"/>
      <c r="M209" s="17"/>
      <c r="N209" s="17"/>
      <c r="O209" s="17"/>
      <c r="P209" s="17"/>
      <c r="Q209" s="17"/>
      <c r="R209" s="17"/>
      <c r="S209" s="17"/>
      <c r="T209" s="17"/>
      <c r="U209" s="17"/>
      <c r="V209" s="17"/>
      <c r="W209" s="17"/>
      <c r="X209" s="17"/>
      <c r="Y209" s="17"/>
      <c r="Z209" s="17"/>
    </row>
    <row r="210" ht="17.25" customHeight="1">
      <c r="A210" s="17"/>
      <c r="B210" s="61"/>
      <c r="C210" s="61"/>
      <c r="D210" s="61"/>
      <c r="E210" s="61"/>
      <c r="F210" s="61"/>
      <c r="G210" s="61"/>
      <c r="H210" s="61"/>
      <c r="I210" s="61"/>
      <c r="J210" s="17"/>
      <c r="K210" s="17"/>
      <c r="L210" s="17"/>
      <c r="M210" s="17"/>
      <c r="N210" s="17"/>
      <c r="O210" s="17"/>
      <c r="P210" s="17"/>
      <c r="Q210" s="17"/>
      <c r="R210" s="17"/>
      <c r="S210" s="17"/>
      <c r="T210" s="17"/>
      <c r="U210" s="17"/>
      <c r="V210" s="17"/>
      <c r="W210" s="17"/>
      <c r="X210" s="17"/>
      <c r="Y210" s="17"/>
      <c r="Z210" s="17"/>
    </row>
    <row r="211" ht="17.25" customHeight="1">
      <c r="A211" s="17"/>
      <c r="B211" s="61"/>
      <c r="C211" s="61"/>
      <c r="D211" s="61"/>
      <c r="E211" s="61"/>
      <c r="F211" s="61"/>
      <c r="G211" s="61"/>
      <c r="H211" s="61"/>
      <c r="I211" s="61"/>
      <c r="J211" s="17"/>
      <c r="K211" s="17"/>
      <c r="L211" s="17"/>
      <c r="M211" s="17"/>
      <c r="N211" s="17"/>
      <c r="O211" s="17"/>
      <c r="P211" s="17"/>
      <c r="Q211" s="17"/>
      <c r="R211" s="17"/>
      <c r="S211" s="17"/>
      <c r="T211" s="17"/>
      <c r="U211" s="17"/>
      <c r="V211" s="17"/>
      <c r="W211" s="17"/>
      <c r="X211" s="17"/>
      <c r="Y211" s="17"/>
      <c r="Z211" s="17"/>
    </row>
    <row r="212" ht="17.25" customHeight="1">
      <c r="A212" s="17"/>
      <c r="B212" s="61"/>
      <c r="C212" s="61"/>
      <c r="D212" s="61"/>
      <c r="E212" s="61"/>
      <c r="F212" s="61"/>
      <c r="G212" s="61"/>
      <c r="H212" s="61"/>
      <c r="I212" s="61"/>
      <c r="J212" s="17"/>
      <c r="K212" s="17"/>
      <c r="L212" s="17"/>
      <c r="M212" s="17"/>
      <c r="N212" s="17"/>
      <c r="O212" s="17"/>
      <c r="P212" s="17"/>
      <c r="Q212" s="17"/>
      <c r="R212" s="17"/>
      <c r="S212" s="17"/>
      <c r="T212" s="17"/>
      <c r="U212" s="17"/>
      <c r="V212" s="17"/>
      <c r="W212" s="17"/>
      <c r="X212" s="17"/>
      <c r="Y212" s="17"/>
      <c r="Z212" s="17"/>
    </row>
    <row r="213" ht="17.25" customHeight="1">
      <c r="A213" s="17"/>
      <c r="B213" s="61"/>
      <c r="C213" s="61"/>
      <c r="D213" s="61"/>
      <c r="E213" s="61"/>
      <c r="F213" s="61"/>
      <c r="G213" s="61"/>
      <c r="H213" s="61"/>
      <c r="I213" s="61"/>
      <c r="J213" s="17"/>
      <c r="K213" s="17"/>
      <c r="L213" s="17"/>
      <c r="M213" s="17"/>
      <c r="N213" s="17"/>
      <c r="O213" s="17"/>
      <c r="P213" s="17"/>
      <c r="Q213" s="17"/>
      <c r="R213" s="17"/>
      <c r="S213" s="17"/>
      <c r="T213" s="17"/>
      <c r="U213" s="17"/>
      <c r="V213" s="17"/>
      <c r="W213" s="17"/>
      <c r="X213" s="17"/>
      <c r="Y213" s="17"/>
      <c r="Z213" s="17"/>
    </row>
    <row r="214" ht="17.25" customHeight="1">
      <c r="A214" s="17"/>
      <c r="B214" s="61"/>
      <c r="C214" s="61"/>
      <c r="D214" s="61"/>
      <c r="E214" s="61"/>
      <c r="F214" s="61"/>
      <c r="G214" s="61"/>
      <c r="H214" s="61"/>
      <c r="I214" s="61"/>
      <c r="J214" s="17"/>
      <c r="K214" s="17"/>
      <c r="L214" s="17"/>
      <c r="M214" s="17"/>
      <c r="N214" s="17"/>
      <c r="O214" s="17"/>
      <c r="P214" s="17"/>
      <c r="Q214" s="17"/>
      <c r="R214" s="17"/>
      <c r="S214" s="17"/>
      <c r="T214" s="17"/>
      <c r="U214" s="17"/>
      <c r="V214" s="17"/>
      <c r="W214" s="17"/>
      <c r="X214" s="17"/>
      <c r="Y214" s="17"/>
      <c r="Z214" s="17"/>
    </row>
    <row r="215" ht="17.25" customHeight="1">
      <c r="A215" s="17"/>
      <c r="B215" s="61"/>
      <c r="C215" s="61"/>
      <c r="D215" s="61"/>
      <c r="E215" s="61"/>
      <c r="F215" s="61"/>
      <c r="G215" s="61"/>
      <c r="H215" s="61"/>
      <c r="I215" s="61"/>
      <c r="J215" s="17"/>
      <c r="K215" s="17"/>
      <c r="L215" s="17"/>
      <c r="M215" s="17"/>
      <c r="N215" s="17"/>
      <c r="O215" s="17"/>
      <c r="P215" s="17"/>
      <c r="Q215" s="17"/>
      <c r="R215" s="17"/>
      <c r="S215" s="17"/>
      <c r="T215" s="17"/>
      <c r="U215" s="17"/>
      <c r="V215" s="17"/>
      <c r="W215" s="17"/>
      <c r="X215" s="17"/>
      <c r="Y215" s="17"/>
      <c r="Z215" s="17"/>
    </row>
    <row r="216" ht="17.25" customHeight="1">
      <c r="A216" s="17"/>
      <c r="B216" s="61"/>
      <c r="C216" s="61"/>
      <c r="D216" s="61"/>
      <c r="E216" s="61"/>
      <c r="F216" s="61"/>
      <c r="G216" s="61"/>
      <c r="H216" s="61"/>
      <c r="I216" s="61"/>
      <c r="J216" s="17"/>
      <c r="K216" s="17"/>
      <c r="L216" s="17"/>
      <c r="M216" s="17"/>
      <c r="N216" s="17"/>
      <c r="O216" s="17"/>
      <c r="P216" s="17"/>
      <c r="Q216" s="17"/>
      <c r="R216" s="17"/>
      <c r="S216" s="17"/>
      <c r="T216" s="17"/>
      <c r="U216" s="17"/>
      <c r="V216" s="17"/>
      <c r="W216" s="17"/>
      <c r="X216" s="17"/>
      <c r="Y216" s="17"/>
      <c r="Z216" s="17"/>
    </row>
    <row r="217" ht="17.25" customHeight="1">
      <c r="A217" s="17"/>
      <c r="B217" s="61"/>
      <c r="C217" s="61"/>
      <c r="D217" s="61"/>
      <c r="E217" s="61"/>
      <c r="F217" s="61"/>
      <c r="G217" s="61"/>
      <c r="H217" s="61"/>
      <c r="I217" s="61"/>
      <c r="J217" s="17"/>
      <c r="K217" s="17"/>
      <c r="L217" s="17"/>
      <c r="M217" s="17"/>
      <c r="N217" s="17"/>
      <c r="O217" s="17"/>
      <c r="P217" s="17"/>
      <c r="Q217" s="17"/>
      <c r="R217" s="17"/>
      <c r="S217" s="17"/>
      <c r="T217" s="17"/>
      <c r="U217" s="17"/>
      <c r="V217" s="17"/>
      <c r="W217" s="17"/>
      <c r="X217" s="17"/>
      <c r="Y217" s="17"/>
      <c r="Z217" s="17"/>
    </row>
    <row r="218" ht="17.25" customHeight="1">
      <c r="A218" s="17"/>
      <c r="B218" s="61"/>
      <c r="C218" s="61"/>
      <c r="D218" s="61"/>
      <c r="E218" s="61"/>
      <c r="F218" s="61"/>
      <c r="G218" s="61"/>
      <c r="H218" s="61"/>
      <c r="I218" s="61"/>
      <c r="J218" s="17"/>
      <c r="K218" s="17"/>
      <c r="L218" s="17"/>
      <c r="M218" s="17"/>
      <c r="N218" s="17"/>
      <c r="O218" s="17"/>
      <c r="P218" s="17"/>
      <c r="Q218" s="17"/>
      <c r="R218" s="17"/>
      <c r="S218" s="17"/>
      <c r="T218" s="17"/>
      <c r="U218" s="17"/>
      <c r="V218" s="17"/>
      <c r="W218" s="17"/>
      <c r="X218" s="17"/>
      <c r="Y218" s="17"/>
      <c r="Z218" s="17"/>
    </row>
    <row r="219" ht="17.25" customHeight="1">
      <c r="A219" s="17"/>
      <c r="B219" s="61"/>
      <c r="C219" s="61"/>
      <c r="D219" s="61"/>
      <c r="E219" s="61"/>
      <c r="F219" s="61"/>
      <c r="G219" s="61"/>
      <c r="H219" s="61"/>
      <c r="I219" s="61"/>
      <c r="J219" s="17"/>
      <c r="K219" s="17"/>
      <c r="L219" s="17"/>
      <c r="M219" s="17"/>
      <c r="N219" s="17"/>
      <c r="O219" s="17"/>
      <c r="P219" s="17"/>
      <c r="Q219" s="17"/>
      <c r="R219" s="17"/>
      <c r="S219" s="17"/>
      <c r="T219" s="17"/>
      <c r="U219" s="17"/>
      <c r="V219" s="17"/>
      <c r="W219" s="17"/>
      <c r="X219" s="17"/>
      <c r="Y219" s="17"/>
      <c r="Z219" s="17"/>
    </row>
    <row r="220" ht="17.25" customHeight="1">
      <c r="A220" s="17"/>
      <c r="B220" s="61"/>
      <c r="C220" s="61"/>
      <c r="D220" s="61"/>
      <c r="E220" s="61"/>
      <c r="F220" s="61"/>
      <c r="G220" s="61"/>
      <c r="H220" s="61"/>
      <c r="I220" s="61"/>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1" width="10.71"/>
  </cols>
  <sheetData>
    <row r="1">
      <c r="A1" s="240" t="s">
        <v>126</v>
      </c>
      <c r="B1" s="241">
        <v>42369.0</v>
      </c>
      <c r="C1" s="241">
        <v>42735.0</v>
      </c>
      <c r="D1" s="241">
        <v>43101.0</v>
      </c>
      <c r="E1" s="241">
        <v>43465.0</v>
      </c>
      <c r="F1" s="241">
        <v>43830.0</v>
      </c>
      <c r="G1" s="241">
        <v>44196.0</v>
      </c>
      <c r="H1" s="241">
        <v>44561.0</v>
      </c>
      <c r="I1" s="241">
        <v>44926.0</v>
      </c>
      <c r="J1" s="241">
        <v>45291.0</v>
      </c>
      <c r="K1" s="241">
        <v>45657.0</v>
      </c>
      <c r="L1" s="242" t="s">
        <v>96</v>
      </c>
    </row>
    <row r="2">
      <c r="A2" s="243"/>
      <c r="B2" s="244"/>
      <c r="C2" s="244"/>
      <c r="D2" s="244"/>
      <c r="E2" s="244"/>
      <c r="F2" s="244"/>
      <c r="G2" s="244"/>
      <c r="H2" s="244"/>
      <c r="I2" s="244"/>
      <c r="J2" s="244"/>
      <c r="K2" s="244"/>
      <c r="L2" s="244"/>
      <c r="M2" s="243"/>
      <c r="N2" s="243"/>
      <c r="O2" s="243"/>
      <c r="P2" s="243"/>
      <c r="Q2" s="243"/>
      <c r="R2" s="243"/>
      <c r="S2" s="243"/>
      <c r="T2" s="243"/>
      <c r="U2" s="243"/>
      <c r="V2" s="243"/>
      <c r="W2" s="243"/>
      <c r="X2" s="243"/>
      <c r="Y2" s="243"/>
      <c r="Z2" s="243"/>
    </row>
    <row r="3">
      <c r="A3" s="245" t="s">
        <v>127</v>
      </c>
      <c r="B3" s="246">
        <v>53272.0</v>
      </c>
      <c r="C3" s="246">
        <v>52713.0</v>
      </c>
      <c r="D3" s="246">
        <v>53715.0</v>
      </c>
      <c r="E3" s="246">
        <v>50982.0</v>
      </c>
      <c r="F3" s="246">
        <v>51980.0</v>
      </c>
      <c r="G3" s="246">
        <v>50724.0</v>
      </c>
      <c r="H3" s="246">
        <v>52444.0</v>
      </c>
      <c r="I3" s="246">
        <v>60073.0</v>
      </c>
      <c r="J3" s="246">
        <v>59604.0</v>
      </c>
      <c r="K3" s="246">
        <v>60761.0</v>
      </c>
      <c r="L3" s="246">
        <v>60761.0</v>
      </c>
    </row>
    <row r="4">
      <c r="A4" s="247" t="s">
        <v>128</v>
      </c>
      <c r="B4" s="248">
        <v>53272.0</v>
      </c>
      <c r="C4" s="248">
        <v>52713.0</v>
      </c>
      <c r="D4" s="248">
        <v>53715.0</v>
      </c>
      <c r="E4" s="248">
        <v>50982.0</v>
      </c>
      <c r="F4" s="248">
        <v>51980.0</v>
      </c>
      <c r="G4" s="248">
        <v>50724.0</v>
      </c>
      <c r="H4" s="248">
        <v>52444.0</v>
      </c>
      <c r="I4" s="248">
        <v>60073.0</v>
      </c>
      <c r="J4" s="248">
        <v>59604.0</v>
      </c>
      <c r="K4" s="248">
        <v>60761.0</v>
      </c>
      <c r="L4" s="248">
        <v>60761.0</v>
      </c>
    </row>
    <row r="5">
      <c r="A5" s="249" t="s">
        <v>129</v>
      </c>
      <c r="B5" s="250"/>
      <c r="C5" s="251" t="s">
        <v>130</v>
      </c>
      <c r="D5" s="252" t="s">
        <v>131</v>
      </c>
      <c r="E5" s="251" t="s">
        <v>132</v>
      </c>
      <c r="F5" s="252" t="s">
        <v>133</v>
      </c>
      <c r="G5" s="251" t="s">
        <v>134</v>
      </c>
      <c r="H5" s="252" t="s">
        <v>135</v>
      </c>
      <c r="I5" s="252" t="s">
        <v>136</v>
      </c>
      <c r="J5" s="251" t="s">
        <v>137</v>
      </c>
      <c r="K5" s="252" t="s">
        <v>131</v>
      </c>
      <c r="L5" s="253"/>
    </row>
    <row r="6">
      <c r="A6" s="245" t="s">
        <v>138</v>
      </c>
      <c r="B6" s="254">
        <v>-30808.0</v>
      </c>
      <c r="C6" s="254">
        <v>-30229.0</v>
      </c>
      <c r="D6" s="254">
        <v>-30484.0</v>
      </c>
      <c r="E6" s="254">
        <v>-28703.0</v>
      </c>
      <c r="F6" s="254">
        <v>-29102.0</v>
      </c>
      <c r="G6" s="254">
        <v>-28684.0</v>
      </c>
      <c r="H6" s="254">
        <v>-30259.0</v>
      </c>
      <c r="I6" s="254">
        <v>-35906.0</v>
      </c>
      <c r="J6" s="254">
        <v>-34429.0</v>
      </c>
      <c r="K6" s="255"/>
      <c r="L6" s="255"/>
    </row>
    <row r="7">
      <c r="A7" s="256" t="s">
        <v>139</v>
      </c>
      <c r="B7" s="257">
        <v>22464.0</v>
      </c>
      <c r="C7" s="257">
        <v>22484.0</v>
      </c>
      <c r="D7" s="257">
        <v>23231.0</v>
      </c>
      <c r="E7" s="257">
        <v>22279.0</v>
      </c>
      <c r="F7" s="257">
        <v>22878.0</v>
      </c>
      <c r="G7" s="257">
        <v>22040.0</v>
      </c>
      <c r="H7" s="257">
        <v>22185.0</v>
      </c>
      <c r="I7" s="257">
        <v>24167.0</v>
      </c>
      <c r="J7" s="257">
        <v>25175.0</v>
      </c>
      <c r="K7" s="257">
        <v>60761.0</v>
      </c>
      <c r="L7" s="257">
        <v>60761.0</v>
      </c>
    </row>
    <row r="8">
      <c r="A8" s="249" t="s">
        <v>129</v>
      </c>
      <c r="B8" s="250"/>
      <c r="C8" s="252" t="s">
        <v>140</v>
      </c>
      <c r="D8" s="252" t="s">
        <v>141</v>
      </c>
      <c r="E8" s="251" t="s">
        <v>142</v>
      </c>
      <c r="F8" s="252" t="s">
        <v>143</v>
      </c>
      <c r="G8" s="251" t="s">
        <v>144</v>
      </c>
      <c r="H8" s="252" t="s">
        <v>145</v>
      </c>
      <c r="I8" s="252" t="s">
        <v>146</v>
      </c>
      <c r="J8" s="252" t="s">
        <v>147</v>
      </c>
      <c r="K8" s="252" t="s">
        <v>148</v>
      </c>
      <c r="L8" s="253"/>
    </row>
    <row r="9">
      <c r="A9" s="249" t="s">
        <v>149</v>
      </c>
      <c r="B9" s="252" t="s">
        <v>150</v>
      </c>
      <c r="C9" s="252" t="s">
        <v>151</v>
      </c>
      <c r="D9" s="252" t="s">
        <v>152</v>
      </c>
      <c r="E9" s="252" t="s">
        <v>153</v>
      </c>
      <c r="F9" s="252" t="s">
        <v>154</v>
      </c>
      <c r="G9" s="252" t="s">
        <v>155</v>
      </c>
      <c r="H9" s="252" t="s">
        <v>156</v>
      </c>
      <c r="I9" s="252" t="s">
        <v>157</v>
      </c>
      <c r="J9" s="252" t="s">
        <v>150</v>
      </c>
      <c r="K9" s="252" t="s">
        <v>158</v>
      </c>
      <c r="L9" s="252" t="s">
        <v>158</v>
      </c>
    </row>
    <row r="10">
      <c r="A10" s="245" t="s">
        <v>159</v>
      </c>
      <c r="B10" s="254">
        <v>-14065.0</v>
      </c>
      <c r="C10" s="254">
        <v>-13799.0</v>
      </c>
      <c r="D10" s="254">
        <v>-12927.0</v>
      </c>
      <c r="E10" s="254">
        <v>-11941.0</v>
      </c>
      <c r="F10" s="254">
        <v>-12121.0</v>
      </c>
      <c r="G10" s="254">
        <v>-11882.0</v>
      </c>
      <c r="H10" s="254">
        <v>-12559.0</v>
      </c>
      <c r="I10" s="254">
        <v>-14440.0</v>
      </c>
      <c r="J10" s="254">
        <v>-15134.0</v>
      </c>
      <c r="K10" s="246">
        <v>71.0</v>
      </c>
      <c r="L10" s="246">
        <v>71.0</v>
      </c>
    </row>
    <row r="11">
      <c r="A11" s="245" t="s">
        <v>160</v>
      </c>
      <c r="B11" s="254">
        <v>-1005.0</v>
      </c>
      <c r="C11" s="254">
        <v>-978.0</v>
      </c>
      <c r="D11" s="254">
        <v>-900.0</v>
      </c>
      <c r="E11" s="254">
        <v>-900.0</v>
      </c>
      <c r="F11" s="254">
        <v>-840.0</v>
      </c>
      <c r="G11" s="254">
        <v>-800.0</v>
      </c>
      <c r="H11" s="255"/>
      <c r="I11" s="255"/>
      <c r="J11" s="255"/>
      <c r="K11" s="255"/>
      <c r="L11" s="255"/>
    </row>
    <row r="12">
      <c r="A12" s="245" t="s">
        <v>161</v>
      </c>
      <c r="B12" s="255"/>
      <c r="C12" s="255"/>
      <c r="D12" s="255"/>
      <c r="E12" s="254">
        <v>-109.0</v>
      </c>
      <c r="F12" s="255"/>
      <c r="G12" s="255"/>
      <c r="H12" s="246">
        <v>11.0</v>
      </c>
      <c r="I12" s="254">
        <v>-91.0</v>
      </c>
      <c r="J12" s="246">
        <v>27.0</v>
      </c>
      <c r="K12" s="254">
        <v>-49582.0</v>
      </c>
      <c r="L12" s="254">
        <v>-49582.0</v>
      </c>
    </row>
    <row r="13">
      <c r="A13" s="256" t="s">
        <v>162</v>
      </c>
      <c r="B13" s="258">
        <v>-15070.0</v>
      </c>
      <c r="C13" s="258">
        <v>-14777.0</v>
      </c>
      <c r="D13" s="258">
        <v>-13827.0</v>
      </c>
      <c r="E13" s="258">
        <v>-12950.0</v>
      </c>
      <c r="F13" s="258">
        <v>-12961.0</v>
      </c>
      <c r="G13" s="258">
        <v>-12682.0</v>
      </c>
      <c r="H13" s="258">
        <v>-12548.0</v>
      </c>
      <c r="I13" s="258">
        <v>-14531.0</v>
      </c>
      <c r="J13" s="258">
        <v>-15107.0</v>
      </c>
      <c r="K13" s="258">
        <v>-49511.0</v>
      </c>
      <c r="L13" s="258">
        <v>-49511.0</v>
      </c>
    </row>
    <row r="14">
      <c r="A14" s="247" t="s">
        <v>163</v>
      </c>
      <c r="B14" s="248">
        <v>7394.0</v>
      </c>
      <c r="C14" s="248">
        <v>7707.0</v>
      </c>
      <c r="D14" s="248">
        <v>9404.0</v>
      </c>
      <c r="E14" s="248">
        <v>9329.0</v>
      </c>
      <c r="F14" s="248">
        <v>9917.0</v>
      </c>
      <c r="G14" s="248">
        <v>9358.0</v>
      </c>
      <c r="H14" s="248">
        <v>9637.0</v>
      </c>
      <c r="I14" s="248">
        <v>9636.0</v>
      </c>
      <c r="J14" s="248">
        <v>10068.0</v>
      </c>
      <c r="K14" s="248">
        <v>11250.0</v>
      </c>
      <c r="L14" s="248">
        <v>11250.0</v>
      </c>
    </row>
    <row r="15">
      <c r="A15" s="249" t="s">
        <v>129</v>
      </c>
      <c r="B15" s="250"/>
      <c r="C15" s="252" t="s">
        <v>147</v>
      </c>
      <c r="D15" s="252" t="s">
        <v>164</v>
      </c>
      <c r="E15" s="251" t="s">
        <v>137</v>
      </c>
      <c r="F15" s="252" t="s">
        <v>165</v>
      </c>
      <c r="G15" s="251" t="s">
        <v>166</v>
      </c>
      <c r="H15" s="252" t="s">
        <v>167</v>
      </c>
      <c r="I15" s="251" t="s">
        <v>168</v>
      </c>
      <c r="J15" s="252" t="s">
        <v>169</v>
      </c>
      <c r="K15" s="252" t="s">
        <v>170</v>
      </c>
      <c r="L15" s="253"/>
    </row>
    <row r="16">
      <c r="A16" s="249" t="s">
        <v>171</v>
      </c>
      <c r="B16" s="252" t="s">
        <v>172</v>
      </c>
      <c r="C16" s="252" t="s">
        <v>173</v>
      </c>
      <c r="D16" s="252" t="s">
        <v>174</v>
      </c>
      <c r="E16" s="252" t="s">
        <v>175</v>
      </c>
      <c r="F16" s="252" t="s">
        <v>176</v>
      </c>
      <c r="G16" s="252" t="s">
        <v>177</v>
      </c>
      <c r="H16" s="252" t="s">
        <v>177</v>
      </c>
      <c r="I16" s="252" t="s">
        <v>178</v>
      </c>
      <c r="J16" s="252" t="s">
        <v>179</v>
      </c>
      <c r="K16" s="252" t="s">
        <v>180</v>
      </c>
      <c r="L16" s="252" t="s">
        <v>180</v>
      </c>
    </row>
    <row r="17">
      <c r="A17" s="245" t="s">
        <v>27</v>
      </c>
      <c r="B17" s="254">
        <v>-552.0</v>
      </c>
      <c r="C17" s="254">
        <v>-572.0</v>
      </c>
      <c r="D17" s="254">
        <v>-696.0</v>
      </c>
      <c r="E17" s="254">
        <v>-731.0</v>
      </c>
      <c r="F17" s="254">
        <v>-763.0</v>
      </c>
      <c r="G17" s="254">
        <v>-703.0</v>
      </c>
      <c r="H17" s="254">
        <v>-498.0</v>
      </c>
      <c r="I17" s="254">
        <v>-789.0</v>
      </c>
      <c r="J17" s="254">
        <v>-1075.0</v>
      </c>
      <c r="K17" s="254">
        <v>-1113.0</v>
      </c>
      <c r="L17" s="254">
        <v>-1113.0</v>
      </c>
    </row>
    <row r="18">
      <c r="A18" s="245" t="s">
        <v>181</v>
      </c>
      <c r="B18" s="246">
        <v>235.0</v>
      </c>
      <c r="C18" s="246">
        <v>219.0</v>
      </c>
      <c r="D18" s="246">
        <v>175.0</v>
      </c>
      <c r="E18" s="246">
        <v>157.0</v>
      </c>
      <c r="F18" s="246">
        <v>224.0</v>
      </c>
      <c r="G18" s="246">
        <v>235.0</v>
      </c>
      <c r="H18" s="246">
        <v>238.0</v>
      </c>
      <c r="I18" s="246">
        <v>305.0</v>
      </c>
      <c r="J18" s="246">
        <v>442.0</v>
      </c>
      <c r="K18" s="246">
        <v>451.0</v>
      </c>
      <c r="L18" s="246">
        <v>451.0</v>
      </c>
    </row>
    <row r="19">
      <c r="A19" s="245" t="s">
        <v>182</v>
      </c>
      <c r="B19" s="246">
        <v>107.0</v>
      </c>
      <c r="C19" s="246">
        <v>127.0</v>
      </c>
      <c r="D19" s="246">
        <v>155.0</v>
      </c>
      <c r="E19" s="246">
        <v>185.0</v>
      </c>
      <c r="F19" s="246">
        <v>176.0</v>
      </c>
      <c r="G19" s="246">
        <v>175.0</v>
      </c>
      <c r="H19" s="246">
        <v>191.0</v>
      </c>
      <c r="I19" s="246">
        <v>208.0</v>
      </c>
      <c r="J19" s="246">
        <v>231.0</v>
      </c>
      <c r="K19" s="246">
        <v>255.0</v>
      </c>
      <c r="L19" s="246">
        <v>255.0</v>
      </c>
    </row>
    <row r="20">
      <c r="A20" s="245" t="s">
        <v>183</v>
      </c>
      <c r="B20" s="246">
        <v>36.0</v>
      </c>
      <c r="C20" s="254">
        <v>-12.0</v>
      </c>
      <c r="D20" s="246">
        <v>13.0</v>
      </c>
      <c r="E20" s="246">
        <v>13.0</v>
      </c>
      <c r="F20" s="254">
        <v>-58.0</v>
      </c>
      <c r="G20" s="254">
        <v>-25.0</v>
      </c>
      <c r="H20" s="246">
        <v>7.0</v>
      </c>
      <c r="I20" s="254">
        <v>-29.0</v>
      </c>
      <c r="J20" s="246">
        <v>37.0</v>
      </c>
      <c r="K20" s="255"/>
      <c r="L20" s="255"/>
    </row>
    <row r="21" ht="15.75" customHeight="1">
      <c r="A21" s="245" t="s">
        <v>184</v>
      </c>
      <c r="B21" s="255"/>
      <c r="C21" s="255"/>
      <c r="D21" s="255"/>
      <c r="E21" s="255"/>
      <c r="F21" s="255"/>
      <c r="G21" s="255"/>
      <c r="H21" s="255"/>
      <c r="I21" s="255"/>
      <c r="J21" s="255"/>
      <c r="K21" s="255"/>
      <c r="L21" s="255"/>
    </row>
    <row r="22" ht="15.75" customHeight="1">
      <c r="A22" s="256" t="s">
        <v>185</v>
      </c>
      <c r="B22" s="257">
        <v>7220.0</v>
      </c>
      <c r="C22" s="257">
        <v>7469.0</v>
      </c>
      <c r="D22" s="257">
        <v>9051.0</v>
      </c>
      <c r="E22" s="257">
        <v>8953.0</v>
      </c>
      <c r="F22" s="257">
        <v>9496.0</v>
      </c>
      <c r="G22" s="257">
        <v>9040.0</v>
      </c>
      <c r="H22" s="257">
        <v>9575.0</v>
      </c>
      <c r="I22" s="257">
        <v>9331.0</v>
      </c>
      <c r="J22" s="257">
        <v>9703.0</v>
      </c>
      <c r="K22" s="257">
        <v>10843.0</v>
      </c>
      <c r="L22" s="257">
        <v>10843.0</v>
      </c>
    </row>
    <row r="23" ht="15.75" customHeight="1">
      <c r="A23" s="245" t="s">
        <v>186</v>
      </c>
      <c r="B23" s="255"/>
      <c r="C23" s="255"/>
      <c r="D23" s="254">
        <v>-797.0</v>
      </c>
      <c r="E23" s="254">
        <v>-838.0</v>
      </c>
      <c r="F23" s="254">
        <v>-1291.0</v>
      </c>
      <c r="G23" s="254">
        <v>-985.0</v>
      </c>
      <c r="H23" s="254">
        <v>-964.0</v>
      </c>
      <c r="I23" s="254">
        <v>-827.0</v>
      </c>
      <c r="J23" s="254">
        <v>-741.0</v>
      </c>
      <c r="K23" s="254">
        <v>-944.0</v>
      </c>
      <c r="L23" s="254">
        <v>-944.0</v>
      </c>
    </row>
    <row r="24" ht="15.75" customHeight="1">
      <c r="A24" s="245" t="s">
        <v>187</v>
      </c>
      <c r="B24" s="255"/>
      <c r="C24" s="255"/>
      <c r="D24" s="255"/>
      <c r="E24" s="255"/>
      <c r="F24" s="254">
        <v>-18.0</v>
      </c>
      <c r="G24" s="255"/>
      <c r="H24" s="255"/>
      <c r="I24" s="255"/>
      <c r="J24" s="255"/>
      <c r="K24" s="255"/>
      <c r="L24" s="255"/>
    </row>
    <row r="25" ht="15.75" customHeight="1">
      <c r="A25" s="245" t="s">
        <v>188</v>
      </c>
      <c r="B25" s="255"/>
      <c r="C25" s="255"/>
      <c r="D25" s="255"/>
      <c r="E25" s="255"/>
      <c r="F25" s="255"/>
      <c r="G25" s="255"/>
      <c r="H25" s="255"/>
      <c r="I25" s="255"/>
      <c r="J25" s="254">
        <v>-22.0</v>
      </c>
      <c r="K25" s="255"/>
      <c r="L25" s="255"/>
    </row>
    <row r="26" ht="15.75" customHeight="1">
      <c r="A26" s="245" t="s">
        <v>189</v>
      </c>
      <c r="B26" s="255"/>
      <c r="C26" s="255"/>
      <c r="D26" s="246">
        <v>334.0</v>
      </c>
      <c r="E26" s="246">
        <v>4331.0</v>
      </c>
      <c r="F26" s="246">
        <v>70.0</v>
      </c>
      <c r="G26" s="246">
        <v>8.0</v>
      </c>
      <c r="H26" s="246">
        <v>36.0</v>
      </c>
      <c r="I26" s="246">
        <v>2335.0</v>
      </c>
      <c r="J26" s="246">
        <v>489.0</v>
      </c>
      <c r="K26" s="254">
        <v>-406.0</v>
      </c>
      <c r="L26" s="254">
        <v>-406.0</v>
      </c>
    </row>
    <row r="27" ht="15.75" customHeight="1">
      <c r="A27" s="245" t="s">
        <v>190</v>
      </c>
      <c r="B27" s="255"/>
      <c r="C27" s="255"/>
      <c r="D27" s="255"/>
      <c r="E27" s="254">
        <v>-208.0</v>
      </c>
      <c r="F27" s="255"/>
      <c r="G27" s="255"/>
      <c r="H27" s="254">
        <v>-17.0</v>
      </c>
      <c r="I27" s="254">
        <v>-221.0</v>
      </c>
      <c r="J27" s="254">
        <v>-1.0</v>
      </c>
      <c r="K27" s="254">
        <v>-133.0</v>
      </c>
      <c r="L27" s="254">
        <v>-133.0</v>
      </c>
    </row>
    <row r="28" ht="15.75" customHeight="1">
      <c r="A28" s="245" t="s">
        <v>191</v>
      </c>
      <c r="B28" s="255"/>
      <c r="C28" s="255"/>
      <c r="D28" s="254">
        <v>-80.0</v>
      </c>
      <c r="E28" s="255"/>
      <c r="F28" s="255"/>
      <c r="G28" s="254">
        <v>-87.0</v>
      </c>
      <c r="H28" s="255"/>
      <c r="I28" s="254">
        <v>-82.0</v>
      </c>
      <c r="J28" s="246">
        <v>107.0</v>
      </c>
      <c r="K28" s="255"/>
      <c r="L28" s="255"/>
    </row>
    <row r="29" ht="15.75" customHeight="1">
      <c r="A29" s="245" t="s">
        <v>192</v>
      </c>
      <c r="B29" s="255"/>
      <c r="C29" s="255"/>
      <c r="D29" s="254">
        <v>-382.0</v>
      </c>
      <c r="E29" s="246">
        <v>122.0</v>
      </c>
      <c r="F29" s="246">
        <v>32.0</v>
      </c>
      <c r="G29" s="246">
        <v>20.0</v>
      </c>
      <c r="H29" s="254">
        <v>-74.0</v>
      </c>
      <c r="I29" s="254">
        <v>-199.0</v>
      </c>
      <c r="J29" s="254">
        <v>-196.0</v>
      </c>
      <c r="K29" s="254">
        <v>-491.0</v>
      </c>
      <c r="L29" s="254">
        <v>-491.0</v>
      </c>
    </row>
    <row r="30" ht="15.75" customHeight="1">
      <c r="A30" s="256" t="s">
        <v>193</v>
      </c>
      <c r="B30" s="257">
        <v>7220.0</v>
      </c>
      <c r="C30" s="257">
        <v>7469.0</v>
      </c>
      <c r="D30" s="257">
        <v>8126.0</v>
      </c>
      <c r="E30" s="257">
        <v>12360.0</v>
      </c>
      <c r="F30" s="257">
        <v>8289.0</v>
      </c>
      <c r="G30" s="257">
        <v>7996.0</v>
      </c>
      <c r="H30" s="257">
        <v>8556.0</v>
      </c>
      <c r="I30" s="257">
        <v>10337.0</v>
      </c>
      <c r="J30" s="257">
        <v>9339.0</v>
      </c>
      <c r="K30" s="257">
        <v>8869.0</v>
      </c>
      <c r="L30" s="257">
        <v>8869.0</v>
      </c>
    </row>
    <row r="31" ht="15.75" customHeight="1">
      <c r="A31" s="245" t="s">
        <v>194</v>
      </c>
      <c r="B31" s="254">
        <v>-1961.0</v>
      </c>
      <c r="C31" s="254">
        <v>-1922.0</v>
      </c>
      <c r="D31" s="254">
        <v>-1670.0</v>
      </c>
      <c r="E31" s="254">
        <v>-2572.0</v>
      </c>
      <c r="F31" s="254">
        <v>-2263.0</v>
      </c>
      <c r="G31" s="254">
        <v>-1923.0</v>
      </c>
      <c r="H31" s="254">
        <v>-1935.0</v>
      </c>
      <c r="I31" s="254">
        <v>-2068.0</v>
      </c>
      <c r="J31" s="254">
        <v>-2199.0</v>
      </c>
      <c r="K31" s="254">
        <v>-2500.0</v>
      </c>
      <c r="L31" s="254">
        <v>-2500.0</v>
      </c>
    </row>
    <row r="32" ht="15.75" customHeight="1">
      <c r="A32" s="256" t="s">
        <v>195</v>
      </c>
      <c r="B32" s="257">
        <v>5259.0</v>
      </c>
      <c r="C32" s="257">
        <v>5547.0</v>
      </c>
      <c r="D32" s="257">
        <v>6456.0</v>
      </c>
      <c r="E32" s="257">
        <v>9788.0</v>
      </c>
      <c r="F32" s="257">
        <v>6026.0</v>
      </c>
      <c r="G32" s="257">
        <v>6073.0</v>
      </c>
      <c r="H32" s="257">
        <v>6621.0</v>
      </c>
      <c r="I32" s="257">
        <v>8269.0</v>
      </c>
      <c r="J32" s="257">
        <v>7140.0</v>
      </c>
      <c r="K32" s="257">
        <v>6369.0</v>
      </c>
      <c r="L32" s="257">
        <v>6369.0</v>
      </c>
    </row>
    <row r="33" ht="15.75" customHeight="1">
      <c r="A33" s="245" t="s">
        <v>196</v>
      </c>
      <c r="B33" s="255"/>
      <c r="C33" s="255"/>
      <c r="D33" s="255"/>
      <c r="E33" s="255"/>
      <c r="F33" s="255"/>
      <c r="G33" s="255"/>
      <c r="H33" s="255"/>
      <c r="I33" s="255"/>
      <c r="J33" s="255"/>
      <c r="K33" s="255"/>
      <c r="L33" s="255"/>
    </row>
    <row r="34" ht="15.75" customHeight="1">
      <c r="A34" s="256" t="s">
        <v>197</v>
      </c>
      <c r="B34" s="257">
        <v>5259.0</v>
      </c>
      <c r="C34" s="257">
        <v>5547.0</v>
      </c>
      <c r="D34" s="257">
        <v>6456.0</v>
      </c>
      <c r="E34" s="257">
        <v>9788.0</v>
      </c>
      <c r="F34" s="257">
        <v>6026.0</v>
      </c>
      <c r="G34" s="257">
        <v>6073.0</v>
      </c>
      <c r="H34" s="257">
        <v>6621.0</v>
      </c>
      <c r="I34" s="257">
        <v>8269.0</v>
      </c>
      <c r="J34" s="257">
        <v>7140.0</v>
      </c>
      <c r="K34" s="257">
        <v>6369.0</v>
      </c>
      <c r="L34" s="257">
        <v>6369.0</v>
      </c>
    </row>
    <row r="35" ht="15.75" customHeight="1">
      <c r="A35" s="245" t="s">
        <v>198</v>
      </c>
      <c r="B35" s="254">
        <v>-350.0</v>
      </c>
      <c r="C35" s="254">
        <v>-363.0</v>
      </c>
      <c r="D35" s="254">
        <v>-433.0</v>
      </c>
      <c r="E35" s="254">
        <v>-419.0</v>
      </c>
      <c r="F35" s="254">
        <v>-401.0</v>
      </c>
      <c r="G35" s="254">
        <v>-492.0</v>
      </c>
      <c r="H35" s="254">
        <v>-572.0</v>
      </c>
      <c r="I35" s="254">
        <v>-627.0</v>
      </c>
      <c r="J35" s="254">
        <v>-653.0</v>
      </c>
      <c r="K35" s="254">
        <v>-625.0</v>
      </c>
      <c r="L35" s="254">
        <v>-625.0</v>
      </c>
    </row>
    <row r="36" ht="15.75" customHeight="1">
      <c r="A36" s="247" t="s">
        <v>36</v>
      </c>
      <c r="B36" s="248">
        <v>4909.0</v>
      </c>
      <c r="C36" s="248">
        <v>5184.0</v>
      </c>
      <c r="D36" s="248">
        <v>6023.0</v>
      </c>
      <c r="E36" s="248">
        <v>9369.0</v>
      </c>
      <c r="F36" s="248">
        <v>5625.0</v>
      </c>
      <c r="G36" s="248">
        <v>5581.0</v>
      </c>
      <c r="H36" s="248">
        <v>6049.0</v>
      </c>
      <c r="I36" s="248">
        <v>7642.0</v>
      </c>
      <c r="J36" s="248">
        <v>6487.0</v>
      </c>
      <c r="K36" s="248">
        <v>5744.0</v>
      </c>
      <c r="L36" s="248">
        <v>5744.0</v>
      </c>
    </row>
    <row r="37" ht="15.75" customHeight="1">
      <c r="A37" s="245" t="s">
        <v>199</v>
      </c>
      <c r="B37" s="259"/>
      <c r="C37" s="255"/>
      <c r="D37" s="259"/>
      <c r="E37" s="259"/>
      <c r="F37" s="255"/>
      <c r="G37" s="259"/>
      <c r="H37" s="255"/>
      <c r="I37" s="259"/>
      <c r="J37" s="255"/>
      <c r="K37" s="255"/>
      <c r="L37" s="255"/>
    </row>
    <row r="38" ht="15.75" customHeight="1">
      <c r="A38" s="247" t="s">
        <v>200</v>
      </c>
      <c r="B38" s="248">
        <v>4909.0</v>
      </c>
      <c r="C38" s="248">
        <v>5184.0</v>
      </c>
      <c r="D38" s="248">
        <v>6023.0</v>
      </c>
      <c r="E38" s="248">
        <v>9369.0</v>
      </c>
      <c r="F38" s="248">
        <v>5625.0</v>
      </c>
      <c r="G38" s="248">
        <v>5581.0</v>
      </c>
      <c r="H38" s="248">
        <v>6049.0</v>
      </c>
      <c r="I38" s="248">
        <v>7642.0</v>
      </c>
      <c r="J38" s="248">
        <v>6487.0</v>
      </c>
      <c r="K38" s="248">
        <v>5744.0</v>
      </c>
      <c r="L38" s="248">
        <v>5744.0</v>
      </c>
    </row>
    <row r="39" ht="15.75" customHeight="1">
      <c r="A39" s="249" t="s">
        <v>201</v>
      </c>
      <c r="B39" s="252" t="s">
        <v>202</v>
      </c>
      <c r="C39" s="252" t="s">
        <v>203</v>
      </c>
      <c r="D39" s="252" t="s">
        <v>204</v>
      </c>
      <c r="E39" s="252" t="s">
        <v>177</v>
      </c>
      <c r="F39" s="252" t="s">
        <v>205</v>
      </c>
      <c r="G39" s="252" t="s">
        <v>206</v>
      </c>
      <c r="H39" s="252" t="s">
        <v>207</v>
      </c>
      <c r="I39" s="252" t="s">
        <v>208</v>
      </c>
      <c r="J39" s="252" t="s">
        <v>209</v>
      </c>
      <c r="K39" s="252" t="s">
        <v>210</v>
      </c>
      <c r="L39" s="252" t="s">
        <v>210</v>
      </c>
    </row>
    <row r="40" ht="15.75" customHeight="1">
      <c r="A40" s="247" t="s">
        <v>211</v>
      </c>
      <c r="B40" s="248">
        <v>4909.0</v>
      </c>
      <c r="C40" s="248">
        <v>5184.0</v>
      </c>
      <c r="D40" s="248">
        <v>6023.0</v>
      </c>
      <c r="E40" s="248">
        <v>9369.0</v>
      </c>
      <c r="F40" s="248">
        <v>5625.0</v>
      </c>
      <c r="G40" s="248">
        <v>5581.0</v>
      </c>
      <c r="H40" s="248">
        <v>6049.0</v>
      </c>
      <c r="I40" s="248">
        <v>7642.0</v>
      </c>
      <c r="J40" s="248">
        <v>6487.0</v>
      </c>
      <c r="K40" s="248">
        <v>5744.0</v>
      </c>
      <c r="L40" s="248">
        <v>5744.0</v>
      </c>
    </row>
    <row r="41" ht="15.75" customHeight="1">
      <c r="A41" s="249" t="s">
        <v>212</v>
      </c>
      <c r="B41" s="252" t="s">
        <v>202</v>
      </c>
      <c r="C41" s="252" t="s">
        <v>203</v>
      </c>
      <c r="D41" s="252" t="s">
        <v>204</v>
      </c>
      <c r="E41" s="252" t="s">
        <v>177</v>
      </c>
      <c r="F41" s="252" t="s">
        <v>205</v>
      </c>
      <c r="G41" s="252" t="s">
        <v>206</v>
      </c>
      <c r="H41" s="252" t="s">
        <v>207</v>
      </c>
      <c r="I41" s="252" t="s">
        <v>208</v>
      </c>
      <c r="J41" s="252" t="s">
        <v>209</v>
      </c>
      <c r="K41" s="252" t="s">
        <v>210</v>
      </c>
      <c r="L41" s="252" t="s">
        <v>210</v>
      </c>
    </row>
    <row r="42" ht="15.75" customHeight="1">
      <c r="A42" s="249" t="s">
        <v>213</v>
      </c>
      <c r="B42" s="260"/>
      <c r="C42" s="260"/>
      <c r="D42" s="260"/>
      <c r="E42" s="260"/>
      <c r="F42" s="260"/>
      <c r="G42" s="260"/>
      <c r="H42" s="260"/>
      <c r="I42" s="260"/>
      <c r="J42" s="260"/>
      <c r="K42" s="260"/>
      <c r="L42" s="260"/>
    </row>
    <row r="43" ht="15.75" customHeight="1">
      <c r="A43" s="245" t="s">
        <v>214</v>
      </c>
      <c r="B43" s="246">
        <v>1.72</v>
      </c>
      <c r="C43" s="246">
        <v>1.82</v>
      </c>
      <c r="D43" s="246">
        <v>2.14</v>
      </c>
      <c r="E43" s="246">
        <v>3.48</v>
      </c>
      <c r="F43" s="246">
        <v>2.14</v>
      </c>
      <c r="G43" s="246">
        <v>2.12</v>
      </c>
      <c r="H43" s="246">
        <v>2.32</v>
      </c>
      <c r="I43" s="246">
        <v>2.99</v>
      </c>
      <c r="J43" s="246">
        <v>2.56</v>
      </c>
      <c r="K43" s="246">
        <v>2.29</v>
      </c>
      <c r="L43" s="246">
        <v>2.29</v>
      </c>
    </row>
    <row r="44" ht="15.75" customHeight="1">
      <c r="A44" s="261" t="s">
        <v>129</v>
      </c>
      <c r="B44" s="262"/>
      <c r="C44" s="263" t="s">
        <v>215</v>
      </c>
      <c r="D44" s="263" t="s">
        <v>216</v>
      </c>
      <c r="E44" s="263" t="s">
        <v>217</v>
      </c>
      <c r="F44" s="264" t="s">
        <v>218</v>
      </c>
      <c r="G44" s="264" t="s">
        <v>219</v>
      </c>
      <c r="H44" s="263" t="s">
        <v>220</v>
      </c>
      <c r="I44" s="263" t="s">
        <v>221</v>
      </c>
      <c r="J44" s="264" t="s">
        <v>222</v>
      </c>
      <c r="K44" s="264" t="s">
        <v>223</v>
      </c>
      <c r="L44" s="265"/>
    </row>
    <row r="45" ht="15.75" customHeight="1">
      <c r="A45" s="245" t="s">
        <v>224</v>
      </c>
      <c r="B45" s="246">
        <v>2855.4</v>
      </c>
      <c r="C45" s="246">
        <v>2853.9</v>
      </c>
      <c r="D45" s="246">
        <v>2814.0</v>
      </c>
      <c r="E45" s="246">
        <v>2694.8</v>
      </c>
      <c r="F45" s="246">
        <v>2626.7</v>
      </c>
      <c r="G45" s="246">
        <v>2629.8</v>
      </c>
      <c r="H45" s="246">
        <v>2609.6</v>
      </c>
      <c r="I45" s="246">
        <v>2559.8</v>
      </c>
      <c r="J45" s="246">
        <v>2532.4</v>
      </c>
      <c r="K45" s="246">
        <v>2507.1</v>
      </c>
      <c r="L45" s="246">
        <v>2507.1</v>
      </c>
    </row>
    <row r="46" ht="15.75" customHeight="1">
      <c r="A46" s="261" t="s">
        <v>129</v>
      </c>
      <c r="B46" s="262"/>
      <c r="C46" s="264" t="s">
        <v>225</v>
      </c>
      <c r="D46" s="264" t="s">
        <v>226</v>
      </c>
      <c r="E46" s="264" t="s">
        <v>227</v>
      </c>
      <c r="F46" s="264" t="s">
        <v>228</v>
      </c>
      <c r="G46" s="263" t="s">
        <v>140</v>
      </c>
      <c r="H46" s="264" t="s">
        <v>137</v>
      </c>
      <c r="I46" s="264" t="s">
        <v>229</v>
      </c>
      <c r="J46" s="264" t="s">
        <v>230</v>
      </c>
      <c r="K46" s="264" t="s">
        <v>130</v>
      </c>
      <c r="L46" s="265"/>
    </row>
    <row r="47" ht="15.75" customHeight="1">
      <c r="A47" s="245" t="s">
        <v>231</v>
      </c>
      <c r="B47" s="246">
        <v>2840.1</v>
      </c>
      <c r="C47" s="246">
        <v>2840.2</v>
      </c>
      <c r="D47" s="246">
        <v>2801.6</v>
      </c>
      <c r="E47" s="246">
        <v>2683.3</v>
      </c>
      <c r="F47" s="246">
        <v>2616.5</v>
      </c>
      <c r="G47" s="246">
        <v>2620.3</v>
      </c>
      <c r="H47" s="246">
        <v>2599.9</v>
      </c>
      <c r="I47" s="246">
        <v>2548.2</v>
      </c>
      <c r="J47" s="246">
        <v>2515.9</v>
      </c>
      <c r="K47" s="246">
        <v>2492.6</v>
      </c>
      <c r="L47" s="246">
        <v>2492.6</v>
      </c>
    </row>
    <row r="48" ht="15.75" customHeight="1">
      <c r="A48" s="261" t="s">
        <v>129</v>
      </c>
      <c r="B48" s="262"/>
      <c r="C48" s="263" t="s">
        <v>232</v>
      </c>
      <c r="D48" s="264" t="s">
        <v>226</v>
      </c>
      <c r="E48" s="264" t="s">
        <v>227</v>
      </c>
      <c r="F48" s="264" t="s">
        <v>228</v>
      </c>
      <c r="G48" s="263" t="s">
        <v>140</v>
      </c>
      <c r="H48" s="264" t="s">
        <v>137</v>
      </c>
      <c r="I48" s="264" t="s">
        <v>233</v>
      </c>
      <c r="J48" s="264" t="s">
        <v>234</v>
      </c>
      <c r="K48" s="264" t="s">
        <v>219</v>
      </c>
      <c r="L48" s="265"/>
    </row>
    <row r="49" ht="15.75" customHeight="1">
      <c r="A49" s="245" t="s">
        <v>235</v>
      </c>
      <c r="B49" s="246">
        <v>1.21</v>
      </c>
      <c r="C49" s="246">
        <v>1.28</v>
      </c>
      <c r="D49" s="246">
        <v>1.43</v>
      </c>
      <c r="E49" s="246">
        <v>1.5</v>
      </c>
      <c r="F49" s="246">
        <v>1.69</v>
      </c>
      <c r="G49" s="246">
        <v>1.65</v>
      </c>
      <c r="H49" s="246">
        <v>1.74</v>
      </c>
      <c r="I49" s="246">
        <v>1.67</v>
      </c>
      <c r="J49" s="246">
        <v>1.71</v>
      </c>
      <c r="K49" s="246">
        <v>1.79</v>
      </c>
      <c r="L49" s="246">
        <v>1.79</v>
      </c>
    </row>
    <row r="50" ht="15.75" customHeight="1">
      <c r="A50" s="261" t="s">
        <v>129</v>
      </c>
      <c r="B50" s="262"/>
      <c r="C50" s="263" t="s">
        <v>215</v>
      </c>
      <c r="D50" s="263" t="s">
        <v>170</v>
      </c>
      <c r="E50" s="263" t="s">
        <v>236</v>
      </c>
      <c r="F50" s="263" t="s">
        <v>237</v>
      </c>
      <c r="G50" s="264" t="s">
        <v>238</v>
      </c>
      <c r="H50" s="263" t="s">
        <v>239</v>
      </c>
      <c r="I50" s="264" t="s">
        <v>240</v>
      </c>
      <c r="J50" s="263" t="s">
        <v>241</v>
      </c>
      <c r="K50" s="263" t="s">
        <v>242</v>
      </c>
      <c r="L50" s="265"/>
    </row>
    <row r="51" ht="15.75" customHeight="1">
      <c r="A51" s="245" t="s">
        <v>243</v>
      </c>
      <c r="B51" s="255"/>
      <c r="C51" s="255"/>
      <c r="D51" s="255"/>
      <c r="E51" s="255"/>
      <c r="F51" s="255"/>
      <c r="G51" s="255"/>
      <c r="H51" s="255"/>
      <c r="I51" s="255"/>
      <c r="J51" s="255"/>
      <c r="K51" s="255"/>
      <c r="L51" s="255"/>
    </row>
    <row r="52" ht="15.75" customHeight="1">
      <c r="A52" s="245" t="s">
        <v>244</v>
      </c>
      <c r="B52" s="246" t="s">
        <v>245</v>
      </c>
      <c r="C52" s="246" t="s">
        <v>246</v>
      </c>
      <c r="D52" s="246" t="s">
        <v>247</v>
      </c>
      <c r="E52" s="246" t="s">
        <v>248</v>
      </c>
      <c r="F52" s="246" t="s">
        <v>249</v>
      </c>
      <c r="G52" s="246" t="s">
        <v>250</v>
      </c>
      <c r="H52" s="246" t="s">
        <v>251</v>
      </c>
      <c r="I52" s="246" t="s">
        <v>252</v>
      </c>
      <c r="J52" s="246" t="s">
        <v>253</v>
      </c>
      <c r="K52" s="246" t="s">
        <v>254</v>
      </c>
      <c r="L52" s="246" t="s">
        <v>254</v>
      </c>
    </row>
    <row r="53" ht="15.75" customHeight="1">
      <c r="A53" s="245" t="s">
        <v>255</v>
      </c>
      <c r="B53" s="246">
        <v>1.73</v>
      </c>
      <c r="C53" s="246">
        <v>1.83</v>
      </c>
      <c r="D53" s="246">
        <v>2.15</v>
      </c>
      <c r="E53" s="246">
        <v>3.49</v>
      </c>
      <c r="F53" s="246">
        <v>2.15</v>
      </c>
      <c r="G53" s="246">
        <v>2.13</v>
      </c>
      <c r="H53" s="246">
        <v>2.33</v>
      </c>
      <c r="I53" s="246">
        <v>3.0</v>
      </c>
      <c r="J53" s="246">
        <v>2.58</v>
      </c>
      <c r="K53" s="246">
        <v>2.3</v>
      </c>
      <c r="L53" s="246">
        <v>2.3</v>
      </c>
    </row>
    <row r="54" ht="15.75" customHeight="1">
      <c r="A54" s="245" t="s">
        <v>20</v>
      </c>
      <c r="B54" s="246">
        <v>8764.0</v>
      </c>
      <c r="C54" s="246">
        <v>9171.0</v>
      </c>
      <c r="D54" s="246">
        <v>10942.0</v>
      </c>
      <c r="E54" s="246">
        <v>11337.0</v>
      </c>
      <c r="F54" s="246">
        <v>11881.0</v>
      </c>
      <c r="G54" s="246">
        <v>11376.0</v>
      </c>
      <c r="H54" s="246">
        <v>11383.0</v>
      </c>
      <c r="I54" s="246">
        <v>10705.0</v>
      </c>
      <c r="J54" s="246">
        <v>11058.0</v>
      </c>
      <c r="K54" s="246">
        <v>12874.0</v>
      </c>
      <c r="L54" s="246">
        <v>12874.0</v>
      </c>
    </row>
    <row r="55" ht="15.75" customHeight="1">
      <c r="A55" s="261" t="s">
        <v>129</v>
      </c>
      <c r="B55" s="262"/>
      <c r="C55" s="263" t="s">
        <v>256</v>
      </c>
      <c r="D55" s="263" t="s">
        <v>257</v>
      </c>
      <c r="E55" s="263" t="s">
        <v>258</v>
      </c>
      <c r="F55" s="263" t="s">
        <v>259</v>
      </c>
      <c r="G55" s="264" t="s">
        <v>260</v>
      </c>
      <c r="H55" s="263" t="s">
        <v>140</v>
      </c>
      <c r="I55" s="264" t="s">
        <v>261</v>
      </c>
      <c r="J55" s="263" t="s">
        <v>141</v>
      </c>
      <c r="K55" s="263" t="s">
        <v>262</v>
      </c>
      <c r="L55" s="265"/>
    </row>
    <row r="56" ht="15.75" customHeight="1">
      <c r="A56" s="245" t="s">
        <v>263</v>
      </c>
      <c r="B56" s="246">
        <v>9298.0</v>
      </c>
      <c r="C56" s="246">
        <v>9702.0</v>
      </c>
      <c r="D56" s="255"/>
      <c r="E56" s="255"/>
      <c r="F56" s="255"/>
      <c r="G56" s="255"/>
      <c r="H56" s="255"/>
      <c r="I56" s="246">
        <v>10872.0</v>
      </c>
      <c r="J56" s="246">
        <v>11228.0</v>
      </c>
      <c r="K56" s="255"/>
      <c r="L56" s="255"/>
    </row>
    <row r="57" ht="15.75" customHeight="1">
      <c r="A57" s="245" t="s">
        <v>264</v>
      </c>
      <c r="B57" s="246">
        <v>1005.0</v>
      </c>
      <c r="C57" s="246">
        <v>978.0</v>
      </c>
      <c r="D57" s="246">
        <v>900.0</v>
      </c>
      <c r="E57" s="246">
        <v>900.0</v>
      </c>
      <c r="F57" s="246">
        <v>840.0</v>
      </c>
      <c r="G57" s="246">
        <v>800.0</v>
      </c>
      <c r="H57" s="246">
        <v>847.0</v>
      </c>
      <c r="I57" s="246">
        <v>908.0</v>
      </c>
      <c r="J57" s="246">
        <v>949.0</v>
      </c>
      <c r="K57" s="255"/>
      <c r="L57" s="255"/>
    </row>
    <row r="58" ht="15.75" customHeight="1">
      <c r="A58" s="245" t="s">
        <v>265</v>
      </c>
      <c r="B58" s="246">
        <v>8003.0</v>
      </c>
      <c r="C58" s="246">
        <v>7731.0</v>
      </c>
      <c r="D58" s="246">
        <v>7575.0</v>
      </c>
      <c r="E58" s="246">
        <v>7150.0</v>
      </c>
      <c r="F58" s="246">
        <v>7272.0</v>
      </c>
      <c r="G58" s="246">
        <v>7091.0</v>
      </c>
      <c r="H58" s="246">
        <v>6873.0</v>
      </c>
      <c r="I58" s="246">
        <v>7821.0</v>
      </c>
      <c r="J58" s="246">
        <v>8546.0</v>
      </c>
      <c r="K58" s="255"/>
      <c r="L58" s="255"/>
    </row>
    <row r="59" ht="15.75" customHeight="1">
      <c r="A59" s="245" t="s">
        <v>266</v>
      </c>
      <c r="B59" s="255"/>
      <c r="C59" s="255"/>
      <c r="D59" s="255"/>
      <c r="E59" s="255"/>
      <c r="F59" s="255"/>
      <c r="G59" s="255"/>
      <c r="H59" s="255"/>
      <c r="I59" s="255"/>
      <c r="J59" s="255"/>
      <c r="K59" s="255"/>
      <c r="L59" s="255"/>
    </row>
    <row r="60" ht="15.75" customHeight="1">
      <c r="A60" s="245" t="s">
        <v>267</v>
      </c>
      <c r="B60" s="246" t="s">
        <v>268</v>
      </c>
      <c r="C60" s="246" t="s">
        <v>269</v>
      </c>
      <c r="D60" s="246" t="s">
        <v>270</v>
      </c>
      <c r="E60" s="246" t="s">
        <v>271</v>
      </c>
      <c r="F60" s="246" t="s">
        <v>272</v>
      </c>
      <c r="G60" s="246" t="s">
        <v>273</v>
      </c>
      <c r="H60" s="246" t="s">
        <v>274</v>
      </c>
      <c r="I60" s="246" t="s">
        <v>275</v>
      </c>
      <c r="J60" s="246" t="s">
        <v>276</v>
      </c>
      <c r="K60" s="246" t="s">
        <v>277</v>
      </c>
      <c r="L60" s="246" t="s">
        <v>277</v>
      </c>
    </row>
    <row r="61" ht="15.75" customHeight="1">
      <c r="A61" s="249" t="s">
        <v>278</v>
      </c>
      <c r="B61" s="260"/>
      <c r="C61" s="260"/>
      <c r="D61" s="260"/>
      <c r="E61" s="260"/>
      <c r="F61" s="260"/>
      <c r="G61" s="260"/>
      <c r="H61" s="260"/>
      <c r="I61" s="260"/>
      <c r="J61" s="260"/>
      <c r="K61" s="260"/>
      <c r="L61" s="260"/>
    </row>
    <row r="62" ht="15.75" customHeight="1">
      <c r="A62" s="245" t="s">
        <v>279</v>
      </c>
      <c r="B62" s="246">
        <v>84169.41</v>
      </c>
      <c r="C62" s="246">
        <v>94194.0</v>
      </c>
      <c r="D62" s="246">
        <v>114594.54</v>
      </c>
      <c r="E62" s="246">
        <v>109689.58</v>
      </c>
      <c r="F62" s="246">
        <v>114787.91</v>
      </c>
      <c r="G62" s="246">
        <v>115285.53</v>
      </c>
      <c r="H62" s="246">
        <v>101020.2</v>
      </c>
      <c r="I62" s="246">
        <v>105758.96</v>
      </c>
      <c r="J62" s="246">
        <v>94962.46</v>
      </c>
      <c r="K62" s="246">
        <v>112589.05</v>
      </c>
      <c r="L62" s="246">
        <v>112589.05</v>
      </c>
    </row>
    <row r="63" ht="15.75" customHeight="1">
      <c r="A63" s="245" t="s">
        <v>280</v>
      </c>
      <c r="B63" s="246">
        <v>29.27</v>
      </c>
      <c r="C63" s="246">
        <v>32.93</v>
      </c>
      <c r="D63" s="246">
        <v>41.26</v>
      </c>
      <c r="E63" s="246">
        <v>41.09</v>
      </c>
      <c r="F63" s="246">
        <v>43.51</v>
      </c>
      <c r="G63" s="246">
        <v>43.92</v>
      </c>
      <c r="H63" s="246">
        <v>39.46</v>
      </c>
      <c r="I63" s="246">
        <v>41.82</v>
      </c>
      <c r="J63" s="246">
        <v>38.0</v>
      </c>
      <c r="K63" s="246">
        <v>45.48</v>
      </c>
      <c r="L63" s="246">
        <v>45.48</v>
      </c>
    </row>
    <row r="64" ht="15.75" customHeight="1">
      <c r="A64" s="245" t="s">
        <v>281</v>
      </c>
      <c r="B64" s="246">
        <v>93584.48</v>
      </c>
      <c r="C64" s="246">
        <v>105783.71</v>
      </c>
      <c r="D64" s="246">
        <v>127975.42</v>
      </c>
      <c r="E64" s="246">
        <v>132986.86</v>
      </c>
      <c r="F64" s="246">
        <v>137037.4</v>
      </c>
      <c r="G64" s="246">
        <v>138465.87</v>
      </c>
      <c r="H64" s="246">
        <v>122446.38</v>
      </c>
      <c r="I64" s="246">
        <v>131657.02</v>
      </c>
      <c r="J64" s="246">
        <v>118190.05</v>
      </c>
      <c r="K64" s="246">
        <v>136293.24</v>
      </c>
      <c r="L64" s="246">
        <v>136293.24</v>
      </c>
    </row>
    <row r="65" ht="15.75" customHeight="1">
      <c r="A65" s="266" t="s">
        <v>282</v>
      </c>
      <c r="B65" s="11"/>
      <c r="C65" s="11"/>
      <c r="D65" s="11"/>
      <c r="E65" s="11"/>
      <c r="F65" s="11"/>
      <c r="G65" s="11"/>
      <c r="H65" s="11"/>
      <c r="I65" s="11"/>
      <c r="J65" s="11"/>
      <c r="K65" s="11"/>
      <c r="L65" s="11"/>
    </row>
    <row r="66" ht="15.75" customHeight="1">
      <c r="A66" s="266" t="s">
        <v>283</v>
      </c>
      <c r="B66" s="260"/>
      <c r="C66" s="260"/>
      <c r="D66" s="260"/>
      <c r="E66" s="260"/>
      <c r="F66" s="260"/>
      <c r="G66" s="260"/>
      <c r="H66" s="260"/>
      <c r="I66" s="260"/>
      <c r="J66" s="260"/>
      <c r="K66" s="260"/>
      <c r="L66" s="260"/>
    </row>
    <row r="67" ht="15.75" customHeight="1">
      <c r="A67" s="267" t="s">
        <v>284</v>
      </c>
      <c r="B67" s="260"/>
      <c r="C67" s="260"/>
      <c r="D67" s="260"/>
      <c r="E67" s="260"/>
      <c r="F67" s="260"/>
      <c r="G67" s="260"/>
      <c r="H67" s="260"/>
      <c r="I67" s="260"/>
      <c r="J67" s="260"/>
      <c r="K67" s="260"/>
      <c r="L67" s="260"/>
    </row>
    <row r="68" ht="15.75" customHeight="1">
      <c r="A68" s="267" t="s">
        <v>285</v>
      </c>
      <c r="B68" s="260"/>
      <c r="C68" s="260"/>
      <c r="D68" s="260"/>
      <c r="E68" s="260"/>
      <c r="F68" s="260"/>
      <c r="G68" s="260"/>
      <c r="H68" s="260"/>
      <c r="I68" s="260"/>
      <c r="J68" s="260"/>
      <c r="K68" s="260"/>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5"/>
    <hyperlink r:id="rId2" ref="B8"/>
    <hyperlink r:id="rId3" ref="B15"/>
    <hyperlink r:id="rId4" ref="B44"/>
    <hyperlink r:id="rId5" ref="B46"/>
    <hyperlink r:id="rId6" ref="B48"/>
    <hyperlink r:id="rId7" ref="B50"/>
    <hyperlink r:id="rId8" ref="B55"/>
    <hyperlink r:id="rId9" ref="A67"/>
    <hyperlink r:id="rId10" ref="A68"/>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40" t="s">
        <v>286</v>
      </c>
      <c r="B1" s="241">
        <v>42369.0</v>
      </c>
      <c r="C1" s="241">
        <v>42735.0</v>
      </c>
      <c r="D1" s="241">
        <v>43101.0</v>
      </c>
      <c r="E1" s="241">
        <v>43465.0</v>
      </c>
      <c r="F1" s="241">
        <v>43830.0</v>
      </c>
      <c r="G1" s="241">
        <v>44196.0</v>
      </c>
      <c r="H1" s="241">
        <v>44561.0</v>
      </c>
      <c r="I1" s="241">
        <v>44926.0</v>
      </c>
      <c r="J1" s="241">
        <v>45291.0</v>
      </c>
      <c r="K1" s="241">
        <v>45657.0</v>
      </c>
      <c r="L1" s="242" t="s">
        <v>96</v>
      </c>
    </row>
    <row r="2">
      <c r="A2" s="243"/>
      <c r="B2" s="244"/>
      <c r="C2" s="244"/>
      <c r="D2" s="244"/>
      <c r="E2" s="244"/>
      <c r="F2" s="244"/>
      <c r="G2" s="244"/>
      <c r="H2" s="244"/>
      <c r="I2" s="244"/>
      <c r="J2" s="244"/>
      <c r="K2" s="244"/>
      <c r="L2" s="244"/>
    </row>
    <row r="3">
      <c r="A3" s="245" t="s">
        <v>287</v>
      </c>
      <c r="B3" s="268">
        <v>2302.0</v>
      </c>
      <c r="C3" s="268">
        <v>3382.0</v>
      </c>
      <c r="D3" s="268">
        <v>3317.0</v>
      </c>
      <c r="E3" s="268">
        <v>3230.0</v>
      </c>
      <c r="F3" s="268">
        <v>4185.0</v>
      </c>
      <c r="G3" s="268">
        <v>5548.0</v>
      </c>
      <c r="H3" s="268">
        <v>3415.0</v>
      </c>
      <c r="I3" s="268">
        <v>4326.0</v>
      </c>
      <c r="J3" s="268">
        <v>4159.0</v>
      </c>
      <c r="K3" s="268">
        <v>6136.0</v>
      </c>
      <c r="L3" s="268">
        <v>6136.0</v>
      </c>
    </row>
    <row r="4">
      <c r="A4" s="245" t="s">
        <v>288</v>
      </c>
      <c r="B4" s="246">
        <v>596.0</v>
      </c>
      <c r="C4" s="246">
        <v>565.0</v>
      </c>
      <c r="D4" s="246">
        <v>770.0</v>
      </c>
      <c r="E4" s="246">
        <v>835.0</v>
      </c>
      <c r="F4" s="246">
        <v>786.0</v>
      </c>
      <c r="G4" s="246">
        <v>477.0</v>
      </c>
      <c r="H4" s="246">
        <v>751.0</v>
      </c>
      <c r="I4" s="246">
        <v>772.0</v>
      </c>
      <c r="J4" s="246">
        <v>1112.0</v>
      </c>
      <c r="K4" s="246">
        <v>736.0</v>
      </c>
      <c r="L4" s="246">
        <v>736.0</v>
      </c>
    </row>
    <row r="5">
      <c r="A5" s="245" t="s">
        <v>289</v>
      </c>
      <c r="B5" s="246">
        <v>124.0</v>
      </c>
      <c r="C5" s="246">
        <v>181.0</v>
      </c>
      <c r="D5" s="255"/>
      <c r="E5" s="246">
        <v>213.0</v>
      </c>
      <c r="F5" s="246">
        <v>309.0</v>
      </c>
      <c r="G5" s="246">
        <v>277.0</v>
      </c>
      <c r="H5" s="246">
        <v>340.0</v>
      </c>
      <c r="I5" s="246">
        <v>500.0</v>
      </c>
      <c r="J5" s="246">
        <v>582.0</v>
      </c>
      <c r="K5" s="246">
        <v>648.0</v>
      </c>
      <c r="L5" s="246">
        <v>648.0</v>
      </c>
    </row>
    <row r="6">
      <c r="A6" s="247" t="s">
        <v>290</v>
      </c>
      <c r="B6" s="248">
        <v>3022.0</v>
      </c>
      <c r="C6" s="248">
        <v>4128.0</v>
      </c>
      <c r="D6" s="248">
        <v>4087.0</v>
      </c>
      <c r="E6" s="248">
        <v>4278.0</v>
      </c>
      <c r="F6" s="248">
        <v>5280.0</v>
      </c>
      <c r="G6" s="248">
        <v>6302.0</v>
      </c>
      <c r="H6" s="248">
        <v>4506.0</v>
      </c>
      <c r="I6" s="248">
        <v>5598.0</v>
      </c>
      <c r="J6" s="248">
        <v>5853.0</v>
      </c>
      <c r="K6" s="248">
        <v>7520.0</v>
      </c>
      <c r="L6" s="248">
        <v>7520.0</v>
      </c>
    </row>
    <row r="7">
      <c r="A7" s="245" t="s">
        <v>291</v>
      </c>
      <c r="B7" s="246">
        <v>2917.0</v>
      </c>
      <c r="C7" s="246">
        <v>3329.0</v>
      </c>
      <c r="D7" s="246">
        <v>5219.0</v>
      </c>
      <c r="E7" s="246">
        <v>4350.0</v>
      </c>
      <c r="F7" s="246">
        <v>4916.0</v>
      </c>
      <c r="G7" s="246">
        <v>3433.0</v>
      </c>
      <c r="H7" s="246">
        <v>3582.0</v>
      </c>
      <c r="I7" s="246">
        <v>4544.0</v>
      </c>
      <c r="J7" s="246">
        <v>4023.0</v>
      </c>
      <c r="K7" s="246">
        <v>5808.0</v>
      </c>
      <c r="L7" s="246">
        <v>5808.0</v>
      </c>
    </row>
    <row r="8">
      <c r="A8" s="245" t="s">
        <v>292</v>
      </c>
      <c r="B8" s="246">
        <v>230.0</v>
      </c>
      <c r="C8" s="246">
        <v>317.0</v>
      </c>
      <c r="D8" s="246">
        <v>488.0</v>
      </c>
      <c r="E8" s="246">
        <v>1162.0</v>
      </c>
      <c r="F8" s="246">
        <v>981.0</v>
      </c>
      <c r="G8" s="246">
        <v>933.0</v>
      </c>
      <c r="H8" s="246">
        <v>922.0</v>
      </c>
      <c r="I8" s="246">
        <v>1134.0</v>
      </c>
      <c r="J8" s="246">
        <v>1008.0</v>
      </c>
      <c r="K8" s="246">
        <v>373.0</v>
      </c>
      <c r="L8" s="246">
        <v>373.0</v>
      </c>
    </row>
    <row r="9">
      <c r="A9" s="245" t="s">
        <v>293</v>
      </c>
      <c r="B9" s="246">
        <v>269.0</v>
      </c>
      <c r="C9" s="246">
        <v>208.0</v>
      </c>
      <c r="D9" s="255"/>
      <c r="E9" s="255"/>
      <c r="F9" s="255"/>
      <c r="G9" s="255"/>
      <c r="H9" s="255"/>
      <c r="I9" s="255"/>
      <c r="J9" s="255"/>
      <c r="K9" s="255"/>
      <c r="L9" s="255"/>
    </row>
    <row r="10">
      <c r="A10" s="247" t="s">
        <v>294</v>
      </c>
      <c r="B10" s="248">
        <v>3416.0</v>
      </c>
      <c r="C10" s="248">
        <v>3854.0</v>
      </c>
      <c r="D10" s="248">
        <v>5707.0</v>
      </c>
      <c r="E10" s="248">
        <v>5512.0</v>
      </c>
      <c r="F10" s="248">
        <v>5897.0</v>
      </c>
      <c r="G10" s="248">
        <v>4366.0</v>
      </c>
      <c r="H10" s="248">
        <v>4504.0</v>
      </c>
      <c r="I10" s="248">
        <v>5678.0</v>
      </c>
      <c r="J10" s="248">
        <v>5031.0</v>
      </c>
      <c r="K10" s="248">
        <v>6181.0</v>
      </c>
      <c r="L10" s="248">
        <v>6181.0</v>
      </c>
    </row>
    <row r="11">
      <c r="A11" s="245" t="s">
        <v>295</v>
      </c>
      <c r="B11" s="246">
        <v>4335.0</v>
      </c>
      <c r="C11" s="246">
        <v>4278.0</v>
      </c>
      <c r="D11" s="246">
        <v>3962.0</v>
      </c>
      <c r="E11" s="246">
        <v>4301.0</v>
      </c>
      <c r="F11" s="246">
        <v>4164.0</v>
      </c>
      <c r="G11" s="246">
        <v>4462.0</v>
      </c>
      <c r="H11" s="246">
        <v>4683.0</v>
      </c>
      <c r="I11" s="246">
        <v>5931.0</v>
      </c>
      <c r="J11" s="246">
        <v>5119.0</v>
      </c>
      <c r="K11" s="246">
        <v>5177.0</v>
      </c>
      <c r="L11" s="246">
        <v>5177.0</v>
      </c>
    </row>
    <row r="12">
      <c r="A12" s="245" t="s">
        <v>296</v>
      </c>
      <c r="B12" s="246">
        <v>561.0</v>
      </c>
      <c r="C12" s="246">
        <v>504.0</v>
      </c>
      <c r="D12" s="255"/>
      <c r="E12" s="246">
        <v>690.0</v>
      </c>
      <c r="F12" s="246">
        <v>579.0</v>
      </c>
      <c r="G12" s="246">
        <v>423.0</v>
      </c>
      <c r="H12" s="246">
        <v>492.0</v>
      </c>
      <c r="I12" s="246">
        <v>969.0</v>
      </c>
      <c r="J12" s="246">
        <v>516.0</v>
      </c>
      <c r="K12" s="255"/>
      <c r="L12" s="255"/>
    </row>
    <row r="13">
      <c r="A13" s="245" t="s">
        <v>297</v>
      </c>
      <c r="B13" s="255"/>
      <c r="C13" s="255"/>
      <c r="D13" s="255"/>
      <c r="E13" s="255"/>
      <c r="F13" s="255"/>
      <c r="G13" s="255"/>
      <c r="H13" s="255"/>
      <c r="I13" s="255"/>
      <c r="J13" s="255"/>
      <c r="K13" s="255"/>
      <c r="L13" s="255"/>
    </row>
    <row r="14">
      <c r="A14" s="245" t="s">
        <v>298</v>
      </c>
      <c r="B14" s="246">
        <v>1352.0</v>
      </c>
      <c r="C14" s="246">
        <v>1120.0</v>
      </c>
      <c r="D14" s="246">
        <v>3224.0</v>
      </c>
      <c r="E14" s="246">
        <v>697.0</v>
      </c>
      <c r="F14" s="246">
        <v>510.0</v>
      </c>
      <c r="G14" s="246">
        <v>604.0</v>
      </c>
      <c r="H14" s="246">
        <v>3216.0</v>
      </c>
      <c r="I14" s="246">
        <v>981.0</v>
      </c>
      <c r="J14" s="246">
        <v>1383.0</v>
      </c>
      <c r="K14" s="246">
        <v>316.0</v>
      </c>
      <c r="L14" s="246">
        <v>316.0</v>
      </c>
    </row>
    <row r="15">
      <c r="A15" s="247" t="s">
        <v>299</v>
      </c>
      <c r="B15" s="248">
        <v>12686.0</v>
      </c>
      <c r="C15" s="248">
        <v>13884.0</v>
      </c>
      <c r="D15" s="248">
        <v>16980.0</v>
      </c>
      <c r="E15" s="248">
        <v>15478.0</v>
      </c>
      <c r="F15" s="248">
        <v>16430.0</v>
      </c>
      <c r="G15" s="248">
        <v>16157.0</v>
      </c>
      <c r="H15" s="248">
        <v>17401.0</v>
      </c>
      <c r="I15" s="248">
        <v>19157.0</v>
      </c>
      <c r="J15" s="248">
        <v>17902.0</v>
      </c>
      <c r="K15" s="248">
        <v>19194.0</v>
      </c>
      <c r="L15" s="248">
        <v>19194.0</v>
      </c>
    </row>
    <row r="16">
      <c r="A16" s="245" t="s">
        <v>300</v>
      </c>
      <c r="B16" s="246">
        <v>19917.0</v>
      </c>
      <c r="C16" s="246">
        <v>21207.0</v>
      </c>
      <c r="D16" s="246">
        <v>22747.0</v>
      </c>
      <c r="E16" s="246">
        <v>23188.0</v>
      </c>
      <c r="F16" s="246">
        <v>24043.0</v>
      </c>
      <c r="G16" s="246">
        <v>21915.0</v>
      </c>
      <c r="H16" s="246">
        <v>22056.0</v>
      </c>
      <c r="I16" s="246">
        <v>23121.0</v>
      </c>
      <c r="J16" s="246">
        <v>22836.0</v>
      </c>
      <c r="K16" s="255"/>
      <c r="L16" s="255"/>
    </row>
    <row r="17">
      <c r="A17" s="245" t="s">
        <v>301</v>
      </c>
      <c r="B17" s="254">
        <v>-8859.0</v>
      </c>
      <c r="C17" s="254">
        <v>-9534.0</v>
      </c>
      <c r="D17" s="254">
        <v>-10477.0</v>
      </c>
      <c r="E17" s="254">
        <v>-11100.0</v>
      </c>
      <c r="F17" s="254">
        <v>-11981.0</v>
      </c>
      <c r="G17" s="254">
        <v>-11357.0</v>
      </c>
      <c r="H17" s="254">
        <v>-11709.0</v>
      </c>
      <c r="I17" s="254">
        <v>-12351.0</v>
      </c>
      <c r="J17" s="254">
        <v>-12129.0</v>
      </c>
      <c r="K17" s="255"/>
      <c r="L17" s="255"/>
    </row>
    <row r="18">
      <c r="A18" s="247" t="s">
        <v>302</v>
      </c>
      <c r="B18" s="248">
        <v>11058.0</v>
      </c>
      <c r="C18" s="248">
        <v>11673.0</v>
      </c>
      <c r="D18" s="248">
        <v>12270.0</v>
      </c>
      <c r="E18" s="248">
        <v>12088.0</v>
      </c>
      <c r="F18" s="248">
        <v>12062.0</v>
      </c>
      <c r="G18" s="248">
        <v>10558.0</v>
      </c>
      <c r="H18" s="248">
        <v>10347.0</v>
      </c>
      <c r="I18" s="248">
        <v>10770.0</v>
      </c>
      <c r="J18" s="248">
        <v>10707.0</v>
      </c>
      <c r="K18" s="248">
        <v>11669.0</v>
      </c>
      <c r="L18" s="248">
        <v>11669.0</v>
      </c>
    </row>
    <row r="19">
      <c r="A19" s="245" t="s">
        <v>303</v>
      </c>
      <c r="B19" s="246">
        <v>592.0</v>
      </c>
      <c r="C19" s="246">
        <v>491.0</v>
      </c>
      <c r="D19" s="246">
        <v>675.0</v>
      </c>
      <c r="E19" s="246">
        <v>509.0</v>
      </c>
      <c r="F19" s="246">
        <v>756.0</v>
      </c>
      <c r="G19" s="246">
        <v>794.0</v>
      </c>
      <c r="H19" s="246">
        <v>1063.0</v>
      </c>
      <c r="I19" s="246">
        <v>1000.0</v>
      </c>
      <c r="J19" s="246">
        <v>1220.0</v>
      </c>
      <c r="K19" s="246">
        <v>1375.0</v>
      </c>
      <c r="L19" s="246">
        <v>1375.0</v>
      </c>
    </row>
    <row r="20">
      <c r="A20" s="245" t="s">
        <v>304</v>
      </c>
      <c r="B20" s="246">
        <v>16213.0</v>
      </c>
      <c r="C20" s="246">
        <v>17624.0</v>
      </c>
      <c r="D20" s="246">
        <v>16881.0</v>
      </c>
      <c r="E20" s="246">
        <v>17341.0</v>
      </c>
      <c r="F20" s="246">
        <v>18067.0</v>
      </c>
      <c r="G20" s="246">
        <v>18942.0</v>
      </c>
      <c r="H20" s="246">
        <v>20330.0</v>
      </c>
      <c r="I20" s="246">
        <v>21609.0</v>
      </c>
      <c r="J20" s="246">
        <v>21109.0</v>
      </c>
      <c r="K20" s="246">
        <v>22311.0</v>
      </c>
      <c r="L20" s="246">
        <v>22311.0</v>
      </c>
    </row>
    <row r="21" ht="15.75" customHeight="1">
      <c r="A21" s="245" t="s">
        <v>305</v>
      </c>
      <c r="B21" s="246">
        <v>8846.0</v>
      </c>
      <c r="C21" s="246">
        <v>9809.0</v>
      </c>
      <c r="D21" s="246">
        <v>11520.0</v>
      </c>
      <c r="E21" s="246">
        <v>12152.0</v>
      </c>
      <c r="F21" s="246">
        <v>12962.0</v>
      </c>
      <c r="G21" s="246">
        <v>15999.0</v>
      </c>
      <c r="H21" s="246">
        <v>18261.0</v>
      </c>
      <c r="I21" s="246">
        <v>18880.0</v>
      </c>
      <c r="J21" s="246">
        <v>18357.0</v>
      </c>
      <c r="K21" s="246">
        <v>18590.0</v>
      </c>
      <c r="L21" s="246">
        <v>18590.0</v>
      </c>
    </row>
    <row r="22" ht="15.75" customHeight="1">
      <c r="A22" s="245" t="s">
        <v>306</v>
      </c>
      <c r="B22" s="246">
        <v>413.0</v>
      </c>
      <c r="C22" s="246">
        <v>306.0</v>
      </c>
      <c r="D22" s="255"/>
      <c r="E22" s="246">
        <v>307.0</v>
      </c>
      <c r="F22" s="246">
        <v>380.0</v>
      </c>
      <c r="G22" s="246">
        <v>465.0</v>
      </c>
      <c r="H22" s="246">
        <v>499.0</v>
      </c>
      <c r="I22" s="246">
        <v>520.0</v>
      </c>
      <c r="J22" s="246">
        <v>394.0</v>
      </c>
      <c r="K22" s="255"/>
      <c r="L22" s="255"/>
    </row>
    <row r="23" ht="15.75" customHeight="1">
      <c r="A23" s="245" t="s">
        <v>307</v>
      </c>
      <c r="B23" s="246">
        <v>34.0</v>
      </c>
      <c r="C23" s="246">
        <v>190.0</v>
      </c>
      <c r="D23" s="255"/>
      <c r="E23" s="255"/>
      <c r="F23" s="255"/>
      <c r="G23" s="255"/>
      <c r="H23" s="255"/>
      <c r="I23" s="255"/>
      <c r="J23" s="255"/>
      <c r="K23" s="255"/>
      <c r="L23" s="255"/>
    </row>
    <row r="24" ht="15.75" customHeight="1">
      <c r="A24" s="245" t="s">
        <v>308</v>
      </c>
      <c r="B24" s="246">
        <v>1185.0</v>
      </c>
      <c r="C24" s="246">
        <v>1354.0</v>
      </c>
      <c r="D24" s="246">
        <v>1118.0</v>
      </c>
      <c r="E24" s="246">
        <v>1152.0</v>
      </c>
      <c r="F24" s="246">
        <v>1336.0</v>
      </c>
      <c r="G24" s="246">
        <v>1474.0</v>
      </c>
      <c r="H24" s="246">
        <v>1465.0</v>
      </c>
      <c r="I24" s="246">
        <v>1049.0</v>
      </c>
      <c r="J24" s="246">
        <v>1113.0</v>
      </c>
      <c r="K24" s="246">
        <v>1280.0</v>
      </c>
      <c r="L24" s="246">
        <v>1280.0</v>
      </c>
    </row>
    <row r="25" ht="15.75" customHeight="1">
      <c r="A25" s="245" t="s">
        <v>309</v>
      </c>
      <c r="B25" s="246">
        <v>1271.0</v>
      </c>
      <c r="C25" s="246">
        <v>1098.0</v>
      </c>
      <c r="D25" s="246">
        <v>2614.0</v>
      </c>
      <c r="E25" s="246">
        <v>2084.0</v>
      </c>
      <c r="F25" s="246">
        <v>2813.0</v>
      </c>
      <c r="G25" s="246">
        <v>3270.0</v>
      </c>
      <c r="H25" s="246">
        <v>5729.0</v>
      </c>
      <c r="I25" s="246">
        <v>4836.0</v>
      </c>
      <c r="J25" s="246">
        <v>4464.0</v>
      </c>
      <c r="K25" s="246">
        <v>5331.0</v>
      </c>
      <c r="L25" s="246">
        <v>5331.0</v>
      </c>
    </row>
    <row r="26" ht="15.75" customHeight="1">
      <c r="A26" s="256" t="s">
        <v>310</v>
      </c>
      <c r="B26" s="257">
        <v>52298.0</v>
      </c>
      <c r="C26" s="257">
        <v>56429.0</v>
      </c>
      <c r="D26" s="257">
        <v>62058.0</v>
      </c>
      <c r="E26" s="257">
        <v>61111.0</v>
      </c>
      <c r="F26" s="257">
        <v>64806.0</v>
      </c>
      <c r="G26" s="257">
        <v>67659.0</v>
      </c>
      <c r="H26" s="257">
        <v>75095.0</v>
      </c>
      <c r="I26" s="257">
        <v>77821.0</v>
      </c>
      <c r="J26" s="257">
        <v>75266.0</v>
      </c>
      <c r="K26" s="257">
        <v>79750.0</v>
      </c>
      <c r="L26" s="257">
        <v>79750.0</v>
      </c>
    </row>
    <row r="27" ht="15.75" customHeight="1">
      <c r="A27" s="245" t="s">
        <v>311</v>
      </c>
      <c r="B27" s="246">
        <v>8296.0</v>
      </c>
      <c r="C27" s="246">
        <v>8591.0</v>
      </c>
      <c r="D27" s="246">
        <v>13426.0</v>
      </c>
      <c r="E27" s="246">
        <v>9121.0</v>
      </c>
      <c r="F27" s="246">
        <v>9190.0</v>
      </c>
      <c r="G27" s="246">
        <v>8375.0</v>
      </c>
      <c r="H27" s="246">
        <v>8896.0</v>
      </c>
      <c r="I27" s="246">
        <v>11100.0</v>
      </c>
      <c r="J27" s="246">
        <v>10355.0</v>
      </c>
      <c r="K27" s="246">
        <v>16634.0</v>
      </c>
      <c r="L27" s="246">
        <v>16634.0</v>
      </c>
    </row>
    <row r="28" ht="15.75" customHeight="1">
      <c r="A28" s="245" t="s">
        <v>312</v>
      </c>
      <c r="B28" s="246">
        <v>4175.0</v>
      </c>
      <c r="C28" s="246">
        <v>4123.0</v>
      </c>
      <c r="D28" s="255"/>
      <c r="E28" s="246">
        <v>4222.0</v>
      </c>
      <c r="F28" s="246">
        <v>4660.0</v>
      </c>
      <c r="G28" s="246">
        <v>4667.0</v>
      </c>
      <c r="H28" s="246">
        <v>4876.0</v>
      </c>
      <c r="I28" s="246">
        <v>5858.0</v>
      </c>
      <c r="J28" s="246">
        <v>5569.0</v>
      </c>
      <c r="K28" s="255"/>
      <c r="L28" s="255"/>
    </row>
    <row r="29" ht="15.75" customHeight="1">
      <c r="A29" s="245" t="s">
        <v>313</v>
      </c>
      <c r="B29" s="246">
        <v>3257.0</v>
      </c>
      <c r="C29" s="246">
        <v>3268.0</v>
      </c>
      <c r="D29" s="255"/>
      <c r="E29" s="246">
        <v>1210.0</v>
      </c>
      <c r="F29" s="246">
        <v>1345.0</v>
      </c>
      <c r="G29" s="246">
        <v>1921.0</v>
      </c>
      <c r="H29" s="246">
        <v>4034.0</v>
      </c>
      <c r="I29" s="246">
        <v>2158.0</v>
      </c>
      <c r="J29" s="246">
        <v>1581.0</v>
      </c>
      <c r="K29" s="246">
        <v>180.0</v>
      </c>
      <c r="L29" s="246">
        <v>180.0</v>
      </c>
    </row>
    <row r="30" ht="15.75" customHeight="1">
      <c r="A30" s="245" t="s">
        <v>314</v>
      </c>
      <c r="B30" s="246">
        <v>1495.0</v>
      </c>
      <c r="C30" s="246">
        <v>2173.0</v>
      </c>
      <c r="D30" s="246">
        <v>8378.0</v>
      </c>
      <c r="E30" s="246">
        <v>2013.0</v>
      </c>
      <c r="F30" s="246">
        <v>2963.0</v>
      </c>
      <c r="G30" s="246">
        <v>2160.0</v>
      </c>
      <c r="H30" s="246">
        <v>2853.0</v>
      </c>
      <c r="I30" s="246">
        <v>3277.0</v>
      </c>
      <c r="J30" s="246">
        <v>3172.0</v>
      </c>
      <c r="K30" s="246">
        <v>6807.0</v>
      </c>
      <c r="L30" s="246">
        <v>6807.0</v>
      </c>
    </row>
    <row r="31" ht="15.75" customHeight="1">
      <c r="A31" s="245" t="s">
        <v>315</v>
      </c>
      <c r="B31" s="246">
        <v>37.0</v>
      </c>
      <c r="C31" s="246">
        <v>9.0</v>
      </c>
      <c r="D31" s="255"/>
      <c r="E31" s="246">
        <v>390.0</v>
      </c>
      <c r="F31" s="246">
        <v>383.0</v>
      </c>
      <c r="G31" s="246">
        <v>380.0</v>
      </c>
      <c r="H31" s="246">
        <v>365.0</v>
      </c>
      <c r="I31" s="246">
        <v>340.0</v>
      </c>
      <c r="J31" s="246">
        <v>334.0</v>
      </c>
      <c r="K31" s="255"/>
      <c r="L31" s="255"/>
    </row>
    <row r="32" ht="15.75" customHeight="1">
      <c r="A32" s="245" t="s">
        <v>316</v>
      </c>
      <c r="B32" s="246">
        <v>1127.0</v>
      </c>
      <c r="C32" s="246">
        <v>844.0</v>
      </c>
      <c r="D32" s="246">
        <v>1088.0</v>
      </c>
      <c r="E32" s="246">
        <v>1445.0</v>
      </c>
      <c r="F32" s="246">
        <v>898.0</v>
      </c>
      <c r="G32" s="246">
        <v>1451.0</v>
      </c>
      <c r="H32" s="246">
        <v>1365.0</v>
      </c>
      <c r="I32" s="246">
        <v>877.0</v>
      </c>
      <c r="J32" s="246">
        <v>851.0</v>
      </c>
      <c r="K32" s="246">
        <v>678.0</v>
      </c>
      <c r="L32" s="246">
        <v>678.0</v>
      </c>
    </row>
    <row r="33" ht="15.75" customHeight="1">
      <c r="A33" s="245" t="s">
        <v>317</v>
      </c>
      <c r="B33" s="246">
        <v>1632.0</v>
      </c>
      <c r="C33" s="246">
        <v>1548.0</v>
      </c>
      <c r="D33" s="246">
        <v>695.0</v>
      </c>
      <c r="E33" s="246">
        <v>1749.0</v>
      </c>
      <c r="F33" s="246">
        <v>1539.0</v>
      </c>
      <c r="G33" s="246">
        <v>1638.0</v>
      </c>
      <c r="H33" s="246">
        <v>2389.0</v>
      </c>
      <c r="I33" s="246">
        <v>1817.0</v>
      </c>
      <c r="J33" s="246">
        <v>1645.0</v>
      </c>
      <c r="K33" s="246">
        <v>935.0</v>
      </c>
      <c r="L33" s="246">
        <v>935.0</v>
      </c>
    </row>
    <row r="34" ht="15.75" customHeight="1">
      <c r="A34" s="247" t="s">
        <v>318</v>
      </c>
      <c r="B34" s="248">
        <v>20019.0</v>
      </c>
      <c r="C34" s="248">
        <v>20556.0</v>
      </c>
      <c r="D34" s="248">
        <v>23587.0</v>
      </c>
      <c r="E34" s="248">
        <v>20150.0</v>
      </c>
      <c r="F34" s="248">
        <v>20978.0</v>
      </c>
      <c r="G34" s="248">
        <v>20592.0</v>
      </c>
      <c r="H34" s="248">
        <v>24778.0</v>
      </c>
      <c r="I34" s="248">
        <v>25427.0</v>
      </c>
      <c r="J34" s="248">
        <v>23507.0</v>
      </c>
      <c r="K34" s="248">
        <v>25234.0</v>
      </c>
      <c r="L34" s="248">
        <v>25234.0</v>
      </c>
    </row>
    <row r="35" ht="15.75" customHeight="1">
      <c r="A35" s="245" t="s">
        <v>319</v>
      </c>
      <c r="B35" s="246">
        <v>9696.0</v>
      </c>
      <c r="C35" s="246">
        <v>11011.0</v>
      </c>
      <c r="D35" s="246">
        <v>18039.0</v>
      </c>
      <c r="E35" s="246">
        <v>21534.0</v>
      </c>
      <c r="F35" s="246">
        <v>22030.0</v>
      </c>
      <c r="G35" s="246">
        <v>21453.0</v>
      </c>
      <c r="H35" s="246">
        <v>21597.0</v>
      </c>
      <c r="I35" s="246">
        <v>22645.0</v>
      </c>
      <c r="J35" s="246">
        <v>23474.0</v>
      </c>
      <c r="K35" s="246">
        <v>23580.0</v>
      </c>
      <c r="L35" s="246">
        <v>23580.0</v>
      </c>
    </row>
    <row r="36" ht="15.75" customHeight="1">
      <c r="A36" s="245" t="s">
        <v>320</v>
      </c>
      <c r="B36" s="246">
        <v>158.0</v>
      </c>
      <c r="C36" s="246">
        <v>134.0</v>
      </c>
      <c r="D36" s="255"/>
      <c r="E36" s="246">
        <v>1591.0</v>
      </c>
      <c r="F36" s="246">
        <v>1536.0</v>
      </c>
      <c r="G36" s="246">
        <v>1391.0</v>
      </c>
      <c r="H36" s="246">
        <v>1284.0</v>
      </c>
      <c r="I36" s="246">
        <v>1068.0</v>
      </c>
      <c r="J36" s="246">
        <v>1061.0</v>
      </c>
      <c r="K36" s="246">
        <v>1486.0</v>
      </c>
      <c r="L36" s="246">
        <v>1486.0</v>
      </c>
    </row>
    <row r="37" ht="15.75" customHeight="1">
      <c r="A37" s="245" t="s">
        <v>321</v>
      </c>
      <c r="B37" s="246">
        <v>3254.0</v>
      </c>
      <c r="C37" s="246">
        <v>3867.0</v>
      </c>
      <c r="D37" s="246">
        <v>2734.0</v>
      </c>
      <c r="E37" s="246">
        <v>2602.0</v>
      </c>
      <c r="F37" s="246">
        <v>2618.0</v>
      </c>
      <c r="G37" s="246">
        <v>2435.0</v>
      </c>
      <c r="H37" s="246">
        <v>2126.0</v>
      </c>
      <c r="I37" s="246">
        <v>1691.0</v>
      </c>
      <c r="J37" s="246">
        <v>1380.0</v>
      </c>
      <c r="K37" s="246">
        <v>1194.0</v>
      </c>
      <c r="L37" s="246">
        <v>1194.0</v>
      </c>
    </row>
    <row r="38" ht="15.75" customHeight="1">
      <c r="A38" s="245" t="s">
        <v>322</v>
      </c>
      <c r="B38" s="246">
        <v>1744.0</v>
      </c>
      <c r="C38" s="246">
        <v>2061.0</v>
      </c>
      <c r="D38" s="246">
        <v>1888.0</v>
      </c>
      <c r="E38" s="246">
        <v>1900.0</v>
      </c>
      <c r="F38" s="246">
        <v>2573.0</v>
      </c>
      <c r="G38" s="246">
        <v>3166.0</v>
      </c>
      <c r="H38" s="246">
        <v>4530.0</v>
      </c>
      <c r="I38" s="246">
        <v>4375.0</v>
      </c>
      <c r="J38" s="246">
        <v>3995.0</v>
      </c>
      <c r="K38" s="246">
        <v>4342.0</v>
      </c>
      <c r="L38" s="246">
        <v>4342.0</v>
      </c>
    </row>
    <row r="39" ht="15.75" customHeight="1">
      <c r="A39" s="245" t="s">
        <v>323</v>
      </c>
      <c r="B39" s="246">
        <v>1345.0</v>
      </c>
      <c r="C39" s="246">
        <v>1820.0</v>
      </c>
      <c r="D39" s="246">
        <v>1612.0</v>
      </c>
      <c r="E39" s="246">
        <v>1217.0</v>
      </c>
      <c r="F39" s="246">
        <v>1185.0</v>
      </c>
      <c r="G39" s="246">
        <v>967.0</v>
      </c>
      <c r="H39" s="246">
        <v>1034.0</v>
      </c>
      <c r="I39" s="246">
        <v>914.0</v>
      </c>
      <c r="J39" s="246">
        <v>1085.0</v>
      </c>
      <c r="K39" s="246">
        <v>1359.0</v>
      </c>
      <c r="L39" s="246">
        <v>1359.0</v>
      </c>
    </row>
    <row r="40" ht="15.75" customHeight="1">
      <c r="A40" s="256" t="s">
        <v>324</v>
      </c>
      <c r="B40" s="257">
        <v>36216.0</v>
      </c>
      <c r="C40" s="257">
        <v>39449.0</v>
      </c>
      <c r="D40" s="257">
        <v>47860.0</v>
      </c>
      <c r="E40" s="257">
        <v>48994.0</v>
      </c>
      <c r="F40" s="257">
        <v>50920.0</v>
      </c>
      <c r="G40" s="257">
        <v>50004.0</v>
      </c>
      <c r="H40" s="257">
        <v>55349.0</v>
      </c>
      <c r="I40" s="257">
        <v>56120.0</v>
      </c>
      <c r="J40" s="257">
        <v>54502.0</v>
      </c>
      <c r="K40" s="257">
        <v>57195.0</v>
      </c>
      <c r="L40" s="257">
        <v>57195.0</v>
      </c>
    </row>
    <row r="41" ht="15.75" customHeight="1">
      <c r="A41" s="245" t="s">
        <v>325</v>
      </c>
      <c r="B41" s="255"/>
      <c r="C41" s="255"/>
      <c r="D41" s="255"/>
      <c r="E41" s="255"/>
      <c r="F41" s="255"/>
      <c r="G41" s="255"/>
      <c r="H41" s="255"/>
      <c r="I41" s="255"/>
      <c r="J41" s="255"/>
      <c r="K41" s="255"/>
      <c r="L41" s="255"/>
    </row>
    <row r="42" ht="15.75" customHeight="1">
      <c r="A42" s="245" t="s">
        <v>326</v>
      </c>
      <c r="B42" s="255"/>
      <c r="C42" s="255"/>
      <c r="D42" s="255"/>
      <c r="E42" s="255"/>
      <c r="F42" s="255"/>
      <c r="G42" s="255"/>
      <c r="H42" s="255"/>
      <c r="I42" s="255"/>
      <c r="J42" s="255"/>
      <c r="K42" s="255"/>
      <c r="L42" s="255"/>
    </row>
    <row r="43" ht="15.75" customHeight="1">
      <c r="A43" s="245" t="s">
        <v>327</v>
      </c>
      <c r="B43" s="255"/>
      <c r="C43" s="255"/>
      <c r="D43" s="255"/>
      <c r="E43" s="255"/>
      <c r="F43" s="255"/>
      <c r="G43" s="255"/>
      <c r="H43" s="255"/>
      <c r="I43" s="255"/>
      <c r="J43" s="255"/>
      <c r="K43" s="255"/>
      <c r="L43" s="255"/>
    </row>
    <row r="44" ht="15.75" customHeight="1">
      <c r="A44" s="247" t="s">
        <v>328</v>
      </c>
      <c r="B44" s="269"/>
      <c r="C44" s="269"/>
      <c r="D44" s="269"/>
      <c r="E44" s="269"/>
      <c r="F44" s="269"/>
      <c r="G44" s="269"/>
      <c r="H44" s="269"/>
      <c r="I44" s="269"/>
      <c r="J44" s="269"/>
      <c r="K44" s="269"/>
      <c r="L44" s="269"/>
    </row>
    <row r="45" ht="15.75" customHeight="1">
      <c r="A45" s="245" t="s">
        <v>329</v>
      </c>
      <c r="B45" s="246">
        <v>484.0</v>
      </c>
      <c r="C45" s="246">
        <v>484.0</v>
      </c>
      <c r="D45" s="246">
        <v>484.0</v>
      </c>
      <c r="E45" s="246">
        <v>464.0</v>
      </c>
      <c r="F45" s="246">
        <v>420.0</v>
      </c>
      <c r="G45" s="246">
        <v>92.0</v>
      </c>
      <c r="H45" s="246">
        <v>92.0</v>
      </c>
      <c r="I45" s="246">
        <v>92.0</v>
      </c>
      <c r="J45" s="246">
        <v>88.0</v>
      </c>
      <c r="K45" s="246">
        <v>88.0</v>
      </c>
      <c r="L45" s="246">
        <v>88.0</v>
      </c>
    </row>
    <row r="46" ht="15.75" customHeight="1">
      <c r="A46" s="245" t="s">
        <v>330</v>
      </c>
      <c r="B46" s="246">
        <v>152.0</v>
      </c>
      <c r="C46" s="246">
        <v>134.0</v>
      </c>
      <c r="D46" s="246">
        <v>130.0</v>
      </c>
      <c r="E46" s="246">
        <v>129.0</v>
      </c>
      <c r="F46" s="246">
        <v>134.0</v>
      </c>
      <c r="G46" s="246">
        <v>73472.0</v>
      </c>
      <c r="H46" s="246">
        <v>52844.0</v>
      </c>
      <c r="I46" s="246">
        <v>52844.0</v>
      </c>
      <c r="J46" s="246">
        <v>52844.0</v>
      </c>
      <c r="K46" s="246">
        <v>52844.0</v>
      </c>
      <c r="L46" s="246">
        <v>52844.0</v>
      </c>
    </row>
    <row r="47" ht="15.75" customHeight="1">
      <c r="A47" s="245" t="s">
        <v>331</v>
      </c>
      <c r="B47" s="246">
        <v>22619.0</v>
      </c>
      <c r="C47" s="246">
        <v>23179.0</v>
      </c>
      <c r="D47" s="246">
        <v>26413.0</v>
      </c>
      <c r="E47" s="246">
        <v>26022.0</v>
      </c>
      <c r="F47" s="246">
        <v>18212.0</v>
      </c>
      <c r="G47" s="246">
        <v>22548.0</v>
      </c>
      <c r="H47" s="246">
        <v>46745.0</v>
      </c>
      <c r="I47" s="246">
        <v>50253.0</v>
      </c>
      <c r="J47" s="246">
        <v>47052.0</v>
      </c>
      <c r="K47" s="246">
        <v>49721.0</v>
      </c>
      <c r="L47" s="246">
        <v>49721.0</v>
      </c>
    </row>
    <row r="48" ht="15.75" customHeight="1">
      <c r="A48" s="245" t="s">
        <v>332</v>
      </c>
      <c r="B48" s="254">
        <v>-4119.0</v>
      </c>
      <c r="C48" s="254">
        <v>-4164.0</v>
      </c>
      <c r="D48" s="254">
        <v>-9208.0</v>
      </c>
      <c r="E48" s="254">
        <v>-10181.0</v>
      </c>
      <c r="F48" s="254">
        <v>-703.0</v>
      </c>
      <c r="G48" s="254">
        <v>-483.0</v>
      </c>
      <c r="H48" s="254">
        <v>-3406.0</v>
      </c>
      <c r="I48" s="254">
        <v>-4809.0</v>
      </c>
      <c r="J48" s="254">
        <v>-6241.0</v>
      </c>
      <c r="K48" s="255"/>
      <c r="L48" s="255"/>
    </row>
    <row r="49" ht="15.75" customHeight="1">
      <c r="A49" s="245" t="s">
        <v>333</v>
      </c>
      <c r="B49" s="254">
        <v>-3697.0</v>
      </c>
      <c r="C49" s="254">
        <v>-3279.0</v>
      </c>
      <c r="D49" s="254">
        <v>-4379.0</v>
      </c>
      <c r="E49" s="254">
        <v>-5037.0</v>
      </c>
      <c r="F49" s="254">
        <v>-4871.0</v>
      </c>
      <c r="G49" s="254">
        <v>-80363.0</v>
      </c>
      <c r="H49" s="254">
        <v>-79168.0</v>
      </c>
      <c r="I49" s="254">
        <v>-79359.0</v>
      </c>
      <c r="J49" s="254">
        <v>-75641.0</v>
      </c>
      <c r="K49" s="254">
        <v>-82663.0</v>
      </c>
      <c r="L49" s="254">
        <v>-82663.0</v>
      </c>
    </row>
    <row r="50" ht="15.75" customHeight="1">
      <c r="A50" s="247" t="s">
        <v>334</v>
      </c>
      <c r="B50" s="248">
        <v>15439.0</v>
      </c>
      <c r="C50" s="248">
        <v>16354.0</v>
      </c>
      <c r="D50" s="248">
        <v>13440.0</v>
      </c>
      <c r="E50" s="248">
        <v>11397.0</v>
      </c>
      <c r="F50" s="248">
        <v>13192.0</v>
      </c>
      <c r="G50" s="248">
        <v>15266.0</v>
      </c>
      <c r="H50" s="248">
        <v>17107.0</v>
      </c>
      <c r="I50" s="248">
        <v>19021.0</v>
      </c>
      <c r="J50" s="248">
        <v>18102.0</v>
      </c>
      <c r="K50" s="248">
        <v>19990.0</v>
      </c>
      <c r="L50" s="248">
        <v>19990.0</v>
      </c>
    </row>
    <row r="51" ht="15.75" customHeight="1">
      <c r="A51" s="245" t="s">
        <v>198</v>
      </c>
      <c r="B51" s="246">
        <v>643.0</v>
      </c>
      <c r="C51" s="246">
        <v>626.0</v>
      </c>
      <c r="D51" s="246">
        <v>758.0</v>
      </c>
      <c r="E51" s="246">
        <v>720.0</v>
      </c>
      <c r="F51" s="246">
        <v>694.0</v>
      </c>
      <c r="G51" s="246">
        <v>2389.0</v>
      </c>
      <c r="H51" s="246">
        <v>2639.0</v>
      </c>
      <c r="I51" s="246">
        <v>2680.0</v>
      </c>
      <c r="J51" s="246">
        <v>2662.0</v>
      </c>
      <c r="K51" s="246">
        <v>2565.0</v>
      </c>
      <c r="L51" s="246">
        <v>2565.0</v>
      </c>
    </row>
    <row r="52" ht="15.75" customHeight="1">
      <c r="A52" s="256" t="s">
        <v>335</v>
      </c>
      <c r="B52" s="257">
        <v>16082.0</v>
      </c>
      <c r="C52" s="257">
        <v>16980.0</v>
      </c>
      <c r="D52" s="257">
        <v>14198.0</v>
      </c>
      <c r="E52" s="257">
        <v>12117.0</v>
      </c>
      <c r="F52" s="257">
        <v>13886.0</v>
      </c>
      <c r="G52" s="257">
        <v>17655.0</v>
      </c>
      <c r="H52" s="257">
        <v>19746.0</v>
      </c>
      <c r="I52" s="257">
        <v>21701.0</v>
      </c>
      <c r="J52" s="257">
        <v>20764.0</v>
      </c>
      <c r="K52" s="257">
        <v>22555.0</v>
      </c>
      <c r="L52" s="257">
        <v>22555.0</v>
      </c>
    </row>
    <row r="53" ht="15.75" customHeight="1">
      <c r="A53" s="256" t="s">
        <v>336</v>
      </c>
      <c r="B53" s="257">
        <v>52298.0</v>
      </c>
      <c r="C53" s="257">
        <v>56429.0</v>
      </c>
      <c r="D53" s="257">
        <v>62058.0</v>
      </c>
      <c r="E53" s="257">
        <v>61111.0</v>
      </c>
      <c r="F53" s="257">
        <v>64806.0</v>
      </c>
      <c r="G53" s="257">
        <v>67659.0</v>
      </c>
      <c r="H53" s="257">
        <v>75095.0</v>
      </c>
      <c r="I53" s="257">
        <v>77821.0</v>
      </c>
      <c r="J53" s="257">
        <v>75266.0</v>
      </c>
      <c r="K53" s="257">
        <v>79750.0</v>
      </c>
      <c r="L53" s="257">
        <v>79750.0</v>
      </c>
    </row>
    <row r="54" ht="15.75" customHeight="1">
      <c r="A54" s="249" t="s">
        <v>213</v>
      </c>
      <c r="B54" s="260"/>
      <c r="C54" s="260"/>
      <c r="D54" s="260"/>
      <c r="E54" s="260"/>
      <c r="F54" s="260"/>
      <c r="G54" s="260"/>
      <c r="H54" s="260"/>
      <c r="I54" s="260"/>
      <c r="J54" s="260"/>
      <c r="K54" s="260"/>
      <c r="L54" s="260"/>
    </row>
    <row r="55" ht="15.75" customHeight="1">
      <c r="A55" s="245" t="s">
        <v>337</v>
      </c>
      <c r="B55" s="255"/>
      <c r="C55" s="255"/>
      <c r="D55" s="255"/>
      <c r="E55" s="255"/>
      <c r="F55" s="255"/>
      <c r="G55" s="255"/>
      <c r="H55" s="255"/>
      <c r="I55" s="255"/>
      <c r="J55" s="255"/>
      <c r="K55" s="255"/>
      <c r="L55" s="246">
        <v>2475.6</v>
      </c>
    </row>
    <row r="56" ht="15.75" customHeight="1">
      <c r="A56" s="245" t="s">
        <v>338</v>
      </c>
      <c r="B56" s="246">
        <v>5.44</v>
      </c>
      <c r="C56" s="246">
        <v>5.76</v>
      </c>
      <c r="D56" s="246">
        <v>4.91</v>
      </c>
      <c r="E56" s="246">
        <v>4.36</v>
      </c>
      <c r="F56" s="246">
        <v>5.05</v>
      </c>
      <c r="G56" s="246">
        <v>5.82</v>
      </c>
      <c r="H56" s="246">
        <v>6.68</v>
      </c>
      <c r="I56" s="246">
        <v>7.52</v>
      </c>
      <c r="J56" s="246">
        <v>7.24</v>
      </c>
      <c r="K56" s="246">
        <v>8.07</v>
      </c>
      <c r="L56" s="246">
        <v>8.07</v>
      </c>
    </row>
    <row r="57" ht="15.75" customHeight="1">
      <c r="A57" s="245" t="s">
        <v>339</v>
      </c>
      <c r="B57" s="254">
        <v>-9620.0</v>
      </c>
      <c r="C57" s="254">
        <v>-11079.0</v>
      </c>
      <c r="D57" s="254">
        <v>-14961.0</v>
      </c>
      <c r="E57" s="254">
        <v>-18096.0</v>
      </c>
      <c r="F57" s="254">
        <v>-17837.0</v>
      </c>
      <c r="G57" s="254">
        <v>-19675.0</v>
      </c>
      <c r="H57" s="254">
        <v>-21484.0</v>
      </c>
      <c r="I57" s="254">
        <v>-21468.0</v>
      </c>
      <c r="J57" s="254">
        <v>-21364.0</v>
      </c>
      <c r="K57" s="254">
        <v>-20911.0</v>
      </c>
      <c r="L57" s="254">
        <v>-20911.0</v>
      </c>
    </row>
    <row r="58" ht="15.75" customHeight="1">
      <c r="A58" s="245" t="s">
        <v>340</v>
      </c>
      <c r="B58" s="254">
        <v>-3.39</v>
      </c>
      <c r="C58" s="254">
        <v>-3.9</v>
      </c>
      <c r="D58" s="254">
        <v>-5.46</v>
      </c>
      <c r="E58" s="254">
        <v>-6.92</v>
      </c>
      <c r="F58" s="254">
        <v>-6.83</v>
      </c>
      <c r="G58" s="254">
        <v>-7.5</v>
      </c>
      <c r="H58" s="254">
        <v>-8.39</v>
      </c>
      <c r="I58" s="254">
        <v>-8.49</v>
      </c>
      <c r="J58" s="254">
        <v>-8.55</v>
      </c>
      <c r="K58" s="254">
        <v>-8.45</v>
      </c>
      <c r="L58" s="254">
        <v>-8.45</v>
      </c>
    </row>
    <row r="59" ht="15.75" customHeight="1">
      <c r="A59" s="245" t="s">
        <v>341</v>
      </c>
      <c r="B59" s="246">
        <v>14643.0</v>
      </c>
      <c r="C59" s="246">
        <v>16595.0</v>
      </c>
      <c r="D59" s="246">
        <v>26417.0</v>
      </c>
      <c r="E59" s="246">
        <v>26738.0</v>
      </c>
      <c r="F59" s="246">
        <v>28257.0</v>
      </c>
      <c r="G59" s="246">
        <v>27305.0</v>
      </c>
      <c r="H59" s="246">
        <v>30133.0</v>
      </c>
      <c r="I59" s="246">
        <v>29488.0</v>
      </c>
      <c r="J59" s="246">
        <v>29622.0</v>
      </c>
      <c r="K59" s="246">
        <v>32053.0</v>
      </c>
      <c r="L59" s="246">
        <v>32053.0</v>
      </c>
    </row>
    <row r="60" ht="15.75" customHeight="1">
      <c r="A60" s="245" t="s">
        <v>342</v>
      </c>
      <c r="B60" s="246">
        <v>11621.0</v>
      </c>
      <c r="C60" s="246">
        <v>12467.0</v>
      </c>
      <c r="D60" s="246">
        <v>22330.0</v>
      </c>
      <c r="E60" s="246">
        <v>22460.0</v>
      </c>
      <c r="F60" s="246">
        <v>22977.0</v>
      </c>
      <c r="G60" s="246">
        <v>21003.0</v>
      </c>
      <c r="H60" s="246">
        <v>25627.0</v>
      </c>
      <c r="I60" s="246">
        <v>23890.0</v>
      </c>
      <c r="J60" s="246">
        <v>23769.0</v>
      </c>
      <c r="K60" s="246">
        <v>24533.0</v>
      </c>
      <c r="L60" s="246">
        <v>24533.0</v>
      </c>
    </row>
    <row r="61" ht="15.75" customHeight="1">
      <c r="A61" s="245" t="s">
        <v>343</v>
      </c>
      <c r="B61" s="270"/>
      <c r="C61" s="270"/>
      <c r="D61" s="270"/>
      <c r="E61" s="270"/>
      <c r="F61" s="270"/>
      <c r="G61" s="270"/>
      <c r="H61" s="270"/>
      <c r="I61" s="270"/>
      <c r="J61" s="270"/>
      <c r="K61" s="270"/>
      <c r="L61" s="270"/>
    </row>
    <row r="62" ht="15.75" customHeight="1">
      <c r="A62" s="245" t="s">
        <v>344</v>
      </c>
      <c r="B62" s="270"/>
      <c r="C62" s="270"/>
      <c r="D62" s="255"/>
      <c r="E62" s="270"/>
      <c r="F62" s="270"/>
      <c r="G62" s="270"/>
      <c r="H62" s="270"/>
      <c r="I62" s="270"/>
      <c r="J62" s="270"/>
      <c r="K62" s="255"/>
      <c r="L62" s="255"/>
    </row>
    <row r="63" ht="15.75" customHeight="1">
      <c r="A63" s="245" t="s">
        <v>345</v>
      </c>
      <c r="B63" s="270"/>
      <c r="C63" s="270"/>
      <c r="D63" s="255"/>
      <c r="E63" s="270"/>
      <c r="F63" s="270"/>
      <c r="G63" s="270"/>
      <c r="H63" s="270"/>
      <c r="I63" s="270"/>
      <c r="J63" s="270"/>
      <c r="K63" s="255"/>
      <c r="L63" s="255"/>
    </row>
    <row r="64" ht="15.75" customHeight="1">
      <c r="A64" s="245" t="s">
        <v>346</v>
      </c>
      <c r="B64" s="270"/>
      <c r="C64" s="270"/>
      <c r="D64" s="270"/>
      <c r="E64" s="270"/>
      <c r="F64" s="270"/>
      <c r="G64" s="270"/>
      <c r="H64" s="270"/>
      <c r="I64" s="270"/>
      <c r="J64" s="270"/>
      <c r="K64" s="255"/>
      <c r="L64" s="255"/>
    </row>
    <row r="65" ht="15.75" customHeight="1">
      <c r="A65" s="245" t="s">
        <v>347</v>
      </c>
      <c r="B65" s="255"/>
      <c r="C65" s="255"/>
      <c r="D65" s="255"/>
      <c r="E65" s="255"/>
      <c r="F65" s="255"/>
      <c r="G65" s="255"/>
      <c r="H65" s="270"/>
      <c r="I65" s="270"/>
      <c r="J65" s="270"/>
      <c r="K65" s="255"/>
      <c r="L65" s="255"/>
    </row>
    <row r="66" ht="15.75" customHeight="1">
      <c r="A66" s="245" t="s">
        <v>348</v>
      </c>
      <c r="B66" s="271"/>
      <c r="C66" s="271"/>
      <c r="D66" s="271"/>
      <c r="E66" s="271"/>
      <c r="F66" s="271"/>
      <c r="G66" s="271"/>
      <c r="H66" s="271"/>
      <c r="I66" s="271"/>
      <c r="J66" s="270"/>
      <c r="K66" s="255"/>
      <c r="L66" s="255"/>
    </row>
    <row r="67" ht="15.75" customHeight="1">
      <c r="A67" s="266" t="s">
        <v>282</v>
      </c>
      <c r="B67" s="11"/>
      <c r="C67" s="260"/>
      <c r="D67" s="11"/>
      <c r="E67" s="11"/>
      <c r="F67" s="11"/>
      <c r="G67" s="11"/>
      <c r="H67" s="260"/>
      <c r="I67" s="260"/>
      <c r="J67" s="260"/>
      <c r="K67" s="260"/>
      <c r="L67" s="11"/>
    </row>
    <row r="68" ht="15.75" customHeight="1">
      <c r="A68" s="266" t="s">
        <v>283</v>
      </c>
      <c r="B68" s="260"/>
      <c r="C68" s="260"/>
      <c r="D68" s="260"/>
      <c r="E68" s="260"/>
      <c r="F68" s="260"/>
      <c r="G68" s="260"/>
      <c r="H68" s="260"/>
      <c r="I68" s="260"/>
      <c r="J68" s="260"/>
      <c r="K68" s="260"/>
      <c r="L68" s="11"/>
    </row>
    <row r="69" ht="15.75" customHeight="1">
      <c r="A69" s="267" t="s">
        <v>349</v>
      </c>
      <c r="B69" s="260"/>
      <c r="C69" s="260"/>
      <c r="D69" s="260"/>
      <c r="E69" s="260"/>
      <c r="F69" s="260"/>
      <c r="G69" s="260"/>
      <c r="H69" s="260"/>
      <c r="I69" s="260"/>
      <c r="J69" s="260"/>
      <c r="K69" s="260"/>
      <c r="L69" s="260"/>
    </row>
    <row r="70" ht="15.75" customHeight="1">
      <c r="A70" s="267" t="s">
        <v>350</v>
      </c>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61"/>
    <hyperlink r:id="rId2" ref="C61"/>
    <hyperlink r:id="rId3" ref="D61"/>
    <hyperlink r:id="rId4" ref="E61"/>
    <hyperlink r:id="rId5" ref="F61"/>
    <hyperlink r:id="rId6" ref="G61"/>
    <hyperlink r:id="rId7" ref="H61"/>
    <hyperlink r:id="rId8" ref="I61"/>
    <hyperlink r:id="rId9" ref="J61"/>
    <hyperlink r:id="rId10" ref="K61"/>
    <hyperlink r:id="rId11" ref="L61"/>
    <hyperlink r:id="rId12" ref="B62"/>
    <hyperlink r:id="rId13" ref="C62"/>
    <hyperlink r:id="rId14" ref="E62"/>
    <hyperlink r:id="rId15" ref="F62"/>
    <hyperlink r:id="rId16" ref="G62"/>
    <hyperlink r:id="rId17" ref="H62"/>
    <hyperlink r:id="rId18" ref="I62"/>
    <hyperlink r:id="rId19" ref="J62"/>
    <hyperlink r:id="rId20" ref="B63"/>
    <hyperlink r:id="rId21" ref="C63"/>
    <hyperlink r:id="rId22" ref="E63"/>
    <hyperlink r:id="rId23" ref="F63"/>
    <hyperlink r:id="rId24" ref="G63"/>
    <hyperlink r:id="rId25" ref="H63"/>
    <hyperlink r:id="rId26" ref="I63"/>
    <hyperlink r:id="rId27" ref="J63"/>
    <hyperlink r:id="rId28" ref="B64"/>
    <hyperlink r:id="rId29" ref="C64"/>
    <hyperlink r:id="rId30" ref="D64"/>
    <hyperlink r:id="rId31" ref="E64"/>
    <hyperlink r:id="rId32" ref="F64"/>
    <hyperlink r:id="rId33" ref="G64"/>
    <hyperlink r:id="rId34" ref="H64"/>
    <hyperlink r:id="rId35" ref="I64"/>
    <hyperlink r:id="rId36" ref="J64"/>
    <hyperlink r:id="rId37" ref="H65"/>
    <hyperlink r:id="rId38" ref="I65"/>
    <hyperlink r:id="rId39" ref="J65"/>
    <hyperlink r:id="rId40" ref="B66"/>
    <hyperlink r:id="rId41" ref="C66"/>
    <hyperlink r:id="rId42" ref="D66"/>
    <hyperlink r:id="rId43" ref="E66"/>
    <hyperlink r:id="rId44" ref="F66"/>
    <hyperlink r:id="rId45" ref="G66"/>
    <hyperlink r:id="rId46" ref="H66"/>
    <hyperlink r:id="rId47" ref="I66"/>
    <hyperlink r:id="rId48" ref="J66"/>
    <hyperlink r:id="rId49" ref="A69"/>
    <hyperlink r:id="rId50" ref="A70"/>
  </hyperlinks>
  <printOptions/>
  <pageMargins bottom="0.75" footer="0.0" header="0.0" left="0.7" right="0.7" top="0.75"/>
  <pageSetup paperSize="9" orientation="portrait"/>
  <drawing r:id="rId51"/>
</worksheet>
</file>