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<sst xmlns="http://schemas.openxmlformats.org/spreadsheetml/2006/main" count="632" uniqueCount="477">
  <si>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</si>
  <si>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</si>
  <si>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</si>
  <si>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</si>
  <si>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</si>
  <si>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</si>
  <si>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</si>
  <si>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</si>
  <si>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</si>
  <si>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</si>
  <si>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</si>
  <si>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</si>
  <si>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</si>
  <si>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</si>
  <si>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</si>
  <si>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</si>
  <si>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</si>
  <si>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</si>
  <si>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</si>
  <si>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</si>
  <si>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</si>
  <si>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</si>
  <si>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</si>
  <si>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</si>
  <si>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</si>
  <si>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</si>
  <si>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</si>
  <si>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</si>
  <si>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</si>
  <si>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</si>
  <si>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</si>
  <si>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</si>
  <si>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</si>
  <si>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</si>
  <si>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</si>
  <si>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</si>
  <si>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</si>
  <si>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</si>
  <si>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</si>
  <si>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</si>
  <si>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</si>
  <si>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</si>
  <si>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</si>
  <si>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</si>
  <si>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</si>
  <si>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</si>
  <si>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</si>
  <si>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</si>
  <si>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</si>
  <si>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</si>
  <si>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</si>
  <si>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</si>
  <si>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</si>
  <si>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</si>
  <si>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</si>
  <si>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</si>
  <si>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</si>
  <si>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</si>
  <si>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</si>
  <si>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</si>
  <si>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</si>
  <si>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</si>
  <si>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</si>
  <si>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</si>
  <si>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</si>
  <si>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</si>
  <si>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</si>
  <si>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</si>
  <si>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</si>
  <si>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</si>
  <si>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</si>
  <si>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</si>
  <si>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</si>
  <si>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</si>
  <si>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</si>
  <si>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</si>
  <si>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</si>
  <si>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</si>
  <si>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</si>
  <si>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</si>
  <si>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</si>
  <si>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</si>
  <si>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</si>
  <si>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</si>
  <si>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</si>
  <si>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</si>
  <si>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</si>
  <si>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</si>
  <si>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</si>
  <si>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</si>
  <si>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</si>
  <si>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</si>
  <si>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</si>
  <si>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</si>
  <si>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</si>
  <si>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</si>
  <si>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</si>
  <si>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</si>
  <si>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</si>
  <si>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</si>
  <si>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</si>
  <si>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</si>
  <si>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</si>
  <si>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</si>
  <si>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</si>
  <si>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</si>
  <si>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</si>
  <si>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</si>
  <si>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</si>
  <si>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</si>
  <si>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</si>
  <si>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</si>
  <si>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</si>
  <si>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</si>
  <si>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</si>
  <si>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</si>
  <si>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</si>
  <si>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</si>
  <si>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</si>
  <si>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</si>
  <si>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</si>
  <si>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</si>
  <si>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</si>
  <si>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</si>
  <si>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</si>
  <si>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</si>
  <si>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</si>
  <si>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</si>
  <si>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Other Revenues</t>
  </si>
  <si>
    <t>Total Revenues</t>
  </si>
  <si>
    <t>% Change YoY</t>
  </si>
  <si>
    <t>0,8 %</t>
  </si>
  <si>
    <t>3,0 %</t>
  </si>
  <si>
    <t>2,8 %</t>
  </si>
  <si>
    <t>1,9 %</t>
  </si>
  <si>
    <t>6,7 %</t>
  </si>
  <si>
    <t>2,4 %</t>
  </si>
  <si>
    <t>6,0 %</t>
  </si>
  <si>
    <t>5,1 %</t>
  </si>
  <si>
    <t>Cost of Goods Sold</t>
  </si>
  <si>
    <t>Gross Profit</t>
  </si>
  <si>
    <t>2,9 %</t>
  </si>
  <si>
    <t>1,7 %</t>
  </si>
  <si>
    <t>0,2 %</t>
  </si>
  <si>
    <t>7,3 %</t>
  </si>
  <si>
    <t>3,5 %</t>
  </si>
  <si>
    <t>2,7 %</t>
  </si>
  <si>
    <t>7,1 %</t>
  </si>
  <si>
    <t>% Gross Margins</t>
  </si>
  <si>
    <t>25,1 %</t>
  </si>
  <si>
    <t>25,6 %</t>
  </si>
  <si>
    <t>25,4 %</t>
  </si>
  <si>
    <t>24,7 %</t>
  </si>
  <si>
    <t>24,8 %</t>
  </si>
  <si>
    <t>24,1 %</t>
  </si>
  <si>
    <t>24,4 %</t>
  </si>
  <si>
    <t>24,9 %</t>
  </si>
  <si>
    <t>Selling General &amp; Admin Expenses</t>
  </si>
  <si>
    <t>Total Operating Expenses</t>
  </si>
  <si>
    <t>Operating Income</t>
  </si>
  <si>
    <t>(5,6 %)</t>
  </si>
  <si>
    <t>(8,0 %)</t>
  </si>
  <si>
    <t>4,9 %</t>
  </si>
  <si>
    <t>(2,2 %)</t>
  </si>
  <si>
    <t>5,0 %</t>
  </si>
  <si>
    <t>15,1 %</t>
  </si>
  <si>
    <t>(5,5 %)</t>
  </si>
  <si>
    <t>10,1 %</t>
  </si>
  <si>
    <t>9,2 %</t>
  </si>
  <si>
    <t>% Operating Margins</t>
  </si>
  <si>
    <t>4,7 %</t>
  </si>
  <si>
    <t>4,2 %</t>
  </si>
  <si>
    <t>4,3 %</t>
  </si>
  <si>
    <t>4,1 %</t>
  </si>
  <si>
    <t>4,0 %</t>
  </si>
  <si>
    <t>4,5 %</t>
  </si>
  <si>
    <t>Interest And Investment Income</t>
  </si>
  <si>
    <t>Other Non Operating Income (Expenses)</t>
  </si>
  <si>
    <t>EBT Excl. Unusual Items</t>
  </si>
  <si>
    <t>Merger &amp; Restructuring Charges</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</si>
  <si>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</si>
  <si>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</si>
  <si>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</si>
  <si>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</si>
  <si>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</si>
  <si>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</si>
  <si>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</si>
  <si>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</si>
  <si>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</si>
  <si>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</si>
  <si>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</si>
  <si>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Net Income to Common Incl Extra Items</t>
  </si>
  <si>
    <t>% Net Income to Common Incl Extra Items Margins</t>
  </si>
  <si>
    <t>2,0 %</t>
  </si>
  <si>
    <t>1,3 %</t>
  </si>
  <si>
    <t>Net Income to Common Excl. Extra Items</t>
  </si>
  <si>
    <t>% Net Income to Common Excl. Extra Items Margins</t>
  </si>
  <si>
    <t>Supplementary Data:</t>
  </si>
  <si>
    <t>Diluted EPS Excl Extra Items</t>
  </si>
  <si>
    <t>(4,2 %)</t>
  </si>
  <si>
    <t>(25,1 %)</t>
  </si>
  <si>
    <t>(31,1 %)</t>
  </si>
  <si>
    <t>129,7 %</t>
  </si>
  <si>
    <t>(8,5 %)</t>
  </si>
  <si>
    <t>2,3 %</t>
  </si>
  <si>
    <t>(12,3 %)</t>
  </si>
  <si>
    <t>34,5 %</t>
  </si>
  <si>
    <t>26,2 %</t>
  </si>
  <si>
    <t>Weighted Average Diluted Shares Outstanding</t>
  </si>
  <si>
    <t>(3,3 %)</t>
  </si>
  <si>
    <t>(2,6 %)</t>
  </si>
  <si>
    <t>(0,7 %)</t>
  </si>
  <si>
    <t>(1,5 %)</t>
  </si>
  <si>
    <t>(2,5 %)</t>
  </si>
  <si>
    <t>(1,1 %)</t>
  </si>
  <si>
    <t>(0,3 %)</t>
  </si>
  <si>
    <t>Weighted Average Basic Shares Outstanding</t>
  </si>
  <si>
    <t>(3,4 %)</t>
  </si>
  <si>
    <t>(2,7 %)</t>
  </si>
  <si>
    <t>(1,4 %)</t>
  </si>
  <si>
    <t>(2,4 %)</t>
  </si>
  <si>
    <t>(1,2 %)</t>
  </si>
  <si>
    <t>(0,4 %)</t>
  </si>
  <si>
    <t>Dividends Per Share</t>
  </si>
  <si>
    <t>2,1 %</t>
  </si>
  <si>
    <t>1,8 %</t>
  </si>
  <si>
    <t>Payout Ratio %</t>
  </si>
  <si>
    <t>42,8 %</t>
  </si>
  <si>
    <t>45,6 %</t>
  </si>
  <si>
    <t>62,1 %</t>
  </si>
  <si>
    <t>91,5 %</t>
  </si>
  <si>
    <t>40,6 %</t>
  </si>
  <si>
    <t>45,3 %</t>
  </si>
  <si>
    <t>45,0 %</t>
  </si>
  <si>
    <t>52,3 %</t>
  </si>
  <si>
    <t>39,6 %</t>
  </si>
  <si>
    <t>34,4 %</t>
  </si>
  <si>
    <t>Basic EPS</t>
  </si>
  <si>
    <t>(2,1 %)</t>
  </si>
  <si>
    <t>3,7 %</t>
  </si>
  <si>
    <t>(0,6 %)</t>
  </si>
  <si>
    <t>3,8 %</t>
  </si>
  <si>
    <t>8,6 %</t>
  </si>
  <si>
    <t>(3,1 %)</t>
  </si>
  <si>
    <t>9,6 %</t>
  </si>
  <si>
    <t>9,3 %</t>
  </si>
  <si>
    <t>EBITDAR</t>
  </si>
  <si>
    <t>Selling and Marketing Expense</t>
  </si>
  <si>
    <t>Effective Tax Rate %</t>
  </si>
  <si>
    <t>30,3 %</t>
  </si>
  <si>
    <t>30,4 %</t>
  </si>
  <si>
    <t>37,4 %</t>
  </si>
  <si>
    <t>33,3 %</t>
  </si>
  <si>
    <t>33,6 %</t>
  </si>
  <si>
    <t>25,5 %</t>
  </si>
  <si>
    <t>23,4 %</t>
  </si>
  <si>
    <t>Price Factors:</t>
  </si>
  <si>
    <t>Market Cap</t>
  </si>
  <si>
    <t>Price Close</t>
  </si>
  <si>
    <t>19,08 US$</t>
  </si>
  <si>
    <t>23,34 US$</t>
  </si>
  <si>
    <t>29,10 US$</t>
  </si>
  <si>
    <t>33,43 US$</t>
  </si>
  <si>
    <t>39,09 US$</t>
  </si>
  <si>
    <t>46,25 US$</t>
  </si>
  <si>
    <t>49,81 US$</t>
  </si>
  <si>
    <t>47,44 US$</t>
  </si>
  <si>
    <t>54,47 US$</t>
  </si>
  <si>
    <t>81,95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</si>
  <si>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</si>
  <si>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</si>
  <si>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</si>
  <si>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</si>
  <si>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</si>
  <si>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</si>
  <si>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</si>
  <si>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Trading Asset Securities</t>
  </si>
  <si>
    <t>Total Cash And Short Term Investments</t>
  </si>
  <si>
    <t>Accounts Receivable</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</si>
  <si>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</si>
  <si>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</si>
  <si>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</si>
  <si>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</si>
  <si>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</si>
  <si>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</si>
  <si>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</si>
  <si>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</si>
  <si>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</si>
  <si>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</si>
  <si>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</si>
  <si>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</si>
  <si>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</si>
  <si>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</si>
  <si>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</si>
  <si>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</si>
  <si>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</si>
  <si>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</si>
  <si>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</si>
  <si>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</si>
  <si>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</si>
  <si>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</si>
  <si>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</si>
  <si>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</si>
  <si>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</si>
  <si>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</si>
  <si>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</si>
  <si>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</si>
  <si>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</si>
  <si>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</si>
  <si>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Common Stock</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</si>
  <si>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</si>
  <si>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</si>
  <si>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</si>
  <si>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</si>
  <si>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</si>
  <si>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</si>
  <si>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</si>
  <si>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</si>
  <si>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</si>
  <si>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</si>
  <si>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</si>
  <si>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</si>
  <si>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</si>
  <si>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</si>
  <si>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</si>
  <si>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</si>
  <si>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</si>
  <si>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</si>
  <si>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</si>
  <si>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</si>
  <si>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</si>
  <si>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(Gain) Loss From Sale Of Asset</t>
  </si>
  <si>
    <t>(Gain) Loss on Sale of Investments</t>
  </si>
  <si>
    <t>Net Cash From Discontinued Operations</t>
  </si>
  <si>
    <t>Other Operating Activities</t>
  </si>
  <si>
    <t>Change In Accounts Receivable</t>
  </si>
  <si>
    <t>Change In Inventories</t>
  </si>
  <si>
    <t>Change In Accounts Payable</t>
  </si>
  <si>
    <t>Change In Income Taxes</t>
  </si>
  <si>
    <t>Change in Other Net Operating Assets</t>
  </si>
  <si>
    <t>Cash from Operations</t>
  </si>
  <si>
    <t>Memo: Change in Net Working Capital</t>
  </si>
  <si>
    <t>Capital Expenditure</t>
  </si>
  <si>
    <t>Sale of Property, Plant, and Equipment</t>
  </si>
  <si>
    <t>Cash Acquisitions</t>
  </si>
  <si>
    <t>Divestitures</t>
  </si>
  <si>
    <t>Investment in Marketable and Equity Securities</t>
  </si>
  <si>
    <t>Other Investing Activities</t>
  </si>
  <si>
    <t>Cash from Investing</t>
  </si>
  <si>
    <t>Total Debt Issued</t>
  </si>
  <si>
    <t>Total Debt Repaid</t>
  </si>
  <si>
    <t>Repurchase of Common Stock</t>
  </si>
  <si>
    <t>Common Dividends Paid</t>
  </si>
  <si>
    <t>Common &amp; Preferred Stock Dividends Paid</t>
  </si>
  <si>
    <t>Other Financing Activities</t>
  </si>
  <si>
    <t>Cash from Financing</t>
  </si>
  <si>
    <t>Foreign Exchange Rate Adjustments</t>
  </si>
  <si>
    <t>Miscellaneous Cash Flow Adjustments</t>
  </si>
  <si>
    <t>Free Cash Flow</t>
  </si>
  <si>
    <t>31,0 %</t>
  </si>
  <si>
    <t>(13,1 %)</t>
  </si>
  <si>
    <t>(4,8 %)</t>
  </si>
  <si>
    <t>(16,4 %)</t>
  </si>
  <si>
    <t>77,4 %</t>
  </si>
  <si>
    <t>(57,1 %)</t>
  </si>
  <si>
    <t>8,2 %</t>
  </si>
  <si>
    <t>(16,3 %)</t>
  </si>
  <si>
    <t>% Free Cash Flow Margins</t>
  </si>
  <si>
    <t>3,3 %</t>
  </si>
  <si>
    <t>3,4 %</t>
  </si>
  <si>
    <t>4,6 %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</si>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</sst>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1F497D"/>
      <name val="Arial"/>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sz val="11.0"/>
      <color rgb="FF000000"/>
      <name val="Roboto"/>
    </font>
    <font>
      <b/>
      <sz val="11.0"/>
      <color rgb="FFE1E4EA"/>
      <name val="Roboto"/>
    </font>
    <font>
      <b/>
      <i/>
      <sz val="11.0"/>
      <color rgb="FFFFFFFF"/>
      <name val="Roboto"/>
    </font>
    <font>
      <b/>
      <i/>
      <u/>
      <sz val="11.0"/>
      <color rgb="FF0000FF"/>
      <name val="Roboto"/>
    </font>
    <font>
      <b/>
      <i/>
      <sz val="11.0"/>
      <color rgb="FFE1E4EA"/>
      <name val="Roboto"/>
    </font>
    <font>
      <b/>
      <i/>
      <sz val="11.0"/>
      <color rgb="FF000000"/>
      <name val="Roboto"/>
    </font>
    <font>
      <sz val="11.0"/>
      <color rgb="FFF44336"/>
      <name val="Roboto"/>
    </font>
    <font>
      <b/>
      <sz val="11.0"/>
      <color rgb="FFF44336"/>
      <name val="Roboto"/>
    </font>
    <font>
      <b/>
      <i/>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0"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3"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3"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0" xfId="0" applyAlignment="1" applyFont="1" applyNumberFormat="1">
      <alignment horizontal="center" vertical="center"/>
    </xf>
    <xf borderId="0" fillId="0" fontId="3" numFmtId="164"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3"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23" numFmtId="4" xfId="0" applyAlignment="1" applyFont="1" applyNumberFormat="1">
      <alignment horizontal="right" shrinkToFit="0" wrapText="0"/>
    </xf>
    <xf borderId="0" fillId="10" fontId="19" numFmtId="0" xfId="0" applyAlignment="1" applyFont="1">
      <alignment horizontal="left" shrinkToFit="0" wrapText="0"/>
    </xf>
    <xf borderId="0" fillId="10" fontId="24" numFmtId="4" xfId="0" applyAlignment="1" applyFont="1" applyNumberFormat="1">
      <alignment horizontal="right" shrinkToFit="0" wrapText="0"/>
    </xf>
    <xf borderId="0" fillId="10" fontId="25" numFmtId="0" xfId="0" applyAlignment="1" applyFont="1">
      <alignment horizontal="left" shrinkToFit="0" wrapText="0"/>
    </xf>
    <xf borderId="0" fillId="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4" numFmtId="4" xfId="0" applyAlignment="1" applyBorder="1" applyFont="1" applyNumberFormat="1">
      <alignment horizontal="right" shrinkToFit="0" wrapText="0"/>
    </xf>
    <xf borderId="61" fillId="10" fontId="30" numFmtId="4" xfId="0" applyAlignment="1" applyBorder="1" applyFont="1" applyNumberFormat="1">
      <alignment horizontal="right" shrinkToFit="0" wrapText="0"/>
    </xf>
    <xf borderId="0" fillId="10" fontId="31" numFmtId="4" xfId="0" applyAlignment="1" applyFont="1" applyNumberFormat="1">
      <alignment horizontal="right" shrinkToFit="0" wrapText="0"/>
    </xf>
    <xf borderId="0" fillId="11" fontId="25" numFmtId="0" xfId="0" applyAlignment="1" applyFill="1" applyFont="1">
      <alignment horizontal="left" shrinkToFit="0" wrapText="0"/>
    </xf>
    <xf borderId="0" fillId="0" fontId="27" numFmtId="4" xfId="0" applyAlignment="1" applyFont="1" applyNumberForma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2" fontId="37" numFmtId="0" xfId="0" applyAlignment="1" applyFill="1" applyFont="1">
      <alignment shrinkToFit="0" wrapText="1"/>
    </xf>
    <xf borderId="0" fillId="12" fontId="38" numFmtId="0" xfId="0" applyAlignment="1" applyFont="1">
      <alignment shrinkToFit="0" wrapText="1"/>
    </xf>
    <xf borderId="0" fillId="10" fontId="22" numFmtId="0" xfId="0" applyAlignment="1" applyFont="1">
      <alignment horizontal="right" shrinkToFit="0" wrapText="0"/>
    </xf>
    <xf borderId="0" fillId="0" fontId="39" numFmtId="4" xfId="0" applyAlignment="1" applyFont="1" applyNumberFormat="1">
      <alignment horizontal="right" shrinkToFit="0" wrapText="0"/>
    </xf>
    <xf borderId="0" fillId="10" fontId="24" numFmtId="0" xfId="0" applyAlignment="1" applyFont="1">
      <alignment horizontal="right" shrinkToFit="0" wrapText="0"/>
    </xf>
    <xf borderId="0" fillId="10" fontId="29"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263726895"/>
        <c:axId val="279799636"/>
      </c:barChart>
      <c:catAx>
        <c:axId val="263726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79799636"/>
      </c:catAx>
      <c:valAx>
        <c:axId val="2797996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63726895"/>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527587486"/>
        <c:axId val="263734454"/>
      </c:barChart>
      <c:catAx>
        <c:axId val="5275874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63734454"/>
      </c:catAx>
      <c:valAx>
        <c:axId val="26373445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27587486"/>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003867830"/>
        <c:axId val="120606706"/>
      </c:barChart>
      <c:catAx>
        <c:axId val="1003867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0606706"/>
      </c:catAx>
      <c:valAx>
        <c:axId val="12060670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0386783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4050" y="3218025"/>
                        <a:chExt cx="723900" cy="1123950"/>
                      </a:xfrm>
                    </xdr:grpSpPr>
                    <xdr:sp>
                      <xdr:nvSpPr>
                        <xdr:cNvPr id="16" name="Shape 1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xdr:cNvGrpSpPr/>
                      </xdr:nvGrpSpPr>
                      <xdr:grpSpPr>
                        <a:xfrm>
                          <a:off x="4984050" y="3218025"/>
                          <a:ext cx="723900" cy="1123950"/>
                          <a:chOff x="4988813" y="3222788"/>
                          <a:chExt cx="714375" cy="1114425"/>
                        </a:xfrm>
                      </xdr:grpSpPr>
                      <xdr:sp>
                        <xdr:nvSpPr>
                          <xdr:cNvPr id="18" name="Shape 18"/>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20" name="Shape 20"/>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0288"/>
                      <a:chExt cx="723900" cy="3019425"/>
                    </a:xfrm>
                  </xdr:grpSpPr>
                  <xdr:sp>
                    <xdr:nvSpPr>
                      <xdr:cNvPr id="30" name="Shape 3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270288"/>
                        <a:ext cx="723900" cy="3019425"/>
                        <a:chOff x="4984050" y="2270288"/>
                        <a:chExt cx="723900" cy="3019425"/>
                      </a:xfrm>
                    </xdr:grpSpPr>
                    <xdr:sp>
                      <xdr:nvSpPr>
                        <xdr:cNvPr id="32" name="Shape 3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270288"/>
                          <a:ext cx="723900" cy="3019425"/>
                          <a:chOff x="4984050" y="2275050"/>
                          <a:chExt cx="723900" cy="3009900"/>
                        </a:xfrm>
                      </xdr:grpSpPr>
                      <xdr:sp>
                        <xdr:nvSpPr>
                          <xdr:cNvPr id="34" name="Shape 3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5" name="Shape 35"/>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36" name="Shape 36"/>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7" name="Shape 37"/>
            <xdr:cNvGrpSpPr/>
          </xdr:nvGrpSpPr>
          <xdr:grpSpPr>
            <a:xfrm>
              <a:off x="4984050" y="2013113"/>
              <a:ext cx="723900" cy="3533775"/>
              <a:chOff x="4984050" y="2013113"/>
              <a:chExt cx="723900" cy="3533775"/>
            </a:xfrm>
          </xdr:grpSpPr>
          <xdr:sp>
            <xdr:nvSpPr>
              <xdr:cNvPr id="38" name="Shape 3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984050" y="2013113"/>
                <a:ext cx="723900" cy="3533775"/>
                <a:chOff x="4984050" y="2013113"/>
                <a:chExt cx="723900" cy="3533775"/>
              </a:xfrm>
            </xdr:grpSpPr>
            <xdr:sp>
              <xdr:nvSpPr>
                <xdr:cNvPr id="40" name="Shape 4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3113"/>
                    <a:chExt cx="723900" cy="3533775"/>
                  </a:xfrm>
                </xdr:grpSpPr>
                <xdr:sp>
                  <xdr:nvSpPr>
                    <xdr:cNvPr id="44" name="Shape 4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2013113"/>
                      <a:ext cx="723900" cy="3533775"/>
                      <a:chOff x="4984050" y="2013113"/>
                      <a:chExt cx="723900" cy="3533775"/>
                    </a:xfrm>
                  </xdr:grpSpPr>
                  <xdr:sp>
                    <xdr:nvSpPr>
                      <xdr:cNvPr id="46" name="Shape 4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2013113"/>
                        <a:ext cx="723900" cy="3533775"/>
                        <a:chOff x="4984050" y="2013113"/>
                        <a:chExt cx="723900" cy="3533775"/>
                      </a:xfrm>
                    </xdr:grpSpPr>
                    <xdr:sp>
                      <xdr:nvSpPr>
                        <xdr:cNvPr id="48" name="Shape 4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2013113"/>
                          <a:ext cx="723900" cy="3533775"/>
                          <a:chOff x="4984050" y="2017875"/>
                          <a:chExt cx="723900" cy="3524250"/>
                        </a:xfrm>
                      </xdr:grpSpPr>
                      <xdr:sp>
                        <xdr:nvSpPr>
                          <xdr:cNvPr id="50" name="Shape 50"/>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1" name="Shape 51"/>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52" name="Shape 52"/>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3" name="Shape 53"/>
            <xdr:cNvGrpSpPr/>
          </xdr:nvGrpSpPr>
          <xdr:grpSpPr>
            <a:xfrm>
              <a:off x="4984050" y="3403763"/>
              <a:ext cx="723900" cy="752475"/>
              <a:chOff x="4984050" y="3403763"/>
              <a:chExt cx="723900" cy="752475"/>
            </a:xfrm>
          </xdr:grpSpPr>
          <xdr:sp>
            <xdr:nvSpPr>
              <xdr:cNvPr id="54" name="Shape 5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3403763"/>
                <a:ext cx="723900" cy="752475"/>
                <a:chOff x="4984050" y="3403763"/>
                <a:chExt cx="723900" cy="752475"/>
              </a:xfrm>
            </xdr:grpSpPr>
            <xdr:sp>
              <xdr:nvSpPr>
                <xdr:cNvPr id="56" name="Shape 5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984050" y="3403763"/>
                  <a:ext cx="723900" cy="752475"/>
                  <a:chOff x="4984050" y="3403763"/>
                  <a:chExt cx="723900" cy="752475"/>
                </a:xfrm>
              </xdr:grpSpPr>
              <xdr:sp>
                <xdr:nvSpPr>
                  <xdr:cNvPr id="58" name="Shape 5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9" name="Shape 59"/>
                  <xdr:cNvGrpSpPr/>
                </xdr:nvGrpSpPr>
                <xdr:grpSpPr>
                  <a:xfrm>
                    <a:off x="4984050" y="3403763"/>
                    <a:ext cx="723900" cy="752475"/>
                    <a:chOff x="4984050" y="3403763"/>
                    <a:chExt cx="723900" cy="752475"/>
                  </a:xfrm>
                </xdr:grpSpPr>
                <xdr:sp>
                  <xdr:nvSpPr>
                    <xdr:cNvPr id="60" name="Shape 6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984050" y="3403763"/>
                      <a:ext cx="723900" cy="752475"/>
                      <a:chOff x="4984050" y="3403763"/>
                      <a:chExt cx="723900" cy="752475"/>
                    </a:xfrm>
                  </xdr:grpSpPr>
                  <xdr:sp>
                    <xdr:nvSpPr>
                      <xdr:cNvPr id="62" name="Shape 6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984050" y="3403763"/>
                        <a:ext cx="723900" cy="752475"/>
                        <a:chOff x="4984050" y="3403763"/>
                        <a:chExt cx="723900" cy="752475"/>
                      </a:xfrm>
                    </xdr:grpSpPr>
                    <xdr:sp>
                      <xdr:nvSpPr>
                        <xdr:cNvPr id="64" name="Shape 6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984050" y="3403763"/>
                          <a:ext cx="723900" cy="752475"/>
                          <a:chOff x="4988813" y="3408525"/>
                          <a:chExt cx="714375" cy="742950"/>
                        </a:xfrm>
                      </xdr:grpSpPr>
                      <xdr:sp>
                        <xdr:nvSpPr>
                          <xdr:cNvPr id="66" name="Shape 66"/>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67" name="Shape 67"/>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68" name="Shape 68"/>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9" name="Shape 69"/>
            <xdr:cNvGrpSpPr/>
          </xdr:nvGrpSpPr>
          <xdr:grpSpPr>
            <a:xfrm>
              <a:off x="4817363" y="2265525"/>
              <a:ext cx="1057275" cy="3028950"/>
              <a:chOff x="4817363" y="2265525"/>
              <a:chExt cx="1057275" cy="3028950"/>
            </a:xfrm>
          </xdr:grpSpPr>
          <xdr:sp>
            <xdr:nvSpPr>
              <xdr:cNvPr id="70" name="Shape 7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817363" y="2265525"/>
                <a:ext cx="1057275" cy="3028950"/>
                <a:chOff x="4817363" y="2265525"/>
                <a:chExt cx="1057275" cy="3028950"/>
              </a:xfrm>
            </xdr:grpSpPr>
            <xdr:sp>
              <xdr:nvSpPr>
                <xdr:cNvPr id="72" name="Shape 7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817363" y="2265525"/>
                  <a:ext cx="1057275" cy="3028950"/>
                  <a:chOff x="4817363" y="2265525"/>
                  <a:chExt cx="1057275" cy="3028950"/>
                </a:xfrm>
              </xdr:grpSpPr>
              <xdr:sp>
                <xdr:nvSpPr>
                  <xdr:cNvPr id="74" name="Shape 7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5" name="Shape 75"/>
                  <xdr:cNvGrpSpPr/>
                </xdr:nvGrpSpPr>
                <xdr:grpSpPr>
                  <a:xfrm>
                    <a:off x="4817363" y="2265525"/>
                    <a:ext cx="1057275" cy="3028950"/>
                    <a:chOff x="4817363" y="2265525"/>
                    <a:chExt cx="1057275" cy="3028950"/>
                  </a:xfrm>
                </xdr:grpSpPr>
                <xdr:sp>
                  <xdr:nvSpPr>
                    <xdr:cNvPr id="76" name="Shape 7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7" name="Shape 77"/>
                    <xdr:cNvGrpSpPr/>
                  </xdr:nvGrpSpPr>
                  <xdr:grpSpPr>
                    <a:xfrm>
                      <a:off x="4817363" y="2265525"/>
                      <a:ext cx="1057275" cy="3028950"/>
                      <a:chOff x="4817363" y="2265525"/>
                      <a:chExt cx="1057275" cy="3028950"/>
                    </a:xfrm>
                  </xdr:grpSpPr>
                  <xdr:sp>
                    <xdr:nvSpPr>
                      <xdr:cNvPr id="78" name="Shape 7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817363" y="2265525"/>
                        <a:ext cx="1057275" cy="3028950"/>
                        <a:chOff x="4817363" y="2265525"/>
                        <a:chExt cx="1057275" cy="3028950"/>
                      </a:xfrm>
                    </xdr:grpSpPr>
                    <xdr:sp>
                      <xdr:nvSpPr>
                        <xdr:cNvPr id="80" name="Shape 8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817363" y="2265525"/>
                          <a:ext cx="1057275" cy="3028950"/>
                          <a:chOff x="4822125" y="2270288"/>
                          <a:chExt cx="1047750" cy="3019425"/>
                        </a:xfrm>
                      </xdr:grpSpPr>
                      <xdr:sp>
                        <xdr:nvSpPr>
                          <xdr:cNvPr id="82" name="Shape 8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3" name="Shape 8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84" name="Shape 8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5" name="Shape 85"/>
            <xdr:cNvGrpSpPr/>
          </xdr:nvGrpSpPr>
          <xdr:grpSpPr>
            <a:xfrm>
              <a:off x="4569713" y="3075150"/>
              <a:ext cx="1552575" cy="1409700"/>
              <a:chOff x="4569713" y="3075150"/>
              <a:chExt cx="1552575" cy="1409700"/>
            </a:xfrm>
          </xdr:grpSpPr>
          <xdr:sp>
            <xdr:nvSpPr>
              <xdr:cNvPr id="86" name="Shape 8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7" name="Shape 87"/>
              <xdr:cNvGrpSpPr/>
            </xdr:nvGrpSpPr>
            <xdr:grpSpPr>
              <a:xfrm>
                <a:off x="4569713" y="3075150"/>
                <a:ext cx="1552575" cy="1409700"/>
                <a:chOff x="4569713" y="3075150"/>
                <a:chExt cx="1552575" cy="1409700"/>
              </a:xfrm>
            </xdr:grpSpPr>
            <xdr:sp>
              <xdr:nvSpPr>
                <xdr:cNvPr id="88" name="Shape 8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569713" y="3075150"/>
                  <a:ext cx="1552575" cy="1409700"/>
                  <a:chOff x="4569713" y="3075150"/>
                  <a:chExt cx="1552575" cy="1409700"/>
                </a:xfrm>
              </xdr:grpSpPr>
              <xdr:sp>
                <xdr:nvSpPr>
                  <xdr:cNvPr id="90" name="Shape 9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569713" y="3075150"/>
                    <a:ext cx="1552575" cy="1409700"/>
                    <a:chOff x="4569713" y="3075150"/>
                    <a:chExt cx="1552575" cy="1409700"/>
                  </a:xfrm>
                </xdr:grpSpPr>
                <xdr:sp>
                  <xdr:nvSpPr>
                    <xdr:cNvPr id="92" name="Shape 9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569713" y="3075150"/>
                      <a:ext cx="1552575" cy="1409700"/>
                      <a:chOff x="4569713" y="3075150"/>
                      <a:chExt cx="1552575" cy="1409700"/>
                    </a:xfrm>
                  </xdr:grpSpPr>
                  <xdr:sp>
                    <xdr:nvSpPr>
                      <xdr:cNvPr id="94" name="Shape 9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5" name="Shape 95"/>
                      <xdr:cNvGrpSpPr/>
                    </xdr:nvGrpSpPr>
                    <xdr:grpSpPr>
                      <a:xfrm>
                        <a:off x="4569713" y="3075150"/>
                        <a:ext cx="1552575" cy="1409700"/>
                        <a:chOff x="4569713" y="3075150"/>
                        <a:chExt cx="1552575" cy="1409700"/>
                      </a:xfrm>
                    </xdr:grpSpPr>
                    <xdr:sp>
                      <xdr:nvSpPr>
                        <xdr:cNvPr id="96" name="Shape 9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075150"/>
                          <a:ext cx="1552575" cy="1409700"/>
                          <a:chOff x="4574475" y="3079913"/>
                          <a:chExt cx="1543050" cy="1400175"/>
                        </a:xfrm>
                      </xdr:grpSpPr>
                      <xdr:sp>
                        <xdr:nvSpPr>
                          <xdr:cNvPr id="98" name="Shape 98"/>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9" name="Shape 99"/>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00" name="Shape 100"/>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1" name="Shape 101"/>
            <xdr:cNvGrpSpPr/>
          </xdr:nvGrpSpPr>
          <xdr:grpSpPr>
            <a:xfrm>
              <a:off x="4569713" y="3760950"/>
              <a:ext cx="1552575" cy="38100"/>
              <a:chOff x="4569713" y="3760950"/>
              <a:chExt cx="1552575" cy="38100"/>
            </a:xfrm>
          </xdr:grpSpPr>
          <xdr:sp>
            <xdr:nvSpPr>
              <xdr:cNvPr id="102" name="Shape 10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3" name="Shape 103"/>
              <xdr:cNvGrpSpPr/>
            </xdr:nvGrpSpPr>
            <xdr:grpSpPr>
              <a:xfrm>
                <a:off x="4569713" y="3760950"/>
                <a:ext cx="1552575" cy="38100"/>
                <a:chOff x="4569713" y="3760950"/>
                <a:chExt cx="1552575" cy="38100"/>
              </a:xfrm>
            </xdr:grpSpPr>
            <xdr:sp>
              <xdr:nvSpPr>
                <xdr:cNvPr id="104" name="Shape 10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5" name="Shape 105"/>
                <xdr:cNvGrpSpPr/>
              </xdr:nvGrpSpPr>
              <xdr:grpSpPr>
                <a:xfrm>
                  <a:off x="4569713" y="3760950"/>
                  <a:ext cx="1552575" cy="38100"/>
                  <a:chOff x="4569713" y="3760950"/>
                  <a:chExt cx="1552575" cy="38100"/>
                </a:xfrm>
              </xdr:grpSpPr>
              <xdr:sp>
                <xdr:nvSpPr>
                  <xdr:cNvPr id="106" name="Shape 10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7" name="Shape 107"/>
                  <xdr:cNvGrpSpPr/>
                </xdr:nvGrpSpPr>
                <xdr:grpSpPr>
                  <a:xfrm>
                    <a:off x="4569713" y="3760950"/>
                    <a:ext cx="1552575" cy="38100"/>
                    <a:chOff x="4569713" y="3760950"/>
                    <a:chExt cx="1552575" cy="38100"/>
                  </a:xfrm>
                </xdr:grpSpPr>
                <xdr:sp>
                  <xdr:nvSpPr>
                    <xdr:cNvPr id="108" name="Shape 10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9" name="Shape 109"/>
                    <xdr:cNvGrpSpPr/>
                  </xdr:nvGrpSpPr>
                  <xdr:grpSpPr>
                    <a:xfrm>
                      <a:off x="4569713" y="3760950"/>
                      <a:ext cx="1552575" cy="38100"/>
                      <a:chOff x="4569713" y="3760950"/>
                      <a:chExt cx="1552575" cy="38100"/>
                    </a:xfrm>
                  </xdr:grpSpPr>
                  <xdr:sp>
                    <xdr:nvSpPr>
                      <xdr:cNvPr id="110" name="Shape 11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1" name="Shape 111"/>
                      <xdr:cNvGrpSpPr/>
                    </xdr:nvGrpSpPr>
                    <xdr:grpSpPr>
                      <a:xfrm>
                        <a:off x="4569713" y="3760950"/>
                        <a:ext cx="1552575" cy="38100"/>
                        <a:chOff x="4569713" y="3760950"/>
                        <a:chExt cx="1552575" cy="38100"/>
                      </a:xfrm>
                    </xdr:grpSpPr>
                    <xdr:sp>
                      <xdr:nvSpPr>
                        <xdr:cNvPr id="112" name="Shape 11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3" name="Shape 113"/>
                        <xdr:cNvGrpSpPr/>
                      </xdr:nvGrpSpPr>
                      <xdr:grpSpPr>
                        <a:xfrm>
                          <a:off x="4569713" y="3760950"/>
                          <a:ext cx="1552575" cy="38100"/>
                          <a:chOff x="4569713" y="3775238"/>
                          <a:chExt cx="1552575" cy="9525"/>
                        </a:xfrm>
                      </xdr:grpSpPr>
                      <xdr:sp>
                        <xdr:nvSpPr>
                          <xdr:cNvPr id="114" name="Shape 11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5" name="Shape 115"/>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privacypolicy" TargetMode="External"/><Relationship Id="rId50" Type="http://schemas.openxmlformats.org/officeDocument/2006/relationships/hyperlink" Target="https://app.tikr.com/terms" TargetMode="External"/><Relationship Id="rId52" Type="http://schemas.openxmlformats.org/officeDocument/2006/relationships/drawing" Target="../drawings/drawing9.xm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8" t="s">
        <v>329</v>
      </c>
      <c r="B1" s="239">
        <v>42400.0</v>
      </c>
      <c r="C1" s="239">
        <v>42766.0</v>
      </c>
      <c r="D1" s="239">
        <v>43131.0</v>
      </c>
      <c r="E1" s="239">
        <v>43496.0</v>
      </c>
      <c r="F1" s="239">
        <v>43861.0</v>
      </c>
      <c r="G1" s="239">
        <v>44227.0</v>
      </c>
      <c r="H1" s="239">
        <v>44592.0</v>
      </c>
      <c r="I1" s="239">
        <v>44957.0</v>
      </c>
      <c r="J1" s="239">
        <v>45322.0</v>
      </c>
      <c r="K1" s="239">
        <v>45688.0</v>
      </c>
      <c r="L1" s="240" t="s">
        <v>96</v>
      </c>
    </row>
    <row r="2">
      <c r="A2" s="241"/>
      <c r="B2" s="242"/>
      <c r="C2" s="242"/>
      <c r="D2" s="242"/>
      <c r="E2" s="242"/>
      <c r="F2" s="242"/>
      <c r="G2" s="242"/>
      <c r="H2" s="242"/>
      <c r="I2" s="242"/>
      <c r="J2" s="242"/>
      <c r="K2" s="242"/>
      <c r="L2" s="242"/>
    </row>
    <row r="3">
      <c r="A3" s="246" t="s">
        <v>36</v>
      </c>
      <c r="B3" s="247">
        <v>14694.0</v>
      </c>
      <c r="C3" s="247">
        <v>13643.0</v>
      </c>
      <c r="D3" s="269">
        <v>9862.0</v>
      </c>
      <c r="E3" s="269">
        <v>6670.0</v>
      </c>
      <c r="F3" s="247">
        <v>14881.0</v>
      </c>
      <c r="G3" s="247">
        <v>13510.0</v>
      </c>
      <c r="H3" s="247">
        <v>13673.0</v>
      </c>
      <c r="I3" s="247">
        <v>11680.0</v>
      </c>
      <c r="J3" s="247">
        <v>15511.0</v>
      </c>
      <c r="K3" s="247">
        <v>19436.0</v>
      </c>
      <c r="L3" s="247">
        <v>19436.0</v>
      </c>
    </row>
    <row r="4">
      <c r="A4" s="243" t="s">
        <v>24</v>
      </c>
      <c r="B4" s="244">
        <v>9454.0</v>
      </c>
      <c r="C4" s="244">
        <v>10080.0</v>
      </c>
      <c r="D4" s="244">
        <v>10529.0</v>
      </c>
      <c r="E4" s="244">
        <v>10678.0</v>
      </c>
      <c r="F4" s="244">
        <v>10987.0</v>
      </c>
      <c r="G4" s="244">
        <v>11152.0</v>
      </c>
      <c r="H4" s="244">
        <v>10658.0</v>
      </c>
      <c r="I4" s="244">
        <v>10945.0</v>
      </c>
      <c r="J4" s="244">
        <v>11853.0</v>
      </c>
      <c r="K4" s="244">
        <v>12973.0</v>
      </c>
      <c r="L4" s="244">
        <v>12973.0</v>
      </c>
    </row>
    <row r="5">
      <c r="A5" s="246" t="s">
        <v>330</v>
      </c>
      <c r="B5" s="247">
        <v>9454.0</v>
      </c>
      <c r="C5" s="247">
        <v>10080.0</v>
      </c>
      <c r="D5" s="247">
        <v>10529.0</v>
      </c>
      <c r="E5" s="247">
        <v>10678.0</v>
      </c>
      <c r="F5" s="247">
        <v>10987.0</v>
      </c>
      <c r="G5" s="247">
        <v>11152.0</v>
      </c>
      <c r="H5" s="247">
        <v>10658.0</v>
      </c>
      <c r="I5" s="247">
        <v>10945.0</v>
      </c>
      <c r="J5" s="247">
        <v>11853.0</v>
      </c>
      <c r="K5" s="247">
        <v>12973.0</v>
      </c>
      <c r="L5" s="247">
        <v>12973.0</v>
      </c>
    </row>
    <row r="6">
      <c r="A6" s="243" t="s">
        <v>331</v>
      </c>
      <c r="B6" s="245"/>
      <c r="C6" s="245"/>
      <c r="D6" s="245"/>
      <c r="E6" s="244">
        <v>4850.0</v>
      </c>
      <c r="F6" s="244">
        <v>15.0</v>
      </c>
      <c r="G6" s="244">
        <v>8401.0</v>
      </c>
      <c r="H6" s="244">
        <v>433.0</v>
      </c>
      <c r="I6" s="245"/>
      <c r="J6" s="245"/>
      <c r="K6" s="245"/>
      <c r="L6" s="245"/>
    </row>
    <row r="7">
      <c r="A7" s="243" t="s">
        <v>332</v>
      </c>
      <c r="B7" s="245"/>
      <c r="C7" s="245"/>
      <c r="D7" s="245"/>
      <c r="E7" s="244">
        <v>3516.0</v>
      </c>
      <c r="F7" s="252">
        <v>-1886.0</v>
      </c>
      <c r="G7" s="252">
        <v>-8589.0</v>
      </c>
      <c r="H7" s="244">
        <v>2440.0</v>
      </c>
      <c r="I7" s="244">
        <v>1683.0</v>
      </c>
      <c r="J7" s="244">
        <v>3193.0</v>
      </c>
      <c r="K7" s="244">
        <v>878.0</v>
      </c>
      <c r="L7" s="244">
        <v>878.0</v>
      </c>
    </row>
    <row r="8">
      <c r="A8" s="243" t="s">
        <v>333</v>
      </c>
      <c r="B8" s="245"/>
      <c r="C8" s="245"/>
      <c r="D8" s="245"/>
      <c r="E8" s="245"/>
      <c r="F8" s="245"/>
      <c r="G8" s="245"/>
      <c r="H8" s="245"/>
      <c r="I8" s="245"/>
      <c r="J8" s="245"/>
      <c r="K8" s="245"/>
      <c r="L8" s="245"/>
    </row>
    <row r="9">
      <c r="A9" s="243" t="s">
        <v>334</v>
      </c>
      <c r="B9" s="244">
        <v>1124.0</v>
      </c>
      <c r="C9" s="244">
        <v>1617.0</v>
      </c>
      <c r="D9" s="244">
        <v>4703.0</v>
      </c>
      <c r="E9" s="244">
        <v>1744.0</v>
      </c>
      <c r="F9" s="244">
        <v>1585.0</v>
      </c>
      <c r="G9" s="244">
        <v>3628.0</v>
      </c>
      <c r="H9" s="244">
        <v>3574.0</v>
      </c>
      <c r="I9" s="244">
        <v>1980.0</v>
      </c>
      <c r="J9" s="244">
        <v>3226.0</v>
      </c>
      <c r="K9" s="244">
        <v>2975.0</v>
      </c>
      <c r="L9" s="244">
        <v>2975.0</v>
      </c>
    </row>
    <row r="10">
      <c r="A10" s="243" t="s">
        <v>335</v>
      </c>
      <c r="B10" s="252">
        <v>-19.0</v>
      </c>
      <c r="C10" s="252">
        <v>-402.0</v>
      </c>
      <c r="D10" s="252">
        <v>-1074.0</v>
      </c>
      <c r="E10" s="252">
        <v>-368.0</v>
      </c>
      <c r="F10" s="244">
        <v>154.0</v>
      </c>
      <c r="G10" s="252">
        <v>-1086.0</v>
      </c>
      <c r="H10" s="252">
        <v>-1796.0</v>
      </c>
      <c r="I10" s="244">
        <v>240.0</v>
      </c>
      <c r="J10" s="252">
        <v>-797.0</v>
      </c>
      <c r="K10" s="252">
        <v>-1106.0</v>
      </c>
      <c r="L10" s="252">
        <v>-1106.0</v>
      </c>
    </row>
    <row r="11">
      <c r="A11" s="243" t="s">
        <v>336</v>
      </c>
      <c r="B11" s="252">
        <v>-703.0</v>
      </c>
      <c r="C11" s="244">
        <v>1021.0</v>
      </c>
      <c r="D11" s="252">
        <v>-140.0</v>
      </c>
      <c r="E11" s="252">
        <v>-1311.0</v>
      </c>
      <c r="F11" s="252">
        <v>-300.0</v>
      </c>
      <c r="G11" s="252">
        <v>-2395.0</v>
      </c>
      <c r="H11" s="252">
        <v>-11764.0</v>
      </c>
      <c r="I11" s="252">
        <v>-528.0</v>
      </c>
      <c r="J11" s="244">
        <v>2017.0</v>
      </c>
      <c r="K11" s="252">
        <v>-2755.0</v>
      </c>
      <c r="L11" s="252">
        <v>-2755.0</v>
      </c>
    </row>
    <row r="12">
      <c r="A12" s="243" t="s">
        <v>337</v>
      </c>
      <c r="B12" s="244">
        <v>2008.0</v>
      </c>
      <c r="C12" s="244">
        <v>3942.0</v>
      </c>
      <c r="D12" s="244">
        <v>4086.0</v>
      </c>
      <c r="E12" s="244">
        <v>1831.0</v>
      </c>
      <c r="F12" s="252">
        <v>-274.0</v>
      </c>
      <c r="G12" s="244">
        <v>6966.0</v>
      </c>
      <c r="H12" s="244">
        <v>5520.0</v>
      </c>
      <c r="I12" s="252">
        <v>-1425.0</v>
      </c>
      <c r="J12" s="244">
        <v>2515.0</v>
      </c>
      <c r="K12" s="244">
        <v>3228.0</v>
      </c>
      <c r="L12" s="244">
        <v>3228.0</v>
      </c>
    </row>
    <row r="13">
      <c r="A13" s="243" t="s">
        <v>338</v>
      </c>
      <c r="B13" s="270">
        <v>-472.0</v>
      </c>
      <c r="C13" s="244">
        <v>492.0</v>
      </c>
      <c r="D13" s="270">
        <v>-557.0</v>
      </c>
      <c r="E13" s="270">
        <v>-40.0</v>
      </c>
      <c r="F13" s="252">
        <v>-93.0</v>
      </c>
      <c r="G13" s="270">
        <v>-136.0</v>
      </c>
      <c r="H13" s="244">
        <v>39.0</v>
      </c>
      <c r="I13" s="252">
        <v>-127.0</v>
      </c>
      <c r="J13" s="252">
        <v>-468.0</v>
      </c>
      <c r="K13" s="244">
        <v>435.0</v>
      </c>
      <c r="L13" s="244">
        <v>435.0</v>
      </c>
    </row>
    <row r="14">
      <c r="A14" s="243" t="s">
        <v>339</v>
      </c>
      <c r="B14" s="267">
        <v>1466.0</v>
      </c>
      <c r="C14" s="244">
        <v>1280.0</v>
      </c>
      <c r="D14" s="267">
        <v>928.0</v>
      </c>
      <c r="E14" s="267">
        <v>183.0</v>
      </c>
      <c r="F14" s="244">
        <v>186.0</v>
      </c>
      <c r="G14" s="267">
        <v>4623.0</v>
      </c>
      <c r="H14" s="244">
        <v>1404.0</v>
      </c>
      <c r="I14" s="244">
        <v>4393.0</v>
      </c>
      <c r="J14" s="252">
        <v>-1324.0</v>
      </c>
      <c r="K14" s="244">
        <v>379.0</v>
      </c>
      <c r="L14" s="244">
        <v>379.0</v>
      </c>
    </row>
    <row r="15">
      <c r="A15" s="253" t="s">
        <v>340</v>
      </c>
      <c r="B15" s="254">
        <v>27552.0</v>
      </c>
      <c r="C15" s="254">
        <v>31673.0</v>
      </c>
      <c r="D15" s="254">
        <v>28337.0</v>
      </c>
      <c r="E15" s="254">
        <v>27753.0</v>
      </c>
      <c r="F15" s="254">
        <v>25255.0</v>
      </c>
      <c r="G15" s="254">
        <v>36074.0</v>
      </c>
      <c r="H15" s="254">
        <v>24181.0</v>
      </c>
      <c r="I15" s="254">
        <v>28841.0</v>
      </c>
      <c r="J15" s="254">
        <v>35726.0</v>
      </c>
      <c r="K15" s="254">
        <v>36443.0</v>
      </c>
      <c r="L15" s="254">
        <v>36443.0</v>
      </c>
    </row>
    <row r="16">
      <c r="A16" s="260" t="s">
        <v>341</v>
      </c>
      <c r="B16" s="263">
        <v>2280.0</v>
      </c>
      <c r="C16" s="263">
        <v>6333.0</v>
      </c>
      <c r="D16" s="263">
        <v>3243.0</v>
      </c>
      <c r="E16" s="263">
        <v>295.0</v>
      </c>
      <c r="F16" s="262">
        <v>-327.0</v>
      </c>
      <c r="G16" s="263">
        <v>7972.0</v>
      </c>
      <c r="H16" s="262">
        <v>-6597.0</v>
      </c>
      <c r="I16" s="263">
        <v>2553.0</v>
      </c>
      <c r="J16" s="263">
        <v>1943.0</v>
      </c>
      <c r="K16" s="263">
        <v>181.0</v>
      </c>
      <c r="L16" s="263">
        <v>181.0</v>
      </c>
    </row>
    <row r="17">
      <c r="A17" s="243" t="s">
        <v>342</v>
      </c>
      <c r="B17" s="252">
        <v>-11477.0</v>
      </c>
      <c r="C17" s="252">
        <v>-10619.0</v>
      </c>
      <c r="D17" s="252">
        <v>-10051.0</v>
      </c>
      <c r="E17" s="252">
        <v>-10344.0</v>
      </c>
      <c r="F17" s="252">
        <v>-10705.0</v>
      </c>
      <c r="G17" s="252">
        <v>-10264.0</v>
      </c>
      <c r="H17" s="252">
        <v>-13106.0</v>
      </c>
      <c r="I17" s="252">
        <v>-16857.0</v>
      </c>
      <c r="J17" s="252">
        <v>-20606.0</v>
      </c>
      <c r="K17" s="252">
        <v>-23783.0</v>
      </c>
      <c r="L17" s="252">
        <v>-23783.0</v>
      </c>
    </row>
    <row r="18">
      <c r="A18" s="243" t="s">
        <v>343</v>
      </c>
      <c r="B18" s="244">
        <v>635.0</v>
      </c>
      <c r="C18" s="244">
        <v>456.0</v>
      </c>
      <c r="D18" s="244">
        <v>378.0</v>
      </c>
      <c r="E18" s="244">
        <v>519.0</v>
      </c>
      <c r="F18" s="244">
        <v>321.0</v>
      </c>
      <c r="G18" s="244">
        <v>215.0</v>
      </c>
      <c r="H18" s="244">
        <v>394.0</v>
      </c>
      <c r="I18" s="244">
        <v>170.0</v>
      </c>
      <c r="J18" s="244">
        <v>250.0</v>
      </c>
      <c r="K18" s="244">
        <v>432.0</v>
      </c>
      <c r="L18" s="244">
        <v>432.0</v>
      </c>
    </row>
    <row r="19">
      <c r="A19" s="243" t="s">
        <v>344</v>
      </c>
      <c r="B19" s="245"/>
      <c r="C19" s="252">
        <v>-2463.0</v>
      </c>
      <c r="D19" s="252">
        <v>-375.0</v>
      </c>
      <c r="E19" s="252">
        <v>-14656.0</v>
      </c>
      <c r="F19" s="252">
        <v>-56.0</v>
      </c>
      <c r="G19" s="252">
        <v>-180.0</v>
      </c>
      <c r="H19" s="252">
        <v>-359.0</v>
      </c>
      <c r="I19" s="252">
        <v>-740.0</v>
      </c>
      <c r="J19" s="252">
        <v>-9.0</v>
      </c>
      <c r="K19" s="252">
        <v>-1896.0</v>
      </c>
      <c r="L19" s="252">
        <v>-1896.0</v>
      </c>
    </row>
    <row r="20">
      <c r="A20" s="243" t="s">
        <v>345</v>
      </c>
      <c r="B20" s="244">
        <v>246.0</v>
      </c>
      <c r="C20" s="244">
        <v>662.0</v>
      </c>
      <c r="D20" s="244">
        <v>1046.0</v>
      </c>
      <c r="E20" s="244">
        <v>876.0</v>
      </c>
      <c r="F20" s="244">
        <v>833.0</v>
      </c>
      <c r="G20" s="244">
        <v>56.0</v>
      </c>
      <c r="H20" s="244">
        <v>7935.0</v>
      </c>
      <c r="I20" s="245"/>
      <c r="J20" s="244">
        <v>135.0</v>
      </c>
      <c r="K20" s="245"/>
      <c r="L20" s="245"/>
    </row>
    <row r="21" ht="15.75" customHeight="1">
      <c r="A21" s="243" t="s">
        <v>346</v>
      </c>
      <c r="B21" s="245"/>
      <c r="C21" s="252">
        <v>-1901.0</v>
      </c>
      <c r="D21" s="245"/>
      <c r="E21" s="245"/>
      <c r="F21" s="245"/>
      <c r="G21" s="245"/>
      <c r="H21" s="245"/>
      <c r="I21" s="245"/>
      <c r="J21" s="245"/>
      <c r="K21" s="244">
        <v>4080.0</v>
      </c>
      <c r="L21" s="244">
        <v>4080.0</v>
      </c>
    </row>
    <row r="22" ht="15.75" customHeight="1">
      <c r="A22" s="243" t="s">
        <v>347</v>
      </c>
      <c r="B22" s="252">
        <v>-79.0</v>
      </c>
      <c r="C22" s="252">
        <v>-31.0</v>
      </c>
      <c r="D22" s="252">
        <v>-77.0</v>
      </c>
      <c r="E22" s="252">
        <v>-431.0</v>
      </c>
      <c r="F22" s="244">
        <v>479.0</v>
      </c>
      <c r="G22" s="244">
        <v>102.0</v>
      </c>
      <c r="H22" s="252">
        <v>-879.0</v>
      </c>
      <c r="I22" s="252">
        <v>-295.0</v>
      </c>
      <c r="J22" s="252">
        <v>-1057.0</v>
      </c>
      <c r="K22" s="252">
        <v>-212.0</v>
      </c>
      <c r="L22" s="252">
        <v>-212.0</v>
      </c>
    </row>
    <row r="23" ht="15.75" customHeight="1">
      <c r="A23" s="253" t="s">
        <v>348</v>
      </c>
      <c r="B23" s="255">
        <v>-10675.0</v>
      </c>
      <c r="C23" s="255">
        <v>-13896.0</v>
      </c>
      <c r="D23" s="255">
        <v>-9079.0</v>
      </c>
      <c r="E23" s="255">
        <v>-24036.0</v>
      </c>
      <c r="F23" s="255">
        <v>-9128.0</v>
      </c>
      <c r="G23" s="255">
        <v>-10071.0</v>
      </c>
      <c r="H23" s="255">
        <v>-6015.0</v>
      </c>
      <c r="I23" s="255">
        <v>-17722.0</v>
      </c>
      <c r="J23" s="255">
        <v>-21287.0</v>
      </c>
      <c r="K23" s="255">
        <v>-21379.0</v>
      </c>
      <c r="L23" s="255">
        <v>-21379.0</v>
      </c>
    </row>
    <row r="24" ht="15.75" customHeight="1">
      <c r="A24" s="243" t="s">
        <v>349</v>
      </c>
      <c r="B24" s="244">
        <v>1274.0</v>
      </c>
      <c r="C24" s="244">
        <v>137.0</v>
      </c>
      <c r="D24" s="244">
        <v>11624.0</v>
      </c>
      <c r="E24" s="244">
        <v>15872.0</v>
      </c>
      <c r="F24" s="244">
        <v>5492.0</v>
      </c>
      <c r="G24" s="245"/>
      <c r="H24" s="244">
        <v>7138.0</v>
      </c>
      <c r="I24" s="244">
        <v>5041.0</v>
      </c>
      <c r="J24" s="244">
        <v>5479.0</v>
      </c>
      <c r="K24" s="244">
        <v>2212.0</v>
      </c>
      <c r="L24" s="244">
        <v>2212.0</v>
      </c>
    </row>
    <row r="25" ht="15.75" customHeight="1">
      <c r="A25" s="243" t="s">
        <v>350</v>
      </c>
      <c r="B25" s="252">
        <v>-4432.0</v>
      </c>
      <c r="C25" s="252">
        <v>-3728.0</v>
      </c>
      <c r="D25" s="252">
        <v>-13061.0</v>
      </c>
      <c r="E25" s="252">
        <v>-3837.0</v>
      </c>
      <c r="F25" s="252">
        <v>-6563.0</v>
      </c>
      <c r="G25" s="252">
        <v>-5706.0</v>
      </c>
      <c r="H25" s="252">
        <v>-13010.0</v>
      </c>
      <c r="I25" s="252">
        <v>-2723.0</v>
      </c>
      <c r="J25" s="252">
        <v>-4217.0</v>
      </c>
      <c r="K25" s="252">
        <v>-3468.0</v>
      </c>
      <c r="L25" s="252">
        <v>-3468.0</v>
      </c>
    </row>
    <row r="26" ht="15.75" customHeight="1">
      <c r="A26" s="243" t="s">
        <v>351</v>
      </c>
      <c r="B26" s="252">
        <v>-4112.0</v>
      </c>
      <c r="C26" s="252">
        <v>-8298.0</v>
      </c>
      <c r="D26" s="252">
        <v>-8296.0</v>
      </c>
      <c r="E26" s="252">
        <v>-7410.0</v>
      </c>
      <c r="F26" s="252">
        <v>-5717.0</v>
      </c>
      <c r="G26" s="252">
        <v>-2625.0</v>
      </c>
      <c r="H26" s="252">
        <v>-9787.0</v>
      </c>
      <c r="I26" s="252">
        <v>-9920.0</v>
      </c>
      <c r="J26" s="252">
        <v>-2779.0</v>
      </c>
      <c r="K26" s="252">
        <v>-4494.0</v>
      </c>
      <c r="L26" s="252">
        <v>-4494.0</v>
      </c>
    </row>
    <row r="27" ht="15.75" customHeight="1">
      <c r="A27" s="243" t="s">
        <v>352</v>
      </c>
      <c r="B27" s="252">
        <v>-6294.0</v>
      </c>
      <c r="C27" s="252">
        <v>-6216.0</v>
      </c>
      <c r="D27" s="252">
        <v>-6124.0</v>
      </c>
      <c r="E27" s="252">
        <v>-6102.0</v>
      </c>
      <c r="F27" s="252">
        <v>-6048.0</v>
      </c>
      <c r="G27" s="252">
        <v>-6116.0</v>
      </c>
      <c r="H27" s="252">
        <v>-6152.0</v>
      </c>
      <c r="I27" s="252">
        <v>-6114.0</v>
      </c>
      <c r="J27" s="252">
        <v>-6140.0</v>
      </c>
      <c r="K27" s="252">
        <v>-6688.0</v>
      </c>
      <c r="L27" s="252">
        <v>-6688.0</v>
      </c>
    </row>
    <row r="28" ht="15.75" customHeight="1">
      <c r="A28" s="243" t="s">
        <v>353</v>
      </c>
      <c r="B28" s="252">
        <v>-6294.0</v>
      </c>
      <c r="C28" s="252">
        <v>-6216.0</v>
      </c>
      <c r="D28" s="252">
        <v>-6124.0</v>
      </c>
      <c r="E28" s="252">
        <v>-6102.0</v>
      </c>
      <c r="F28" s="252">
        <v>-6048.0</v>
      </c>
      <c r="G28" s="252">
        <v>-6116.0</v>
      </c>
      <c r="H28" s="252">
        <v>-6152.0</v>
      </c>
      <c r="I28" s="252">
        <v>-6114.0</v>
      </c>
      <c r="J28" s="252">
        <v>-6140.0</v>
      </c>
      <c r="K28" s="252">
        <v>-6688.0</v>
      </c>
      <c r="L28" s="252">
        <v>-6688.0</v>
      </c>
    </row>
    <row r="29" ht="15.75" customHeight="1">
      <c r="A29" s="243" t="s">
        <v>354</v>
      </c>
      <c r="B29" s="252">
        <v>-2721.0</v>
      </c>
      <c r="C29" s="252">
        <v>-967.0</v>
      </c>
      <c r="D29" s="252">
        <v>-4018.0</v>
      </c>
      <c r="E29" s="252">
        <v>-1060.0</v>
      </c>
      <c r="F29" s="252">
        <v>-1463.0</v>
      </c>
      <c r="G29" s="252">
        <v>-1670.0</v>
      </c>
      <c r="H29" s="252">
        <v>-1017.0</v>
      </c>
      <c r="I29" s="252">
        <v>-3323.0</v>
      </c>
      <c r="J29" s="252">
        <v>-5757.0</v>
      </c>
      <c r="K29" s="252">
        <v>-2384.0</v>
      </c>
      <c r="L29" s="252">
        <v>-2384.0</v>
      </c>
    </row>
    <row r="30" ht="15.75" customHeight="1">
      <c r="A30" s="253" t="s">
        <v>355</v>
      </c>
      <c r="B30" s="255">
        <v>-16285.0</v>
      </c>
      <c r="C30" s="255">
        <v>-19072.0</v>
      </c>
      <c r="D30" s="255">
        <v>-19875.0</v>
      </c>
      <c r="E30" s="255">
        <v>-2537.0</v>
      </c>
      <c r="F30" s="255">
        <v>-14299.0</v>
      </c>
      <c r="G30" s="255">
        <v>-16117.0</v>
      </c>
      <c r="H30" s="255">
        <v>-22828.0</v>
      </c>
      <c r="I30" s="255">
        <v>-17039.0</v>
      </c>
      <c r="J30" s="255">
        <v>-13414.0</v>
      </c>
      <c r="K30" s="255">
        <v>-14822.0</v>
      </c>
      <c r="L30" s="255">
        <v>-14822.0</v>
      </c>
    </row>
    <row r="31" ht="15.75" customHeight="1">
      <c r="A31" s="243" t="s">
        <v>356</v>
      </c>
      <c r="B31" s="252">
        <v>-1022.0</v>
      </c>
      <c r="C31" s="252">
        <v>-452.0</v>
      </c>
      <c r="D31" s="244">
        <v>487.0</v>
      </c>
      <c r="E31" s="252">
        <v>-438.0</v>
      </c>
      <c r="F31" s="252">
        <v>-69.0</v>
      </c>
      <c r="G31" s="244">
        <v>235.0</v>
      </c>
      <c r="H31" s="252">
        <v>-140.0</v>
      </c>
      <c r="I31" s="252">
        <v>-73.0</v>
      </c>
      <c r="J31" s="244">
        <v>69.0</v>
      </c>
      <c r="K31" s="252">
        <v>-641.0</v>
      </c>
      <c r="L31" s="252">
        <v>-641.0</v>
      </c>
    </row>
    <row r="32" ht="15.75" customHeight="1">
      <c r="A32" s="243" t="s">
        <v>357</v>
      </c>
      <c r="B32" s="245"/>
      <c r="C32" s="245"/>
      <c r="D32" s="245"/>
      <c r="E32" s="245"/>
      <c r="F32" s="245"/>
      <c r="G32" s="252">
        <v>-1848.0</v>
      </c>
      <c r="H32" s="244">
        <v>1848.0</v>
      </c>
      <c r="I32" s="245"/>
      <c r="J32" s="245"/>
      <c r="K32" s="245"/>
      <c r="L32" s="245"/>
    </row>
    <row r="33" ht="15.75" customHeight="1">
      <c r="A33" s="253" t="s">
        <v>56</v>
      </c>
      <c r="B33" s="255">
        <v>-430.0</v>
      </c>
      <c r="C33" s="255">
        <v>-1747.0</v>
      </c>
      <c r="D33" s="255">
        <v>-130.0</v>
      </c>
      <c r="E33" s="254">
        <v>742.0</v>
      </c>
      <c r="F33" s="254">
        <v>1759.0</v>
      </c>
      <c r="G33" s="254">
        <v>8273.0</v>
      </c>
      <c r="H33" s="255">
        <v>-2954.0</v>
      </c>
      <c r="I33" s="255">
        <v>-5993.0</v>
      </c>
      <c r="J33" s="254">
        <v>1094.0</v>
      </c>
      <c r="K33" s="255">
        <v>-399.0</v>
      </c>
      <c r="L33" s="255">
        <v>-399.0</v>
      </c>
    </row>
    <row r="34" ht="15.75" customHeight="1">
      <c r="A34" s="248" t="s">
        <v>197</v>
      </c>
      <c r="B34" s="259"/>
      <c r="C34" s="259"/>
      <c r="D34" s="259"/>
      <c r="E34" s="259"/>
      <c r="F34" s="259"/>
      <c r="G34" s="259"/>
      <c r="H34" s="259"/>
      <c r="I34" s="259"/>
      <c r="J34" s="259"/>
      <c r="K34" s="259"/>
      <c r="L34" s="259"/>
    </row>
    <row r="35" ht="15.75" customHeight="1">
      <c r="A35" s="246" t="s">
        <v>358</v>
      </c>
      <c r="B35" s="247">
        <v>16075.0</v>
      </c>
      <c r="C35" s="247">
        <v>21054.0</v>
      </c>
      <c r="D35" s="247">
        <v>18286.0</v>
      </c>
      <c r="E35" s="247">
        <v>17409.0</v>
      </c>
      <c r="F35" s="247">
        <v>14550.0</v>
      </c>
      <c r="G35" s="247">
        <v>25810.0</v>
      </c>
      <c r="H35" s="247">
        <v>11075.0</v>
      </c>
      <c r="I35" s="247">
        <v>11984.0</v>
      </c>
      <c r="J35" s="247">
        <v>15120.0</v>
      </c>
      <c r="K35" s="247">
        <v>12660.0</v>
      </c>
      <c r="L35" s="247">
        <v>12660.0</v>
      </c>
    </row>
    <row r="36" ht="15.75" customHeight="1">
      <c r="A36" s="248" t="s">
        <v>130</v>
      </c>
      <c r="B36" s="249"/>
      <c r="C36" s="250" t="s">
        <v>359</v>
      </c>
      <c r="D36" s="256" t="s">
        <v>360</v>
      </c>
      <c r="E36" s="256" t="s">
        <v>361</v>
      </c>
      <c r="F36" s="256" t="s">
        <v>362</v>
      </c>
      <c r="G36" s="250" t="s">
        <v>363</v>
      </c>
      <c r="H36" s="256" t="s">
        <v>364</v>
      </c>
      <c r="I36" s="250" t="s">
        <v>365</v>
      </c>
      <c r="J36" s="250" t="s">
        <v>207</v>
      </c>
      <c r="K36" s="256" t="s">
        <v>366</v>
      </c>
      <c r="L36" s="251"/>
    </row>
    <row r="37" ht="15.75" customHeight="1">
      <c r="A37" s="248" t="s">
        <v>367</v>
      </c>
      <c r="B37" s="250" t="s">
        <v>368</v>
      </c>
      <c r="C37" s="250" t="s">
        <v>172</v>
      </c>
      <c r="D37" s="250" t="s">
        <v>239</v>
      </c>
      <c r="E37" s="250" t="s">
        <v>369</v>
      </c>
      <c r="F37" s="250" t="s">
        <v>133</v>
      </c>
      <c r="G37" s="250" t="s">
        <v>370</v>
      </c>
      <c r="H37" s="250" t="s">
        <v>134</v>
      </c>
      <c r="I37" s="250" t="s">
        <v>193</v>
      </c>
      <c r="J37" s="250" t="s">
        <v>204</v>
      </c>
      <c r="K37" s="250" t="s">
        <v>134</v>
      </c>
      <c r="L37" s="250" t="s">
        <v>134</v>
      </c>
    </row>
    <row r="38" ht="15.75" customHeight="1">
      <c r="A38" s="243" t="s">
        <v>371</v>
      </c>
      <c r="B38" s="244">
        <v>9135.0</v>
      </c>
      <c r="C38" s="244">
        <v>8891.0</v>
      </c>
      <c r="D38" s="244">
        <v>7144.0</v>
      </c>
      <c r="E38" s="244">
        <v>7014.0</v>
      </c>
      <c r="F38" s="244">
        <v>7756.0</v>
      </c>
      <c r="G38" s="244">
        <v>9515.0</v>
      </c>
      <c r="H38" s="244">
        <v>17788.0</v>
      </c>
      <c r="I38" s="244">
        <v>14834.0</v>
      </c>
      <c r="J38" s="244">
        <v>8841.0</v>
      </c>
      <c r="K38" s="244">
        <v>9935.0</v>
      </c>
      <c r="L38" s="244">
        <v>9935.0</v>
      </c>
    </row>
    <row r="39" ht="15.75" customHeight="1">
      <c r="A39" s="243" t="s">
        <v>372</v>
      </c>
      <c r="B39" s="244">
        <v>8705.0</v>
      </c>
      <c r="C39" s="244">
        <v>7144.0</v>
      </c>
      <c r="D39" s="244">
        <v>7014.0</v>
      </c>
      <c r="E39" s="244">
        <v>7756.0</v>
      </c>
      <c r="F39" s="244">
        <v>9515.0</v>
      </c>
      <c r="G39" s="244">
        <v>17788.0</v>
      </c>
      <c r="H39" s="244">
        <v>14834.0</v>
      </c>
      <c r="I39" s="244">
        <v>8841.0</v>
      </c>
      <c r="J39" s="244">
        <v>9935.0</v>
      </c>
      <c r="K39" s="244">
        <v>9536.0</v>
      </c>
      <c r="L39" s="244">
        <v>9536.0</v>
      </c>
    </row>
    <row r="40" ht="15.75" customHeight="1">
      <c r="A40" s="243" t="s">
        <v>373</v>
      </c>
      <c r="B40" s="244">
        <v>2540.0</v>
      </c>
      <c r="C40" s="244">
        <v>2351.0</v>
      </c>
      <c r="D40" s="244">
        <v>2450.0</v>
      </c>
      <c r="E40" s="244">
        <v>2348.0</v>
      </c>
      <c r="F40" s="244">
        <v>2464.0</v>
      </c>
      <c r="G40" s="244">
        <v>2216.0</v>
      </c>
      <c r="H40" s="244">
        <v>2237.0</v>
      </c>
      <c r="I40" s="244">
        <v>2051.0</v>
      </c>
      <c r="J40" s="244">
        <v>2519.0</v>
      </c>
      <c r="K40" s="245"/>
      <c r="L40" s="245"/>
    </row>
    <row r="41" ht="15.75" customHeight="1">
      <c r="A41" s="243" t="s">
        <v>374</v>
      </c>
      <c r="B41" s="244">
        <v>8111.0</v>
      </c>
      <c r="C41" s="244">
        <v>4507.0</v>
      </c>
      <c r="D41" s="244">
        <v>6179.0</v>
      </c>
      <c r="E41" s="244">
        <v>3982.0</v>
      </c>
      <c r="F41" s="244">
        <v>3616.0</v>
      </c>
      <c r="G41" s="244">
        <v>5271.0</v>
      </c>
      <c r="H41" s="244">
        <v>5918.0</v>
      </c>
      <c r="I41" s="244">
        <v>3310.0</v>
      </c>
      <c r="J41" s="244">
        <v>5879.0</v>
      </c>
      <c r="K41" s="245"/>
      <c r="L41" s="245"/>
    </row>
    <row r="42" ht="15.75" customHeight="1">
      <c r="A42" s="243" t="s">
        <v>375</v>
      </c>
      <c r="B42" s="244">
        <v>1.67</v>
      </c>
      <c r="C42" s="244">
        <v>2.26</v>
      </c>
      <c r="D42" s="244">
        <v>2.04</v>
      </c>
      <c r="E42" s="244">
        <v>1.98</v>
      </c>
      <c r="F42" s="244">
        <v>1.7</v>
      </c>
      <c r="G42" s="244">
        <v>3.04</v>
      </c>
      <c r="H42" s="244">
        <v>1.32</v>
      </c>
      <c r="I42" s="244">
        <v>1.47</v>
      </c>
      <c r="J42" s="244">
        <v>1.87</v>
      </c>
      <c r="K42" s="244">
        <v>1.57</v>
      </c>
      <c r="L42" s="244">
        <v>1.57</v>
      </c>
    </row>
    <row r="43" ht="15.75" customHeight="1">
      <c r="A43" s="265" t="s">
        <v>270</v>
      </c>
      <c r="B43" s="259"/>
      <c r="C43" s="259"/>
      <c r="D43" s="259"/>
      <c r="E43" s="259"/>
      <c r="F43" s="259"/>
      <c r="G43" s="259"/>
      <c r="H43" s="259"/>
      <c r="I43" s="259"/>
      <c r="J43" s="259"/>
      <c r="K43" s="259"/>
      <c r="L43" s="259"/>
    </row>
    <row r="44" ht="15.75" customHeight="1">
      <c r="A44" s="265" t="s">
        <v>271</v>
      </c>
      <c r="B44" s="259"/>
      <c r="C44" s="259"/>
      <c r="D44" s="259"/>
      <c r="E44" s="259"/>
      <c r="F44" s="259"/>
      <c r="G44" s="259"/>
      <c r="H44" s="259"/>
      <c r="I44" s="259"/>
      <c r="J44" s="259"/>
      <c r="K44" s="259"/>
      <c r="L44" s="259"/>
    </row>
    <row r="45" ht="15.75" customHeight="1">
      <c r="A45" s="266" t="s">
        <v>376</v>
      </c>
      <c r="B45" s="259"/>
      <c r="C45" s="259"/>
      <c r="D45" s="259"/>
      <c r="E45" s="259"/>
      <c r="F45" s="259"/>
      <c r="G45" s="259"/>
      <c r="H45" s="259"/>
      <c r="I45" s="259"/>
      <c r="J45" s="259"/>
      <c r="K45" s="259"/>
      <c r="L45" s="259"/>
    </row>
    <row r="46" ht="15.75" customHeight="1">
      <c r="A46" s="266" t="s">
        <v>377</v>
      </c>
      <c r="B46" s="259"/>
      <c r="C46" s="259"/>
      <c r="D46" s="259"/>
      <c r="E46" s="259"/>
      <c r="F46" s="259"/>
      <c r="G46" s="259"/>
      <c r="H46" s="259"/>
      <c r="I46" s="259"/>
      <c r="J46" s="259"/>
      <c r="K46" s="259"/>
      <c r="L46" s="259"/>
    </row>
    <row r="47" ht="15.75" customHeight="1">
      <c r="A47" s="271"/>
      <c r="B47" s="259"/>
      <c r="C47" s="259"/>
      <c r="D47" s="259"/>
      <c r="E47" s="259"/>
      <c r="F47" s="259"/>
      <c r="G47" s="259"/>
      <c r="H47" s="259"/>
      <c r="I47" s="259"/>
      <c r="J47" s="259"/>
      <c r="K47" s="259"/>
      <c r="L47" s="259"/>
    </row>
    <row r="48" ht="15.75" customHeight="1">
      <c r="A48" s="271"/>
      <c r="B48" s="11"/>
      <c r="C48" s="11"/>
      <c r="D48" s="11"/>
      <c r="E48" s="11"/>
      <c r="F48" s="11"/>
      <c r="G48" s="11"/>
      <c r="H48" s="11"/>
      <c r="I48" s="259"/>
      <c r="J48" s="259"/>
      <c r="K48" s="259"/>
      <c r="L48" s="259"/>
    </row>
    <row r="49" ht="15.75" customHeight="1">
      <c r="A49" s="271"/>
      <c r="B49" s="259"/>
      <c r="C49" s="259"/>
      <c r="D49" s="259"/>
      <c r="E49" s="259"/>
      <c r="F49" s="259"/>
      <c r="G49" s="259"/>
      <c r="H49" s="259"/>
      <c r="I49" s="259"/>
      <c r="J49" s="259"/>
      <c r="K49" s="259"/>
      <c r="L49" s="259"/>
    </row>
    <row r="50" ht="15.75" customHeight="1">
      <c r="A50" s="271"/>
      <c r="B50" s="259"/>
      <c r="C50" s="259"/>
      <c r="D50" s="259"/>
      <c r="E50" s="259"/>
      <c r="F50" s="259"/>
      <c r="G50" s="259"/>
      <c r="H50" s="259"/>
      <c r="I50" s="259"/>
      <c r="J50" s="259"/>
      <c r="K50" s="259"/>
      <c r="L50" s="259"/>
    </row>
    <row r="51" ht="15.75" customHeight="1">
      <c r="A51" s="271"/>
      <c r="B51" s="259"/>
      <c r="C51" s="259"/>
      <c r="D51" s="259"/>
      <c r="E51" s="259"/>
      <c r="F51" s="259"/>
      <c r="G51" s="259"/>
      <c r="H51" s="259"/>
      <c r="I51" s="259"/>
      <c r="J51" s="259"/>
      <c r="K51" s="259"/>
      <c r="L51" s="259"/>
    </row>
    <row r="52" ht="15.75" customHeight="1">
      <c r="A52" s="271"/>
      <c r="B52" s="11"/>
      <c r="C52" s="11"/>
      <c r="D52" s="11"/>
      <c r="E52" s="11"/>
      <c r="F52" s="11"/>
      <c r="G52" s="11"/>
      <c r="H52" s="11"/>
      <c r="I52" s="11"/>
      <c r="J52" s="11"/>
      <c r="K52" s="11"/>
      <c r="L52" s="11"/>
    </row>
    <row r="53" ht="15.75" customHeight="1">
      <c r="A53" s="271"/>
      <c r="B53" s="259"/>
      <c r="C53" s="259"/>
      <c r="D53" s="259"/>
      <c r="E53" s="259"/>
      <c r="F53" s="259"/>
      <c r="G53" s="259"/>
      <c r="H53" s="259"/>
      <c r="I53" s="259"/>
      <c r="J53" s="259"/>
      <c r="K53" s="259"/>
      <c r="L53" s="259"/>
    </row>
    <row r="54" ht="15.75" customHeight="1">
      <c r="A54" s="271"/>
      <c r="B54" s="259"/>
      <c r="C54" s="259"/>
      <c r="D54" s="259"/>
      <c r="E54" s="259"/>
      <c r="F54" s="259"/>
      <c r="G54" s="259"/>
      <c r="H54" s="259"/>
      <c r="I54" s="259"/>
      <c r="J54" s="259"/>
      <c r="K54" s="259"/>
      <c r="L54" s="259"/>
    </row>
    <row r="55" ht="15.75" customHeight="1">
      <c r="A55" s="271"/>
      <c r="B55" s="259"/>
      <c r="C55" s="259"/>
      <c r="D55" s="259"/>
      <c r="E55" s="259"/>
      <c r="F55" s="259"/>
      <c r="G55" s="259"/>
      <c r="H55" s="259"/>
      <c r="I55" s="259"/>
      <c r="J55" s="259"/>
      <c r="K55" s="259"/>
      <c r="L55" s="259"/>
    </row>
    <row r="56" ht="15.75" customHeight="1">
      <c r="A56" s="271"/>
      <c r="B56" s="259"/>
      <c r="C56" s="259"/>
      <c r="D56" s="259"/>
      <c r="E56" s="259"/>
      <c r="F56" s="259"/>
      <c r="G56" s="259"/>
      <c r="H56" s="259"/>
      <c r="I56" s="259"/>
      <c r="J56" s="259"/>
      <c r="K56" s="259"/>
      <c r="L56" s="259"/>
    </row>
    <row r="57" ht="15.75" customHeight="1">
      <c r="A57" s="271"/>
      <c r="B57" s="259"/>
      <c r="C57" s="259"/>
      <c r="D57" s="259"/>
      <c r="E57" s="259"/>
      <c r="F57" s="259"/>
      <c r="G57" s="259"/>
      <c r="H57" s="259"/>
      <c r="I57" s="259"/>
      <c r="J57" s="259"/>
      <c r="K57" s="259"/>
      <c r="L57" s="259"/>
    </row>
    <row r="58" ht="15.75" customHeight="1">
      <c r="A58" s="271"/>
      <c r="B58" s="259"/>
      <c r="C58" s="259"/>
      <c r="D58" s="259"/>
      <c r="E58" s="259"/>
      <c r="F58" s="259"/>
      <c r="G58" s="259"/>
      <c r="H58" s="259"/>
      <c r="I58" s="259"/>
      <c r="J58" s="259"/>
      <c r="K58" s="259"/>
      <c r="L58" s="259"/>
    </row>
    <row r="59" ht="15.75" customHeight="1">
      <c r="A59" s="271"/>
      <c r="B59" s="259"/>
      <c r="C59" s="259"/>
      <c r="D59" s="259"/>
      <c r="E59" s="259"/>
      <c r="F59" s="259"/>
      <c r="G59" s="259"/>
      <c r="H59" s="259"/>
      <c r="I59" s="259"/>
      <c r="J59" s="259"/>
      <c r="K59" s="259"/>
      <c r="L59" s="259"/>
    </row>
    <row r="60" ht="15.75" customHeight="1">
      <c r="A60" s="271"/>
      <c r="B60" s="259"/>
      <c r="C60" s="259"/>
      <c r="D60" s="259"/>
      <c r="E60" s="259"/>
      <c r="F60" s="259"/>
      <c r="G60" s="259"/>
      <c r="H60" s="259"/>
      <c r="I60" s="259"/>
      <c r="J60" s="259"/>
      <c r="K60" s="259"/>
      <c r="L60" s="259"/>
    </row>
    <row r="61" ht="15.75" customHeight="1">
      <c r="A61" s="271"/>
      <c r="B61" s="11"/>
      <c r="C61" s="11"/>
      <c r="D61" s="11"/>
      <c r="E61" s="11"/>
      <c r="F61" s="11"/>
      <c r="G61" s="11"/>
      <c r="H61" s="11"/>
      <c r="I61" s="11"/>
      <c r="J61" s="11"/>
      <c r="K61" s="11"/>
      <c r="L61" s="11"/>
    </row>
    <row r="62" ht="15.75" customHeight="1">
      <c r="A62" s="271"/>
      <c r="B62" s="259"/>
      <c r="C62" s="259"/>
      <c r="D62" s="259"/>
      <c r="E62" s="259"/>
      <c r="F62" s="259"/>
      <c r="G62" s="259"/>
      <c r="H62" s="259"/>
      <c r="I62" s="259"/>
      <c r="J62" s="259"/>
      <c r="K62" s="259"/>
      <c r="L62" s="259"/>
    </row>
    <row r="63" ht="15.75" customHeight="1">
      <c r="A63" s="271"/>
      <c r="B63" s="259"/>
      <c r="C63" s="259"/>
      <c r="D63" s="259"/>
      <c r="E63" s="259"/>
      <c r="F63" s="259"/>
      <c r="G63" s="259"/>
      <c r="H63" s="259"/>
      <c r="I63" s="259"/>
      <c r="J63" s="259"/>
      <c r="K63" s="259"/>
      <c r="L63" s="259"/>
    </row>
    <row r="64" ht="15.75" customHeight="1">
      <c r="A64" s="271"/>
      <c r="B64" s="11"/>
      <c r="C64" s="11"/>
      <c r="D64" s="11"/>
      <c r="E64" s="11"/>
      <c r="F64" s="11"/>
      <c r="G64" s="11"/>
      <c r="H64" s="11"/>
      <c r="I64" s="11"/>
      <c r="J64" s="11"/>
      <c r="K64" s="259"/>
      <c r="L64" s="259"/>
    </row>
    <row r="65" ht="15.75" customHeight="1">
      <c r="A65" s="271"/>
      <c r="B65" s="259"/>
      <c r="C65" s="259"/>
      <c r="D65" s="259"/>
      <c r="E65" s="259"/>
      <c r="F65" s="259"/>
      <c r="G65" s="259"/>
      <c r="H65" s="259"/>
      <c r="I65" s="259"/>
      <c r="J65" s="259"/>
      <c r="K65" s="259"/>
      <c r="L65" s="259"/>
    </row>
    <row r="66" ht="15.75" customHeight="1">
      <c r="A66" s="271"/>
      <c r="B66" s="11"/>
      <c r="C66" s="11"/>
      <c r="D66" s="11"/>
      <c r="E66" s="11"/>
      <c r="F66" s="11"/>
      <c r="G66" s="11"/>
      <c r="H66" s="11"/>
      <c r="I66" s="11"/>
      <c r="J66" s="11"/>
      <c r="K66" s="11"/>
      <c r="L66" s="11"/>
    </row>
    <row r="67" ht="15.75" customHeight="1">
      <c r="A67" s="271"/>
      <c r="B67" s="11"/>
      <c r="C67" s="11"/>
      <c r="D67" s="11"/>
      <c r="E67" s="11"/>
      <c r="F67" s="11"/>
      <c r="G67" s="11"/>
      <c r="H67" s="11"/>
      <c r="I67" s="11"/>
      <c r="J67" s="11"/>
      <c r="K67" s="11"/>
      <c r="L67" s="11"/>
    </row>
    <row r="68" ht="15.75" customHeight="1">
      <c r="A68" s="271"/>
      <c r="B68" s="11"/>
      <c r="C68" s="11"/>
      <c r="D68" s="11"/>
      <c r="E68" s="11"/>
      <c r="F68" s="11"/>
      <c r="G68" s="11"/>
      <c r="H68" s="11"/>
      <c r="I68" s="11"/>
      <c r="J68" s="11"/>
      <c r="K68" s="259"/>
      <c r="L68" s="259"/>
    </row>
    <row r="69" ht="15.75" customHeight="1">
      <c r="A69" s="271"/>
      <c r="B69" s="11"/>
      <c r="C69" s="11"/>
      <c r="D69" s="11"/>
      <c r="E69" s="11"/>
      <c r="F69" s="11"/>
      <c r="G69" s="11"/>
      <c r="H69" s="11"/>
      <c r="I69" s="11"/>
      <c r="J69" s="11"/>
      <c r="K69" s="259"/>
      <c r="L69" s="259"/>
    </row>
    <row r="70" ht="15.75" customHeight="1">
      <c r="A70" s="271"/>
      <c r="B70" s="259"/>
      <c r="C70" s="259"/>
      <c r="D70" s="259"/>
      <c r="E70" s="259"/>
      <c r="F70" s="259"/>
      <c r="G70" s="259"/>
      <c r="H70" s="259"/>
      <c r="I70" s="259"/>
      <c r="J70" s="259"/>
      <c r="K70" s="259"/>
      <c r="L70" s="259"/>
    </row>
    <row r="71" ht="15.75" customHeight="1">
      <c r="A71" s="271"/>
      <c r="B71" s="11"/>
      <c r="C71" s="11"/>
      <c r="D71" s="11"/>
      <c r="E71" s="11"/>
      <c r="F71" s="11"/>
      <c r="G71" s="11"/>
      <c r="H71" s="11"/>
      <c r="I71" s="11"/>
      <c r="J71" s="11"/>
      <c r="K71" s="11"/>
      <c r="L71" s="11"/>
    </row>
    <row r="72" ht="15.75" customHeight="1">
      <c r="A72" s="271"/>
      <c r="B72" s="11"/>
      <c r="C72" s="11"/>
      <c r="D72" s="11"/>
      <c r="E72" s="11"/>
      <c r="F72" s="11"/>
      <c r="G72" s="11"/>
      <c r="H72" s="11"/>
      <c r="I72" s="11"/>
      <c r="J72" s="11"/>
      <c r="K72" s="11"/>
      <c r="L72" s="11"/>
    </row>
    <row r="73" ht="15.75" customHeight="1">
      <c r="A73" s="271"/>
      <c r="B73" s="11"/>
      <c r="C73" s="11"/>
      <c r="D73" s="11"/>
      <c r="E73" s="11"/>
      <c r="F73" s="11"/>
      <c r="G73" s="11"/>
      <c r="H73" s="11"/>
      <c r="I73" s="11"/>
      <c r="J73" s="11"/>
      <c r="K73" s="11"/>
      <c r="L73" s="11"/>
    </row>
    <row r="74" ht="15.75" customHeight="1">
      <c r="A74" s="271"/>
      <c r="B74" s="11"/>
      <c r="C74" s="11"/>
      <c r="D74" s="11"/>
      <c r="E74" s="11"/>
      <c r="F74" s="11"/>
      <c r="G74" s="11"/>
      <c r="H74" s="11"/>
      <c r="I74" s="11"/>
      <c r="J74" s="11"/>
      <c r="K74" s="11"/>
      <c r="L74" s="11"/>
    </row>
    <row r="75" ht="15.75" customHeight="1">
      <c r="A75" s="271"/>
      <c r="B75" s="11"/>
      <c r="C75" s="11"/>
      <c r="D75" s="11"/>
      <c r="E75" s="11"/>
      <c r="F75" s="11"/>
      <c r="G75" s="11"/>
      <c r="H75" s="11"/>
      <c r="I75" s="11"/>
      <c r="J75" s="11"/>
      <c r="K75" s="11"/>
      <c r="L75" s="11"/>
    </row>
    <row r="76" ht="15.75" customHeight="1">
      <c r="A76" s="271"/>
      <c r="B76" s="11"/>
      <c r="C76" s="11"/>
      <c r="D76" s="11"/>
      <c r="E76" s="11"/>
      <c r="F76" s="11"/>
      <c r="G76" s="11"/>
      <c r="H76" s="11"/>
      <c r="I76" s="11"/>
      <c r="J76" s="11"/>
      <c r="K76" s="11"/>
      <c r="L76" s="11"/>
    </row>
    <row r="77" ht="15.75" customHeight="1">
      <c r="A77" s="271"/>
      <c r="B77" s="11"/>
      <c r="C77" s="11"/>
      <c r="D77" s="11"/>
      <c r="E77" s="11"/>
      <c r="F77" s="11"/>
      <c r="G77" s="11"/>
      <c r="H77" s="11"/>
      <c r="I77" s="11"/>
      <c r="J77" s="11"/>
      <c r="K77" s="11"/>
      <c r="L77" s="11"/>
    </row>
    <row r="78" ht="15.75" customHeight="1">
      <c r="A78" s="271"/>
      <c r="B78" s="11"/>
      <c r="C78" s="11"/>
      <c r="D78" s="11"/>
      <c r="E78" s="11"/>
      <c r="F78" s="11"/>
      <c r="G78" s="11"/>
      <c r="H78" s="11"/>
      <c r="I78" s="11"/>
      <c r="J78" s="11"/>
      <c r="K78" s="11"/>
      <c r="L78" s="11"/>
    </row>
    <row r="79" ht="15.75" customHeight="1">
      <c r="A79" s="271"/>
      <c r="B79" s="11"/>
      <c r="C79" s="11"/>
      <c r="D79" s="11"/>
      <c r="E79" s="11"/>
      <c r="F79" s="11"/>
      <c r="G79" s="11"/>
      <c r="H79" s="11"/>
      <c r="I79" s="11"/>
      <c r="J79" s="11"/>
      <c r="K79" s="11"/>
      <c r="L79" s="11"/>
    </row>
    <row r="80" ht="15.75" customHeight="1">
      <c r="A80" s="271"/>
      <c r="B80" s="11"/>
      <c r="C80" s="11"/>
      <c r="D80" s="11"/>
      <c r="E80" s="11"/>
      <c r="F80" s="11"/>
      <c r="G80" s="11"/>
      <c r="H80" s="11"/>
      <c r="I80" s="11"/>
      <c r="J80" s="11"/>
      <c r="K80" s="11"/>
      <c r="L80" s="11"/>
    </row>
    <row r="81" ht="15.75" customHeight="1">
      <c r="A81" s="271"/>
      <c r="B81" s="11"/>
      <c r="C81" s="11"/>
      <c r="D81" s="11"/>
      <c r="E81" s="11"/>
      <c r="F81" s="11"/>
      <c r="G81" s="11"/>
      <c r="H81" s="11"/>
      <c r="I81" s="11"/>
      <c r="J81" s="11"/>
      <c r="K81" s="11"/>
      <c r="L81" s="11"/>
    </row>
    <row r="82" ht="15.75" customHeight="1">
      <c r="A82" s="271"/>
      <c r="B82" s="11"/>
      <c r="C82" s="11"/>
      <c r="D82" s="11"/>
      <c r="E82" s="11"/>
      <c r="F82" s="11"/>
      <c r="G82" s="11"/>
      <c r="H82" s="11"/>
      <c r="I82" s="11"/>
      <c r="J82" s="11"/>
      <c r="K82" s="11"/>
      <c r="L82" s="11"/>
    </row>
    <row r="83" ht="15.75" customHeight="1">
      <c r="A83" s="271"/>
      <c r="B83" s="11"/>
      <c r="C83" s="11"/>
      <c r="D83" s="11"/>
      <c r="E83" s="11"/>
      <c r="F83" s="11"/>
      <c r="G83" s="11"/>
      <c r="H83" s="11"/>
      <c r="I83" s="11"/>
      <c r="J83" s="11"/>
      <c r="K83" s="11"/>
      <c r="L83" s="11"/>
    </row>
    <row r="84" ht="15.75" customHeight="1">
      <c r="A84" s="271"/>
      <c r="B84" s="11"/>
      <c r="C84" s="11"/>
      <c r="D84" s="11"/>
      <c r="E84" s="11"/>
      <c r="F84" s="11"/>
      <c r="G84" s="11"/>
      <c r="H84" s="11"/>
      <c r="I84" s="11"/>
      <c r="J84" s="11"/>
      <c r="K84" s="11"/>
      <c r="L84" s="11"/>
    </row>
    <row r="85" ht="15.75" customHeight="1">
      <c r="A85" s="271"/>
      <c r="B85" s="11"/>
      <c r="C85" s="11"/>
      <c r="D85" s="11"/>
      <c r="E85" s="11"/>
      <c r="F85" s="11"/>
      <c r="G85" s="11"/>
      <c r="H85" s="11"/>
      <c r="I85" s="11"/>
      <c r="J85" s="11"/>
      <c r="K85" s="11"/>
      <c r="L85" s="11"/>
    </row>
    <row r="86" ht="15.75" customHeight="1">
      <c r="A86" s="271"/>
      <c r="B86" s="11"/>
      <c r="C86" s="11"/>
      <c r="D86" s="11"/>
      <c r="E86" s="11"/>
      <c r="F86" s="11"/>
      <c r="G86" s="11"/>
      <c r="H86" s="11"/>
      <c r="I86" s="11"/>
      <c r="J86" s="11"/>
      <c r="K86" s="11"/>
      <c r="L86" s="11"/>
    </row>
    <row r="87" ht="15.75" customHeight="1">
      <c r="A87" s="271"/>
      <c r="B87" s="11"/>
      <c r="C87" s="11"/>
      <c r="D87" s="11"/>
      <c r="E87" s="11"/>
      <c r="F87" s="11"/>
      <c r="G87" s="11"/>
      <c r="H87" s="11"/>
      <c r="I87" s="11"/>
      <c r="J87" s="11"/>
      <c r="K87" s="11"/>
      <c r="L87" s="11"/>
    </row>
    <row r="88" ht="15.75" customHeight="1">
      <c r="A88" s="271"/>
      <c r="B88" s="11"/>
      <c r="C88" s="11"/>
      <c r="D88" s="11"/>
      <c r="E88" s="11"/>
      <c r="F88" s="11"/>
      <c r="G88" s="11"/>
      <c r="H88" s="11"/>
      <c r="I88" s="11"/>
      <c r="J88" s="11"/>
      <c r="K88" s="11"/>
      <c r="L88" s="11"/>
    </row>
    <row r="89" ht="15.75" customHeight="1">
      <c r="A89" s="271"/>
      <c r="B89" s="11"/>
      <c r="C89" s="11"/>
      <c r="D89" s="11"/>
      <c r="E89" s="11"/>
      <c r="F89" s="11"/>
      <c r="G89" s="11"/>
      <c r="H89" s="11"/>
      <c r="I89" s="11"/>
      <c r="J89" s="11"/>
      <c r="K89" s="11"/>
      <c r="L89" s="11"/>
    </row>
    <row r="90" ht="15.75" customHeight="1">
      <c r="A90" s="271"/>
      <c r="B90" s="11"/>
      <c r="C90" s="11"/>
      <c r="D90" s="11"/>
      <c r="E90" s="11"/>
      <c r="F90" s="11"/>
      <c r="G90" s="11"/>
      <c r="H90" s="11"/>
      <c r="I90" s="11"/>
      <c r="J90" s="11"/>
      <c r="K90" s="11"/>
      <c r="L90" s="11"/>
    </row>
    <row r="91" ht="15.75" customHeight="1">
      <c r="A91" s="271"/>
      <c r="B91" s="11"/>
      <c r="C91" s="11"/>
      <c r="D91" s="11"/>
      <c r="E91" s="11"/>
      <c r="F91" s="11"/>
      <c r="G91" s="11"/>
      <c r="H91" s="11"/>
      <c r="I91" s="11"/>
      <c r="J91" s="11"/>
      <c r="K91" s="11"/>
      <c r="L91" s="11"/>
    </row>
    <row r="92" ht="15.75" customHeight="1">
      <c r="A92" s="271"/>
      <c r="B92" s="11"/>
      <c r="C92" s="11"/>
      <c r="D92" s="11"/>
      <c r="E92" s="11"/>
      <c r="F92" s="11"/>
      <c r="G92" s="11"/>
      <c r="H92" s="11"/>
      <c r="I92" s="11"/>
      <c r="J92" s="11"/>
      <c r="K92" s="11"/>
      <c r="L92" s="11"/>
    </row>
    <row r="93" ht="15.75" customHeight="1">
      <c r="A93" s="271"/>
      <c r="B93" s="11"/>
      <c r="C93" s="11"/>
      <c r="D93" s="11"/>
      <c r="E93" s="11"/>
      <c r="F93" s="11"/>
      <c r="G93" s="11"/>
      <c r="H93" s="11"/>
      <c r="I93" s="11"/>
      <c r="J93" s="11"/>
      <c r="K93" s="11"/>
      <c r="L93" s="11"/>
    </row>
    <row r="94" ht="15.75" customHeight="1">
      <c r="A94" s="271"/>
      <c r="B94" s="11"/>
      <c r="C94" s="11"/>
      <c r="D94" s="11"/>
      <c r="E94" s="11"/>
      <c r="F94" s="11"/>
      <c r="G94" s="11"/>
      <c r="H94" s="11"/>
      <c r="I94" s="11"/>
      <c r="J94" s="11"/>
      <c r="K94" s="11"/>
      <c r="L94" s="11"/>
    </row>
    <row r="95" ht="15.75" customHeight="1">
      <c r="A95" s="271"/>
      <c r="B95" s="11"/>
      <c r="C95" s="11"/>
      <c r="D95" s="11"/>
      <c r="E95" s="11"/>
      <c r="F95" s="11"/>
      <c r="G95" s="11"/>
      <c r="H95" s="11"/>
      <c r="I95" s="11"/>
      <c r="J95" s="11"/>
      <c r="K95" s="11"/>
      <c r="L95" s="11"/>
    </row>
    <row r="96" ht="15.75" customHeight="1">
      <c r="A96" s="271"/>
      <c r="B96" s="11"/>
      <c r="C96" s="11"/>
      <c r="D96" s="11"/>
      <c r="E96" s="11"/>
      <c r="F96" s="11"/>
      <c r="G96" s="11"/>
      <c r="H96" s="11"/>
      <c r="I96" s="11"/>
      <c r="J96" s="11"/>
      <c r="K96" s="11"/>
      <c r="L96" s="11"/>
    </row>
    <row r="97" ht="15.75" customHeight="1">
      <c r="A97" s="271"/>
      <c r="B97" s="11"/>
      <c r="C97" s="11"/>
      <c r="D97" s="11"/>
      <c r="E97" s="11"/>
      <c r="F97" s="11"/>
      <c r="G97" s="11"/>
      <c r="H97" s="11"/>
      <c r="I97" s="11"/>
      <c r="J97" s="11"/>
      <c r="K97" s="11"/>
      <c r="L97" s="11"/>
    </row>
    <row r="98" ht="15.75" customHeight="1">
      <c r="A98" s="271"/>
      <c r="B98" s="11"/>
      <c r="C98" s="11"/>
      <c r="D98" s="11"/>
      <c r="E98" s="11"/>
      <c r="F98" s="11"/>
      <c r="G98" s="11"/>
      <c r="H98" s="11"/>
      <c r="I98" s="11"/>
      <c r="J98" s="11"/>
      <c r="K98" s="11"/>
      <c r="L98" s="11"/>
    </row>
    <row r="99" ht="15.75" customHeight="1">
      <c r="A99" s="27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6"/>
    <hyperlink r:id="rId2" ref="A45"/>
    <hyperlink r:id="rId3" ref="A46"/>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378</v>
      </c>
      <c r="C2" s="74" t="s">
        <v>379</v>
      </c>
      <c r="D2" s="74" t="s">
        <v>380</v>
      </c>
      <c r="E2" s="74" t="s">
        <v>381</v>
      </c>
      <c r="F2" s="272"/>
      <c r="G2" s="272"/>
      <c r="H2" s="272"/>
      <c r="I2" s="272"/>
      <c r="J2" s="272"/>
      <c r="K2" s="272"/>
      <c r="L2" s="272"/>
      <c r="M2" s="273"/>
      <c r="N2" s="273"/>
      <c r="O2" s="274"/>
      <c r="P2" s="20"/>
      <c r="Q2" s="20"/>
      <c r="R2" s="20"/>
      <c r="S2" s="20"/>
      <c r="T2" s="20"/>
      <c r="U2" s="21"/>
      <c r="V2" s="21"/>
      <c r="W2" s="21"/>
      <c r="X2" s="21"/>
      <c r="Y2" s="21"/>
      <c r="Z2" s="21"/>
    </row>
    <row r="3" ht="30.0" customHeight="1">
      <c r="A3" s="20"/>
      <c r="B3" s="275" t="s">
        <v>20</v>
      </c>
      <c r="C3" s="276" t="s">
        <v>382</v>
      </c>
      <c r="D3" s="276" t="s">
        <v>383</v>
      </c>
      <c r="E3" s="276" t="s">
        <v>384</v>
      </c>
      <c r="F3" s="277"/>
      <c r="G3" s="277"/>
      <c r="H3" s="277"/>
      <c r="I3" s="277"/>
      <c r="J3" s="277"/>
      <c r="K3" s="277"/>
      <c r="L3" s="277"/>
      <c r="M3" s="277"/>
      <c r="N3" s="277"/>
      <c r="O3" s="72"/>
      <c r="P3" s="20"/>
      <c r="Q3" s="20"/>
      <c r="R3" s="20"/>
      <c r="S3" s="20"/>
      <c r="T3" s="20"/>
      <c r="U3" s="21"/>
      <c r="V3" s="21"/>
      <c r="W3" s="21"/>
      <c r="X3" s="21"/>
      <c r="Y3" s="21"/>
      <c r="Z3" s="21"/>
    </row>
    <row r="4" ht="30.0" customHeight="1">
      <c r="A4" s="20"/>
      <c r="B4" s="278" t="s">
        <v>91</v>
      </c>
      <c r="C4" s="279" t="s">
        <v>385</v>
      </c>
      <c r="D4" s="279" t="s">
        <v>386</v>
      </c>
      <c r="E4" s="279" t="s">
        <v>387</v>
      </c>
      <c r="F4" s="277"/>
      <c r="G4" s="277"/>
      <c r="H4" s="277"/>
      <c r="I4" s="277"/>
      <c r="J4" s="277"/>
      <c r="K4" s="277"/>
      <c r="L4" s="277"/>
      <c r="M4" s="277"/>
      <c r="N4" s="277"/>
      <c r="O4" s="72"/>
      <c r="P4" s="20"/>
      <c r="Q4" s="20"/>
      <c r="R4" s="20"/>
      <c r="S4" s="20"/>
      <c r="T4" s="20"/>
      <c r="U4" s="21"/>
      <c r="V4" s="21"/>
      <c r="W4" s="21"/>
      <c r="X4" s="21"/>
      <c r="Y4" s="21"/>
      <c r="Z4" s="21"/>
    </row>
    <row r="5" ht="30.0" customHeight="1">
      <c r="A5" s="20"/>
      <c r="B5" s="275" t="s">
        <v>31</v>
      </c>
      <c r="C5" s="276" t="s">
        <v>388</v>
      </c>
      <c r="D5" s="276" t="s">
        <v>389</v>
      </c>
      <c r="E5" s="276" t="s">
        <v>390</v>
      </c>
      <c r="F5" s="277"/>
      <c r="G5" s="277"/>
      <c r="H5" s="277"/>
      <c r="I5" s="277"/>
      <c r="J5" s="277"/>
      <c r="K5" s="277"/>
      <c r="L5" s="277"/>
      <c r="M5" s="277"/>
      <c r="N5" s="277"/>
      <c r="O5" s="72"/>
      <c r="P5" s="20"/>
      <c r="Q5" s="20"/>
      <c r="R5" s="20"/>
      <c r="S5" s="20"/>
      <c r="T5" s="20"/>
      <c r="U5" s="21"/>
      <c r="V5" s="21"/>
      <c r="W5" s="21"/>
      <c r="X5" s="21"/>
      <c r="Y5" s="21"/>
      <c r="Z5" s="21"/>
    </row>
    <row r="6" ht="30.0" customHeight="1">
      <c r="A6" s="20"/>
      <c r="B6" s="278" t="s">
        <v>36</v>
      </c>
      <c r="C6" s="279" t="s">
        <v>391</v>
      </c>
      <c r="D6" s="279" t="s">
        <v>392</v>
      </c>
      <c r="E6" s="279"/>
      <c r="F6" s="277"/>
      <c r="G6" s="277"/>
      <c r="H6" s="277"/>
      <c r="I6" s="277"/>
      <c r="J6" s="277"/>
      <c r="K6" s="277"/>
      <c r="L6" s="277"/>
      <c r="M6" s="277"/>
      <c r="N6" s="277"/>
      <c r="O6" s="72"/>
      <c r="P6" s="20"/>
      <c r="Q6" s="20"/>
      <c r="R6" s="20"/>
      <c r="S6" s="20"/>
      <c r="T6" s="20"/>
      <c r="U6" s="21"/>
      <c r="V6" s="21"/>
      <c r="W6" s="21"/>
      <c r="X6" s="21"/>
      <c r="Y6" s="21"/>
      <c r="Z6" s="21"/>
    </row>
    <row r="7" ht="30.0" customHeight="1">
      <c r="A7" s="20"/>
      <c r="B7" s="275" t="s">
        <v>38</v>
      </c>
      <c r="C7" s="280" t="s">
        <v>393</v>
      </c>
      <c r="D7" s="276"/>
      <c r="E7" s="276"/>
      <c r="F7" s="277"/>
      <c r="G7" s="277"/>
      <c r="H7" s="277"/>
      <c r="I7" s="277"/>
      <c r="J7" s="277"/>
      <c r="K7" s="277"/>
      <c r="L7" s="277"/>
      <c r="M7" s="277"/>
      <c r="N7" s="277"/>
      <c r="O7" s="72"/>
      <c r="P7" s="20"/>
      <c r="Q7" s="20"/>
      <c r="R7" s="20"/>
      <c r="S7" s="20"/>
      <c r="T7" s="20"/>
      <c r="U7" s="21"/>
      <c r="V7" s="21"/>
      <c r="W7" s="21"/>
      <c r="X7" s="21"/>
      <c r="Y7" s="21"/>
      <c r="Z7" s="21"/>
    </row>
    <row r="8" ht="24.75" customHeight="1">
      <c r="A8" s="20"/>
      <c r="B8" s="21"/>
      <c r="C8" s="21"/>
      <c r="D8" s="21"/>
      <c r="E8" s="21"/>
      <c r="F8" s="277"/>
      <c r="G8" s="277"/>
      <c r="H8" s="277"/>
      <c r="I8" s="277"/>
      <c r="J8" s="277"/>
      <c r="K8" s="277"/>
      <c r="L8" s="277"/>
      <c r="M8" s="277"/>
      <c r="N8" s="277"/>
      <c r="O8" s="72"/>
      <c r="P8" s="20"/>
      <c r="Q8" s="20"/>
      <c r="R8" s="20"/>
      <c r="S8" s="20"/>
      <c r="T8" s="20"/>
      <c r="U8" s="21"/>
      <c r="V8" s="21"/>
      <c r="W8" s="21"/>
      <c r="X8" s="21"/>
      <c r="Y8" s="21"/>
      <c r="Z8" s="21"/>
    </row>
    <row r="9" ht="30.0" customHeight="1">
      <c r="A9" s="20"/>
      <c r="B9" s="281" t="s">
        <v>85</v>
      </c>
      <c r="C9" s="74" t="s">
        <v>379</v>
      </c>
      <c r="D9" s="74" t="s">
        <v>380</v>
      </c>
      <c r="E9" s="74" t="s">
        <v>381</v>
      </c>
      <c r="F9" s="277"/>
      <c r="G9" s="277"/>
      <c r="H9" s="277"/>
      <c r="I9" s="277"/>
      <c r="J9" s="277"/>
      <c r="K9" s="277"/>
      <c r="L9" s="277"/>
      <c r="M9" s="277"/>
      <c r="N9" s="277"/>
      <c r="O9" s="72"/>
      <c r="P9" s="20"/>
      <c r="Q9" s="20"/>
      <c r="R9" s="20"/>
      <c r="S9" s="20"/>
      <c r="T9" s="20"/>
      <c r="U9" s="21"/>
      <c r="V9" s="21"/>
      <c r="W9" s="21"/>
      <c r="X9" s="21"/>
      <c r="Y9" s="21"/>
      <c r="Z9" s="21"/>
    </row>
    <row r="10" ht="30.0" customHeight="1">
      <c r="A10" s="20"/>
      <c r="B10" s="275" t="s">
        <v>394</v>
      </c>
      <c r="C10" s="276" t="s">
        <v>395</v>
      </c>
      <c r="D10" s="280"/>
      <c r="E10" s="282"/>
      <c r="F10" s="277"/>
      <c r="G10" s="277"/>
      <c r="H10" s="277"/>
      <c r="I10" s="277"/>
      <c r="J10" s="277"/>
      <c r="K10" s="277"/>
      <c r="L10" s="277"/>
      <c r="M10" s="277"/>
      <c r="N10" s="277"/>
      <c r="O10" s="72"/>
      <c r="P10" s="20"/>
      <c r="Q10" s="20"/>
      <c r="R10" s="20"/>
      <c r="S10" s="20"/>
      <c r="T10" s="20"/>
      <c r="U10" s="21"/>
      <c r="V10" s="21"/>
      <c r="W10" s="21"/>
      <c r="X10" s="21"/>
      <c r="Y10" s="21"/>
      <c r="Z10" s="21"/>
    </row>
    <row r="11" ht="30.0" customHeight="1">
      <c r="A11" s="20"/>
      <c r="B11" s="278" t="s">
        <v>396</v>
      </c>
      <c r="C11" s="283" t="s">
        <v>397</v>
      </c>
      <c r="D11" s="283"/>
      <c r="E11" s="284"/>
      <c r="F11" s="277"/>
      <c r="G11" s="277"/>
      <c r="H11" s="277"/>
      <c r="I11" s="277"/>
      <c r="J11" s="277"/>
      <c r="K11" s="277"/>
      <c r="L11" s="277"/>
      <c r="M11" s="277"/>
      <c r="N11" s="277"/>
      <c r="O11" s="72"/>
      <c r="P11" s="20"/>
      <c r="Q11" s="20"/>
      <c r="R11" s="20"/>
      <c r="S11" s="20"/>
      <c r="T11" s="20"/>
      <c r="U11" s="21"/>
      <c r="V11" s="21"/>
      <c r="W11" s="21"/>
      <c r="X11" s="21"/>
      <c r="Y11" s="21"/>
      <c r="Z11" s="21"/>
    </row>
    <row r="12" ht="30.0" customHeight="1">
      <c r="A12" s="20"/>
      <c r="B12" s="275" t="s">
        <v>90</v>
      </c>
      <c r="C12" s="276" t="s">
        <v>398</v>
      </c>
      <c r="D12" s="276" t="s">
        <v>399</v>
      </c>
      <c r="E12" s="285"/>
      <c r="F12" s="277"/>
      <c r="G12" s="277"/>
      <c r="H12" s="277"/>
      <c r="I12" s="277"/>
      <c r="J12" s="277"/>
      <c r="K12" s="277"/>
      <c r="L12" s="277"/>
      <c r="M12" s="277"/>
      <c r="N12" s="277"/>
      <c r="O12" s="72"/>
      <c r="P12" s="20"/>
      <c r="Q12" s="20"/>
      <c r="R12" s="20"/>
      <c r="S12" s="20"/>
      <c r="T12" s="20"/>
      <c r="U12" s="21"/>
      <c r="V12" s="21"/>
      <c r="W12" s="21"/>
      <c r="X12" s="21"/>
      <c r="Y12" s="21"/>
      <c r="Z12" s="21"/>
    </row>
    <row r="13" ht="30.0" customHeight="1">
      <c r="A13" s="20"/>
      <c r="B13" s="278" t="s">
        <v>101</v>
      </c>
      <c r="C13" s="283" t="s">
        <v>400</v>
      </c>
      <c r="D13" s="283"/>
      <c r="E13" s="284"/>
      <c r="F13" s="277"/>
      <c r="G13" s="277"/>
      <c r="H13" s="277"/>
      <c r="I13" s="277"/>
      <c r="J13" s="277"/>
      <c r="K13" s="277"/>
      <c r="L13" s="277"/>
      <c r="M13" s="277"/>
      <c r="N13" s="277"/>
      <c r="O13" s="72"/>
      <c r="P13" s="20"/>
      <c r="Q13" s="20"/>
      <c r="R13" s="20"/>
      <c r="S13" s="20"/>
      <c r="T13" s="20"/>
      <c r="U13" s="21"/>
      <c r="V13" s="21"/>
      <c r="W13" s="21"/>
      <c r="X13" s="21"/>
      <c r="Y13" s="21"/>
      <c r="Z13" s="21"/>
    </row>
    <row r="14" ht="30.0" customHeight="1">
      <c r="A14" s="20"/>
      <c r="B14" s="275" t="s">
        <v>102</v>
      </c>
      <c r="C14" s="280" t="s">
        <v>401</v>
      </c>
      <c r="D14" s="280"/>
      <c r="E14" s="282"/>
      <c r="F14" s="277"/>
      <c r="G14" s="277"/>
      <c r="H14" s="277"/>
      <c r="I14" s="277"/>
      <c r="J14" s="277"/>
      <c r="K14" s="277"/>
      <c r="L14" s="277"/>
      <c r="M14" s="277"/>
      <c r="N14" s="277"/>
      <c r="O14" s="72"/>
      <c r="P14" s="20"/>
      <c r="Q14" s="20"/>
      <c r="R14" s="20"/>
      <c r="S14" s="20"/>
      <c r="T14" s="20"/>
      <c r="U14" s="21"/>
      <c r="V14" s="21"/>
      <c r="W14" s="21"/>
      <c r="X14" s="21"/>
      <c r="Y14" s="21"/>
      <c r="Z14" s="21"/>
    </row>
    <row r="15" ht="30.0" customHeight="1">
      <c r="A15" s="20"/>
      <c r="B15" s="278" t="s">
        <v>100</v>
      </c>
      <c r="C15" s="283" t="s">
        <v>402</v>
      </c>
      <c r="D15" s="283"/>
      <c r="E15" s="284"/>
      <c r="F15" s="277"/>
      <c r="G15" s="277"/>
      <c r="H15" s="277"/>
      <c r="I15" s="277"/>
      <c r="J15" s="277"/>
      <c r="K15" s="277"/>
      <c r="L15" s="277"/>
      <c r="M15" s="277"/>
      <c r="N15" s="277"/>
      <c r="O15" s="72"/>
      <c r="P15" s="20"/>
      <c r="Q15" s="20"/>
      <c r="R15" s="20"/>
      <c r="S15" s="20"/>
      <c r="T15" s="20"/>
      <c r="U15" s="21"/>
      <c r="V15" s="21"/>
      <c r="W15" s="21"/>
      <c r="X15" s="21"/>
      <c r="Y15" s="21"/>
      <c r="Z15" s="21"/>
    </row>
    <row r="16" ht="30.0" customHeight="1">
      <c r="A16" s="20"/>
      <c r="B16" s="275" t="s">
        <v>99</v>
      </c>
      <c r="C16" s="280" t="s">
        <v>403</v>
      </c>
      <c r="D16" s="280" t="s">
        <v>404</v>
      </c>
      <c r="E16" s="282"/>
      <c r="F16" s="277"/>
      <c r="G16" s="277"/>
      <c r="H16" s="277"/>
      <c r="I16" s="277"/>
      <c r="J16" s="277"/>
      <c r="K16" s="277"/>
      <c r="L16" s="277"/>
      <c r="M16" s="277"/>
      <c r="N16" s="277"/>
      <c r="O16" s="72"/>
      <c r="P16" s="20"/>
      <c r="Q16" s="20"/>
      <c r="R16" s="20"/>
      <c r="S16" s="20"/>
      <c r="T16" s="20"/>
      <c r="U16" s="21"/>
      <c r="V16" s="21"/>
      <c r="W16" s="21"/>
      <c r="X16" s="21"/>
      <c r="Y16" s="21"/>
      <c r="Z16" s="21"/>
    </row>
    <row r="17" ht="24.75" customHeight="1">
      <c r="A17" s="20"/>
      <c r="B17" s="21"/>
      <c r="C17" s="21"/>
      <c r="D17" s="21"/>
      <c r="E17" s="21"/>
      <c r="F17" s="286"/>
      <c r="G17" s="286"/>
      <c r="H17" s="286"/>
      <c r="I17" s="286"/>
      <c r="J17" s="286"/>
      <c r="K17" s="286"/>
      <c r="L17" s="286"/>
      <c r="M17" s="286"/>
      <c r="N17" s="286"/>
      <c r="O17" s="287"/>
      <c r="P17" s="20"/>
      <c r="Q17" s="20"/>
      <c r="R17" s="20"/>
      <c r="S17" s="20"/>
      <c r="T17" s="20"/>
      <c r="U17" s="21"/>
      <c r="V17" s="21"/>
      <c r="W17" s="21"/>
      <c r="X17" s="21"/>
      <c r="Y17" s="21"/>
      <c r="Z17" s="21"/>
    </row>
    <row r="18" ht="30.0" customHeight="1">
      <c r="A18" s="20"/>
      <c r="B18" s="281" t="s">
        <v>405</v>
      </c>
      <c r="C18" s="74" t="s">
        <v>379</v>
      </c>
      <c r="D18" s="74" t="s">
        <v>380</v>
      </c>
      <c r="E18" s="74" t="s">
        <v>381</v>
      </c>
      <c r="F18" s="288"/>
      <c r="G18" s="288"/>
      <c r="H18" s="288"/>
      <c r="I18" s="288"/>
      <c r="J18" s="288"/>
      <c r="K18" s="288"/>
      <c r="L18" s="288"/>
      <c r="M18" s="288"/>
      <c r="N18" s="288"/>
      <c r="O18" s="287"/>
      <c r="P18" s="20"/>
      <c r="Q18" s="20"/>
      <c r="R18" s="20"/>
      <c r="S18" s="20"/>
      <c r="T18" s="20"/>
      <c r="U18" s="21"/>
      <c r="V18" s="21"/>
      <c r="W18" s="21"/>
      <c r="X18" s="21"/>
      <c r="Y18" s="21"/>
      <c r="Z18" s="21"/>
    </row>
    <row r="19" ht="30.0" customHeight="1">
      <c r="A19" s="20"/>
      <c r="B19" s="275" t="s">
        <v>20</v>
      </c>
      <c r="C19" s="280" t="s">
        <v>406</v>
      </c>
      <c r="D19" s="280"/>
      <c r="E19" s="282"/>
      <c r="F19" s="277"/>
      <c r="G19" s="277"/>
      <c r="H19" s="277"/>
      <c r="I19" s="277"/>
      <c r="J19" s="277"/>
      <c r="K19" s="277"/>
      <c r="L19" s="277"/>
      <c r="M19" s="277"/>
      <c r="N19" s="277"/>
      <c r="O19" s="287"/>
      <c r="P19" s="20"/>
      <c r="Q19" s="20"/>
      <c r="R19" s="20"/>
      <c r="S19" s="20"/>
      <c r="T19" s="20"/>
      <c r="U19" s="21"/>
      <c r="V19" s="21"/>
      <c r="W19" s="21"/>
      <c r="X19" s="21"/>
      <c r="Y19" s="21"/>
      <c r="Z19" s="21"/>
    </row>
    <row r="20" ht="30.0" customHeight="1">
      <c r="A20" s="20"/>
      <c r="B20" s="278" t="s">
        <v>91</v>
      </c>
      <c r="C20" s="283" t="s">
        <v>407</v>
      </c>
      <c r="D20" s="283"/>
      <c r="E20" s="284"/>
      <c r="F20" s="277"/>
      <c r="G20" s="277"/>
      <c r="H20" s="277"/>
      <c r="I20" s="277"/>
      <c r="J20" s="277"/>
      <c r="K20" s="277"/>
      <c r="L20" s="277"/>
      <c r="M20" s="277"/>
      <c r="N20" s="277"/>
      <c r="O20" s="287"/>
      <c r="P20" s="20"/>
      <c r="Q20" s="20"/>
      <c r="R20" s="20"/>
      <c r="S20" s="20"/>
      <c r="T20" s="20"/>
      <c r="U20" s="21"/>
      <c r="V20" s="21"/>
      <c r="W20" s="21"/>
      <c r="X20" s="21"/>
      <c r="Y20" s="21"/>
      <c r="Z20" s="21"/>
    </row>
    <row r="21" ht="30.0" customHeight="1">
      <c r="A21" s="20"/>
      <c r="B21" s="275" t="s">
        <v>408</v>
      </c>
      <c r="C21" s="280" t="s">
        <v>409</v>
      </c>
      <c r="D21" s="280"/>
      <c r="E21" s="282"/>
      <c r="F21" s="277"/>
      <c r="G21" s="277"/>
      <c r="H21" s="277"/>
      <c r="I21" s="277"/>
      <c r="J21" s="277"/>
      <c r="K21" s="277"/>
      <c r="L21" s="277"/>
      <c r="M21" s="277"/>
      <c r="N21" s="277"/>
      <c r="O21" s="287"/>
      <c r="P21" s="20"/>
      <c r="Q21" s="20"/>
      <c r="R21" s="20"/>
      <c r="S21" s="20"/>
      <c r="T21" s="20"/>
      <c r="U21" s="21"/>
      <c r="V21" s="21"/>
      <c r="W21" s="21"/>
      <c r="X21" s="21"/>
      <c r="Y21" s="21"/>
      <c r="Z21" s="21"/>
    </row>
    <row r="22" ht="30.0" customHeight="1">
      <c r="A22" s="20"/>
      <c r="B22" s="278" t="s">
        <v>93</v>
      </c>
      <c r="C22" s="283" t="s">
        <v>410</v>
      </c>
      <c r="D22" s="283"/>
      <c r="E22" s="284"/>
      <c r="F22" s="277"/>
      <c r="G22" s="277"/>
      <c r="H22" s="277"/>
      <c r="I22" s="277"/>
      <c r="J22" s="277"/>
      <c r="K22" s="277"/>
      <c r="L22" s="277"/>
      <c r="M22" s="277"/>
      <c r="N22" s="277"/>
      <c r="O22" s="287"/>
      <c r="P22" s="20"/>
      <c r="Q22" s="20"/>
      <c r="R22" s="20"/>
      <c r="S22" s="20"/>
      <c r="T22" s="20"/>
      <c r="U22" s="21"/>
      <c r="V22" s="21"/>
      <c r="W22" s="21"/>
      <c r="X22" s="21"/>
      <c r="Y22" s="21"/>
      <c r="Z22" s="21"/>
    </row>
    <row r="23" ht="24.75" customHeight="1">
      <c r="A23" s="20"/>
      <c r="B23" s="275"/>
      <c r="C23" s="280"/>
      <c r="D23" s="280"/>
      <c r="E23" s="282"/>
      <c r="F23" s="277"/>
      <c r="G23" s="277"/>
      <c r="H23" s="277"/>
      <c r="I23" s="277"/>
      <c r="J23" s="277"/>
      <c r="K23" s="277"/>
      <c r="L23" s="277"/>
      <c r="M23" s="277"/>
      <c r="N23" s="277"/>
      <c r="O23" s="287"/>
      <c r="P23" s="20"/>
      <c r="Q23" s="20"/>
      <c r="R23" s="20"/>
      <c r="S23" s="20"/>
      <c r="T23" s="20"/>
      <c r="U23" s="21"/>
      <c r="V23" s="21"/>
      <c r="W23" s="21"/>
      <c r="X23" s="21"/>
      <c r="Y23" s="21"/>
      <c r="Z23" s="21"/>
    </row>
    <row r="24" ht="30.0" customHeight="1">
      <c r="A24" s="20"/>
      <c r="B24" s="281" t="s">
        <v>411</v>
      </c>
      <c r="C24" s="74" t="s">
        <v>379</v>
      </c>
      <c r="D24" s="74" t="s">
        <v>380</v>
      </c>
      <c r="E24" s="74" t="s">
        <v>381</v>
      </c>
      <c r="F24" s="273"/>
      <c r="G24" s="273"/>
      <c r="H24" s="273"/>
      <c r="I24" s="273"/>
      <c r="J24" s="273"/>
      <c r="K24" s="273"/>
      <c r="L24" s="273"/>
      <c r="M24" s="273"/>
      <c r="N24" s="273"/>
      <c r="O24" s="72"/>
      <c r="P24" s="20"/>
      <c r="Q24" s="20"/>
      <c r="R24" s="20"/>
      <c r="S24" s="20"/>
      <c r="T24" s="20"/>
      <c r="U24" s="21"/>
      <c r="V24" s="21"/>
      <c r="W24" s="21"/>
      <c r="X24" s="21"/>
      <c r="Y24" s="21"/>
      <c r="Z24" s="21"/>
    </row>
    <row r="25" ht="17.25" customHeight="1">
      <c r="A25" s="20"/>
      <c r="B25" s="275" t="s">
        <v>82</v>
      </c>
      <c r="C25" s="289" t="s">
        <v>412</v>
      </c>
      <c r="D25" s="289" t="s">
        <v>413</v>
      </c>
      <c r="E25" s="290"/>
      <c r="F25" s="291"/>
      <c r="G25" s="207"/>
      <c r="H25" s="207"/>
      <c r="I25" s="292"/>
      <c r="J25" s="292"/>
      <c r="K25" s="292"/>
      <c r="L25" s="292"/>
      <c r="M25" s="292"/>
      <c r="N25" s="292"/>
      <c r="O25" s="287"/>
      <c r="P25" s="20"/>
      <c r="Q25" s="20"/>
      <c r="R25" s="20"/>
      <c r="S25" s="20"/>
      <c r="T25" s="20"/>
      <c r="U25" s="21"/>
      <c r="V25" s="21"/>
      <c r="W25" s="21"/>
      <c r="X25" s="21"/>
      <c r="Y25" s="21"/>
      <c r="Z25" s="21"/>
    </row>
    <row r="26" ht="30.0" customHeight="1">
      <c r="A26" s="20"/>
      <c r="B26" s="278" t="s">
        <v>81</v>
      </c>
      <c r="C26" s="293" t="s">
        <v>414</v>
      </c>
      <c r="D26" s="293"/>
      <c r="E26" s="294"/>
      <c r="F26" s="291"/>
      <c r="G26" s="207"/>
      <c r="H26" s="207"/>
      <c r="I26" s="292"/>
      <c r="J26" s="292"/>
      <c r="K26" s="292"/>
      <c r="L26" s="292"/>
      <c r="M26" s="292"/>
      <c r="N26" s="292"/>
      <c r="O26" s="287"/>
      <c r="P26" s="20"/>
      <c r="Q26" s="20"/>
      <c r="R26" s="20"/>
      <c r="S26" s="20"/>
      <c r="T26" s="20"/>
      <c r="U26" s="21"/>
      <c r="V26" s="21"/>
      <c r="W26" s="21"/>
      <c r="X26" s="21"/>
      <c r="Y26" s="21"/>
      <c r="Z26" s="21"/>
    </row>
    <row r="27" ht="30.0" customHeight="1">
      <c r="A27" s="20"/>
      <c r="B27" s="275" t="s">
        <v>415</v>
      </c>
      <c r="C27" s="289" t="s">
        <v>416</v>
      </c>
      <c r="D27" s="295"/>
      <c r="E27" s="290"/>
      <c r="F27" s="291"/>
      <c r="G27" s="207"/>
      <c r="H27" s="207"/>
      <c r="I27" s="292"/>
      <c r="J27" s="292"/>
      <c r="K27" s="292"/>
      <c r="L27" s="292"/>
      <c r="M27" s="292"/>
      <c r="N27" s="292"/>
      <c r="O27" s="274"/>
      <c r="P27" s="20"/>
      <c r="Q27" s="20"/>
      <c r="R27" s="20"/>
      <c r="S27" s="20"/>
      <c r="T27" s="20"/>
      <c r="U27" s="21"/>
      <c r="V27" s="21"/>
      <c r="W27" s="21"/>
      <c r="X27" s="21"/>
      <c r="Y27" s="21"/>
      <c r="Z27" s="21"/>
    </row>
    <row r="28" ht="24.75" customHeight="1">
      <c r="A28" s="20"/>
      <c r="B28" s="275"/>
      <c r="C28" s="289"/>
      <c r="D28" s="295"/>
      <c r="E28" s="290"/>
      <c r="F28" s="287"/>
      <c r="G28" s="287"/>
      <c r="H28" s="287"/>
      <c r="I28" s="292"/>
      <c r="J28" s="292"/>
      <c r="K28" s="292"/>
      <c r="L28" s="292"/>
      <c r="M28" s="292"/>
      <c r="N28" s="292"/>
      <c r="O28" s="274"/>
      <c r="P28" s="20"/>
      <c r="Q28" s="20"/>
      <c r="R28" s="20"/>
      <c r="S28" s="20"/>
      <c r="T28" s="20"/>
      <c r="U28" s="21"/>
      <c r="V28" s="21"/>
      <c r="W28" s="21"/>
      <c r="X28" s="21"/>
      <c r="Y28" s="21"/>
      <c r="Z28" s="21"/>
    </row>
    <row r="29" ht="30.0" customHeight="1">
      <c r="A29" s="20"/>
      <c r="B29" s="281" t="s">
        <v>93</v>
      </c>
      <c r="C29" s="74" t="s">
        <v>379</v>
      </c>
      <c r="D29" s="74" t="s">
        <v>380</v>
      </c>
      <c r="E29" s="74" t="s">
        <v>381</v>
      </c>
      <c r="F29" s="291"/>
      <c r="G29" s="207"/>
      <c r="H29" s="207"/>
      <c r="I29" s="292"/>
      <c r="J29" s="292"/>
      <c r="K29" s="292"/>
      <c r="L29" s="292"/>
      <c r="M29" s="292"/>
      <c r="N29" s="292"/>
      <c r="O29" s="274"/>
      <c r="P29" s="20"/>
      <c r="Q29" s="20"/>
      <c r="R29" s="20"/>
      <c r="S29" s="20"/>
      <c r="T29" s="20"/>
      <c r="U29" s="21"/>
      <c r="V29" s="21"/>
      <c r="W29" s="21"/>
      <c r="X29" s="21"/>
      <c r="Y29" s="21"/>
      <c r="Z29" s="21"/>
    </row>
    <row r="30" ht="51.75" customHeight="1">
      <c r="A30" s="20"/>
      <c r="B30" s="275" t="s">
        <v>417</v>
      </c>
      <c r="C30" s="276" t="s">
        <v>418</v>
      </c>
      <c r="D30" s="290" t="s">
        <v>419</v>
      </c>
      <c r="E30" s="290" t="s">
        <v>420</v>
      </c>
      <c r="F30" s="273"/>
      <c r="G30" s="273"/>
      <c r="H30" s="273"/>
      <c r="I30" s="273"/>
      <c r="J30" s="273"/>
      <c r="K30" s="273"/>
      <c r="L30" s="273"/>
      <c r="M30" s="273"/>
      <c r="N30" s="273"/>
      <c r="O30" s="20"/>
      <c r="P30" s="20"/>
      <c r="Q30" s="20"/>
      <c r="R30" s="20"/>
      <c r="S30" s="20"/>
      <c r="T30" s="20"/>
      <c r="U30" s="21"/>
      <c r="V30" s="21"/>
      <c r="W30" s="21"/>
      <c r="X30" s="21"/>
      <c r="Y30" s="21"/>
      <c r="Z30" s="21"/>
    </row>
    <row r="31" ht="17.25" customHeight="1">
      <c r="A31" s="20"/>
      <c r="B31" s="278" t="s">
        <v>421</v>
      </c>
      <c r="C31" s="279" t="s">
        <v>422</v>
      </c>
      <c r="D31" s="293" t="s">
        <v>423</v>
      </c>
      <c r="E31" s="294" t="s">
        <v>424</v>
      </c>
      <c r="F31" s="273"/>
      <c r="G31" s="273"/>
      <c r="H31" s="273"/>
      <c r="I31" s="273"/>
      <c r="J31" s="273"/>
      <c r="K31" s="273"/>
      <c r="L31" s="273"/>
      <c r="M31" s="273"/>
      <c r="N31" s="273"/>
      <c r="O31" s="20"/>
      <c r="P31" s="20"/>
      <c r="Q31" s="20"/>
      <c r="R31" s="20"/>
      <c r="S31" s="20"/>
      <c r="T31" s="20"/>
      <c r="U31" s="21"/>
      <c r="V31" s="21"/>
      <c r="W31" s="21"/>
      <c r="X31" s="21"/>
      <c r="Y31" s="21"/>
      <c r="Z31" s="21"/>
    </row>
    <row r="32" ht="17.25" customHeight="1">
      <c r="A32" s="20"/>
      <c r="B32" s="275" t="s">
        <v>425</v>
      </c>
      <c r="C32" s="276" t="s">
        <v>426</v>
      </c>
      <c r="D32" s="276" t="s">
        <v>427</v>
      </c>
      <c r="E32" s="290"/>
      <c r="F32" s="273"/>
      <c r="G32" s="273"/>
      <c r="H32" s="273"/>
      <c r="I32" s="273"/>
      <c r="J32" s="273"/>
      <c r="K32" s="273"/>
      <c r="L32" s="273"/>
      <c r="M32" s="273"/>
      <c r="N32" s="273"/>
      <c r="O32" s="20"/>
      <c r="P32" s="20"/>
      <c r="Q32" s="20"/>
      <c r="R32" s="20"/>
      <c r="S32" s="20"/>
      <c r="T32" s="20"/>
      <c r="U32" s="21"/>
      <c r="V32" s="21"/>
      <c r="W32" s="21"/>
      <c r="X32" s="21"/>
      <c r="Y32" s="21"/>
      <c r="Z32" s="21"/>
    </row>
    <row r="33" ht="51.75" customHeight="1">
      <c r="A33" s="20"/>
      <c r="B33" s="278" t="s">
        <v>93</v>
      </c>
      <c r="C33" s="279" t="s">
        <v>428</v>
      </c>
      <c r="D33" s="294"/>
      <c r="E33" s="294"/>
      <c r="F33" s="273"/>
      <c r="G33" s="273"/>
      <c r="H33" s="273"/>
      <c r="I33" s="273"/>
      <c r="J33" s="273"/>
      <c r="K33" s="273"/>
      <c r="L33" s="273"/>
      <c r="M33" s="273"/>
      <c r="N33" s="273"/>
      <c r="O33" s="20"/>
      <c r="P33" s="20"/>
      <c r="Q33" s="20"/>
      <c r="R33" s="20"/>
      <c r="S33" s="20"/>
      <c r="T33" s="20"/>
      <c r="U33" s="21"/>
      <c r="V33" s="21"/>
      <c r="W33" s="21"/>
      <c r="X33" s="21"/>
      <c r="Y33" s="21"/>
      <c r="Z33" s="21"/>
    </row>
    <row r="34" ht="25.5" hidden="1" customHeight="1">
      <c r="A34" s="20"/>
      <c r="B34" s="296"/>
      <c r="C34" s="97"/>
      <c r="D34" s="97"/>
      <c r="E34" s="97"/>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6"/>
      <c r="C35" s="97"/>
      <c r="D35" s="97"/>
      <c r="E35" s="97"/>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7"/>
      <c r="C36" s="97"/>
      <c r="D36" s="97"/>
      <c r="E36" s="97"/>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7"/>
      <c r="C37" s="97"/>
      <c r="D37" s="97"/>
      <c r="E37" s="97"/>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7"/>
      <c r="C38" s="97"/>
      <c r="D38" s="97"/>
      <c r="E38" s="97"/>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7"/>
      <c r="C39" s="97"/>
      <c r="D39" s="97"/>
      <c r="E39" s="97"/>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7"/>
      <c r="C40" s="97"/>
      <c r="D40" s="97"/>
      <c r="E40" s="97"/>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7"/>
      <c r="C41" s="97"/>
      <c r="D41" s="97"/>
      <c r="E41" s="97"/>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7"/>
      <c r="C42" s="97"/>
      <c r="D42" s="97"/>
      <c r="E42" s="97"/>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7"/>
      <c r="C43" s="97"/>
      <c r="D43" s="97"/>
      <c r="E43" s="97"/>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7"/>
      <c r="C44" s="97"/>
      <c r="D44" s="97"/>
      <c r="E44" s="97"/>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7"/>
      <c r="C45" s="97"/>
      <c r="D45" s="97"/>
      <c r="E45" s="97"/>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7"/>
      <c r="C46" s="97"/>
      <c r="D46" s="97"/>
      <c r="E46" s="97"/>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7"/>
      <c r="C47" s="97"/>
      <c r="D47" s="97"/>
      <c r="E47" s="97"/>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7"/>
      <c r="C48" s="97"/>
      <c r="D48" s="97"/>
      <c r="E48" s="97"/>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7"/>
      <c r="C49" s="97"/>
      <c r="D49" s="97"/>
      <c r="E49" s="97"/>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7"/>
      <c r="C50" s="97"/>
      <c r="D50" s="97"/>
      <c r="E50" s="97"/>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7"/>
      <c r="C51" s="97"/>
      <c r="D51" s="97"/>
      <c r="E51" s="97"/>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7"/>
      <c r="C52" s="97"/>
      <c r="D52" s="97"/>
      <c r="E52" s="97"/>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7"/>
      <c r="C53" s="97"/>
      <c r="D53" s="97"/>
      <c r="E53" s="97"/>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7"/>
      <c r="C54" s="97"/>
      <c r="D54" s="97"/>
      <c r="E54" s="97"/>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8"/>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8"/>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8"/>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8"/>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8"/>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8"/>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8"/>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8"/>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8"/>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8"/>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9" t="s">
        <v>429</v>
      </c>
      <c r="B1" s="300">
        <f>'1.IS'!B2</f>
        <v>2016</v>
      </c>
      <c r="C1" s="300">
        <f>'1.IS'!C2</f>
        <v>2017</v>
      </c>
      <c r="D1" s="300">
        <f>'1.IS'!D2</f>
        <v>2018</v>
      </c>
      <c r="E1" s="300">
        <f>'1.IS'!E2</f>
        <v>2019</v>
      </c>
      <c r="F1" s="300">
        <f>'1.IS'!F2</f>
        <v>2020</v>
      </c>
      <c r="G1" s="300">
        <f>'1.IS'!G2</f>
        <v>2021</v>
      </c>
      <c r="H1" s="300">
        <f>'1.IS'!H2</f>
        <v>2022</v>
      </c>
      <c r="I1" s="300">
        <f>'1.IS'!I2</f>
        <v>2023</v>
      </c>
      <c r="J1" s="300">
        <f>'1.IS'!J2</f>
        <v>2024</v>
      </c>
      <c r="K1" s="300">
        <f>'1.IS'!K2</f>
        <v>2025</v>
      </c>
      <c r="L1" s="301"/>
    </row>
    <row r="2">
      <c r="A2" s="1" t="s">
        <v>430</v>
      </c>
      <c r="B2" s="302">
        <f>IFERROR(VLOOKUP($A2,'9.TIKR_CF'!$A:$K,COLUMN(B2),FALSE),"0")</f>
        <v>-11477</v>
      </c>
      <c r="C2" s="302">
        <f>IFERROR(VLOOKUP($A2,'9.TIKR_CF'!$A:$K,COLUMN(C2),FALSE),"0")</f>
        <v>-10619</v>
      </c>
      <c r="D2" s="302">
        <f>IFERROR(VLOOKUP($A2,'9.TIKR_CF'!$A:$K,COLUMN(D2),FALSE),"0")</f>
        <v>-10051</v>
      </c>
      <c r="E2" s="302">
        <f>IFERROR(VLOOKUP($A2,'9.TIKR_CF'!$A:$K,COLUMN(E2),FALSE),"0")</f>
        <v>-10344</v>
      </c>
      <c r="F2" s="302">
        <f>IFERROR(VLOOKUP($A2,'9.TIKR_CF'!$A:$K,COLUMN(F2),FALSE),"0")</f>
        <v>-10705</v>
      </c>
      <c r="G2" s="302">
        <f>IFERROR(VLOOKUP($A2,'9.TIKR_CF'!$A:$K,COLUMN(G2),FALSE),"0")</f>
        <v>-10264</v>
      </c>
      <c r="H2" s="302">
        <f>IFERROR(VLOOKUP($A2,'9.TIKR_CF'!$A:$K,COLUMN(H2),FALSE),"0")</f>
        <v>-13106</v>
      </c>
      <c r="I2" s="302">
        <f>IFERROR(VLOOKUP($A2,'9.TIKR_CF'!$A:$K,COLUMN(I2),FALSE),"0")</f>
        <v>-16857</v>
      </c>
      <c r="J2" s="302">
        <f>IFERROR(VLOOKUP($A2,'9.TIKR_CF'!$A:$K,COLUMN(J2),FALSE),"0")</f>
        <v>-20606</v>
      </c>
      <c r="K2" s="302">
        <f>IFERROR(VLOOKUP($A2,'9.TIKR_CF'!$A:$K,COLUMN(K2),FALSE),"0")</f>
        <v>-23783</v>
      </c>
      <c r="L2" s="301"/>
    </row>
    <row r="3">
      <c r="A3" s="1" t="s">
        <v>431</v>
      </c>
      <c r="B3" s="302" t="str">
        <f>IFERROR(VLOOKUP($A3,'9.TIKR_CF'!$A:$K,COLUMN(B3),FALSE),"0")</f>
        <v>0</v>
      </c>
      <c r="C3" s="302" t="str">
        <f>IFERROR(VLOOKUP($A3,'9.TIKR_CF'!$A:$K,COLUMN(C3),FALSE),"0")</f>
        <v>0</v>
      </c>
      <c r="D3" s="302" t="str">
        <f>IFERROR(VLOOKUP($A3,'9.TIKR_CF'!$A:$K,COLUMN(D3),FALSE),"0")</f>
        <v>0</v>
      </c>
      <c r="E3" s="302" t="str">
        <f>IFERROR(VLOOKUP($A3,'9.TIKR_CF'!$A:$K,COLUMN(E3),FALSE),"0")</f>
        <v>0</v>
      </c>
      <c r="F3" s="302" t="str">
        <f>IFERROR(VLOOKUP($A3,'9.TIKR_CF'!$A:$K,COLUMN(F3),FALSE),"0")</f>
        <v>0</v>
      </c>
      <c r="G3" s="302" t="str">
        <f>IFERROR(VLOOKUP($A3,'9.TIKR_CF'!$A:$K,COLUMN(G3),FALSE),"0")</f>
        <v>0</v>
      </c>
      <c r="H3" s="302" t="str">
        <f>IFERROR(VLOOKUP($A3,'9.TIKR_CF'!$A:$K,COLUMN(H3),FALSE),"0")</f>
        <v>0</v>
      </c>
      <c r="I3" s="302" t="str">
        <f>IFERROR(VLOOKUP($A3,'9.TIKR_CF'!$A:$K,COLUMN(I3),FALSE),"0")</f>
        <v>0</v>
      </c>
      <c r="J3" s="302" t="str">
        <f>IFERROR(VLOOKUP($A3,'9.TIKR_CF'!$A:$K,COLUMN(J3),FALSE),"0")</f>
        <v>0</v>
      </c>
      <c r="K3" s="302" t="str">
        <f>IFERROR(VLOOKUP($A3,'9.TIKR_CF'!$A:$K,COLUMN(K3),FALSE),"0")</f>
        <v>0</v>
      </c>
      <c r="L3" s="301"/>
    </row>
    <row r="4">
      <c r="A4" s="303" t="s">
        <v>432</v>
      </c>
      <c r="B4" s="304">
        <f>IFERROR(VLOOKUP($A4,'9.TIKR_CF'!$A:$K,COLUMN(B4),FALSE),"0")</f>
        <v>635</v>
      </c>
      <c r="C4" s="304">
        <f>IFERROR(VLOOKUP($A4,'9.TIKR_CF'!$A:$K,COLUMN(C4),FALSE),"0")</f>
        <v>456</v>
      </c>
      <c r="D4" s="304">
        <f>IFERROR(VLOOKUP($A4,'9.TIKR_CF'!$A:$K,COLUMN(D4),FALSE),"0")</f>
        <v>378</v>
      </c>
      <c r="E4" s="304">
        <f>IFERROR(VLOOKUP($A4,'9.TIKR_CF'!$A:$K,COLUMN(E4),FALSE),"0")</f>
        <v>519</v>
      </c>
      <c r="F4" s="304">
        <f>IFERROR(VLOOKUP($A4,'9.TIKR_CF'!$A:$K,COLUMN(F4),FALSE),"0")</f>
        <v>321</v>
      </c>
      <c r="G4" s="304">
        <f>IFERROR(VLOOKUP($A4,'9.TIKR_CF'!$A:$K,COLUMN(G4),FALSE),"0")</f>
        <v>215</v>
      </c>
      <c r="H4" s="304">
        <f>IFERROR(VLOOKUP($A4,'9.TIKR_CF'!$A:$K,COLUMN(H4),FALSE),"0")</f>
        <v>394</v>
      </c>
      <c r="I4" s="305">
        <f>IFERROR(VLOOKUP($A4,'9.TIKR_CF'!$A:$K,COLUMN(I4),FALSE),"0")</f>
        <v>170</v>
      </c>
      <c r="J4" s="305">
        <f>IFERROR(VLOOKUP($A4,'9.TIKR_CF'!$A:$K,COLUMN(J4),FALSE),"0")</f>
        <v>250</v>
      </c>
      <c r="K4" s="305">
        <f>IFERROR(VLOOKUP($A4,'9.TIKR_CF'!$A:$K,COLUMN(K4),FALSE),"0")</f>
        <v>432</v>
      </c>
      <c r="L4" s="301"/>
    </row>
    <row r="5">
      <c r="A5" s="1" t="s">
        <v>433</v>
      </c>
      <c r="B5" s="302">
        <f t="shared" ref="B5:K5" si="1">SUM(B2:B4)</f>
        <v>-10842</v>
      </c>
      <c r="C5" s="302">
        <f t="shared" si="1"/>
        <v>-10163</v>
      </c>
      <c r="D5" s="302">
        <f t="shared" si="1"/>
        <v>-9673</v>
      </c>
      <c r="E5" s="302">
        <f t="shared" si="1"/>
        <v>-9825</v>
      </c>
      <c r="F5" s="302">
        <f t="shared" si="1"/>
        <v>-10384</v>
      </c>
      <c r="G5" s="302">
        <f t="shared" si="1"/>
        <v>-10049</v>
      </c>
      <c r="H5" s="302">
        <f t="shared" si="1"/>
        <v>-12712</v>
      </c>
      <c r="I5" s="302">
        <f t="shared" si="1"/>
        <v>-16687</v>
      </c>
      <c r="J5" s="302">
        <f t="shared" si="1"/>
        <v>-20356</v>
      </c>
      <c r="K5" s="302">
        <f t="shared" si="1"/>
        <v>-23351</v>
      </c>
      <c r="L5" s="301"/>
    </row>
    <row r="6">
      <c r="A6" s="303" t="s">
        <v>434</v>
      </c>
      <c r="B6" s="304">
        <f>IFERROR(VLOOKUP($A6,'9.TIKR_CF'!$A:$K,COLUMN(B6),FALSE),"0")</f>
        <v>9454</v>
      </c>
      <c r="C6" s="304">
        <f>IFERROR(VLOOKUP($A6,'9.TIKR_CF'!$A:$K,COLUMN(C6),FALSE),"0")</f>
        <v>10080</v>
      </c>
      <c r="D6" s="304">
        <f>IFERROR(VLOOKUP($A6,'9.TIKR_CF'!$A:$K,COLUMN(D6),FALSE),"0")</f>
        <v>10529</v>
      </c>
      <c r="E6" s="304">
        <f>IFERROR(VLOOKUP($A6,'9.TIKR_CF'!$A:$K,COLUMN(E6),FALSE),"0")</f>
        <v>10678</v>
      </c>
      <c r="F6" s="304">
        <f>IFERROR(VLOOKUP($A6,'9.TIKR_CF'!$A:$K,COLUMN(F6),FALSE),"0")</f>
        <v>10987</v>
      </c>
      <c r="G6" s="304">
        <f>IFERROR(VLOOKUP($A6,'9.TIKR_CF'!$A:$K,COLUMN(G6),FALSE),"0")</f>
        <v>11152</v>
      </c>
      <c r="H6" s="304">
        <f>IFERROR(VLOOKUP($A6,'9.TIKR_CF'!$A:$K,COLUMN(H6),FALSE),"0")</f>
        <v>10658</v>
      </c>
      <c r="I6" s="304">
        <f>IFERROR(VLOOKUP($A6,'9.TIKR_CF'!$A:$K,COLUMN(I6),FALSE),"0")</f>
        <v>10945</v>
      </c>
      <c r="J6" s="304">
        <f>IFERROR(VLOOKUP($A6,'9.TIKR_CF'!$A:$K,COLUMN(J6),FALSE),"0")</f>
        <v>11853</v>
      </c>
      <c r="K6" s="304">
        <f>IFERROR(VLOOKUP($A6,'9.TIKR_CF'!$A:$K,COLUMN(K6),FALSE),"0")</f>
        <v>12973</v>
      </c>
      <c r="L6" s="301"/>
    </row>
    <row r="7">
      <c r="A7" s="241" t="s">
        <v>435</v>
      </c>
      <c r="B7" s="306">
        <f t="shared" ref="B7:K7" si="2">IF(ABS(B5)&lt;B6,B5,-B6)</f>
        <v>-9454</v>
      </c>
      <c r="C7" s="306">
        <f t="shared" si="2"/>
        <v>-10080</v>
      </c>
      <c r="D7" s="306">
        <f t="shared" si="2"/>
        <v>-9673</v>
      </c>
      <c r="E7" s="306">
        <f t="shared" si="2"/>
        <v>-9825</v>
      </c>
      <c r="F7" s="306">
        <f t="shared" si="2"/>
        <v>-10384</v>
      </c>
      <c r="G7" s="306">
        <f t="shared" si="2"/>
        <v>-10049</v>
      </c>
      <c r="H7" s="306">
        <f t="shared" si="2"/>
        <v>-10658</v>
      </c>
      <c r="I7" s="306">
        <f t="shared" si="2"/>
        <v>-10945</v>
      </c>
      <c r="J7" s="306">
        <f t="shared" si="2"/>
        <v>-11853</v>
      </c>
      <c r="K7" s="306">
        <f t="shared" si="2"/>
        <v>-12973</v>
      </c>
      <c r="L7" s="301"/>
    </row>
    <row r="8">
      <c r="B8" s="301"/>
      <c r="C8" s="301"/>
      <c r="D8" s="301"/>
      <c r="E8" s="301"/>
      <c r="F8" s="301"/>
      <c r="G8" s="301"/>
      <c r="H8" s="301"/>
      <c r="I8" s="301"/>
      <c r="J8" s="301"/>
      <c r="K8" s="301"/>
      <c r="L8" s="301"/>
    </row>
    <row r="9">
      <c r="A9" s="299" t="s">
        <v>436</v>
      </c>
      <c r="B9" s="300">
        <f>'1.IS'!B2</f>
        <v>2016</v>
      </c>
      <c r="C9" s="300">
        <f>'1.IS'!C2</f>
        <v>2017</v>
      </c>
      <c r="D9" s="300">
        <f>'1.IS'!D2</f>
        <v>2018</v>
      </c>
      <c r="E9" s="300">
        <f>'1.IS'!E2</f>
        <v>2019</v>
      </c>
      <c r="F9" s="300">
        <f>'1.IS'!F2</f>
        <v>2020</v>
      </c>
      <c r="G9" s="300">
        <f>'1.IS'!G2</f>
        <v>2021</v>
      </c>
      <c r="H9" s="300">
        <f>'1.IS'!H2</f>
        <v>2022</v>
      </c>
      <c r="I9" s="300">
        <f>'1.IS'!I2</f>
        <v>2023</v>
      </c>
      <c r="J9" s="300">
        <f>'1.IS'!J2</f>
        <v>2024</v>
      </c>
      <c r="K9" s="300">
        <f>'1.IS'!K2</f>
        <v>2025</v>
      </c>
      <c r="L9" s="301"/>
    </row>
    <row r="10">
      <c r="A10" s="1" t="s">
        <v>437</v>
      </c>
      <c r="B10" s="302">
        <f t="shared" ref="B10:K10" si="3">B5-B7</f>
        <v>-1388</v>
      </c>
      <c r="C10" s="302">
        <f t="shared" si="3"/>
        <v>-83</v>
      </c>
      <c r="D10" s="302">
        <f t="shared" si="3"/>
        <v>0</v>
      </c>
      <c r="E10" s="302">
        <f t="shared" si="3"/>
        <v>0</v>
      </c>
      <c r="F10" s="302">
        <f t="shared" si="3"/>
        <v>0</v>
      </c>
      <c r="G10" s="302">
        <f t="shared" si="3"/>
        <v>0</v>
      </c>
      <c r="H10" s="302">
        <f t="shared" si="3"/>
        <v>-2054</v>
      </c>
      <c r="I10" s="302">
        <f t="shared" si="3"/>
        <v>-5742</v>
      </c>
      <c r="J10" s="302">
        <f t="shared" si="3"/>
        <v>-8503</v>
      </c>
      <c r="K10" s="302">
        <f t="shared" si="3"/>
        <v>-10378</v>
      </c>
      <c r="L10" s="301"/>
    </row>
    <row r="11">
      <c r="A11" s="303" t="s">
        <v>438</v>
      </c>
      <c r="B11" s="307" t="str">
        <f>IFERROR(VLOOKUP("Cash Acquisitions*",'9.TIKR_CF'!$A:$K,COLUMN(B11),FALSE),"0")</f>
        <v/>
      </c>
      <c r="C11" s="307">
        <f>IFERROR(VLOOKUP("Cash Acquisitions*",'9.TIKR_CF'!$A:$K,COLUMN(C11),FALSE),"0")</f>
        <v>-2463</v>
      </c>
      <c r="D11" s="307">
        <f>IFERROR(VLOOKUP("Cash Acquisitions*",'9.TIKR_CF'!$A:$K,COLUMN(D11),FALSE),"0")</f>
        <v>-375</v>
      </c>
      <c r="E11" s="307">
        <f>IFERROR(VLOOKUP("Cash Acquisitions*",'9.TIKR_CF'!$A:$K,COLUMN(E11),FALSE),"0")</f>
        <v>-14656</v>
      </c>
      <c r="F11" s="307">
        <f>IFERROR(VLOOKUP("Cash Acquisitions*",'9.TIKR_CF'!$A:$K,COLUMN(F11),FALSE),"0")</f>
        <v>-56</v>
      </c>
      <c r="G11" s="307">
        <f>IFERROR(VLOOKUP("Cash Acquisitions*",'9.TIKR_CF'!$A:$K,COLUMN(G11),FALSE),"0")</f>
        <v>-180</v>
      </c>
      <c r="H11" s="307">
        <f>IFERROR(VLOOKUP("Cash Acquisitions*",'9.TIKR_CF'!$A:$K,COLUMN(H11),FALSE),"0")</f>
        <v>-359</v>
      </c>
      <c r="I11" s="307">
        <f>IFERROR(VLOOKUP("Cash Acquisitions*",'9.TIKR_CF'!$A:$K,COLUMN(I11),FALSE),"0")</f>
        <v>-740</v>
      </c>
      <c r="J11" s="307">
        <f>IFERROR(VLOOKUP("Cash Acquisitions*",'9.TIKR_CF'!$A:$K,COLUMN(J11),FALSE),"0")</f>
        <v>-9</v>
      </c>
      <c r="K11" s="307">
        <f>IFERROR(VLOOKUP("Cash Acquisitions*",'9.TIKR_CF'!$A:$K,COLUMN(K11),FALSE),"0")</f>
        <v>-1896</v>
      </c>
      <c r="L11" s="301"/>
    </row>
    <row r="12">
      <c r="A12" s="241" t="s">
        <v>439</v>
      </c>
      <c r="B12" s="306">
        <f t="shared" ref="B12:K12" si="4">ABS(SUM(B10:B11))</f>
        <v>1388</v>
      </c>
      <c r="C12" s="306">
        <f t="shared" si="4"/>
        <v>2546</v>
      </c>
      <c r="D12" s="306">
        <f t="shared" si="4"/>
        <v>375</v>
      </c>
      <c r="E12" s="306">
        <f t="shared" si="4"/>
        <v>14656</v>
      </c>
      <c r="F12" s="306">
        <f t="shared" si="4"/>
        <v>56</v>
      </c>
      <c r="G12" s="306">
        <f t="shared" si="4"/>
        <v>180</v>
      </c>
      <c r="H12" s="306">
        <f t="shared" si="4"/>
        <v>2413</v>
      </c>
      <c r="I12" s="306">
        <f t="shared" si="4"/>
        <v>6482</v>
      </c>
      <c r="J12" s="306">
        <f t="shared" si="4"/>
        <v>8512</v>
      </c>
      <c r="K12" s="306">
        <f t="shared" si="4"/>
        <v>12274</v>
      </c>
      <c r="L12" s="301"/>
    </row>
    <row r="13">
      <c r="B13" s="301"/>
      <c r="C13" s="301"/>
      <c r="D13" s="301"/>
      <c r="E13" s="301"/>
      <c r="F13" s="301"/>
      <c r="G13" s="301"/>
      <c r="H13" s="301"/>
      <c r="I13" s="301"/>
      <c r="J13" s="301"/>
      <c r="K13" s="301"/>
      <c r="L13" s="301"/>
    </row>
    <row r="14">
      <c r="A14" s="299" t="s">
        <v>85</v>
      </c>
      <c r="B14" s="300" t="str">
        <f>'1.IS'!L2</f>
        <v>2026e</v>
      </c>
      <c r="C14" s="300" t="str">
        <f>'1.IS'!M2</f>
        <v>2027e</v>
      </c>
      <c r="D14" s="300" t="str">
        <f>'1.IS'!N2</f>
        <v>2028e</v>
      </c>
      <c r="E14" s="300" t="str">
        <f>'1.IS'!O2</f>
        <v>2029e</v>
      </c>
      <c r="F14" s="300" t="str">
        <f>'1.IS'!P2</f>
        <v>2030e</v>
      </c>
      <c r="G14" s="308"/>
      <c r="H14" s="308"/>
      <c r="I14" s="308"/>
      <c r="J14" s="308"/>
      <c r="K14" s="308"/>
      <c r="L14" s="301"/>
    </row>
    <row r="15">
      <c r="A15" s="228" t="s">
        <v>440</v>
      </c>
      <c r="B15" s="309">
        <f>'4.Valoración'!$D$12</f>
        <v>94.8</v>
      </c>
      <c r="C15" s="309">
        <f>'4.Valoración'!$D$12</f>
        <v>94.8</v>
      </c>
      <c r="D15" s="309">
        <f>'4.Valoración'!$D$12</f>
        <v>94.8</v>
      </c>
      <c r="E15" s="309">
        <f>'4.Valoración'!$D$12</f>
        <v>94.8</v>
      </c>
      <c r="F15" s="309">
        <f>'4.Valoración'!$D$12</f>
        <v>94.8</v>
      </c>
      <c r="G15" s="301"/>
      <c r="H15" s="301"/>
      <c r="I15" s="301"/>
      <c r="J15" s="301"/>
      <c r="K15" s="301"/>
      <c r="L15" s="301"/>
    </row>
    <row r="16">
      <c r="B16" s="301"/>
      <c r="C16" s="301"/>
      <c r="D16" s="301"/>
      <c r="E16" s="301"/>
      <c r="F16" s="301"/>
      <c r="G16" s="301"/>
      <c r="H16" s="301"/>
      <c r="I16" s="301"/>
      <c r="J16" s="301"/>
      <c r="K16" s="301"/>
      <c r="L16" s="301"/>
    </row>
    <row r="17">
      <c r="A17" s="299" t="s">
        <v>88</v>
      </c>
      <c r="B17" s="310">
        <f>'1.IS'!K2</f>
        <v>2025</v>
      </c>
      <c r="C17" s="301"/>
      <c r="D17" s="301"/>
      <c r="E17" s="301"/>
      <c r="F17" s="301"/>
      <c r="G17" s="301"/>
      <c r="H17" s="301"/>
      <c r="I17" s="301"/>
      <c r="J17" s="301"/>
      <c r="K17" s="301"/>
      <c r="L17" s="301"/>
    </row>
    <row r="18">
      <c r="A18" s="1" t="s">
        <v>441</v>
      </c>
      <c r="B18" s="311">
        <f>IFERROR(SUM('3.ROIC'!$B$6:$K$6)/SUM('3.ROIC'!$B$6:$K$7),0)</f>
        <v>0.1202671729</v>
      </c>
      <c r="C18" s="301"/>
      <c r="D18" s="301"/>
      <c r="E18" s="301"/>
      <c r="F18" s="301"/>
      <c r="G18" s="301"/>
      <c r="H18" s="301"/>
      <c r="I18" s="301"/>
      <c r="J18" s="301"/>
      <c r="K18" s="301"/>
      <c r="L18" s="301"/>
    </row>
    <row r="19">
      <c r="A19" s="1" t="s">
        <v>442</v>
      </c>
      <c r="B19" s="311">
        <f>IF(B18=0,0,1-B18)</f>
        <v>0.8797328271</v>
      </c>
      <c r="C19" s="301"/>
      <c r="D19" s="301"/>
      <c r="E19" s="301"/>
      <c r="F19" s="301"/>
      <c r="G19" s="301"/>
      <c r="H19" s="301"/>
      <c r="I19" s="301"/>
      <c r="J19" s="301"/>
      <c r="K19" s="301"/>
      <c r="L19" s="301"/>
    </row>
    <row r="20">
      <c r="A20" s="1" t="s">
        <v>443</v>
      </c>
      <c r="B20" s="302">
        <f>SUM('3.ROIC'!B4:K5)</f>
        <v>99545</v>
      </c>
      <c r="C20" s="301"/>
      <c r="D20" s="301"/>
      <c r="E20" s="301"/>
      <c r="F20" s="301"/>
      <c r="G20" s="301"/>
      <c r="H20" s="301"/>
      <c r="I20" s="301"/>
      <c r="J20" s="301"/>
      <c r="K20" s="301"/>
      <c r="L20" s="301"/>
    </row>
    <row r="21" ht="15.75" customHeight="1">
      <c r="A21" s="1" t="s">
        <v>444</v>
      </c>
      <c r="B21" s="302">
        <f>SUM('3.ROIC'!B5:K5)</f>
        <v>0</v>
      </c>
      <c r="C21" s="301"/>
      <c r="D21" s="301"/>
      <c r="E21" s="301"/>
      <c r="F21" s="301"/>
      <c r="G21" s="301"/>
      <c r="H21" s="301"/>
      <c r="I21" s="301"/>
      <c r="J21" s="301"/>
      <c r="K21" s="301"/>
      <c r="L21" s="301"/>
    </row>
    <row r="22" ht="15.75" customHeight="1">
      <c r="A22" s="1" t="s">
        <v>445</v>
      </c>
      <c r="B22" s="302">
        <f>SUM('3.ROIC'!B6:K7)</f>
        <v>431930</v>
      </c>
      <c r="C22" s="301"/>
      <c r="D22" s="301"/>
      <c r="E22" s="301"/>
      <c r="F22" s="301"/>
      <c r="G22" s="301"/>
      <c r="H22" s="301"/>
      <c r="I22" s="301"/>
      <c r="J22" s="301"/>
      <c r="K22" s="301"/>
      <c r="L22" s="301"/>
    </row>
    <row r="23" ht="15.75" customHeight="1">
      <c r="A23" s="1" t="s">
        <v>446</v>
      </c>
      <c r="B23" s="302">
        <f>B22-B20</f>
        <v>332385</v>
      </c>
      <c r="C23" s="301"/>
      <c r="D23" s="301"/>
      <c r="E23" s="301"/>
      <c r="F23" s="301"/>
      <c r="G23" s="301"/>
      <c r="H23" s="301"/>
      <c r="I23" s="301"/>
      <c r="J23" s="301"/>
      <c r="K23" s="301"/>
      <c r="L23" s="301"/>
    </row>
    <row r="24" ht="15.75" customHeight="1">
      <c r="A24" s="1" t="s">
        <v>447</v>
      </c>
      <c r="B24" s="302">
        <f>SUM('1.IS'!B13:K13)</f>
        <v>2501</v>
      </c>
      <c r="C24" s="301"/>
      <c r="D24" s="301"/>
      <c r="E24" s="301"/>
      <c r="F24" s="301"/>
      <c r="G24" s="301"/>
      <c r="H24" s="301"/>
      <c r="I24" s="301"/>
      <c r="J24" s="301"/>
      <c r="K24" s="301"/>
      <c r="L24" s="301"/>
    </row>
    <row r="25" ht="15.75" customHeight="1">
      <c r="A25" s="1" t="s">
        <v>448</v>
      </c>
      <c r="B25" s="302">
        <f>SUM('1.IS'!B12:K12)</f>
        <v>-24038</v>
      </c>
      <c r="C25" s="301"/>
      <c r="D25" s="301"/>
      <c r="E25" s="301"/>
      <c r="F25" s="301"/>
      <c r="G25" s="301"/>
      <c r="H25" s="301"/>
      <c r="I25" s="301"/>
      <c r="J25" s="301"/>
      <c r="K25" s="301"/>
      <c r="L25" s="301"/>
    </row>
    <row r="26" ht="15.75" customHeight="1">
      <c r="A26" s="1" t="s">
        <v>449</v>
      </c>
      <c r="B26" s="311">
        <f>IFERROR(B24/B21,0)</f>
        <v>0</v>
      </c>
      <c r="C26" s="301"/>
      <c r="D26" s="301"/>
      <c r="E26" s="301"/>
      <c r="F26" s="301"/>
      <c r="G26" s="301"/>
      <c r="H26" s="301"/>
      <c r="I26" s="301"/>
      <c r="J26" s="301"/>
      <c r="K26" s="301"/>
      <c r="L26" s="301"/>
    </row>
    <row r="27" ht="15.75" customHeight="1">
      <c r="A27" s="1" t="s">
        <v>450</v>
      </c>
      <c r="B27" s="311">
        <f>ABS(SUM('1.IS'!B12:K12))/B22</f>
        <v>0.05565253629</v>
      </c>
      <c r="C27" s="301"/>
      <c r="D27" s="301"/>
      <c r="E27" s="301"/>
      <c r="F27" s="301"/>
      <c r="G27" s="301"/>
      <c r="H27" s="301"/>
      <c r="I27" s="301"/>
      <c r="J27" s="301"/>
      <c r="K27" s="301"/>
      <c r="L27" s="301"/>
    </row>
    <row r="28" ht="15.75" customHeight="1">
      <c r="B28" s="311"/>
      <c r="C28" s="301"/>
      <c r="D28" s="301"/>
      <c r="E28" s="301"/>
      <c r="F28" s="301"/>
      <c r="G28" s="301"/>
      <c r="H28" s="301"/>
      <c r="I28" s="301"/>
      <c r="J28" s="301"/>
      <c r="K28" s="301"/>
      <c r="L28" s="301"/>
    </row>
    <row r="29" ht="15.75" customHeight="1">
      <c r="A29" s="299" t="s">
        <v>451</v>
      </c>
      <c r="B29" s="300">
        <f>'1.IS'!K2</f>
        <v>2025</v>
      </c>
      <c r="C29" s="312" t="str">
        <f>'1.IS'!L2</f>
        <v>2026e</v>
      </c>
      <c r="D29" s="312" t="str">
        <f>'1.IS'!M2</f>
        <v>2027e</v>
      </c>
      <c r="E29" s="312" t="str">
        <f>'1.IS'!N2</f>
        <v>2028e</v>
      </c>
      <c r="F29" s="312" t="str">
        <f>'1.IS'!O2</f>
        <v>2029e</v>
      </c>
      <c r="G29" s="312" t="str">
        <f>'1.IS'!P2</f>
        <v>2030e</v>
      </c>
      <c r="H29" s="301"/>
      <c r="I29" s="301"/>
      <c r="J29" s="301"/>
      <c r="K29" s="301"/>
      <c r="L29" s="301"/>
    </row>
    <row r="30" ht="15.75" customHeight="1">
      <c r="A30" s="1" t="s">
        <v>88</v>
      </c>
      <c r="B30" s="302">
        <f>'4.Valoración'!K4</f>
        <v>30030</v>
      </c>
      <c r="C30" s="313">
        <f>'4.Valoración'!L4</f>
        <v>36120</v>
      </c>
      <c r="D30" s="313">
        <f>'4.Valoración'!M4</f>
        <v>39200</v>
      </c>
      <c r="E30" s="313">
        <f>'4.Valoración'!N4</f>
        <v>42000</v>
      </c>
      <c r="F30" s="313">
        <f>'4.Valoración'!O4</f>
        <v>45200</v>
      </c>
      <c r="G30" s="313">
        <f>'4.Valoración'!P4</f>
        <v>48800</v>
      </c>
      <c r="H30" s="301"/>
      <c r="I30" s="301"/>
      <c r="J30" s="301"/>
      <c r="K30" s="301"/>
      <c r="L30" s="301"/>
    </row>
    <row r="31" ht="15.75" customHeight="1">
      <c r="A31" s="1" t="s">
        <v>452</v>
      </c>
      <c r="B31" s="302">
        <f>B32+B33</f>
        <v>9037</v>
      </c>
      <c r="C31" s="313">
        <f>IF(C30&lt;=0,B31/ABS(B30)*ABS(C30),MIN(B45:K45)*'1.IS'!L3)</f>
        <v>9443.665</v>
      </c>
      <c r="D31" s="313">
        <f t="shared" ref="D31:G31" si="5">C31/ABS(C30)*ABS(D30)</f>
        <v>10248.93876</v>
      </c>
      <c r="E31" s="313">
        <f t="shared" si="5"/>
        <v>10981.00581</v>
      </c>
      <c r="F31" s="313">
        <f t="shared" si="5"/>
        <v>11817.65388</v>
      </c>
      <c r="G31" s="313">
        <f t="shared" si="5"/>
        <v>12758.88295</v>
      </c>
      <c r="H31" s="301"/>
      <c r="I31" s="302"/>
      <c r="J31" s="301"/>
      <c r="K31" s="311"/>
      <c r="L31" s="301"/>
    </row>
    <row r="32" ht="15.75" customHeight="1">
      <c r="A32" s="228" t="s">
        <v>453</v>
      </c>
      <c r="B32" s="302">
        <f>'3.ROIC'!K4</f>
        <v>9037</v>
      </c>
      <c r="C32" s="313">
        <f>B32/B31*C31</f>
        <v>9443.665</v>
      </c>
      <c r="D32" s="313">
        <f>C32/'1.IS'!L3*'1.IS'!M3</f>
        <v>9868.629925</v>
      </c>
      <c r="E32" s="313">
        <f>D32/'1.IS'!M3*'1.IS'!N3</f>
        <v>10312.71827</v>
      </c>
      <c r="F32" s="313">
        <f>E32/'1.IS'!N3*'1.IS'!O3</f>
        <v>10776.79059</v>
      </c>
      <c r="G32" s="313">
        <f>F32/'1.IS'!O3*'1.IS'!P3</f>
        <v>11261.74617</v>
      </c>
      <c r="H32" s="301"/>
      <c r="I32" s="301"/>
      <c r="J32" s="301"/>
      <c r="K32" s="311"/>
      <c r="L32" s="301"/>
    </row>
    <row r="33" ht="15.75" customHeight="1">
      <c r="A33" s="228" t="s">
        <v>454</v>
      </c>
      <c r="B33" s="302">
        <f>'3.ROIC'!K5</f>
        <v>0</v>
      </c>
      <c r="C33" s="313">
        <f>B33/B31*C31</f>
        <v>0</v>
      </c>
      <c r="D33" s="313">
        <f>C33/'1.IS'!L3*'1.IS'!M3</f>
        <v>0</v>
      </c>
      <c r="E33" s="313">
        <f>D33/'1.IS'!M3*'1.IS'!N3</f>
        <v>0</v>
      </c>
      <c r="F33" s="313">
        <f>E33/'1.IS'!N3*'1.IS'!O3</f>
        <v>0</v>
      </c>
      <c r="G33" s="313">
        <f>F33/'1.IS'!O3*'1.IS'!P3</f>
        <v>0</v>
      </c>
      <c r="H33" s="301"/>
      <c r="I33" s="301"/>
      <c r="J33" s="301"/>
      <c r="K33" s="301"/>
      <c r="L33" s="301"/>
    </row>
    <row r="34" ht="15.75" customHeight="1">
      <c r="A34" s="1" t="s">
        <v>455</v>
      </c>
      <c r="B34" s="302">
        <f>B30+B31</f>
        <v>39067</v>
      </c>
      <c r="C34" s="313">
        <f>IF(C30&lt;=0,B34/ABS(B30)*ABS(C30),C30+C31)</f>
        <v>45563.665</v>
      </c>
      <c r="D34" s="313">
        <f t="shared" ref="D34:G34" si="6">C34/ABS(C30)*ABS(D30)</f>
        <v>49448.93876</v>
      </c>
      <c r="E34" s="313">
        <f t="shared" si="6"/>
        <v>52981.00581</v>
      </c>
      <c r="F34" s="313">
        <f t="shared" si="6"/>
        <v>57017.65388</v>
      </c>
      <c r="G34" s="313">
        <f t="shared" si="6"/>
        <v>61558.88295</v>
      </c>
      <c r="H34" s="301"/>
      <c r="I34" s="301"/>
      <c r="J34" s="302"/>
      <c r="K34" s="301"/>
      <c r="L34" s="301"/>
    </row>
    <row r="35" ht="15.75" customHeight="1">
      <c r="A35" s="228" t="s">
        <v>456</v>
      </c>
      <c r="B35" s="302">
        <f>'3.ROIC'!K6</f>
        <v>5666</v>
      </c>
      <c r="C35" s="313">
        <f t="shared" ref="C35:G35" si="7">B35/B34*C34</f>
        <v>6608.230115</v>
      </c>
      <c r="D35" s="313">
        <f t="shared" si="7"/>
        <v>7171.722605</v>
      </c>
      <c r="E35" s="313">
        <f t="shared" si="7"/>
        <v>7683.988505</v>
      </c>
      <c r="F35" s="313">
        <f t="shared" si="7"/>
        <v>8269.435249</v>
      </c>
      <c r="G35" s="313">
        <f t="shared" si="7"/>
        <v>8928.062835</v>
      </c>
      <c r="H35" s="301"/>
      <c r="I35" s="301"/>
      <c r="J35" s="301"/>
      <c r="K35" s="301"/>
      <c r="L35" s="301"/>
    </row>
    <row r="36" ht="15.75" customHeight="1">
      <c r="A36" s="228" t="s">
        <v>457</v>
      </c>
      <c r="B36" s="302">
        <f>'3.ROIC'!K7</f>
        <v>33401</v>
      </c>
      <c r="C36" s="313">
        <f t="shared" ref="C36:G36" si="8">B36/B34*C34</f>
        <v>38955.43489</v>
      </c>
      <c r="D36" s="313">
        <f t="shared" si="8"/>
        <v>42277.21615</v>
      </c>
      <c r="E36" s="313">
        <f t="shared" si="8"/>
        <v>45297.01731</v>
      </c>
      <c r="F36" s="313">
        <f t="shared" si="8"/>
        <v>48748.21863</v>
      </c>
      <c r="G36" s="313">
        <f t="shared" si="8"/>
        <v>52630.82011</v>
      </c>
      <c r="H36" s="301"/>
      <c r="I36" s="301"/>
      <c r="J36" s="301"/>
      <c r="K36" s="301"/>
      <c r="L36" s="301"/>
    </row>
    <row r="37" ht="15.75" customHeight="1">
      <c r="A37" s="228"/>
      <c r="B37" s="302"/>
      <c r="C37" s="313"/>
      <c r="D37" s="313"/>
      <c r="E37" s="313"/>
      <c r="F37" s="313"/>
      <c r="G37" s="313"/>
      <c r="H37" s="301"/>
      <c r="I37" s="301"/>
      <c r="J37" s="301"/>
      <c r="K37" s="301"/>
      <c r="L37" s="301"/>
    </row>
    <row r="38" ht="15.75" customHeight="1">
      <c r="B38" s="311"/>
      <c r="C38" s="301"/>
      <c r="D38" s="301"/>
      <c r="E38" s="301"/>
      <c r="F38" s="301"/>
      <c r="G38" s="301"/>
      <c r="H38" s="301"/>
      <c r="I38" s="301"/>
      <c r="J38" s="301"/>
      <c r="K38" s="301"/>
      <c r="L38" s="301"/>
    </row>
    <row r="39" ht="15.75" customHeight="1">
      <c r="A39" s="299" t="s">
        <v>458</v>
      </c>
      <c r="B39" s="300">
        <f>'1.IS'!B2</f>
        <v>2016</v>
      </c>
      <c r="C39" s="300">
        <f>'1.IS'!C2</f>
        <v>2017</v>
      </c>
      <c r="D39" s="300">
        <f>'1.IS'!D2</f>
        <v>2018</v>
      </c>
      <c r="E39" s="300">
        <f>'1.IS'!E2</f>
        <v>2019</v>
      </c>
      <c r="F39" s="300">
        <f>'1.IS'!F2</f>
        <v>2020</v>
      </c>
      <c r="G39" s="300">
        <f>'1.IS'!G2</f>
        <v>2021</v>
      </c>
      <c r="H39" s="300">
        <f>'1.IS'!H2</f>
        <v>2022</v>
      </c>
      <c r="I39" s="300">
        <f>'1.IS'!I2</f>
        <v>2023</v>
      </c>
      <c r="J39" s="300">
        <f>'1.IS'!J2</f>
        <v>2024</v>
      </c>
      <c r="K39" s="300">
        <f>'1.IS'!K2</f>
        <v>2025</v>
      </c>
      <c r="L39" s="314" t="s">
        <v>459</v>
      </c>
    </row>
    <row r="40" ht="15.75" customHeight="1">
      <c r="A40" s="1" t="s">
        <v>460</v>
      </c>
      <c r="B40" s="302">
        <f t="shared" ref="B40:K40" si="9">ABS(B10)</f>
        <v>1388</v>
      </c>
      <c r="C40" s="302">
        <f t="shared" si="9"/>
        <v>83</v>
      </c>
      <c r="D40" s="302">
        <f t="shared" si="9"/>
        <v>0</v>
      </c>
      <c r="E40" s="302">
        <f t="shared" si="9"/>
        <v>0</v>
      </c>
      <c r="F40" s="302">
        <f t="shared" si="9"/>
        <v>0</v>
      </c>
      <c r="G40" s="302">
        <f t="shared" si="9"/>
        <v>0</v>
      </c>
      <c r="H40" s="302">
        <f t="shared" si="9"/>
        <v>2054</v>
      </c>
      <c r="I40" s="302">
        <f t="shared" si="9"/>
        <v>5742</v>
      </c>
      <c r="J40" s="302">
        <f t="shared" si="9"/>
        <v>8503</v>
      </c>
      <c r="K40" s="302">
        <f t="shared" si="9"/>
        <v>10378</v>
      </c>
      <c r="L40" s="313">
        <f t="shared" ref="L40:L44" si="10">SUM(B40:K40)</f>
        <v>28148</v>
      </c>
    </row>
    <row r="41" ht="15.75" customHeight="1">
      <c r="A41" s="1" t="s">
        <v>65</v>
      </c>
      <c r="B41" s="301">
        <f>IFERROR(ABS(VLOOKUP("Common &amp; Preferred Stock Dividends Paid*",'9.TIKR_CF'!$A:$K,COLUMN(B14),FALSE)),"0")</f>
        <v>6294</v>
      </c>
      <c r="C41" s="301">
        <f>IFERROR(ABS(VLOOKUP("Common &amp; Preferred Stock Dividends Paid*",'9.TIKR_CF'!$A:$K,COLUMN(C14),FALSE)),"0")</f>
        <v>6216</v>
      </c>
      <c r="D41" s="301">
        <f>IFERROR(ABS(VLOOKUP("Common &amp; Preferred Stock Dividends Paid*",'9.TIKR_CF'!$A:$K,COLUMN(D14),FALSE)),"0")</f>
        <v>6124</v>
      </c>
      <c r="E41" s="301">
        <f>IFERROR(ABS(VLOOKUP("Common &amp; Preferred Stock Dividends Paid*",'9.TIKR_CF'!$A:$K,COLUMN(E14),FALSE)),"0")</f>
        <v>6102</v>
      </c>
      <c r="F41" s="301">
        <f>IFERROR(ABS(VLOOKUP("Common &amp; Preferred Stock Dividends Paid*",'9.TIKR_CF'!$A:$K,COLUMN(F14),FALSE)),"0")</f>
        <v>6048</v>
      </c>
      <c r="G41" s="301">
        <f>IFERROR(ABS(VLOOKUP("Common &amp; Preferred Stock Dividends Paid*",'9.TIKR_CF'!$A:$K,COLUMN(G14),FALSE)),"0")</f>
        <v>6116</v>
      </c>
      <c r="H41" s="301">
        <f>IFERROR(ABS(VLOOKUP("Common &amp; Preferred Stock Dividends Paid*",'9.TIKR_CF'!$A:$K,COLUMN(H14),FALSE)),"0")</f>
        <v>6152</v>
      </c>
      <c r="I41" s="301">
        <f>IFERROR(ABS(VLOOKUP("Common &amp; Preferred Stock Dividends Paid*",'9.TIKR_CF'!$A:$K,COLUMN(I14),FALSE)),"0")</f>
        <v>6114</v>
      </c>
      <c r="J41" s="301">
        <f>IFERROR(ABS(VLOOKUP("Common &amp; Preferred Stock Dividends Paid*",'9.TIKR_CF'!$A:$K,COLUMN(J14),FALSE)),"0")</f>
        <v>6140</v>
      </c>
      <c r="K41" s="301">
        <f>IFERROR(ABS(VLOOKUP("Common &amp; Preferred Stock Dividends Paid*",'9.TIKR_CF'!$A:$K,COLUMN(K14),FALSE)),"0")</f>
        <v>6688</v>
      </c>
      <c r="L41" s="313">
        <f t="shared" si="10"/>
        <v>61994</v>
      </c>
    </row>
    <row r="42" ht="15.75" customHeight="1">
      <c r="A42" s="1" t="s">
        <v>66</v>
      </c>
      <c r="B42" s="301">
        <f>IFERROR(ABS(VLOOKUP("Repurchase of Common Stock*",'9.TIKR_CF'!$A:$K,COLUMN(B15),FALSE)),"0")</f>
        <v>4112</v>
      </c>
      <c r="C42" s="301">
        <f>IFERROR(ABS(VLOOKUP("Repurchase of Common Stock*",'9.TIKR_CF'!$A:$K,COLUMN(C15),FALSE)),"0")</f>
        <v>8298</v>
      </c>
      <c r="D42" s="301">
        <f>IFERROR(ABS(VLOOKUP("Repurchase of Common Stock*",'9.TIKR_CF'!$A:$K,COLUMN(D15),FALSE)),"0")</f>
        <v>8296</v>
      </c>
      <c r="E42" s="301">
        <f>IFERROR(ABS(VLOOKUP("Repurchase of Common Stock*",'9.TIKR_CF'!$A:$K,COLUMN(E15),FALSE)),"0")</f>
        <v>7410</v>
      </c>
      <c r="F42" s="301">
        <f>IFERROR(ABS(VLOOKUP("Repurchase of Common Stock*",'9.TIKR_CF'!$A:$K,COLUMN(F15),FALSE)),"0")</f>
        <v>5717</v>
      </c>
      <c r="G42" s="301">
        <f>IFERROR(ABS(VLOOKUP("Repurchase of Common Stock*",'9.TIKR_CF'!$A:$K,COLUMN(G15),FALSE)),"0")</f>
        <v>2625</v>
      </c>
      <c r="H42" s="301">
        <f>IFERROR(ABS(VLOOKUP("Repurchase of Common Stock*",'9.TIKR_CF'!$A:$K,COLUMN(H15),FALSE)),"0")</f>
        <v>9787</v>
      </c>
      <c r="I42" s="301">
        <f>IFERROR(ABS(VLOOKUP("Repurchase of Common Stock*",'9.TIKR_CF'!$A:$K,COLUMN(I15),FALSE)),"0")</f>
        <v>9920</v>
      </c>
      <c r="J42" s="301">
        <f>IFERROR(ABS(VLOOKUP("Repurchase of Common Stock*",'9.TIKR_CF'!$A:$K,COLUMN(J15),FALSE)),"0")</f>
        <v>2779</v>
      </c>
      <c r="K42" s="301">
        <f>IFERROR(ABS(VLOOKUP("Repurchase of Common Stock*",'9.TIKR_CF'!$A:$K,COLUMN(K15),FALSE)),"0")</f>
        <v>4494</v>
      </c>
      <c r="L42" s="313">
        <f t="shared" si="10"/>
        <v>63438</v>
      </c>
    </row>
    <row r="43" ht="15.75" customHeight="1">
      <c r="A43" s="1" t="s">
        <v>461</v>
      </c>
      <c r="B43" s="301">
        <f t="shared" ref="B43:K43" si="11">ABS(B11)</f>
        <v>0</v>
      </c>
      <c r="C43" s="301">
        <f t="shared" si="11"/>
        <v>2463</v>
      </c>
      <c r="D43" s="301">
        <f t="shared" si="11"/>
        <v>375</v>
      </c>
      <c r="E43" s="301">
        <f t="shared" si="11"/>
        <v>14656</v>
      </c>
      <c r="F43" s="301">
        <f t="shared" si="11"/>
        <v>56</v>
      </c>
      <c r="G43" s="301">
        <f t="shared" si="11"/>
        <v>180</v>
      </c>
      <c r="H43" s="301">
        <f t="shared" si="11"/>
        <v>359</v>
      </c>
      <c r="I43" s="301">
        <f t="shared" si="11"/>
        <v>740</v>
      </c>
      <c r="J43" s="301">
        <f t="shared" si="11"/>
        <v>9</v>
      </c>
      <c r="K43" s="301">
        <f t="shared" si="11"/>
        <v>1896</v>
      </c>
      <c r="L43" s="313">
        <f t="shared" si="10"/>
        <v>20734</v>
      </c>
    </row>
    <row r="44" ht="15.75" customHeight="1">
      <c r="A44" s="1" t="s">
        <v>67</v>
      </c>
      <c r="B44" s="301">
        <f>IFERROR(ABS(VLOOKUP("Total Debt Repaid*",'9.TIKR_CF'!$A:$K,COLUMN(B19),FALSE))-VLOOKUP("Total Debt Issued*",'9.TIKR_CF'!$A:$K,COLUMN(B19),FALSE),0)</f>
        <v>3158</v>
      </c>
      <c r="C44" s="301">
        <f>IFERROR(ABS(VLOOKUP("Total Debt Repaid*",'9.TIKR_CF'!$A:$K,COLUMN(C19),FALSE))-VLOOKUP("Total Debt Issued*",'9.TIKR_CF'!$A:$K,COLUMN(C19),FALSE),0)</f>
        <v>3591</v>
      </c>
      <c r="D44" s="301">
        <f>IFERROR(ABS(VLOOKUP("Total Debt Repaid*",'9.TIKR_CF'!$A:$K,COLUMN(D19),FALSE))-VLOOKUP("Total Debt Issued*",'9.TIKR_CF'!$A:$K,COLUMN(D19),FALSE),0)</f>
        <v>1437</v>
      </c>
      <c r="E44" s="301">
        <f>IFERROR(ABS(VLOOKUP("Total Debt Repaid*",'9.TIKR_CF'!$A:$K,COLUMN(E19),FALSE))-VLOOKUP("Total Debt Issued*",'9.TIKR_CF'!$A:$K,COLUMN(E19),FALSE),0)</f>
        <v>-12035</v>
      </c>
      <c r="F44" s="301">
        <f>IFERROR(ABS(VLOOKUP("Total Debt Repaid*",'9.TIKR_CF'!$A:$K,COLUMN(F19),FALSE))-VLOOKUP("Total Debt Issued*",'9.TIKR_CF'!$A:$K,COLUMN(F19),FALSE),0)</f>
        <v>1071</v>
      </c>
      <c r="G44" s="301">
        <f>IFERROR(ABS(VLOOKUP("Total Debt Repaid*",'9.TIKR_CF'!$A:$K,COLUMN(G19),FALSE))-VLOOKUP("Total Debt Issued*",'9.TIKR_CF'!$A:$K,COLUMN(G19),FALSE),0)</f>
        <v>5706</v>
      </c>
      <c r="H44" s="301">
        <f>IFERROR(ABS(VLOOKUP("Total Debt Repaid*",'9.TIKR_CF'!$A:$K,COLUMN(H19),FALSE))-VLOOKUP("Total Debt Issued*",'9.TIKR_CF'!$A:$K,COLUMN(H19),FALSE),0)</f>
        <v>5872</v>
      </c>
      <c r="I44" s="301">
        <f>IFERROR(ABS(VLOOKUP("Total Debt Repaid*",'9.TIKR_CF'!$A:$K,COLUMN(I19),FALSE))-VLOOKUP("Total Debt Issued*",'9.TIKR_CF'!$A:$K,COLUMN(I19),FALSE),0)</f>
        <v>-2318</v>
      </c>
      <c r="J44" s="301">
        <f>IFERROR(ABS(VLOOKUP("Total Debt Repaid*",'9.TIKR_CF'!$A:$K,COLUMN(J19),FALSE))-VLOOKUP("Total Debt Issued*",'9.TIKR_CF'!$A:$K,COLUMN(J19),FALSE),0)</f>
        <v>-1262</v>
      </c>
      <c r="K44" s="301">
        <f>IFERROR(ABS(VLOOKUP("Total Debt Repaid*",'9.TIKR_CF'!$A:$K,COLUMN(K19),FALSE))-VLOOKUP("Total Debt Issued*",'9.TIKR_CF'!$A:$K,COLUMN(K19),FALSE),0)</f>
        <v>1256</v>
      </c>
      <c r="L44" s="313">
        <f t="shared" si="10"/>
        <v>6476</v>
      </c>
    </row>
    <row r="45" ht="15.75" customHeight="1">
      <c r="A45" s="1" t="s">
        <v>462</v>
      </c>
      <c r="B45" s="311">
        <f>IFERROR(SUM('3.ROIC'!B4:B5)/'1.IS'!B3,"")</f>
        <v>0.01805529629</v>
      </c>
      <c r="C45" s="311">
        <f>IFERROR(SUM('3.ROIC'!C4:C5)/'1.IS'!C3,"")</f>
        <v>0.01413332291</v>
      </c>
      <c r="D45" s="311">
        <f>IFERROR(SUM('3.ROIC'!D4:D5)/'1.IS'!D3,"")</f>
        <v>0.01350273712</v>
      </c>
      <c r="E45" s="311">
        <f>IFERROR(SUM('3.ROIC'!E4:E5)/'1.IS'!E3,"")</f>
        <v>0.01501151816</v>
      </c>
      <c r="F45" s="311">
        <f>IFERROR(SUM('3.ROIC'!F4:F5)/'1.IS'!F3,"")</f>
        <v>0.01806421815</v>
      </c>
      <c r="G45" s="311">
        <f>IFERROR(SUM('3.ROIC'!G4:G5)/'1.IS'!G3,"")</f>
        <v>0.03172845975</v>
      </c>
      <c r="H45" s="311">
        <f>IFERROR(SUM('3.ROIC'!H4:H5)/'1.IS'!H3,"")</f>
        <v>0.02577022596</v>
      </c>
      <c r="I45" s="311">
        <f>IFERROR(SUM('3.ROIC'!I4:I5)/'1.IS'!I3,"")</f>
        <v>0.01410952921</v>
      </c>
      <c r="J45" s="311">
        <f>IFERROR(SUM('3.ROIC'!J4:J5)/'1.IS'!J3,"")</f>
        <v>0.01522391514</v>
      </c>
      <c r="K45" s="311">
        <f>IFERROR(SUM('3.ROIC'!K4:K5)/'1.IS'!K3,"")</f>
        <v>0.0132704832</v>
      </c>
      <c r="L45" s="313"/>
      <c r="N45" s="315"/>
    </row>
    <row r="46" ht="15.75" customHeight="1">
      <c r="B46" s="301"/>
      <c r="C46" s="301"/>
      <c r="D46" s="301"/>
      <c r="E46" s="301"/>
      <c r="F46" s="301"/>
      <c r="G46" s="301"/>
      <c r="H46" s="301"/>
      <c r="I46" s="301"/>
      <c r="J46" s="301"/>
      <c r="K46" s="301"/>
      <c r="L46" s="301"/>
    </row>
    <row r="47" ht="15.75" customHeight="1">
      <c r="A47" s="241" t="s">
        <v>463</v>
      </c>
      <c r="B47" s="301"/>
      <c r="C47" s="301"/>
      <c r="D47" s="301"/>
      <c r="E47" s="301"/>
      <c r="F47" s="301"/>
      <c r="G47" s="301"/>
      <c r="H47" s="301"/>
      <c r="I47" s="301"/>
      <c r="J47" s="301"/>
      <c r="K47" s="301"/>
      <c r="L47" s="301"/>
    </row>
    <row r="48" ht="15.75" customHeight="1">
      <c r="A48" s="299"/>
      <c r="B48" s="300">
        <f>'1.IS'!C$2</f>
        <v>2017</v>
      </c>
      <c r="C48" s="300">
        <f>'1.IS'!D$2</f>
        <v>2018</v>
      </c>
      <c r="D48" s="300">
        <f>'1.IS'!E$2</f>
        <v>2019</v>
      </c>
      <c r="E48" s="300">
        <f>'1.IS'!F$2</f>
        <v>2020</v>
      </c>
      <c r="F48" s="300">
        <f>'1.IS'!G$2</f>
        <v>2021</v>
      </c>
      <c r="G48" s="300">
        <f>'1.IS'!H$2</f>
        <v>2022</v>
      </c>
      <c r="H48" s="300">
        <f>'1.IS'!I$2</f>
        <v>2023</v>
      </c>
      <c r="I48" s="300">
        <f>'1.IS'!J$2</f>
        <v>2024</v>
      </c>
      <c r="J48" s="300">
        <f>'1.IS'!K$2</f>
        <v>2025</v>
      </c>
      <c r="K48" s="300"/>
      <c r="L48" s="310"/>
    </row>
    <row r="49" ht="15.75" customHeight="1">
      <c r="A49" s="316" t="s">
        <v>464</v>
      </c>
      <c r="B49" s="317">
        <f>'1.IS'!C4</f>
        <v>0.007763466285</v>
      </c>
      <c r="C49" s="317">
        <f>'1.IS'!D4</f>
        <v>0.02978144495</v>
      </c>
      <c r="D49" s="317">
        <f>'1.IS'!E4</f>
        <v>0.02810472016</v>
      </c>
      <c r="E49" s="317">
        <f>'1.IS'!F4</f>
        <v>0.01858263431</v>
      </c>
      <c r="F49" s="317">
        <f>'1.IS'!G4</f>
        <v>0.06715537709</v>
      </c>
      <c r="G49" s="317">
        <f>'1.IS'!H4</f>
        <v>0.02432795435</v>
      </c>
      <c r="H49" s="317">
        <f>'1.IS'!I4</f>
        <v>0.06728019359</v>
      </c>
      <c r="I49" s="317">
        <f>'1.IS'!J4</f>
        <v>0.0602595499</v>
      </c>
      <c r="J49" s="317">
        <f>'1.IS'!K4</f>
        <v>0.05070009643</v>
      </c>
      <c r="K49" s="301"/>
      <c r="L49" s="317"/>
    </row>
    <row r="50" ht="15.75" customHeight="1">
      <c r="A50" s="316" t="s">
        <v>38</v>
      </c>
      <c r="B50" s="317">
        <f>'1.IS'!C24</f>
        <v>-0.04019873894</v>
      </c>
      <c r="C50" s="317">
        <f>'1.IS'!D24</f>
        <v>0.02289872528</v>
      </c>
      <c r="D50" s="317">
        <f>'1.IS'!E24</f>
        <v>0.1386804207</v>
      </c>
      <c r="E50" s="317">
        <f>'1.IS'!F24</f>
        <v>-0.05611653175</v>
      </c>
      <c r="F50" s="317">
        <f>'1.IS'!G24</f>
        <v>-0.03073838772</v>
      </c>
      <c r="G50" s="317">
        <f>'1.IS'!H24</f>
        <v>0.4562958466</v>
      </c>
      <c r="H50" s="317">
        <f>'1.IS'!I24</f>
        <v>-0.05817063495</v>
      </c>
      <c r="I50" s="317">
        <f>'1.IS'!J24</f>
        <v>0.07049435318</v>
      </c>
      <c r="J50" s="317">
        <f>'1.IS'!K24</f>
        <v>0.1033613715</v>
      </c>
      <c r="K50" s="301"/>
      <c r="L50" s="317"/>
    </row>
    <row r="51" ht="15.75" customHeight="1">
      <c r="A51" s="316" t="s">
        <v>465</v>
      </c>
      <c r="B51" s="317">
        <f>'2.FCF'!C16</f>
        <v>0.3377569076</v>
      </c>
      <c r="C51" s="317">
        <f>'2.FCF'!D16</f>
        <v>-0.05082159027</v>
      </c>
      <c r="D51" s="317">
        <f>'2.FCF'!E16</f>
        <v>-0.1628791939</v>
      </c>
      <c r="E51" s="317">
        <f>'2.FCF'!F16</f>
        <v>-0.08893014918</v>
      </c>
      <c r="F51" s="317">
        <f>'2.FCF'!G16</f>
        <v>0.1345748419</v>
      </c>
      <c r="G51" s="317">
        <f>'2.FCF'!H16</f>
        <v>-0.2489315578</v>
      </c>
      <c r="H51" s="317">
        <f>'2.FCF'!I16</f>
        <v>0.3367969652</v>
      </c>
      <c r="I51" s="317">
        <f>'2.FCF'!J16</f>
        <v>0.394509562</v>
      </c>
      <c r="J51" s="317">
        <f>'2.FCF'!K16</f>
        <v>-0.2544127405</v>
      </c>
      <c r="K51" s="301"/>
      <c r="L51" s="317"/>
    </row>
    <row r="52" ht="15.75" customHeight="1">
      <c r="A52" s="13"/>
      <c r="B52" s="318"/>
      <c r="C52" s="318"/>
      <c r="D52" s="318"/>
      <c r="E52" s="318"/>
      <c r="F52" s="318"/>
      <c r="G52" s="318"/>
      <c r="H52" s="318"/>
      <c r="I52" s="318"/>
      <c r="J52" s="301"/>
      <c r="K52" s="301"/>
      <c r="L52" s="301"/>
    </row>
    <row r="53" ht="15.75" customHeight="1">
      <c r="A53" s="319" t="s">
        <v>466</v>
      </c>
      <c r="B53" s="318"/>
      <c r="C53" s="318"/>
      <c r="D53" s="318"/>
      <c r="E53" s="318"/>
      <c r="F53" s="318"/>
      <c r="G53" s="318"/>
      <c r="H53" s="318"/>
      <c r="I53" s="318"/>
      <c r="J53" s="301"/>
      <c r="K53" s="301"/>
      <c r="L53" s="301"/>
    </row>
    <row r="54" ht="15.75" customHeight="1">
      <c r="A54" s="299"/>
      <c r="B54" s="310">
        <f>'1.IS'!B$2</f>
        <v>2016</v>
      </c>
      <c r="C54" s="310">
        <f>'1.IS'!C$2</f>
        <v>2017</v>
      </c>
      <c r="D54" s="310">
        <f>'1.IS'!D$2</f>
        <v>2018</v>
      </c>
      <c r="E54" s="310">
        <f>'1.IS'!E$2</f>
        <v>2019</v>
      </c>
      <c r="F54" s="310">
        <f>'1.IS'!F$2</f>
        <v>2020</v>
      </c>
      <c r="G54" s="310">
        <f>'1.IS'!G$2</f>
        <v>2021</v>
      </c>
      <c r="H54" s="310">
        <f>'1.IS'!H$2</f>
        <v>2022</v>
      </c>
      <c r="I54" s="310">
        <f>'1.IS'!I$2</f>
        <v>2023</v>
      </c>
      <c r="J54" s="310">
        <f>'1.IS'!J$2</f>
        <v>2024</v>
      </c>
      <c r="K54" s="310">
        <f>'1.IS'!K$2</f>
        <v>2025</v>
      </c>
      <c r="L54" s="310"/>
    </row>
    <row r="55" ht="15.75" customHeight="1">
      <c r="A55" s="316" t="s">
        <v>20</v>
      </c>
      <c r="B55" s="320">
        <f>'1.IS'!B6</f>
        <v>0.069605708</v>
      </c>
      <c r="C55" s="320">
        <f>'1.IS'!C6</f>
        <v>0.06759791139</v>
      </c>
      <c r="D55" s="320">
        <f>'1.IS'!D6</f>
        <v>0.06288885824</v>
      </c>
      <c r="E55" s="320">
        <f>'1.IS'!E6</f>
        <v>0.06344222937</v>
      </c>
      <c r="F55" s="320">
        <f>'1.IS'!F6</f>
        <v>0.06194127841</v>
      </c>
      <c r="G55" s="320">
        <f>'1.IS'!G6</f>
        <v>0.06026994497</v>
      </c>
      <c r="H55" s="320">
        <f>'1.IS'!H6</f>
        <v>0.06390177982</v>
      </c>
      <c r="I55" s="320">
        <f>'1.IS'!I6</f>
        <v>0.05802983532</v>
      </c>
      <c r="J55" s="320">
        <f>'1.IS'!J6</f>
        <v>0.05996528447</v>
      </c>
      <c r="K55" s="320">
        <f>'1.IS'!K6</f>
        <v>0.06237582326</v>
      </c>
      <c r="L55" s="320"/>
    </row>
    <row r="56" ht="15.75" customHeight="1">
      <c r="A56" s="316" t="s">
        <v>91</v>
      </c>
      <c r="B56" s="320">
        <f>'1.IS'!B10</f>
        <v>0.04999688881</v>
      </c>
      <c r="C56" s="320">
        <f>'1.IS'!C10</f>
        <v>0.04685174933</v>
      </c>
      <c r="D56" s="320">
        <f>'1.IS'!D10</f>
        <v>0.04184529413</v>
      </c>
      <c r="E56" s="320">
        <f>'1.IS'!E10</f>
        <v>0.04268426629</v>
      </c>
      <c r="F56" s="320">
        <f>'1.IS'!F10</f>
        <v>0.04097228054</v>
      </c>
      <c r="G56" s="320">
        <f>'1.IS'!G10</f>
        <v>0.04032542193</v>
      </c>
      <c r="H56" s="320">
        <f>'1.IS'!H10</f>
        <v>0.04529344186</v>
      </c>
      <c r="I56" s="320">
        <f>'1.IS'!I10</f>
        <v>0.04012504724</v>
      </c>
      <c r="J56" s="320">
        <f>'1.IS'!J10</f>
        <v>0.04167714561</v>
      </c>
      <c r="K56" s="320">
        <f>'1.IS'!K10</f>
        <v>0.04332547707</v>
      </c>
      <c r="L56" s="320"/>
    </row>
    <row r="57" ht="15.75" customHeight="1">
      <c r="A57" s="316" t="s">
        <v>93</v>
      </c>
      <c r="B57" s="320">
        <f>'2.FCF'!B15</f>
        <v>0.03047725717</v>
      </c>
      <c r="C57" s="320">
        <f>'2.FCF'!C15</f>
        <v>0.04045707417</v>
      </c>
      <c r="D57" s="320">
        <f>'2.FCF'!D15</f>
        <v>0.03729041877</v>
      </c>
      <c r="E57" s="320">
        <f>'2.FCF'!E15</f>
        <v>0.03036323519</v>
      </c>
      <c r="F57" s="320">
        <f>'2.FCF'!F15</f>
        <v>0.02715835439</v>
      </c>
      <c r="G57" s="320">
        <f>'2.FCF'!G15</f>
        <v>0.02887413239</v>
      </c>
      <c r="H57" s="320">
        <f>'2.FCF'!H15</f>
        <v>0.02117139295</v>
      </c>
      <c r="I57" s="320">
        <f>'2.FCF'!I15</f>
        <v>0.02651773547</v>
      </c>
      <c r="J57" s="320">
        <f>'2.FCF'!J15</f>
        <v>0.03487753134</v>
      </c>
      <c r="K57" s="320">
        <f>'2.FCF'!K15</f>
        <v>0.02474944382</v>
      </c>
      <c r="L57" s="320"/>
    </row>
    <row r="58" ht="15.75" customHeight="1">
      <c r="A58" s="13"/>
      <c r="B58" s="318"/>
      <c r="C58" s="317"/>
      <c r="D58" s="317"/>
      <c r="E58" s="317"/>
      <c r="F58" s="317"/>
      <c r="G58" s="317"/>
      <c r="H58" s="317"/>
      <c r="I58" s="301"/>
      <c r="J58" s="301"/>
      <c r="K58" s="301"/>
      <c r="L58" s="318"/>
    </row>
    <row r="59" ht="15.75" customHeight="1">
      <c r="A59" s="319" t="s">
        <v>467</v>
      </c>
      <c r="B59" s="318"/>
      <c r="C59" s="317"/>
      <c r="D59" s="317"/>
      <c r="E59" s="317"/>
      <c r="F59" s="317"/>
      <c r="G59" s="317"/>
      <c r="H59" s="317"/>
      <c r="I59" s="301"/>
      <c r="J59" s="301"/>
      <c r="K59" s="301"/>
      <c r="L59" s="318"/>
    </row>
    <row r="60" ht="15.75" customHeight="1">
      <c r="A60" s="299"/>
      <c r="B60" s="310">
        <f>'1.IS'!B$2</f>
        <v>2016</v>
      </c>
      <c r="C60" s="310">
        <f>'1.IS'!C$2</f>
        <v>2017</v>
      </c>
      <c r="D60" s="310">
        <f>'1.IS'!D$2</f>
        <v>2018</v>
      </c>
      <c r="E60" s="310">
        <f>'1.IS'!E$2</f>
        <v>2019</v>
      </c>
      <c r="F60" s="310">
        <f>'1.IS'!F$2</f>
        <v>2020</v>
      </c>
      <c r="G60" s="310">
        <f>'1.IS'!G$2</f>
        <v>2021</v>
      </c>
      <c r="H60" s="310">
        <f>'1.IS'!H$2</f>
        <v>2022</v>
      </c>
      <c r="I60" s="310">
        <f>'1.IS'!I$2</f>
        <v>2023</v>
      </c>
      <c r="J60" s="310">
        <f>'1.IS'!J$2</f>
        <v>2024</v>
      </c>
      <c r="K60" s="310">
        <f>'1.IS'!K$2</f>
        <v>2025</v>
      </c>
      <c r="L60" s="310"/>
    </row>
    <row r="61" ht="15.75" customHeight="1">
      <c r="A61" s="316" t="s">
        <v>93</v>
      </c>
      <c r="B61" s="321">
        <f>'2.FCF'!B14</f>
        <v>14694</v>
      </c>
      <c r="C61" s="321">
        <f>'2.FCF'!C14</f>
        <v>19657</v>
      </c>
      <c r="D61" s="321">
        <f>'2.FCF'!D14</f>
        <v>18658</v>
      </c>
      <c r="E61" s="321">
        <f>'2.FCF'!E14</f>
        <v>15619</v>
      </c>
      <c r="F61" s="321">
        <f>'2.FCF'!F14</f>
        <v>14230</v>
      </c>
      <c r="G61" s="321">
        <f>'2.FCF'!G14</f>
        <v>16145</v>
      </c>
      <c r="H61" s="321">
        <f>'2.FCF'!H14</f>
        <v>12126</v>
      </c>
      <c r="I61" s="321">
        <f>'2.FCF'!I14</f>
        <v>16210</v>
      </c>
      <c r="J61" s="321">
        <f>'2.FCF'!J14</f>
        <v>22605</v>
      </c>
      <c r="K61" s="321">
        <f>'2.FCF'!K14</f>
        <v>16854</v>
      </c>
      <c r="L61" s="318"/>
    </row>
    <row r="62" ht="15.75" customHeight="1">
      <c r="A62" s="316" t="s">
        <v>82</v>
      </c>
      <c r="B62" s="317">
        <f>'3.ROIC'!B15</f>
        <v>0.1250106544</v>
      </c>
      <c r="C62" s="317">
        <f>'3.ROIC'!C15</f>
        <v>0.1248894831</v>
      </c>
      <c r="D62" s="317">
        <f>'3.ROIC'!D15</f>
        <v>0.1239493342</v>
      </c>
      <c r="E62" s="317">
        <f>'3.ROIC'!E15</f>
        <v>0.1246702229</v>
      </c>
      <c r="F62" s="317">
        <f>'3.ROIC'!F15</f>
        <v>0.1029956385</v>
      </c>
      <c r="G62" s="317">
        <f>'3.ROIC'!G15</f>
        <v>0.09889966934</v>
      </c>
      <c r="H62" s="317">
        <f>'3.ROIC'!H15</f>
        <v>0.138539714</v>
      </c>
      <c r="I62" s="317">
        <f>'3.ROIC'!I15</f>
        <v>0.1267685167</v>
      </c>
      <c r="J62" s="317">
        <f>'3.ROIC'!J15</f>
        <v>0.1362045431</v>
      </c>
      <c r="K62" s="317">
        <f>'3.ROIC'!K15</f>
        <v>0.1447684679</v>
      </c>
      <c r="L62" s="317"/>
    </row>
    <row r="63" ht="15.75" customHeight="1">
      <c r="A63" s="13"/>
      <c r="B63" s="318"/>
      <c r="C63" s="318"/>
      <c r="D63" s="318"/>
      <c r="E63" s="318"/>
      <c r="F63" s="318"/>
      <c r="G63" s="318"/>
      <c r="H63" s="318"/>
      <c r="I63" s="301"/>
      <c r="J63" s="301"/>
      <c r="K63" s="301"/>
      <c r="L63" s="318"/>
    </row>
    <row r="64" ht="15.75" customHeight="1">
      <c r="A64" s="299" t="s">
        <v>468</v>
      </c>
      <c r="B64" s="310">
        <f>'1.IS'!B$2</f>
        <v>2016</v>
      </c>
      <c r="C64" s="310">
        <f>'1.IS'!C$2</f>
        <v>2017</v>
      </c>
      <c r="D64" s="310">
        <f>'1.IS'!D$2</f>
        <v>2018</v>
      </c>
      <c r="E64" s="310">
        <f>'1.IS'!E$2</f>
        <v>2019</v>
      </c>
      <c r="F64" s="310">
        <f>'1.IS'!F$2</f>
        <v>2020</v>
      </c>
      <c r="G64" s="310">
        <f>'1.IS'!G$2</f>
        <v>2021</v>
      </c>
      <c r="H64" s="310">
        <f>'1.IS'!H$2</f>
        <v>2022</v>
      </c>
      <c r="I64" s="310">
        <f>'1.IS'!I$2</f>
        <v>2023</v>
      </c>
      <c r="J64" s="310">
        <f>'1.IS'!J$2</f>
        <v>2024</v>
      </c>
      <c r="K64" s="310">
        <f>'1.IS'!K$2</f>
        <v>2025</v>
      </c>
      <c r="L64" s="310"/>
    </row>
    <row r="65" ht="15.75" customHeight="1">
      <c r="A65" s="316" t="s">
        <v>469</v>
      </c>
      <c r="B65" s="317">
        <f>IFERROR(('1.IS'!B3-'1.IS'!B5)/'1.IS'!B3,"")</f>
        <v>0.930394292</v>
      </c>
      <c r="C65" s="317">
        <f>IFERROR(('1.IS'!C3-'1.IS'!C5)/'1.IS'!C3,"")</f>
        <v>0.9324020886</v>
      </c>
      <c r="D65" s="317">
        <f>IFERROR(('1.IS'!D3-'1.IS'!D5)/'1.IS'!D3,"")</f>
        <v>0.9371111418</v>
      </c>
      <c r="E65" s="317">
        <f>IFERROR(('1.IS'!E3-'1.IS'!E5)/'1.IS'!E3,"")</f>
        <v>0.9365577706</v>
      </c>
      <c r="F65" s="317">
        <f>IFERROR(('1.IS'!F3-'1.IS'!F5)/'1.IS'!F3,"")</f>
        <v>0.9380587216</v>
      </c>
      <c r="G65" s="317">
        <f>IFERROR(('1.IS'!G3-'1.IS'!G5)/'1.IS'!G3,"")</f>
        <v>0.939730055</v>
      </c>
      <c r="H65" s="317">
        <f>IFERROR(('1.IS'!H3-'1.IS'!H5)/'1.IS'!H3,"")</f>
        <v>0.9360982202</v>
      </c>
      <c r="I65" s="317">
        <f>IFERROR(('1.IS'!I3-'1.IS'!I5)/'1.IS'!I3,"")</f>
        <v>0.9419701647</v>
      </c>
      <c r="J65" s="317">
        <f>IFERROR(('1.IS'!J3-'1.IS'!J5)/'1.IS'!J3,"")</f>
        <v>0.9400347155</v>
      </c>
      <c r="K65" s="317">
        <f>IFERROR(('1.IS'!K3-'1.IS'!K5)/'1.IS'!K3,"")</f>
        <v>0.9376241767</v>
      </c>
      <c r="L65" s="317"/>
    </row>
    <row r="66" ht="15.75" customHeight="1">
      <c r="A66" s="316" t="s">
        <v>470</v>
      </c>
      <c r="B66" s="317">
        <f>'2.FCF'!B22</f>
        <v>0.0196088192</v>
      </c>
      <c r="C66" s="317">
        <f>'2.FCF'!C22</f>
        <v>0.02074616206</v>
      </c>
      <c r="D66" s="317">
        <f>'2.FCF'!D22</f>
        <v>0.01933273774</v>
      </c>
      <c r="E66" s="317">
        <f>'2.FCF'!E22</f>
        <v>0.01909973659</v>
      </c>
      <c r="F66" s="317">
        <f>'2.FCF'!F22</f>
        <v>0.01981815545</v>
      </c>
      <c r="G66" s="317">
        <f>'2.FCF'!G22</f>
        <v>0.01797188953</v>
      </c>
      <c r="H66" s="317">
        <f>'2.FCF'!H22</f>
        <v>0.01860833796</v>
      </c>
      <c r="I66" s="317">
        <f>'2.FCF'!I22</f>
        <v>0.01790478808</v>
      </c>
      <c r="J66" s="317">
        <f>'2.FCF'!J22</f>
        <v>0.01828813886</v>
      </c>
      <c r="K66" s="317">
        <f>'2.FCF'!K22</f>
        <v>0.01905034619</v>
      </c>
      <c r="L66" s="317"/>
    </row>
    <row r="67" ht="15.75" customHeight="1">
      <c r="A67" s="316" t="s">
        <v>471</v>
      </c>
      <c r="B67" s="317">
        <f>IFERROR(('1.IS'!B14/'1.IS'!B3),"")</f>
        <v>-0.005116877191</v>
      </c>
      <c r="C67" s="317">
        <f>IFERROR(('1.IS'!C14/'1.IS'!C3),"")</f>
        <v>-0.004665828313</v>
      </c>
      <c r="D67" s="317">
        <f>IFERROR(('1.IS'!D14/'1.IS'!D3),"")</f>
        <v>-0.004353013833</v>
      </c>
      <c r="E67" s="317">
        <f>IFERROR(('1.IS'!E14/'1.IS'!E3),"")</f>
        <v>-0.004138762259</v>
      </c>
      <c r="F67" s="317">
        <f>IFERROR(('1.IS'!F14/'1.IS'!F3),"")</f>
        <v>-0.004599552641</v>
      </c>
      <c r="G67" s="317">
        <f>IFERROR(('1.IS'!G14/'1.IS'!G3),"")</f>
        <v>-0.003923805913</v>
      </c>
      <c r="H67" s="317">
        <f>IFERROR(('1.IS'!H14/'1.IS'!H3),"")</f>
        <v>-0.003205564693</v>
      </c>
      <c r="I67" s="317">
        <f>IFERROR(('1.IS'!I14/'1.IS'!I3),"")</f>
        <v>-0.002738475582</v>
      </c>
      <c r="J67" s="317">
        <f>IFERROR(('1.IS'!J14/'1.IS'!J3),"")</f>
        <v>-0.003297203472</v>
      </c>
      <c r="K67" s="317">
        <f>IFERROR(('1.IS'!K14/'1.IS'!K3),"")</f>
        <v>-0.003296695228</v>
      </c>
      <c r="L67" s="317"/>
    </row>
    <row r="68" ht="15.75" customHeight="1">
      <c r="A68" s="316" t="s">
        <v>472</v>
      </c>
      <c r="B68" s="317">
        <f>IFERROR(('1.IS'!B16+'1.IS'!B19)/'1.IS'!B3,"")</f>
        <v>-0.01440275444</v>
      </c>
      <c r="C68" s="317">
        <f>IFERROR(('1.IS'!C16+'1.IS'!C19)/'1.IS'!C3,"")</f>
        <v>-0.01410656694</v>
      </c>
      <c r="D68" s="317">
        <f>IFERROR(('1.IS'!D16+'1.IS'!D19)/'1.IS'!D3,"")</f>
        <v>-0.01051478686</v>
      </c>
      <c r="E68" s="317">
        <f>IFERROR(('1.IS'!E16+'1.IS'!E19)/'1.IS'!E3,"")</f>
        <v>-0.009311729085</v>
      </c>
      <c r="F68" s="317">
        <f>IFERROR(('1.IS'!F16+'1.IS'!F19)/'1.IS'!F3,"")</f>
        <v>-0.00999114443</v>
      </c>
      <c r="G68" s="317">
        <f>IFERROR(('1.IS'!G16+'1.IS'!G19)/'1.IS'!G3,"")</f>
        <v>-0.01261555465</v>
      </c>
      <c r="H68" s="317">
        <f>IFERROR(('1.IS'!H16+'1.IS'!H19)/'1.IS'!H3,"")</f>
        <v>-0.008769908198</v>
      </c>
      <c r="I68" s="317">
        <f>IFERROR(('1.IS'!I16+'1.IS'!I19)/'1.IS'!I3,"")</f>
        <v>-0.008729095403</v>
      </c>
      <c r="J68" s="317">
        <f>IFERROR(('1.IS'!J16+'1.IS'!J19)/'1.IS'!J3,"")</f>
        <v>-0.009777434908</v>
      </c>
      <c r="K68" s="317">
        <f>IFERROR(('1.IS'!K16+'1.IS'!K19)/'1.IS'!K3,"")</f>
        <v>-0.01009273332</v>
      </c>
      <c r="L68" s="317"/>
    </row>
    <row r="69" ht="15.75" customHeight="1">
      <c r="A69" s="316" t="s">
        <v>473</v>
      </c>
      <c r="B69" s="317"/>
      <c r="C69" s="317">
        <f>IFERROR('2.FCF'!C12/'1.IS'!C3,"")</f>
        <v>-0.0123777201</v>
      </c>
      <c r="D69" s="317">
        <f>IFERROR('2.FCF'!D12/'1.IS'!D3,"")</f>
        <v>-0.00860209896</v>
      </c>
      <c r="E69" s="317">
        <f>IFERROR('2.FCF'!E12/'1.IS'!E3,"")</f>
        <v>0.0005287662445</v>
      </c>
      <c r="F69" s="317">
        <f>IFERROR('2.FCF'!F12/'1.IS'!F3,"")</f>
        <v>0.0003740715011</v>
      </c>
      <c r="G69" s="317">
        <f>IFERROR('2.FCF'!G12/'1.IS'!G3,"")</f>
        <v>-0.003115437512</v>
      </c>
      <c r="H69" s="317">
        <f>IFERROR('2.FCF'!H12/'1.IS'!H3,"")</f>
        <v>0.01214657602</v>
      </c>
      <c r="I69" s="317">
        <f>IFERROR('2.FCF'!I12/'1.IS'!I3,"")</f>
        <v>0.002139740777</v>
      </c>
      <c r="J69" s="317">
        <f>IFERROR('2.FCF'!J12/'1.IS'!J3,"")</f>
        <v>-0.006275024108</v>
      </c>
      <c r="K69" s="317">
        <f>IFERROR('2.FCF'!K12/'1.IS'!K3,"")</f>
        <v>0.005186604698</v>
      </c>
      <c r="L69" s="317"/>
    </row>
    <row r="70" ht="15.75" customHeight="1">
      <c r="B70" s="301"/>
      <c r="C70" s="301"/>
      <c r="D70" s="301"/>
      <c r="E70" s="301"/>
      <c r="F70" s="301"/>
      <c r="G70" s="301"/>
      <c r="H70" s="301"/>
      <c r="I70" s="301"/>
      <c r="J70" s="301"/>
      <c r="K70" s="301"/>
      <c r="L70" s="301"/>
    </row>
    <row r="71" ht="15.75" customHeight="1">
      <c r="A71" s="299" t="s">
        <v>474</v>
      </c>
      <c r="B71" s="310">
        <f>'1.IS'!B2</f>
        <v>2016</v>
      </c>
      <c r="C71" s="310">
        <f>'1.IS'!C2</f>
        <v>2017</v>
      </c>
      <c r="D71" s="310">
        <f>'1.IS'!D2</f>
        <v>2018</v>
      </c>
      <c r="E71" s="310">
        <f>'1.IS'!E2</f>
        <v>2019</v>
      </c>
      <c r="F71" s="310">
        <f>'1.IS'!F2</f>
        <v>2020</v>
      </c>
      <c r="G71" s="310">
        <f>'1.IS'!G2</f>
        <v>2021</v>
      </c>
      <c r="H71" s="310">
        <f>'1.IS'!H2</f>
        <v>2022</v>
      </c>
      <c r="I71" s="310">
        <f>'1.IS'!I2</f>
        <v>2023</v>
      </c>
      <c r="J71" s="310">
        <f>'1.IS'!J2</f>
        <v>2024</v>
      </c>
      <c r="K71" s="310">
        <f>'1.IS'!K2</f>
        <v>2025</v>
      </c>
      <c r="L71" s="314" t="s">
        <v>68</v>
      </c>
    </row>
    <row r="72" ht="15.75" customHeight="1">
      <c r="A72" s="316" t="s">
        <v>475</v>
      </c>
      <c r="B72" s="301"/>
      <c r="C72" s="301">
        <f>IF('1.IS'!C4&lt;0,1,0)</f>
        <v>0</v>
      </c>
      <c r="D72" s="301">
        <f>IF('1.IS'!D4&lt;0,1,0)</f>
        <v>0</v>
      </c>
      <c r="E72" s="301">
        <f>IF('1.IS'!E4&lt;0,1,0)</f>
        <v>0</v>
      </c>
      <c r="F72" s="301">
        <f>IF('1.IS'!F4&lt;0,1,0)</f>
        <v>0</v>
      </c>
      <c r="G72" s="301">
        <f>IF('1.IS'!G4&lt;0,1,0)</f>
        <v>0</v>
      </c>
      <c r="H72" s="301">
        <f>IF('1.IS'!H4&lt;0,1,0)</f>
        <v>0</v>
      </c>
      <c r="I72" s="301">
        <f>IF('1.IS'!I4&lt;0,1,0)</f>
        <v>0</v>
      </c>
      <c r="J72" s="301">
        <f>IF('1.IS'!J4&lt;0,1,0)</f>
        <v>0</v>
      </c>
      <c r="K72" s="301">
        <f>IF('1.IS'!K4&lt;0,1,0)</f>
        <v>0</v>
      </c>
      <c r="L72" s="322">
        <f t="shared" ref="L72:L76" si="12">SUM(B72:K72)</f>
        <v>0</v>
      </c>
    </row>
    <row r="73" ht="15.75" customHeight="1">
      <c r="A73" s="316" t="s">
        <v>476</v>
      </c>
      <c r="B73" s="301"/>
      <c r="C73" s="301">
        <f>IF('1.IS'!C10&lt;'1.IS'!B10,1,0)</f>
        <v>1</v>
      </c>
      <c r="D73" s="301">
        <f>IF('1.IS'!D10&lt;'1.IS'!C10,1,0)</f>
        <v>1</v>
      </c>
      <c r="E73" s="301">
        <f>IF('1.IS'!E10&lt;'1.IS'!D10,1,0)</f>
        <v>0</v>
      </c>
      <c r="F73" s="301">
        <f>IF('1.IS'!F10&lt;'1.IS'!E10,1,0)</f>
        <v>1</v>
      </c>
      <c r="G73" s="301">
        <f>IF('1.IS'!G10&lt;'1.IS'!F10,1,0)</f>
        <v>1</v>
      </c>
      <c r="H73" s="301">
        <f>IF('1.IS'!H10&lt;'1.IS'!G10,1,0)</f>
        <v>0</v>
      </c>
      <c r="I73" s="301">
        <f>IF('1.IS'!I10&lt;'1.IS'!H10,1,0)</f>
        <v>1</v>
      </c>
      <c r="J73" s="301">
        <f>IF('1.IS'!J10&lt;'1.IS'!I10,1,0)</f>
        <v>0</v>
      </c>
      <c r="K73" s="301">
        <f>IF('1.IS'!K10&lt;'1.IS'!J10,1,0)</f>
        <v>0</v>
      </c>
      <c r="L73" s="322">
        <f t="shared" si="12"/>
        <v>5</v>
      </c>
    </row>
    <row r="74" ht="15.75" customHeight="1">
      <c r="A74" s="316" t="s">
        <v>122</v>
      </c>
      <c r="B74" s="301">
        <f>IF('2.FCF'!B14&lt;0,1,0)</f>
        <v>0</v>
      </c>
      <c r="C74" s="301">
        <f>IF('2.FCF'!C14&lt;0,1,0)</f>
        <v>0</v>
      </c>
      <c r="D74" s="301">
        <f>IF('2.FCF'!D14&lt;0,1,0)</f>
        <v>0</v>
      </c>
      <c r="E74" s="301">
        <f>IF('2.FCF'!E14&lt;0,1,0)</f>
        <v>0</v>
      </c>
      <c r="F74" s="301">
        <f>IF('2.FCF'!F14&lt;0,1,0)</f>
        <v>0</v>
      </c>
      <c r="G74" s="301">
        <f>IF('2.FCF'!G14&lt;0,1,0)</f>
        <v>0</v>
      </c>
      <c r="H74" s="301">
        <f>IF('2.FCF'!H14&lt;0,1,0)</f>
        <v>0</v>
      </c>
      <c r="I74" s="301">
        <f>IF('2.FCF'!I14&lt;0,1,0)</f>
        <v>0</v>
      </c>
      <c r="J74" s="301">
        <f>IF('2.FCF'!J14&lt;0,1,0)</f>
        <v>0</v>
      </c>
      <c r="K74" s="301">
        <f>IF('2.FCF'!K14&lt;0,1,0)</f>
        <v>0</v>
      </c>
      <c r="L74" s="322">
        <f t="shared" si="12"/>
        <v>0</v>
      </c>
    </row>
    <row r="75" ht="15.75" customHeight="1">
      <c r="A75" s="316" t="s">
        <v>123</v>
      </c>
      <c r="B75" s="301">
        <f>IF('3.ROIC'!B15&lt;10%,1,0)</f>
        <v>0</v>
      </c>
      <c r="C75" s="301">
        <f>IF('3.ROIC'!C15&lt;10%,1,0)</f>
        <v>0</v>
      </c>
      <c r="D75" s="301">
        <f>IF('3.ROIC'!D15&lt;10%,1,0)</f>
        <v>0</v>
      </c>
      <c r="E75" s="301">
        <f>IF('3.ROIC'!E15&lt;10%,1,0)</f>
        <v>0</v>
      </c>
      <c r="F75" s="301">
        <f>IF('3.ROIC'!F15&lt;10%,1,0)</f>
        <v>0</v>
      </c>
      <c r="G75" s="301">
        <f>IF('3.ROIC'!G15&lt;10%,1,0)</f>
        <v>1</v>
      </c>
      <c r="H75" s="301">
        <f>IF('3.ROIC'!H15&lt;10%,1,0)</f>
        <v>0</v>
      </c>
      <c r="I75" s="301">
        <f>IF('3.ROIC'!I15&lt;10%,1,0)</f>
        <v>0</v>
      </c>
      <c r="J75" s="301">
        <f>IF('3.ROIC'!J15&lt;10%,1,0)</f>
        <v>0</v>
      </c>
      <c r="K75" s="301">
        <f>IF('3.ROIC'!K15&lt;10%,1,0)</f>
        <v>0</v>
      </c>
      <c r="L75" s="322">
        <f t="shared" si="12"/>
        <v>1</v>
      </c>
    </row>
    <row r="76" ht="15.75" customHeight="1">
      <c r="A76" s="316" t="s">
        <v>124</v>
      </c>
      <c r="B76" s="301">
        <f>IF('4.Valoración'!B5&lt;&gt;"",IF('4.Valoración'!B5&gt;2.5,1,0),0)</f>
        <v>0</v>
      </c>
      <c r="C76" s="301">
        <f>IF('4.Valoración'!C5&lt;&gt;"",IF('4.Valoración'!C5&gt;2.5,1,0),0)</f>
        <v>0</v>
      </c>
      <c r="D76" s="301">
        <f>IF('4.Valoración'!D5&lt;&gt;"",IF('4.Valoración'!D5&gt;2.5,1,0),0)</f>
        <v>0</v>
      </c>
      <c r="E76" s="301">
        <f>IF('4.Valoración'!E5&lt;&gt;"",IF('4.Valoración'!E5&gt;2.5,1,0),0)</f>
        <v>0</v>
      </c>
      <c r="F76" s="301">
        <f>IF('4.Valoración'!F5&lt;&gt;"",IF('4.Valoración'!F5&gt;2.5,1,0),0)</f>
        <v>0</v>
      </c>
      <c r="G76" s="301">
        <f>IF('4.Valoración'!G5&lt;&gt;"",IF('4.Valoración'!G5&gt;2.5,1,0),0)</f>
        <v>0</v>
      </c>
      <c r="H76" s="301">
        <f>IF('4.Valoración'!H5&lt;&gt;"",IF('4.Valoración'!H5&gt;2.5,1,0),0)</f>
        <v>0</v>
      </c>
      <c r="I76" s="301">
        <f>IF('4.Valoración'!I5&lt;&gt;"",IF('4.Valoración'!I5&gt;2.5,1,0),0)</f>
        <v>0</v>
      </c>
      <c r="J76" s="301">
        <f>IF('4.Valoración'!J5&lt;&gt;"",IF('4.Valoración'!J5&gt;2.5,1,0),0)</f>
        <v>0</v>
      </c>
      <c r="K76" s="301">
        <f>IF('4.Valoración'!K5&lt;&gt;"",IF('4.Valoración'!K5&gt;2.5,1,0),0)</f>
        <v>0</v>
      </c>
      <c r="L76" s="322">
        <f t="shared" si="12"/>
        <v>0</v>
      </c>
    </row>
    <row r="77" ht="15.75" customHeight="1">
      <c r="B77" s="301"/>
      <c r="C77" s="301"/>
      <c r="D77" s="301"/>
      <c r="E77" s="301"/>
      <c r="F77" s="301"/>
      <c r="G77" s="301"/>
      <c r="H77" s="301"/>
      <c r="I77" s="301"/>
      <c r="J77" s="301"/>
      <c r="K77" s="301"/>
      <c r="L77" s="301"/>
    </row>
    <row r="78" ht="15.75" customHeight="1">
      <c r="B78" s="301"/>
      <c r="C78" s="301"/>
      <c r="D78" s="301"/>
      <c r="E78" s="301"/>
      <c r="F78" s="301"/>
      <c r="G78" s="301"/>
      <c r="H78" s="301"/>
      <c r="I78" s="301"/>
      <c r="J78" s="301"/>
      <c r="K78" s="301"/>
      <c r="L78" s="301"/>
    </row>
    <row r="79" ht="15.75" customHeight="1">
      <c r="B79" s="301"/>
      <c r="C79" s="301"/>
      <c r="D79" s="301"/>
      <c r="E79" s="301"/>
      <c r="F79" s="301"/>
      <c r="G79" s="301"/>
      <c r="H79" s="301"/>
      <c r="I79" s="301"/>
      <c r="J79" s="301"/>
      <c r="K79" s="301"/>
      <c r="L79" s="301"/>
    </row>
    <row r="80" ht="15.75" customHeight="1">
      <c r="B80" s="301"/>
      <c r="C80" s="301"/>
      <c r="D80" s="301"/>
      <c r="E80" s="301"/>
      <c r="F80" s="301"/>
      <c r="G80" s="301"/>
      <c r="H80" s="301"/>
      <c r="I80" s="301"/>
      <c r="J80" s="301"/>
      <c r="K80" s="301"/>
      <c r="L80" s="301"/>
    </row>
    <row r="81" ht="15.75" customHeight="1">
      <c r="B81" s="301"/>
      <c r="C81" s="301"/>
      <c r="D81" s="301"/>
      <c r="E81" s="301"/>
      <c r="F81" s="301"/>
      <c r="G81" s="301"/>
      <c r="H81" s="301"/>
      <c r="I81" s="301"/>
      <c r="J81" s="301"/>
      <c r="K81" s="301"/>
      <c r="L81" s="301"/>
    </row>
    <row r="82" ht="15.75" customHeight="1">
      <c r="B82" s="301"/>
      <c r="C82" s="301"/>
      <c r="D82" s="301"/>
      <c r="E82" s="301"/>
      <c r="F82" s="301"/>
      <c r="G82" s="301"/>
      <c r="H82" s="301"/>
      <c r="I82" s="301"/>
      <c r="J82" s="301"/>
      <c r="K82" s="301"/>
      <c r="L82" s="301"/>
    </row>
    <row r="83" ht="15.75" customHeight="1">
      <c r="B83" s="301"/>
      <c r="C83" s="301"/>
      <c r="D83" s="301"/>
      <c r="E83" s="301"/>
      <c r="F83" s="301"/>
      <c r="G83" s="301"/>
      <c r="H83" s="301"/>
      <c r="I83" s="301"/>
      <c r="J83" s="301"/>
      <c r="K83" s="301"/>
      <c r="L83" s="301"/>
    </row>
    <row r="84" ht="15.75" customHeight="1">
      <c r="B84" s="301"/>
      <c r="C84" s="301"/>
      <c r="D84" s="301"/>
      <c r="E84" s="301"/>
      <c r="F84" s="301"/>
      <c r="G84" s="301"/>
      <c r="H84" s="301"/>
      <c r="I84" s="301"/>
      <c r="J84" s="301"/>
      <c r="K84" s="301"/>
      <c r="L84" s="301"/>
    </row>
    <row r="85" ht="15.75" customHeight="1">
      <c r="B85" s="301"/>
      <c r="C85" s="301"/>
      <c r="D85" s="301"/>
      <c r="E85" s="301"/>
      <c r="F85" s="301"/>
      <c r="G85" s="301"/>
      <c r="H85" s="301"/>
      <c r="I85" s="301"/>
      <c r="J85" s="301"/>
      <c r="K85" s="301"/>
      <c r="L85" s="301"/>
    </row>
    <row r="86" ht="15.75" customHeight="1">
      <c r="B86" s="301"/>
      <c r="C86" s="301"/>
      <c r="D86" s="301"/>
      <c r="E86" s="301"/>
      <c r="F86" s="301"/>
      <c r="G86" s="301"/>
      <c r="H86" s="301"/>
      <c r="I86" s="301"/>
      <c r="J86" s="301"/>
      <c r="K86" s="301"/>
      <c r="L86" s="301"/>
    </row>
    <row r="87" ht="15.75" customHeight="1">
      <c r="B87" s="301"/>
      <c r="C87" s="301"/>
      <c r="D87" s="301"/>
      <c r="E87" s="301"/>
      <c r="F87" s="301"/>
      <c r="G87" s="301"/>
      <c r="H87" s="301"/>
      <c r="I87" s="301"/>
      <c r="J87" s="301"/>
      <c r="K87" s="301"/>
      <c r="L87" s="301"/>
    </row>
    <row r="88" ht="15.75" customHeight="1">
      <c r="B88" s="301"/>
      <c r="C88" s="301"/>
      <c r="D88" s="301"/>
      <c r="E88" s="301"/>
      <c r="F88" s="301"/>
      <c r="G88" s="301"/>
      <c r="H88" s="301"/>
      <c r="I88" s="301"/>
      <c r="J88" s="301"/>
      <c r="K88" s="301"/>
      <c r="L88" s="301"/>
    </row>
    <row r="89" ht="15.75" customHeight="1">
      <c r="B89" s="301"/>
      <c r="C89" s="301"/>
      <c r="D89" s="301"/>
      <c r="E89" s="301"/>
      <c r="F89" s="301"/>
      <c r="G89" s="301"/>
      <c r="H89" s="301"/>
      <c r="I89" s="301"/>
      <c r="J89" s="301"/>
      <c r="K89" s="301"/>
      <c r="L89" s="301"/>
    </row>
    <row r="90" ht="15.75" customHeight="1">
      <c r="B90" s="301"/>
      <c r="C90" s="301"/>
      <c r="D90" s="301"/>
      <c r="E90" s="301"/>
      <c r="F90" s="301"/>
      <c r="G90" s="301"/>
      <c r="H90" s="301"/>
      <c r="I90" s="301"/>
      <c r="J90" s="301"/>
      <c r="K90" s="301"/>
      <c r="L90" s="301"/>
    </row>
    <row r="91" ht="15.75" customHeight="1">
      <c r="B91" s="301"/>
      <c r="C91" s="301"/>
      <c r="D91" s="301"/>
      <c r="E91" s="301"/>
      <c r="F91" s="301"/>
      <c r="G91" s="301"/>
      <c r="H91" s="301"/>
      <c r="I91" s="301"/>
      <c r="J91" s="301"/>
      <c r="K91" s="301"/>
      <c r="L91" s="301"/>
    </row>
    <row r="92" ht="15.75" customHeight="1">
      <c r="B92" s="301"/>
      <c r="C92" s="301"/>
      <c r="D92" s="301"/>
      <c r="E92" s="301"/>
      <c r="F92" s="301"/>
      <c r="G92" s="301"/>
      <c r="H92" s="301"/>
      <c r="I92" s="301"/>
      <c r="J92" s="301"/>
      <c r="K92" s="301"/>
      <c r="L92" s="301"/>
    </row>
    <row r="93" ht="15.75" customHeight="1">
      <c r="B93" s="301"/>
      <c r="C93" s="301"/>
      <c r="D93" s="301"/>
      <c r="E93" s="301"/>
      <c r="F93" s="301"/>
      <c r="G93" s="301"/>
      <c r="H93" s="301"/>
      <c r="I93" s="301"/>
      <c r="J93" s="301"/>
      <c r="K93" s="301"/>
      <c r="L93" s="301"/>
    </row>
    <row r="94" ht="15.75" customHeight="1">
      <c r="B94" s="301"/>
      <c r="C94" s="301"/>
      <c r="D94" s="301"/>
      <c r="E94" s="301"/>
      <c r="F94" s="301"/>
      <c r="G94" s="301"/>
      <c r="H94" s="301"/>
      <c r="I94" s="301"/>
      <c r="J94" s="301"/>
      <c r="K94" s="301"/>
      <c r="L94" s="301"/>
    </row>
    <row r="95" ht="15.75" customHeight="1">
      <c r="B95" s="301"/>
      <c r="C95" s="301"/>
      <c r="D95" s="301"/>
      <c r="E95" s="301"/>
      <c r="F95" s="301"/>
      <c r="G95" s="301"/>
      <c r="H95" s="301"/>
      <c r="I95" s="301"/>
      <c r="J95" s="301"/>
      <c r="K95" s="301"/>
      <c r="L95" s="301"/>
    </row>
    <row r="96" ht="15.75" customHeight="1">
      <c r="B96" s="301"/>
      <c r="C96" s="301"/>
      <c r="D96" s="301"/>
      <c r="E96" s="301"/>
      <c r="F96" s="301"/>
      <c r="G96" s="301"/>
      <c r="H96" s="301"/>
      <c r="I96" s="301"/>
      <c r="J96" s="301"/>
      <c r="K96" s="301"/>
      <c r="L96" s="301"/>
    </row>
    <row r="97" ht="15.75" customHeight="1">
      <c r="B97" s="301"/>
      <c r="C97" s="301"/>
      <c r="D97" s="301"/>
      <c r="E97" s="301"/>
      <c r="F97" s="301"/>
      <c r="G97" s="301"/>
      <c r="H97" s="301"/>
      <c r="I97" s="301"/>
      <c r="J97" s="301"/>
      <c r="K97" s="301"/>
      <c r="L97" s="301"/>
    </row>
    <row r="98" ht="15.75" customHeight="1">
      <c r="B98" s="301"/>
      <c r="C98" s="301"/>
      <c r="D98" s="301"/>
      <c r="E98" s="301"/>
      <c r="F98" s="301"/>
      <c r="G98" s="301"/>
      <c r="H98" s="301"/>
      <c r="I98" s="301"/>
      <c r="J98" s="301"/>
      <c r="K98" s="301"/>
      <c r="L98" s="301"/>
    </row>
    <row r="99" ht="15.75" customHeight="1">
      <c r="B99" s="301"/>
      <c r="C99" s="301"/>
      <c r="D99" s="301"/>
      <c r="E99" s="301"/>
      <c r="F99" s="301"/>
      <c r="G99" s="301"/>
      <c r="H99" s="301"/>
      <c r="I99" s="301"/>
      <c r="J99" s="301"/>
      <c r="K99" s="301"/>
      <c r="L99" s="301"/>
    </row>
    <row r="100" ht="15.75" customHeight="1">
      <c r="B100" s="301"/>
      <c r="C100" s="301"/>
      <c r="D100" s="301"/>
      <c r="E100" s="301"/>
      <c r="F100" s="301"/>
      <c r="G100" s="301"/>
      <c r="H100" s="301"/>
      <c r="I100" s="301"/>
      <c r="J100" s="301"/>
      <c r="K100" s="301"/>
      <c r="L100" s="301"/>
    </row>
    <row r="101" ht="15.75" customHeight="1">
      <c r="B101" s="301"/>
      <c r="C101" s="301"/>
      <c r="D101" s="301"/>
      <c r="E101" s="301"/>
      <c r="F101" s="301"/>
      <c r="G101" s="301"/>
      <c r="H101" s="301"/>
      <c r="I101" s="301"/>
      <c r="J101" s="301"/>
      <c r="K101" s="301"/>
      <c r="L101" s="301"/>
    </row>
    <row r="102" ht="15.75" customHeight="1">
      <c r="B102" s="301"/>
      <c r="C102" s="301"/>
      <c r="D102" s="301"/>
      <c r="E102" s="301"/>
      <c r="F102" s="301"/>
      <c r="G102" s="301"/>
      <c r="H102" s="301"/>
      <c r="I102" s="301"/>
      <c r="J102" s="301"/>
      <c r="K102" s="301"/>
      <c r="L102" s="301"/>
    </row>
    <row r="103" ht="15.75" customHeight="1">
      <c r="B103" s="301"/>
      <c r="C103" s="301"/>
      <c r="D103" s="301"/>
      <c r="E103" s="301"/>
      <c r="F103" s="301"/>
      <c r="G103" s="301"/>
      <c r="H103" s="301"/>
      <c r="I103" s="301"/>
      <c r="J103" s="301"/>
      <c r="K103" s="301"/>
      <c r="L103" s="301"/>
    </row>
    <row r="104" ht="15.75" customHeight="1">
      <c r="B104" s="301"/>
      <c r="C104" s="301"/>
      <c r="D104" s="301"/>
      <c r="E104" s="301"/>
      <c r="F104" s="301"/>
      <c r="G104" s="301"/>
      <c r="H104" s="301"/>
      <c r="I104" s="301"/>
      <c r="J104" s="301"/>
      <c r="K104" s="301"/>
      <c r="L104" s="301"/>
    </row>
    <row r="105" ht="15.75" customHeight="1">
      <c r="B105" s="301"/>
      <c r="C105" s="301"/>
      <c r="D105" s="301"/>
      <c r="E105" s="301"/>
      <c r="F105" s="301"/>
      <c r="G105" s="301"/>
      <c r="H105" s="301"/>
      <c r="I105" s="301"/>
      <c r="J105" s="301"/>
      <c r="K105" s="301"/>
      <c r="L105" s="301"/>
    </row>
    <row r="106" ht="15.75" customHeight="1">
      <c r="B106" s="301"/>
      <c r="C106" s="301"/>
      <c r="D106" s="301"/>
      <c r="E106" s="301"/>
      <c r="F106" s="301"/>
      <c r="G106" s="301"/>
      <c r="H106" s="301"/>
      <c r="I106" s="301"/>
      <c r="J106" s="301"/>
      <c r="K106" s="301"/>
      <c r="L106" s="301"/>
    </row>
    <row r="107" ht="15.75" customHeight="1">
      <c r="B107" s="301"/>
      <c r="C107" s="301"/>
      <c r="D107" s="301"/>
      <c r="E107" s="301"/>
      <c r="F107" s="301"/>
      <c r="G107" s="301"/>
      <c r="H107" s="301"/>
      <c r="I107" s="301"/>
      <c r="J107" s="301"/>
      <c r="K107" s="301"/>
      <c r="L107" s="301"/>
    </row>
    <row r="108" ht="15.75" customHeight="1">
      <c r="B108" s="301"/>
      <c r="C108" s="301"/>
      <c r="D108" s="301"/>
      <c r="E108" s="301"/>
      <c r="F108" s="301"/>
      <c r="G108" s="301"/>
      <c r="H108" s="301"/>
      <c r="I108" s="301"/>
      <c r="J108" s="301"/>
      <c r="K108" s="301"/>
      <c r="L108" s="301"/>
    </row>
    <row r="109" ht="15.75" customHeight="1">
      <c r="B109" s="301"/>
      <c r="C109" s="301"/>
      <c r="D109" s="301"/>
      <c r="E109" s="301"/>
      <c r="F109" s="301"/>
      <c r="G109" s="301"/>
      <c r="H109" s="301"/>
      <c r="I109" s="301"/>
      <c r="J109" s="301"/>
      <c r="K109" s="301"/>
      <c r="L109" s="301"/>
    </row>
    <row r="110" ht="15.75" customHeight="1">
      <c r="B110" s="301"/>
      <c r="C110" s="301"/>
      <c r="D110" s="301"/>
      <c r="E110" s="301"/>
      <c r="F110" s="301"/>
      <c r="G110" s="301"/>
      <c r="H110" s="301"/>
      <c r="I110" s="301"/>
      <c r="J110" s="301"/>
      <c r="K110" s="301"/>
      <c r="L110" s="301"/>
    </row>
    <row r="111" ht="15.75" customHeight="1">
      <c r="B111" s="301"/>
      <c r="C111" s="301"/>
      <c r="D111" s="301"/>
      <c r="E111" s="301"/>
      <c r="F111" s="301"/>
      <c r="G111" s="301"/>
      <c r="H111" s="301"/>
      <c r="I111" s="301"/>
      <c r="J111" s="301"/>
      <c r="K111" s="301"/>
      <c r="L111" s="301"/>
    </row>
    <row r="112" ht="15.75" customHeight="1">
      <c r="B112" s="301"/>
      <c r="C112" s="301"/>
      <c r="D112" s="301"/>
      <c r="E112" s="301"/>
      <c r="F112" s="301"/>
      <c r="G112" s="301"/>
      <c r="H112" s="301"/>
      <c r="I112" s="301"/>
      <c r="J112" s="301"/>
      <c r="K112" s="301"/>
      <c r="L112" s="301"/>
    </row>
    <row r="113" ht="15.75" customHeight="1">
      <c r="B113" s="301"/>
      <c r="C113" s="301"/>
      <c r="D113" s="301"/>
      <c r="E113" s="301"/>
      <c r="F113" s="301"/>
      <c r="G113" s="301"/>
      <c r="H113" s="301"/>
      <c r="I113" s="301"/>
      <c r="J113" s="301"/>
      <c r="K113" s="301"/>
      <c r="L113" s="301"/>
    </row>
    <row r="114" ht="15.75" customHeight="1">
      <c r="B114" s="301"/>
      <c r="C114" s="301"/>
      <c r="D114" s="301"/>
      <c r="E114" s="301"/>
      <c r="F114" s="301"/>
      <c r="G114" s="301"/>
      <c r="H114" s="301"/>
      <c r="I114" s="301"/>
      <c r="J114" s="301"/>
      <c r="K114" s="301"/>
      <c r="L114" s="301"/>
    </row>
    <row r="115" ht="15.75" customHeight="1">
      <c r="B115" s="301"/>
      <c r="C115" s="301"/>
      <c r="D115" s="301"/>
      <c r="E115" s="301"/>
      <c r="F115" s="301"/>
      <c r="G115" s="301"/>
      <c r="H115" s="301"/>
      <c r="I115" s="301"/>
      <c r="J115" s="301"/>
      <c r="K115" s="301"/>
      <c r="L115" s="301"/>
    </row>
    <row r="116" ht="15.75" customHeight="1">
      <c r="B116" s="301"/>
      <c r="C116" s="301"/>
      <c r="D116" s="301"/>
      <c r="E116" s="301"/>
      <c r="F116" s="301"/>
      <c r="G116" s="301"/>
      <c r="H116" s="301"/>
      <c r="I116" s="301"/>
      <c r="J116" s="301"/>
      <c r="K116" s="301"/>
      <c r="L116" s="301"/>
    </row>
    <row r="117" ht="15.75" customHeight="1">
      <c r="B117" s="301"/>
      <c r="C117" s="301"/>
      <c r="D117" s="301"/>
      <c r="E117" s="301"/>
      <c r="F117" s="301"/>
      <c r="G117" s="301"/>
      <c r="H117" s="301"/>
      <c r="I117" s="301"/>
      <c r="J117" s="301"/>
      <c r="K117" s="301"/>
      <c r="L117" s="301"/>
    </row>
    <row r="118" ht="15.75" customHeight="1">
      <c r="B118" s="301"/>
      <c r="C118" s="301"/>
      <c r="D118" s="301"/>
      <c r="E118" s="301"/>
      <c r="F118" s="301"/>
      <c r="G118" s="301"/>
      <c r="H118" s="301"/>
      <c r="I118" s="301"/>
      <c r="J118" s="301"/>
      <c r="K118" s="301"/>
      <c r="L118" s="301"/>
    </row>
    <row r="119" ht="15.75" customHeight="1">
      <c r="B119" s="301"/>
      <c r="C119" s="301"/>
      <c r="D119" s="301"/>
      <c r="E119" s="301"/>
      <c r="F119" s="301"/>
      <c r="G119" s="301"/>
      <c r="H119" s="301"/>
      <c r="I119" s="301"/>
      <c r="J119" s="301"/>
      <c r="K119" s="301"/>
      <c r="L119" s="301"/>
    </row>
    <row r="120" ht="15.75" customHeight="1">
      <c r="B120" s="301"/>
      <c r="C120" s="301"/>
      <c r="D120" s="301"/>
      <c r="E120" s="301"/>
      <c r="F120" s="301"/>
      <c r="G120" s="301"/>
      <c r="H120" s="301"/>
      <c r="I120" s="301"/>
      <c r="J120" s="301"/>
      <c r="K120" s="301"/>
      <c r="L120" s="301"/>
    </row>
    <row r="121" ht="15.75" customHeight="1">
      <c r="B121" s="301"/>
      <c r="C121" s="301"/>
      <c r="D121" s="301"/>
      <c r="E121" s="301"/>
      <c r="F121" s="301"/>
      <c r="G121" s="301"/>
      <c r="H121" s="301"/>
      <c r="I121" s="301"/>
      <c r="J121" s="301"/>
      <c r="K121" s="301"/>
      <c r="L121" s="301"/>
    </row>
    <row r="122" ht="15.75" customHeight="1">
      <c r="B122" s="301"/>
      <c r="C122" s="301"/>
      <c r="D122" s="301"/>
      <c r="E122" s="301"/>
      <c r="F122" s="301"/>
      <c r="G122" s="301"/>
      <c r="H122" s="301"/>
      <c r="I122" s="301"/>
      <c r="J122" s="301"/>
      <c r="K122" s="301"/>
      <c r="L122" s="301"/>
    </row>
    <row r="123" ht="15.75" customHeight="1">
      <c r="B123" s="301"/>
      <c r="C123" s="301"/>
      <c r="D123" s="301"/>
      <c r="E123" s="301"/>
      <c r="F123" s="301"/>
      <c r="G123" s="301"/>
      <c r="H123" s="301"/>
      <c r="I123" s="301"/>
      <c r="J123" s="301"/>
      <c r="K123" s="301"/>
      <c r="L123" s="301"/>
    </row>
    <row r="124" ht="15.75" customHeight="1">
      <c r="B124" s="301"/>
      <c r="C124" s="301"/>
      <c r="D124" s="301"/>
      <c r="E124" s="301"/>
      <c r="F124" s="301"/>
      <c r="G124" s="301"/>
      <c r="H124" s="301"/>
      <c r="I124" s="301"/>
      <c r="J124" s="301"/>
      <c r="K124" s="301"/>
      <c r="L124" s="301"/>
    </row>
    <row r="125" ht="15.75" customHeight="1">
      <c r="B125" s="301"/>
      <c r="C125" s="301"/>
      <c r="D125" s="301"/>
      <c r="E125" s="301"/>
      <c r="F125" s="301"/>
      <c r="G125" s="301"/>
      <c r="H125" s="301"/>
      <c r="I125" s="301"/>
      <c r="J125" s="301"/>
      <c r="K125" s="301"/>
      <c r="L125" s="301"/>
    </row>
    <row r="126" ht="15.75" customHeight="1">
      <c r="B126" s="301"/>
      <c r="C126" s="301"/>
      <c r="D126" s="301"/>
      <c r="E126" s="301"/>
      <c r="F126" s="301"/>
      <c r="G126" s="301"/>
      <c r="H126" s="301"/>
      <c r="I126" s="301"/>
      <c r="J126" s="301"/>
      <c r="K126" s="301"/>
      <c r="L126" s="301"/>
    </row>
    <row r="127" ht="15.75" customHeight="1">
      <c r="B127" s="301"/>
      <c r="C127" s="301"/>
      <c r="D127" s="301"/>
      <c r="E127" s="301"/>
      <c r="F127" s="301"/>
      <c r="G127" s="301"/>
      <c r="H127" s="301"/>
      <c r="I127" s="301"/>
      <c r="J127" s="301"/>
      <c r="K127" s="301"/>
      <c r="L127" s="301"/>
    </row>
    <row r="128" ht="15.75" customHeight="1">
      <c r="B128" s="301"/>
      <c r="C128" s="301"/>
      <c r="D128" s="301"/>
      <c r="E128" s="301"/>
      <c r="F128" s="301"/>
      <c r="G128" s="301"/>
      <c r="H128" s="301"/>
      <c r="I128" s="301"/>
      <c r="J128" s="301"/>
      <c r="K128" s="301"/>
      <c r="L128" s="301"/>
    </row>
    <row r="129" ht="15.75" customHeight="1">
      <c r="B129" s="301"/>
      <c r="C129" s="301"/>
      <c r="D129" s="301"/>
      <c r="E129" s="301"/>
      <c r="F129" s="301"/>
      <c r="G129" s="301"/>
      <c r="H129" s="301"/>
      <c r="I129" s="301"/>
      <c r="J129" s="301"/>
      <c r="K129" s="301"/>
      <c r="L129" s="301"/>
    </row>
    <row r="130" ht="15.75" customHeight="1">
      <c r="B130" s="301"/>
      <c r="C130" s="301"/>
      <c r="D130" s="301"/>
      <c r="E130" s="301"/>
      <c r="F130" s="301"/>
      <c r="G130" s="301"/>
      <c r="H130" s="301"/>
      <c r="I130" s="301"/>
      <c r="J130" s="301"/>
      <c r="K130" s="301"/>
      <c r="L130" s="301"/>
    </row>
    <row r="131" ht="15.75" customHeight="1">
      <c r="B131" s="301"/>
      <c r="C131" s="301"/>
      <c r="D131" s="301"/>
      <c r="E131" s="301"/>
      <c r="F131" s="301"/>
      <c r="G131" s="301"/>
      <c r="H131" s="301"/>
      <c r="I131" s="301"/>
      <c r="J131" s="301"/>
      <c r="K131" s="301"/>
      <c r="L131" s="301"/>
    </row>
    <row r="132" ht="15.75" customHeight="1">
      <c r="B132" s="301"/>
      <c r="C132" s="301"/>
      <c r="D132" s="301"/>
      <c r="E132" s="301"/>
      <c r="F132" s="301"/>
      <c r="G132" s="301"/>
      <c r="H132" s="301"/>
      <c r="I132" s="301"/>
      <c r="J132" s="301"/>
      <c r="K132" s="301"/>
      <c r="L132" s="301"/>
    </row>
    <row r="133" ht="15.75" customHeight="1">
      <c r="B133" s="301"/>
      <c r="C133" s="301"/>
      <c r="D133" s="301"/>
      <c r="E133" s="301"/>
      <c r="F133" s="301"/>
      <c r="G133" s="301"/>
      <c r="H133" s="301"/>
      <c r="I133" s="301"/>
      <c r="J133" s="301"/>
      <c r="K133" s="301"/>
      <c r="L133" s="301"/>
    </row>
    <row r="134" ht="15.75" customHeight="1">
      <c r="B134" s="301"/>
      <c r="C134" s="301"/>
      <c r="D134" s="301"/>
      <c r="E134" s="301"/>
      <c r="F134" s="301"/>
      <c r="G134" s="301"/>
      <c r="H134" s="301"/>
      <c r="I134" s="301"/>
      <c r="J134" s="301"/>
      <c r="K134" s="301"/>
      <c r="L134" s="301"/>
    </row>
    <row r="135" ht="15.75" customHeight="1">
      <c r="B135" s="301"/>
      <c r="C135" s="301"/>
      <c r="D135" s="301"/>
      <c r="E135" s="301"/>
      <c r="F135" s="301"/>
      <c r="G135" s="301"/>
      <c r="H135" s="301"/>
      <c r="I135" s="301"/>
      <c r="J135" s="301"/>
      <c r="K135" s="301"/>
      <c r="L135" s="301"/>
    </row>
    <row r="136" ht="15.75" customHeight="1">
      <c r="B136" s="301"/>
      <c r="C136" s="301"/>
      <c r="D136" s="301"/>
      <c r="E136" s="301"/>
      <c r="F136" s="301"/>
      <c r="G136" s="301"/>
      <c r="H136" s="301"/>
      <c r="I136" s="301"/>
      <c r="J136" s="301"/>
      <c r="K136" s="301"/>
      <c r="L136" s="301"/>
    </row>
    <row r="137" ht="15.75" customHeight="1">
      <c r="B137" s="301"/>
      <c r="C137" s="301"/>
      <c r="D137" s="301"/>
      <c r="E137" s="301"/>
      <c r="F137" s="301"/>
      <c r="G137" s="301"/>
      <c r="H137" s="301"/>
      <c r="I137" s="301"/>
      <c r="J137" s="301"/>
      <c r="K137" s="301"/>
      <c r="L137" s="301"/>
    </row>
    <row r="138" ht="15.75" customHeight="1">
      <c r="B138" s="301"/>
      <c r="C138" s="301"/>
      <c r="D138" s="301"/>
      <c r="E138" s="301"/>
      <c r="F138" s="301"/>
      <c r="G138" s="301"/>
      <c r="H138" s="301"/>
      <c r="I138" s="301"/>
      <c r="J138" s="301"/>
      <c r="K138" s="301"/>
      <c r="L138" s="301"/>
    </row>
    <row r="139" ht="15.75" customHeight="1">
      <c r="B139" s="301"/>
      <c r="C139" s="301"/>
      <c r="D139" s="301"/>
      <c r="E139" s="301"/>
      <c r="F139" s="301"/>
      <c r="G139" s="301"/>
      <c r="H139" s="301"/>
      <c r="I139" s="301"/>
      <c r="J139" s="301"/>
      <c r="K139" s="301"/>
      <c r="L139" s="301"/>
    </row>
    <row r="140" ht="15.75" customHeight="1">
      <c r="B140" s="301"/>
      <c r="C140" s="301"/>
      <c r="D140" s="301"/>
      <c r="E140" s="301"/>
      <c r="F140" s="301"/>
      <c r="G140" s="301"/>
      <c r="H140" s="301"/>
      <c r="I140" s="301"/>
      <c r="J140" s="301"/>
      <c r="K140" s="301"/>
      <c r="L140" s="301"/>
    </row>
    <row r="141" ht="15.75" customHeight="1">
      <c r="B141" s="301"/>
      <c r="C141" s="301"/>
      <c r="D141" s="301"/>
      <c r="E141" s="301"/>
      <c r="F141" s="301"/>
      <c r="G141" s="301"/>
      <c r="H141" s="301"/>
      <c r="I141" s="301"/>
      <c r="J141" s="301"/>
      <c r="K141" s="301"/>
      <c r="L141" s="301"/>
    </row>
    <row r="142" ht="15.75" customHeight="1">
      <c r="B142" s="301"/>
      <c r="C142" s="301"/>
      <c r="D142" s="301"/>
      <c r="E142" s="301"/>
      <c r="F142" s="301"/>
      <c r="G142" s="301"/>
      <c r="H142" s="301"/>
      <c r="I142" s="301"/>
      <c r="J142" s="301"/>
      <c r="K142" s="301"/>
      <c r="L142" s="301"/>
    </row>
    <row r="143" ht="15.75" customHeight="1">
      <c r="B143" s="301"/>
      <c r="C143" s="301"/>
      <c r="D143" s="301"/>
      <c r="E143" s="301"/>
      <c r="F143" s="301"/>
      <c r="G143" s="301"/>
      <c r="H143" s="301"/>
      <c r="I143" s="301"/>
      <c r="J143" s="301"/>
      <c r="K143" s="301"/>
      <c r="L143" s="301"/>
    </row>
    <row r="144" ht="15.75" customHeight="1">
      <c r="B144" s="301"/>
      <c r="C144" s="301"/>
      <c r="D144" s="301"/>
      <c r="E144" s="301"/>
      <c r="F144" s="301"/>
      <c r="G144" s="301"/>
      <c r="H144" s="301"/>
      <c r="I144" s="301"/>
      <c r="J144" s="301"/>
      <c r="K144" s="301"/>
      <c r="L144" s="301"/>
    </row>
    <row r="145" ht="15.75" customHeight="1">
      <c r="B145" s="301"/>
      <c r="C145" s="301"/>
      <c r="D145" s="301"/>
      <c r="E145" s="301"/>
      <c r="F145" s="301"/>
      <c r="G145" s="301"/>
      <c r="H145" s="301"/>
      <c r="I145" s="301"/>
      <c r="J145" s="301"/>
      <c r="K145" s="301"/>
      <c r="L145" s="301"/>
    </row>
    <row r="146" ht="15.75" customHeight="1">
      <c r="B146" s="301"/>
      <c r="C146" s="301"/>
      <c r="D146" s="301"/>
      <c r="E146" s="301"/>
      <c r="F146" s="301"/>
      <c r="G146" s="301"/>
      <c r="H146" s="301"/>
      <c r="I146" s="301"/>
      <c r="J146" s="301"/>
      <c r="K146" s="301"/>
      <c r="L146" s="301"/>
    </row>
    <row r="147" ht="15.75" customHeight="1">
      <c r="B147" s="301"/>
      <c r="C147" s="301"/>
      <c r="D147" s="301"/>
      <c r="E147" s="301"/>
      <c r="F147" s="301"/>
      <c r="G147" s="301"/>
      <c r="H147" s="301"/>
      <c r="I147" s="301"/>
      <c r="J147" s="301"/>
      <c r="K147" s="301"/>
      <c r="L147" s="301"/>
    </row>
    <row r="148" ht="15.75" customHeight="1">
      <c r="B148" s="301"/>
      <c r="C148" s="301"/>
      <c r="D148" s="301"/>
      <c r="E148" s="301"/>
      <c r="F148" s="301"/>
      <c r="G148" s="301"/>
      <c r="H148" s="301"/>
      <c r="I148" s="301"/>
      <c r="J148" s="301"/>
      <c r="K148" s="301"/>
      <c r="L148" s="301"/>
    </row>
    <row r="149" ht="15.75" customHeight="1">
      <c r="B149" s="301"/>
      <c r="C149" s="301"/>
      <c r="D149" s="301"/>
      <c r="E149" s="301"/>
      <c r="F149" s="301"/>
      <c r="G149" s="301"/>
      <c r="H149" s="301"/>
      <c r="I149" s="301"/>
      <c r="J149" s="301"/>
      <c r="K149" s="301"/>
      <c r="L149" s="301"/>
    </row>
    <row r="150" ht="15.75" customHeight="1">
      <c r="B150" s="301"/>
      <c r="C150" s="301"/>
      <c r="D150" s="301"/>
      <c r="E150" s="301"/>
      <c r="F150" s="301"/>
      <c r="G150" s="301"/>
      <c r="H150" s="301"/>
      <c r="I150" s="301"/>
      <c r="J150" s="301"/>
      <c r="K150" s="301"/>
      <c r="L150" s="301"/>
    </row>
    <row r="151" ht="15.75" customHeight="1">
      <c r="B151" s="301"/>
      <c r="C151" s="301"/>
      <c r="D151" s="301"/>
      <c r="E151" s="301"/>
      <c r="F151" s="301"/>
      <c r="G151" s="301"/>
      <c r="H151" s="301"/>
      <c r="I151" s="301"/>
      <c r="J151" s="301"/>
      <c r="K151" s="301"/>
      <c r="L151" s="301"/>
    </row>
    <row r="152" ht="15.75" customHeight="1">
      <c r="B152" s="301"/>
      <c r="C152" s="301"/>
      <c r="D152" s="301"/>
      <c r="E152" s="301"/>
      <c r="F152" s="301"/>
      <c r="G152" s="301"/>
      <c r="H152" s="301"/>
      <c r="I152" s="301"/>
      <c r="J152" s="301"/>
      <c r="K152" s="301"/>
      <c r="L152" s="301"/>
    </row>
    <row r="153" ht="15.75" customHeight="1">
      <c r="B153" s="301"/>
      <c r="C153" s="301"/>
      <c r="D153" s="301"/>
      <c r="E153" s="301"/>
      <c r="F153" s="301"/>
      <c r="G153" s="301"/>
      <c r="H153" s="301"/>
      <c r="I153" s="301"/>
      <c r="J153" s="301"/>
      <c r="K153" s="301"/>
      <c r="L153" s="301"/>
    </row>
    <row r="154" ht="15.75" customHeight="1">
      <c r="B154" s="301"/>
      <c r="C154" s="301"/>
      <c r="D154" s="301"/>
      <c r="E154" s="301"/>
      <c r="F154" s="301"/>
      <c r="G154" s="301"/>
      <c r="H154" s="301"/>
      <c r="I154" s="301"/>
      <c r="J154" s="301"/>
      <c r="K154" s="301"/>
      <c r="L154" s="301"/>
    </row>
    <row r="155" ht="15.75" customHeight="1">
      <c r="B155" s="301"/>
      <c r="C155" s="301"/>
      <c r="D155" s="301"/>
      <c r="E155" s="301"/>
      <c r="F155" s="301"/>
      <c r="G155" s="301"/>
      <c r="H155" s="301"/>
      <c r="I155" s="301"/>
      <c r="J155" s="301"/>
      <c r="K155" s="301"/>
      <c r="L155" s="301"/>
    </row>
    <row r="156" ht="15.75" customHeight="1">
      <c r="B156" s="301"/>
      <c r="C156" s="301"/>
      <c r="D156" s="301"/>
      <c r="E156" s="301"/>
      <c r="F156" s="301"/>
      <c r="G156" s="301"/>
      <c r="H156" s="301"/>
      <c r="I156" s="301"/>
      <c r="J156" s="301"/>
      <c r="K156" s="301"/>
      <c r="L156" s="301"/>
    </row>
    <row r="157" ht="15.75" customHeight="1">
      <c r="B157" s="301"/>
      <c r="C157" s="301"/>
      <c r="D157" s="301"/>
      <c r="E157" s="301"/>
      <c r="F157" s="301"/>
      <c r="G157" s="301"/>
      <c r="H157" s="301"/>
      <c r="I157" s="301"/>
      <c r="J157" s="301"/>
      <c r="K157" s="301"/>
      <c r="L157" s="301"/>
    </row>
    <row r="158" ht="15.75" customHeight="1">
      <c r="B158" s="301"/>
      <c r="C158" s="301"/>
      <c r="D158" s="301"/>
      <c r="E158" s="301"/>
      <c r="F158" s="301"/>
      <c r="G158" s="301"/>
      <c r="H158" s="301"/>
      <c r="I158" s="301"/>
      <c r="J158" s="301"/>
      <c r="K158" s="301"/>
      <c r="L158" s="301"/>
    </row>
    <row r="159" ht="15.75" customHeight="1">
      <c r="B159" s="301"/>
      <c r="C159" s="301"/>
      <c r="D159" s="301"/>
      <c r="E159" s="301"/>
      <c r="F159" s="301"/>
      <c r="G159" s="301"/>
      <c r="H159" s="301"/>
      <c r="I159" s="301"/>
      <c r="J159" s="301"/>
      <c r="K159" s="301"/>
      <c r="L159" s="301"/>
    </row>
    <row r="160" ht="15.75" customHeight="1">
      <c r="B160" s="301"/>
      <c r="C160" s="301"/>
      <c r="D160" s="301"/>
      <c r="E160" s="301"/>
      <c r="F160" s="301"/>
      <c r="G160" s="301"/>
      <c r="H160" s="301"/>
      <c r="I160" s="301"/>
      <c r="J160" s="301"/>
      <c r="K160" s="301"/>
      <c r="L160" s="301"/>
    </row>
    <row r="161" ht="15.75" customHeight="1">
      <c r="B161" s="301"/>
      <c r="C161" s="301"/>
      <c r="D161" s="301"/>
      <c r="E161" s="301"/>
      <c r="F161" s="301"/>
      <c r="G161" s="301"/>
      <c r="H161" s="301"/>
      <c r="I161" s="301"/>
      <c r="J161" s="301"/>
      <c r="K161" s="301"/>
      <c r="L161" s="301"/>
    </row>
    <row r="162" ht="15.75" customHeight="1">
      <c r="B162" s="301"/>
      <c r="C162" s="301"/>
      <c r="D162" s="301"/>
      <c r="E162" s="301"/>
      <c r="F162" s="301"/>
      <c r="G162" s="301"/>
      <c r="H162" s="301"/>
      <c r="I162" s="301"/>
      <c r="J162" s="301"/>
      <c r="K162" s="301"/>
      <c r="L162" s="301"/>
    </row>
    <row r="163" ht="15.75" customHeight="1">
      <c r="B163" s="301"/>
      <c r="C163" s="301"/>
      <c r="D163" s="301"/>
      <c r="E163" s="301"/>
      <c r="F163" s="301"/>
      <c r="G163" s="301"/>
      <c r="H163" s="301"/>
      <c r="I163" s="301"/>
      <c r="J163" s="301"/>
      <c r="K163" s="301"/>
      <c r="L163" s="301"/>
    </row>
    <row r="164" ht="15.75" customHeight="1">
      <c r="B164" s="301"/>
      <c r="C164" s="301"/>
      <c r="D164" s="301"/>
      <c r="E164" s="301"/>
      <c r="F164" s="301"/>
      <c r="G164" s="301"/>
      <c r="H164" s="301"/>
      <c r="I164" s="301"/>
      <c r="J164" s="301"/>
      <c r="K164" s="301"/>
      <c r="L164" s="301"/>
    </row>
    <row r="165" ht="15.75" customHeight="1">
      <c r="B165" s="301"/>
      <c r="C165" s="301"/>
      <c r="D165" s="301"/>
      <c r="E165" s="301"/>
      <c r="F165" s="301"/>
      <c r="G165" s="301"/>
      <c r="H165" s="301"/>
      <c r="I165" s="301"/>
      <c r="J165" s="301"/>
      <c r="K165" s="301"/>
      <c r="L165" s="301"/>
    </row>
    <row r="166" ht="15.75" customHeight="1">
      <c r="B166" s="301"/>
      <c r="C166" s="301"/>
      <c r="D166" s="301"/>
      <c r="E166" s="301"/>
      <c r="F166" s="301"/>
      <c r="G166" s="301"/>
      <c r="H166" s="301"/>
      <c r="I166" s="301"/>
      <c r="J166" s="301"/>
      <c r="K166" s="301"/>
      <c r="L166" s="301"/>
    </row>
    <row r="167" ht="15.75" customHeight="1">
      <c r="B167" s="301"/>
      <c r="C167" s="301"/>
      <c r="D167" s="301"/>
      <c r="E167" s="301"/>
      <c r="F167" s="301"/>
      <c r="G167" s="301"/>
      <c r="H167" s="301"/>
      <c r="I167" s="301"/>
      <c r="J167" s="301"/>
      <c r="K167" s="301"/>
      <c r="L167" s="301"/>
    </row>
    <row r="168" ht="15.75" customHeight="1">
      <c r="B168" s="301"/>
      <c r="C168" s="301"/>
      <c r="D168" s="301"/>
      <c r="E168" s="301"/>
      <c r="F168" s="301"/>
      <c r="G168" s="301"/>
      <c r="H168" s="301"/>
      <c r="I168" s="301"/>
      <c r="J168" s="301"/>
      <c r="K168" s="301"/>
      <c r="L168" s="301"/>
    </row>
    <row r="169" ht="15.75" customHeight="1">
      <c r="B169" s="301"/>
      <c r="C169" s="301"/>
      <c r="D169" s="301"/>
      <c r="E169" s="301"/>
      <c r="F169" s="301"/>
      <c r="G169" s="301"/>
      <c r="H169" s="301"/>
      <c r="I169" s="301"/>
      <c r="J169" s="301"/>
      <c r="K169" s="301"/>
      <c r="L169" s="301"/>
    </row>
    <row r="170" ht="15.75" customHeight="1">
      <c r="B170" s="301"/>
      <c r="C170" s="301"/>
      <c r="D170" s="301"/>
      <c r="E170" s="301"/>
      <c r="F170" s="301"/>
      <c r="G170" s="301"/>
      <c r="H170" s="301"/>
      <c r="I170" s="301"/>
      <c r="J170" s="301"/>
      <c r="K170" s="301"/>
      <c r="L170" s="301"/>
    </row>
    <row r="171" ht="15.75" customHeight="1">
      <c r="B171" s="301"/>
      <c r="C171" s="301"/>
      <c r="D171" s="301"/>
      <c r="E171" s="301"/>
      <c r="F171" s="301"/>
      <c r="G171" s="301"/>
      <c r="H171" s="301"/>
      <c r="I171" s="301"/>
      <c r="J171" s="301"/>
      <c r="K171" s="301"/>
      <c r="L171" s="301"/>
    </row>
    <row r="172" ht="15.75" customHeight="1">
      <c r="B172" s="301"/>
      <c r="C172" s="301"/>
      <c r="D172" s="301"/>
      <c r="E172" s="301"/>
      <c r="F172" s="301"/>
      <c r="G172" s="301"/>
      <c r="H172" s="301"/>
      <c r="I172" s="301"/>
      <c r="J172" s="301"/>
      <c r="K172" s="301"/>
      <c r="L172" s="301"/>
    </row>
    <row r="173" ht="15.75" customHeight="1">
      <c r="B173" s="301"/>
      <c r="C173" s="301"/>
      <c r="D173" s="301"/>
      <c r="E173" s="301"/>
      <c r="F173" s="301"/>
      <c r="G173" s="301"/>
      <c r="H173" s="301"/>
      <c r="I173" s="301"/>
      <c r="J173" s="301"/>
      <c r="K173" s="301"/>
      <c r="L173" s="301"/>
    </row>
    <row r="174" ht="15.75" customHeight="1">
      <c r="B174" s="301"/>
      <c r="C174" s="301"/>
      <c r="D174" s="301"/>
      <c r="E174" s="301"/>
      <c r="F174" s="301"/>
      <c r="G174" s="301"/>
      <c r="H174" s="301"/>
      <c r="I174" s="301"/>
      <c r="J174" s="301"/>
      <c r="K174" s="301"/>
      <c r="L174" s="301"/>
    </row>
    <row r="175" ht="15.75" customHeight="1">
      <c r="B175" s="301"/>
      <c r="C175" s="301"/>
      <c r="D175" s="301"/>
      <c r="E175" s="301"/>
      <c r="F175" s="301"/>
      <c r="G175" s="301"/>
      <c r="H175" s="301"/>
      <c r="I175" s="301"/>
      <c r="J175" s="301"/>
      <c r="K175" s="301"/>
      <c r="L175" s="301"/>
    </row>
    <row r="176" ht="15.75" customHeight="1">
      <c r="B176" s="301"/>
      <c r="C176" s="301"/>
      <c r="D176" s="301"/>
      <c r="E176" s="301"/>
      <c r="F176" s="301"/>
      <c r="G176" s="301"/>
      <c r="H176" s="301"/>
      <c r="I176" s="301"/>
      <c r="J176" s="301"/>
      <c r="K176" s="301"/>
      <c r="L176" s="301"/>
    </row>
    <row r="177" ht="15.75" customHeight="1">
      <c r="B177" s="301"/>
      <c r="C177" s="301"/>
      <c r="D177" s="301"/>
      <c r="E177" s="301"/>
      <c r="F177" s="301"/>
      <c r="G177" s="301"/>
      <c r="H177" s="301"/>
      <c r="I177" s="301"/>
      <c r="J177" s="301"/>
      <c r="K177" s="301"/>
      <c r="L177" s="301"/>
    </row>
    <row r="178" ht="15.75" customHeight="1">
      <c r="B178" s="301"/>
      <c r="C178" s="301"/>
      <c r="D178" s="301"/>
      <c r="E178" s="301"/>
      <c r="F178" s="301"/>
      <c r="G178" s="301"/>
      <c r="H178" s="301"/>
      <c r="I178" s="301"/>
      <c r="J178" s="301"/>
      <c r="K178" s="301"/>
      <c r="L178" s="301"/>
    </row>
    <row r="179" ht="15.75" customHeight="1">
      <c r="B179" s="301"/>
      <c r="C179" s="301"/>
      <c r="D179" s="301"/>
      <c r="E179" s="301"/>
      <c r="F179" s="301"/>
      <c r="G179" s="301"/>
      <c r="H179" s="301"/>
      <c r="I179" s="301"/>
      <c r="J179" s="301"/>
      <c r="K179" s="301"/>
      <c r="L179" s="301"/>
    </row>
    <row r="180" ht="15.75" customHeight="1">
      <c r="B180" s="301"/>
      <c r="C180" s="301"/>
      <c r="D180" s="301"/>
      <c r="E180" s="301"/>
      <c r="F180" s="301"/>
      <c r="G180" s="301"/>
      <c r="H180" s="301"/>
      <c r="I180" s="301"/>
      <c r="J180" s="301"/>
      <c r="K180" s="301"/>
      <c r="L180" s="301"/>
    </row>
    <row r="181" ht="15.75" customHeight="1">
      <c r="B181" s="301"/>
      <c r="C181" s="301"/>
      <c r="D181" s="301"/>
      <c r="E181" s="301"/>
      <c r="F181" s="301"/>
      <c r="G181" s="301"/>
      <c r="H181" s="301"/>
      <c r="I181" s="301"/>
      <c r="J181" s="301"/>
      <c r="K181" s="301"/>
      <c r="L181" s="301"/>
    </row>
    <row r="182" ht="15.75" customHeight="1">
      <c r="B182" s="301"/>
      <c r="C182" s="301"/>
      <c r="D182" s="301"/>
      <c r="E182" s="301"/>
      <c r="F182" s="301"/>
      <c r="G182" s="301"/>
      <c r="H182" s="301"/>
      <c r="I182" s="301"/>
      <c r="J182" s="301"/>
      <c r="K182" s="301"/>
      <c r="L182" s="301"/>
    </row>
    <row r="183" ht="15.75" customHeight="1">
      <c r="B183" s="301"/>
      <c r="C183" s="301"/>
      <c r="D183" s="301"/>
      <c r="E183" s="301"/>
      <c r="F183" s="301"/>
      <c r="G183" s="301"/>
      <c r="H183" s="301"/>
      <c r="I183" s="301"/>
      <c r="J183" s="301"/>
      <c r="K183" s="301"/>
      <c r="L183" s="301"/>
    </row>
    <row r="184" ht="15.75" customHeight="1">
      <c r="B184" s="301"/>
      <c r="C184" s="301"/>
      <c r="D184" s="301"/>
      <c r="E184" s="301"/>
      <c r="F184" s="301"/>
      <c r="G184" s="301"/>
      <c r="H184" s="301"/>
      <c r="I184" s="301"/>
      <c r="J184" s="301"/>
      <c r="K184" s="301"/>
      <c r="L184" s="301"/>
    </row>
    <row r="185" ht="15.75" customHeight="1">
      <c r="B185" s="301"/>
      <c r="C185" s="301"/>
      <c r="D185" s="301"/>
      <c r="E185" s="301"/>
      <c r="F185" s="301"/>
      <c r="G185" s="301"/>
      <c r="H185" s="301"/>
      <c r="I185" s="301"/>
      <c r="J185" s="301"/>
      <c r="K185" s="301"/>
      <c r="L185" s="301"/>
    </row>
    <row r="186" ht="15.75" customHeight="1">
      <c r="B186" s="301"/>
      <c r="C186" s="301"/>
      <c r="D186" s="301"/>
      <c r="E186" s="301"/>
      <c r="F186" s="301"/>
      <c r="G186" s="301"/>
      <c r="H186" s="301"/>
      <c r="I186" s="301"/>
      <c r="J186" s="301"/>
      <c r="K186" s="301"/>
      <c r="L186" s="301"/>
    </row>
    <row r="187" ht="15.75" customHeight="1">
      <c r="B187" s="301"/>
      <c r="C187" s="301"/>
      <c r="D187" s="301"/>
      <c r="E187" s="301"/>
      <c r="F187" s="301"/>
      <c r="G187" s="301"/>
      <c r="H187" s="301"/>
      <c r="I187" s="301"/>
      <c r="J187" s="301"/>
      <c r="K187" s="301"/>
      <c r="L187" s="301"/>
    </row>
    <row r="188" ht="15.75" customHeight="1">
      <c r="B188" s="301"/>
      <c r="C188" s="301"/>
      <c r="D188" s="301"/>
      <c r="E188" s="301"/>
      <c r="F188" s="301"/>
      <c r="G188" s="301"/>
      <c r="H188" s="301"/>
      <c r="I188" s="301"/>
      <c r="J188" s="301"/>
      <c r="K188" s="301"/>
      <c r="L188" s="301"/>
    </row>
    <row r="189" ht="15.75" customHeight="1">
      <c r="B189" s="301"/>
      <c r="C189" s="301"/>
      <c r="D189" s="301"/>
      <c r="E189" s="301"/>
      <c r="F189" s="301"/>
      <c r="G189" s="301"/>
      <c r="H189" s="301"/>
      <c r="I189" s="301"/>
      <c r="J189" s="301"/>
      <c r="K189" s="301"/>
      <c r="L189" s="301"/>
    </row>
    <row r="190" ht="15.75" customHeight="1">
      <c r="B190" s="301"/>
      <c r="C190" s="301"/>
      <c r="D190" s="301"/>
      <c r="E190" s="301"/>
      <c r="F190" s="301"/>
      <c r="G190" s="301"/>
      <c r="H190" s="301"/>
      <c r="I190" s="301"/>
      <c r="J190" s="301"/>
      <c r="K190" s="301"/>
      <c r="L190" s="301"/>
    </row>
    <row r="191" ht="15.75" customHeight="1">
      <c r="B191" s="301"/>
      <c r="C191" s="301"/>
      <c r="D191" s="301"/>
      <c r="E191" s="301"/>
      <c r="F191" s="301"/>
      <c r="G191" s="301"/>
      <c r="H191" s="301"/>
      <c r="I191" s="301"/>
      <c r="J191" s="301"/>
      <c r="K191" s="301"/>
      <c r="L191" s="301"/>
    </row>
    <row r="192" ht="15.75" customHeight="1">
      <c r="B192" s="301"/>
      <c r="C192" s="301"/>
      <c r="D192" s="301"/>
      <c r="E192" s="301"/>
      <c r="F192" s="301"/>
      <c r="G192" s="301"/>
      <c r="H192" s="301"/>
      <c r="I192" s="301"/>
      <c r="J192" s="301"/>
      <c r="K192" s="301"/>
      <c r="L192" s="301"/>
    </row>
    <row r="193" ht="15.75" customHeight="1">
      <c r="B193" s="301"/>
      <c r="C193" s="301"/>
      <c r="D193" s="301"/>
      <c r="E193" s="301"/>
      <c r="F193" s="301"/>
      <c r="G193" s="301"/>
      <c r="H193" s="301"/>
      <c r="I193" s="301"/>
      <c r="J193" s="301"/>
      <c r="K193" s="301"/>
      <c r="L193" s="301"/>
    </row>
    <row r="194" ht="15.75" customHeight="1">
      <c r="B194" s="301"/>
      <c r="C194" s="301"/>
      <c r="D194" s="301"/>
      <c r="E194" s="301"/>
      <c r="F194" s="301"/>
      <c r="G194" s="301"/>
      <c r="H194" s="301"/>
      <c r="I194" s="301"/>
      <c r="J194" s="301"/>
      <c r="K194" s="301"/>
      <c r="L194" s="301"/>
    </row>
    <row r="195" ht="15.75" customHeight="1">
      <c r="B195" s="301"/>
      <c r="C195" s="301"/>
      <c r="D195" s="301"/>
      <c r="E195" s="301"/>
      <c r="F195" s="301"/>
      <c r="G195" s="301"/>
      <c r="H195" s="301"/>
      <c r="I195" s="301"/>
      <c r="J195" s="301"/>
      <c r="K195" s="301"/>
      <c r="L195" s="301"/>
    </row>
    <row r="196" ht="15.75" customHeight="1">
      <c r="B196" s="301"/>
      <c r="C196" s="301"/>
      <c r="D196" s="301"/>
      <c r="E196" s="301"/>
      <c r="F196" s="301"/>
      <c r="G196" s="301"/>
      <c r="H196" s="301"/>
      <c r="I196" s="301"/>
      <c r="J196" s="301"/>
      <c r="K196" s="301"/>
      <c r="L196" s="301"/>
    </row>
    <row r="197" ht="15.75" customHeight="1">
      <c r="B197" s="301"/>
      <c r="C197" s="301"/>
      <c r="D197" s="301"/>
      <c r="E197" s="301"/>
      <c r="F197" s="301"/>
      <c r="G197" s="301"/>
      <c r="H197" s="301"/>
      <c r="I197" s="301"/>
      <c r="J197" s="301"/>
      <c r="K197" s="301"/>
      <c r="L197" s="301"/>
    </row>
    <row r="198" ht="15.75" customHeight="1">
      <c r="B198" s="301"/>
      <c r="C198" s="301"/>
      <c r="D198" s="301"/>
      <c r="E198" s="301"/>
      <c r="F198" s="301"/>
      <c r="G198" s="301"/>
      <c r="H198" s="301"/>
      <c r="I198" s="301"/>
      <c r="J198" s="301"/>
      <c r="K198" s="301"/>
      <c r="L198" s="301"/>
    </row>
    <row r="199" ht="15.75" customHeight="1">
      <c r="B199" s="301"/>
      <c r="C199" s="301"/>
      <c r="D199" s="301"/>
      <c r="E199" s="301"/>
      <c r="F199" s="301"/>
      <c r="G199" s="301"/>
      <c r="H199" s="301"/>
      <c r="I199" s="301"/>
      <c r="J199" s="301"/>
      <c r="K199" s="301"/>
      <c r="L199" s="301"/>
    </row>
    <row r="200" ht="15.75" customHeight="1">
      <c r="B200" s="301"/>
      <c r="C200" s="301"/>
      <c r="D200" s="301"/>
      <c r="E200" s="301"/>
      <c r="F200" s="301"/>
      <c r="G200" s="301"/>
      <c r="H200" s="301"/>
      <c r="I200" s="301"/>
      <c r="J200" s="301"/>
      <c r="K200" s="301"/>
      <c r="L200" s="301"/>
    </row>
    <row r="201" ht="15.75" customHeight="1">
      <c r="B201" s="301"/>
      <c r="C201" s="301"/>
      <c r="D201" s="301"/>
      <c r="E201" s="301"/>
      <c r="F201" s="301"/>
      <c r="G201" s="301"/>
      <c r="H201" s="301"/>
      <c r="I201" s="301"/>
      <c r="J201" s="301"/>
      <c r="K201" s="301"/>
      <c r="L201" s="301"/>
    </row>
    <row r="202" ht="15.75" customHeight="1">
      <c r="B202" s="301"/>
      <c r="C202" s="301"/>
      <c r="D202" s="301"/>
      <c r="E202" s="301"/>
      <c r="F202" s="301"/>
      <c r="G202" s="301"/>
      <c r="H202" s="301"/>
      <c r="I202" s="301"/>
      <c r="J202" s="301"/>
      <c r="K202" s="301"/>
      <c r="L202" s="301"/>
    </row>
    <row r="203" ht="15.75" customHeight="1">
      <c r="B203" s="301"/>
      <c r="C203" s="301"/>
      <c r="D203" s="301"/>
      <c r="E203" s="301"/>
      <c r="F203" s="301"/>
      <c r="G203" s="301"/>
      <c r="H203" s="301"/>
      <c r="I203" s="301"/>
      <c r="J203" s="301"/>
      <c r="K203" s="301"/>
      <c r="L203" s="301"/>
    </row>
    <row r="204" ht="15.75" customHeight="1">
      <c r="B204" s="301"/>
      <c r="C204" s="301"/>
      <c r="D204" s="301"/>
      <c r="E204" s="301"/>
      <c r="F204" s="301"/>
      <c r="G204" s="301"/>
      <c r="H204" s="301"/>
      <c r="I204" s="301"/>
      <c r="J204" s="301"/>
      <c r="K204" s="301"/>
      <c r="L204" s="301"/>
    </row>
    <row r="205" ht="15.75" customHeight="1">
      <c r="B205" s="301"/>
      <c r="C205" s="301"/>
      <c r="D205" s="301"/>
      <c r="E205" s="301"/>
      <c r="F205" s="301"/>
      <c r="G205" s="301"/>
      <c r="H205" s="301"/>
      <c r="I205" s="301"/>
      <c r="J205" s="301"/>
      <c r="K205" s="301"/>
      <c r="L205" s="301"/>
    </row>
    <row r="206" ht="15.75" customHeight="1">
      <c r="B206" s="301"/>
      <c r="C206" s="301"/>
      <c r="D206" s="301"/>
      <c r="E206" s="301"/>
      <c r="F206" s="301"/>
      <c r="G206" s="301"/>
      <c r="H206" s="301"/>
      <c r="I206" s="301"/>
      <c r="J206" s="301"/>
      <c r="K206" s="301"/>
      <c r="L206" s="301"/>
    </row>
    <row r="207" ht="15.75" customHeight="1">
      <c r="B207" s="301"/>
      <c r="C207" s="301"/>
      <c r="D207" s="301"/>
      <c r="E207" s="301"/>
      <c r="F207" s="301"/>
      <c r="G207" s="301"/>
      <c r="H207" s="301"/>
      <c r="I207" s="301"/>
      <c r="J207" s="301"/>
      <c r="K207" s="301"/>
      <c r="L207" s="301"/>
    </row>
    <row r="208" ht="15.75" customHeight="1">
      <c r="B208" s="301"/>
      <c r="C208" s="301"/>
      <c r="D208" s="301"/>
      <c r="E208" s="301"/>
      <c r="F208" s="301"/>
      <c r="G208" s="301"/>
      <c r="H208" s="301"/>
      <c r="I208" s="301"/>
      <c r="J208" s="301"/>
      <c r="K208" s="301"/>
      <c r="L208" s="301"/>
    </row>
    <row r="209" ht="15.75" customHeight="1">
      <c r="B209" s="301"/>
      <c r="C209" s="301"/>
      <c r="D209" s="301"/>
      <c r="E209" s="301"/>
      <c r="F209" s="301"/>
      <c r="G209" s="301"/>
      <c r="H209" s="301"/>
      <c r="I209" s="301"/>
      <c r="J209" s="301"/>
      <c r="K209" s="301"/>
      <c r="L209" s="301"/>
    </row>
    <row r="210" ht="15.75" customHeight="1">
      <c r="B210" s="301"/>
      <c r="C210" s="301"/>
      <c r="D210" s="301"/>
      <c r="E210" s="301"/>
      <c r="F210" s="301"/>
      <c r="G210" s="301"/>
      <c r="H210" s="301"/>
      <c r="I210" s="301"/>
      <c r="J210" s="301"/>
      <c r="K210" s="301"/>
      <c r="L210" s="301"/>
    </row>
    <row r="211" ht="15.75" customHeight="1">
      <c r="B211" s="301"/>
      <c r="C211" s="301"/>
      <c r="D211" s="301"/>
      <c r="E211" s="301"/>
      <c r="F211" s="301"/>
      <c r="G211" s="301"/>
      <c r="H211" s="301"/>
      <c r="I211" s="301"/>
      <c r="J211" s="301"/>
      <c r="K211" s="301"/>
      <c r="L211" s="301"/>
    </row>
    <row r="212" ht="15.75" customHeight="1">
      <c r="B212" s="301"/>
      <c r="C212" s="301"/>
      <c r="D212" s="301"/>
      <c r="E212" s="301"/>
      <c r="F212" s="301"/>
      <c r="G212" s="301"/>
      <c r="H212" s="301"/>
      <c r="I212" s="301"/>
      <c r="J212" s="301"/>
      <c r="K212" s="301"/>
      <c r="L212" s="301"/>
    </row>
    <row r="213" ht="15.75" customHeight="1">
      <c r="B213" s="301"/>
      <c r="C213" s="301"/>
      <c r="D213" s="301"/>
      <c r="E213" s="301"/>
      <c r="F213" s="301"/>
      <c r="G213" s="301"/>
      <c r="H213" s="301"/>
      <c r="I213" s="301"/>
      <c r="J213" s="301"/>
      <c r="K213" s="301"/>
      <c r="L213" s="301"/>
    </row>
    <row r="214" ht="15.75" customHeight="1">
      <c r="B214" s="301"/>
      <c r="C214" s="301"/>
      <c r="D214" s="301"/>
      <c r="E214" s="301"/>
      <c r="F214" s="301"/>
      <c r="G214" s="301"/>
      <c r="H214" s="301"/>
      <c r="I214" s="301"/>
      <c r="J214" s="301"/>
      <c r="K214" s="301"/>
      <c r="L214" s="301"/>
    </row>
    <row r="215" ht="15.75" customHeight="1">
      <c r="B215" s="301"/>
      <c r="C215" s="301"/>
      <c r="D215" s="301"/>
      <c r="E215" s="301"/>
      <c r="F215" s="301"/>
      <c r="G215" s="301"/>
      <c r="H215" s="301"/>
      <c r="I215" s="301"/>
      <c r="J215" s="301"/>
      <c r="K215" s="301"/>
      <c r="L215" s="301"/>
    </row>
    <row r="216" ht="15.75" customHeight="1">
      <c r="B216" s="301"/>
      <c r="C216" s="301"/>
      <c r="D216" s="301"/>
      <c r="E216" s="301"/>
      <c r="F216" s="301"/>
      <c r="G216" s="301"/>
      <c r="H216" s="301"/>
      <c r="I216" s="301"/>
      <c r="J216" s="301"/>
      <c r="K216" s="301"/>
      <c r="L216" s="301"/>
    </row>
    <row r="217" ht="15.75" customHeight="1">
      <c r="B217" s="301"/>
      <c r="C217" s="301"/>
      <c r="D217" s="301"/>
      <c r="E217" s="301"/>
      <c r="F217" s="301"/>
      <c r="G217" s="301"/>
      <c r="H217" s="301"/>
      <c r="I217" s="301"/>
      <c r="J217" s="301"/>
      <c r="K217" s="301"/>
      <c r="L217" s="301"/>
    </row>
    <row r="218" ht="15.75" customHeight="1">
      <c r="B218" s="301"/>
      <c r="C218" s="301"/>
      <c r="D218" s="301"/>
      <c r="E218" s="301"/>
      <c r="F218" s="301"/>
      <c r="G218" s="301"/>
      <c r="H218" s="301"/>
      <c r="I218" s="301"/>
      <c r="J218" s="301"/>
      <c r="K218" s="301"/>
      <c r="L218" s="301"/>
    </row>
    <row r="219" ht="15.75" customHeight="1">
      <c r="B219" s="301"/>
      <c r="C219" s="301"/>
      <c r="D219" s="301"/>
      <c r="E219" s="301"/>
      <c r="F219" s="301"/>
      <c r="G219" s="301"/>
      <c r="H219" s="301"/>
      <c r="I219" s="301"/>
      <c r="J219" s="301"/>
      <c r="K219" s="301"/>
      <c r="L219" s="301"/>
    </row>
    <row r="220" ht="15.75" customHeight="1">
      <c r="B220" s="301"/>
      <c r="C220" s="301"/>
      <c r="D220" s="301"/>
      <c r="E220" s="301"/>
      <c r="F220" s="301"/>
      <c r="G220" s="301"/>
      <c r="H220" s="301"/>
      <c r="I220" s="301"/>
      <c r="J220" s="301"/>
      <c r="K220" s="301"/>
      <c r="L220" s="301"/>
    </row>
    <row r="221" ht="15.75" customHeight="1">
      <c r="B221" s="301"/>
      <c r="C221" s="301"/>
      <c r="D221" s="301"/>
      <c r="E221" s="301"/>
      <c r="F221" s="301"/>
      <c r="G221" s="301"/>
      <c r="H221" s="301"/>
      <c r="I221" s="301"/>
      <c r="J221" s="301"/>
      <c r="K221" s="301"/>
      <c r="L221" s="301"/>
    </row>
    <row r="222" ht="15.75" customHeight="1">
      <c r="B222" s="301"/>
      <c r="C222" s="301"/>
      <c r="D222" s="301"/>
      <c r="E222" s="301"/>
      <c r="F222" s="301"/>
      <c r="G222" s="301"/>
      <c r="H222" s="301"/>
      <c r="I222" s="301"/>
      <c r="J222" s="301"/>
      <c r="K222" s="301"/>
      <c r="L222" s="301"/>
    </row>
    <row r="223" ht="15.75" customHeight="1">
      <c r="B223" s="301"/>
      <c r="C223" s="301"/>
      <c r="D223" s="301"/>
      <c r="E223" s="301"/>
      <c r="F223" s="301"/>
      <c r="G223" s="301"/>
      <c r="H223" s="301"/>
      <c r="I223" s="301"/>
      <c r="J223" s="301"/>
      <c r="K223" s="301"/>
      <c r="L223" s="301"/>
    </row>
    <row r="224" ht="15.75" customHeight="1">
      <c r="B224" s="301"/>
      <c r="C224" s="301"/>
      <c r="D224" s="301"/>
      <c r="E224" s="301"/>
      <c r="F224" s="301"/>
      <c r="G224" s="301"/>
      <c r="H224" s="301"/>
      <c r="I224" s="301"/>
      <c r="J224" s="301"/>
      <c r="K224" s="301"/>
      <c r="L224" s="301"/>
    </row>
    <row r="225" ht="15.75" customHeight="1">
      <c r="B225" s="301"/>
      <c r="C225" s="301"/>
      <c r="D225" s="301"/>
      <c r="E225" s="301"/>
      <c r="F225" s="301"/>
      <c r="G225" s="301"/>
      <c r="H225" s="301"/>
      <c r="I225" s="301"/>
      <c r="J225" s="301"/>
      <c r="K225" s="301"/>
      <c r="L225" s="301"/>
    </row>
    <row r="226" ht="15.75" customHeight="1">
      <c r="B226" s="301"/>
      <c r="C226" s="301"/>
      <c r="D226" s="301"/>
      <c r="E226" s="301"/>
      <c r="F226" s="301"/>
      <c r="G226" s="301"/>
      <c r="H226" s="301"/>
      <c r="I226" s="301"/>
      <c r="J226" s="301"/>
      <c r="K226" s="301"/>
      <c r="L226" s="301"/>
    </row>
    <row r="227" ht="15.75" customHeight="1">
      <c r="B227" s="301"/>
      <c r="C227" s="301"/>
      <c r="D227" s="301"/>
      <c r="E227" s="301"/>
      <c r="F227" s="301"/>
      <c r="G227" s="301"/>
      <c r="H227" s="301"/>
      <c r="I227" s="301"/>
      <c r="J227" s="301"/>
      <c r="K227" s="301"/>
      <c r="L227" s="301"/>
    </row>
    <row r="228" ht="15.75" customHeight="1">
      <c r="B228" s="301"/>
      <c r="C228" s="301"/>
      <c r="D228" s="301"/>
      <c r="E228" s="301"/>
      <c r="F228" s="301"/>
      <c r="G228" s="301"/>
      <c r="H228" s="301"/>
      <c r="I228" s="301"/>
      <c r="J228" s="301"/>
      <c r="K228" s="301"/>
      <c r="L228" s="301"/>
    </row>
    <row r="229" ht="15.75" customHeight="1">
      <c r="B229" s="301"/>
      <c r="C229" s="301"/>
      <c r="D229" s="301"/>
      <c r="E229" s="301"/>
      <c r="F229" s="301"/>
      <c r="G229" s="301"/>
      <c r="H229" s="301"/>
      <c r="I229" s="301"/>
      <c r="J229" s="301"/>
      <c r="K229" s="301"/>
      <c r="L229" s="301"/>
    </row>
    <row r="230" ht="15.75" customHeight="1">
      <c r="B230" s="301"/>
      <c r="C230" s="301"/>
      <c r="D230" s="301"/>
      <c r="E230" s="301"/>
      <c r="F230" s="301"/>
      <c r="G230" s="301"/>
      <c r="H230" s="301"/>
      <c r="I230" s="301"/>
      <c r="J230" s="301"/>
      <c r="K230" s="301"/>
      <c r="L230" s="301"/>
    </row>
    <row r="231" ht="15.75" customHeight="1">
      <c r="B231" s="301"/>
      <c r="C231" s="301"/>
      <c r="D231" s="301"/>
      <c r="E231" s="301"/>
      <c r="F231" s="301"/>
      <c r="G231" s="301"/>
      <c r="H231" s="301"/>
      <c r="I231" s="301"/>
      <c r="J231" s="301"/>
      <c r="K231" s="301"/>
      <c r="L231" s="301"/>
    </row>
    <row r="232" ht="15.75" customHeight="1">
      <c r="B232" s="301"/>
      <c r="C232" s="301"/>
      <c r="D232" s="301"/>
      <c r="E232" s="301"/>
      <c r="F232" s="301"/>
      <c r="G232" s="301"/>
      <c r="H232" s="301"/>
      <c r="I232" s="301"/>
      <c r="J232" s="301"/>
      <c r="K232" s="301"/>
      <c r="L232" s="301"/>
    </row>
    <row r="233" ht="15.75" customHeight="1">
      <c r="B233" s="301"/>
      <c r="C233" s="301"/>
      <c r="D233" s="301"/>
      <c r="E233" s="301"/>
      <c r="F233" s="301"/>
      <c r="G233" s="301"/>
      <c r="H233" s="301"/>
      <c r="I233" s="301"/>
      <c r="J233" s="301"/>
      <c r="K233" s="301"/>
      <c r="L233" s="301"/>
    </row>
    <row r="234" ht="15.75" customHeight="1">
      <c r="B234" s="301"/>
      <c r="C234" s="301"/>
      <c r="D234" s="301"/>
      <c r="E234" s="301"/>
      <c r="F234" s="301"/>
      <c r="G234" s="301"/>
      <c r="H234" s="301"/>
      <c r="I234" s="301"/>
      <c r="J234" s="301"/>
      <c r="K234" s="301"/>
      <c r="L234" s="301"/>
    </row>
    <row r="235" ht="15.75" customHeight="1">
      <c r="B235" s="301"/>
      <c r="C235" s="301"/>
      <c r="D235" s="301"/>
      <c r="E235" s="301"/>
      <c r="F235" s="301"/>
      <c r="G235" s="301"/>
      <c r="H235" s="301"/>
      <c r="I235" s="301"/>
      <c r="J235" s="301"/>
      <c r="K235" s="301"/>
      <c r="L235" s="301"/>
    </row>
    <row r="236" ht="15.75" customHeight="1">
      <c r="B236" s="301"/>
      <c r="C236" s="301"/>
      <c r="D236" s="301"/>
      <c r="E236" s="301"/>
      <c r="F236" s="301"/>
      <c r="G236" s="301"/>
      <c r="H236" s="301"/>
      <c r="I236" s="301"/>
      <c r="J236" s="301"/>
      <c r="K236" s="301"/>
      <c r="L236" s="301"/>
    </row>
    <row r="237" ht="15.75" customHeight="1">
      <c r="B237" s="301"/>
      <c r="C237" s="301"/>
      <c r="D237" s="301"/>
      <c r="E237" s="301"/>
      <c r="F237" s="301"/>
      <c r="G237" s="301"/>
      <c r="H237" s="301"/>
      <c r="I237" s="301"/>
      <c r="J237" s="301"/>
      <c r="K237" s="301"/>
      <c r="L237" s="301"/>
    </row>
    <row r="238" ht="15.75" customHeight="1">
      <c r="B238" s="301"/>
      <c r="C238" s="301"/>
      <c r="D238" s="301"/>
      <c r="E238" s="301"/>
      <c r="F238" s="301"/>
      <c r="G238" s="301"/>
      <c r="H238" s="301"/>
      <c r="I238" s="301"/>
      <c r="J238" s="301"/>
      <c r="K238" s="301"/>
      <c r="L238" s="301"/>
    </row>
    <row r="239" ht="15.75" customHeight="1">
      <c r="B239" s="301"/>
      <c r="C239" s="301"/>
      <c r="D239" s="301"/>
      <c r="E239" s="301"/>
      <c r="F239" s="301"/>
      <c r="G239" s="301"/>
      <c r="H239" s="301"/>
      <c r="I239" s="301"/>
      <c r="J239" s="301"/>
      <c r="K239" s="301"/>
      <c r="L239" s="301"/>
    </row>
    <row r="240" ht="15.75" customHeight="1">
      <c r="B240" s="301"/>
      <c r="C240" s="301"/>
      <c r="D240" s="301"/>
      <c r="E240" s="301"/>
      <c r="F240" s="301"/>
      <c r="G240" s="301"/>
      <c r="H240" s="301"/>
      <c r="I240" s="301"/>
      <c r="J240" s="301"/>
      <c r="K240" s="301"/>
      <c r="L240" s="301"/>
    </row>
    <row r="241" ht="15.75" customHeight="1">
      <c r="B241" s="301"/>
      <c r="C241" s="301"/>
      <c r="D241" s="301"/>
      <c r="E241" s="301"/>
      <c r="F241" s="301"/>
      <c r="G241" s="301"/>
      <c r="H241" s="301"/>
      <c r="I241" s="301"/>
      <c r="J241" s="301"/>
      <c r="K241" s="301"/>
      <c r="L241" s="301"/>
    </row>
    <row r="242" ht="15.75" customHeight="1">
      <c r="B242" s="301"/>
      <c r="C242" s="301"/>
      <c r="D242" s="301"/>
      <c r="E242" s="301"/>
      <c r="F242" s="301"/>
      <c r="G242" s="301"/>
      <c r="H242" s="301"/>
      <c r="I242" s="301"/>
      <c r="J242" s="301"/>
      <c r="K242" s="301"/>
      <c r="L242" s="301"/>
    </row>
    <row r="243" ht="15.75" customHeight="1">
      <c r="B243" s="301"/>
      <c r="C243" s="301"/>
      <c r="D243" s="301"/>
      <c r="E243" s="301"/>
      <c r="F243" s="301"/>
      <c r="G243" s="301"/>
      <c r="H243" s="301"/>
      <c r="I243" s="301"/>
      <c r="J243" s="301"/>
      <c r="K243" s="301"/>
      <c r="L243" s="301"/>
    </row>
    <row r="244" ht="15.75" customHeight="1">
      <c r="B244" s="301"/>
      <c r="C244" s="301"/>
      <c r="D244" s="301"/>
      <c r="E244" s="301"/>
      <c r="F244" s="301"/>
      <c r="G244" s="301"/>
      <c r="H244" s="301"/>
      <c r="I244" s="301"/>
      <c r="J244" s="301"/>
      <c r="K244" s="301"/>
      <c r="L244" s="301"/>
    </row>
    <row r="245" ht="15.75" customHeight="1">
      <c r="B245" s="301"/>
      <c r="C245" s="301"/>
      <c r="D245" s="301"/>
      <c r="E245" s="301"/>
      <c r="F245" s="301"/>
      <c r="G245" s="301"/>
      <c r="H245" s="301"/>
      <c r="I245" s="301"/>
      <c r="J245" s="301"/>
      <c r="K245" s="301"/>
      <c r="L245" s="301"/>
    </row>
    <row r="246" ht="15.75" customHeight="1">
      <c r="B246" s="301"/>
      <c r="C246" s="301"/>
      <c r="D246" s="301"/>
      <c r="E246" s="301"/>
      <c r="F246" s="301"/>
      <c r="G246" s="301"/>
      <c r="H246" s="301"/>
      <c r="I246" s="301"/>
      <c r="J246" s="301"/>
      <c r="K246" s="301"/>
      <c r="L246" s="301"/>
    </row>
    <row r="247" ht="15.75" customHeight="1">
      <c r="B247" s="301"/>
      <c r="C247" s="301"/>
      <c r="D247" s="301"/>
      <c r="E247" s="301"/>
      <c r="F247" s="301"/>
      <c r="G247" s="301"/>
      <c r="H247" s="301"/>
      <c r="I247" s="301"/>
      <c r="J247" s="301"/>
      <c r="K247" s="301"/>
      <c r="L247" s="301"/>
    </row>
    <row r="248" ht="15.75" customHeight="1">
      <c r="B248" s="301"/>
      <c r="C248" s="301"/>
      <c r="D248" s="301"/>
      <c r="E248" s="301"/>
      <c r="F248" s="301"/>
      <c r="G248" s="301"/>
      <c r="H248" s="301"/>
      <c r="I248" s="301"/>
      <c r="J248" s="301"/>
      <c r="K248" s="301"/>
      <c r="L248" s="301"/>
    </row>
    <row r="249" ht="15.75" customHeight="1">
      <c r="B249" s="301"/>
      <c r="C249" s="301"/>
      <c r="D249" s="301"/>
      <c r="E249" s="301"/>
      <c r="F249" s="301"/>
      <c r="G249" s="301"/>
      <c r="H249" s="301"/>
      <c r="I249" s="301"/>
      <c r="J249" s="301"/>
      <c r="K249" s="301"/>
      <c r="L249" s="301"/>
    </row>
    <row r="250" ht="15.75" customHeight="1">
      <c r="B250" s="301"/>
      <c r="C250" s="301"/>
      <c r="D250" s="301"/>
      <c r="E250" s="301"/>
      <c r="F250" s="301"/>
      <c r="G250" s="301"/>
      <c r="H250" s="301"/>
      <c r="I250" s="301"/>
      <c r="J250" s="301"/>
      <c r="K250" s="301"/>
      <c r="L250" s="301"/>
    </row>
    <row r="251" ht="15.75" customHeight="1">
      <c r="B251" s="301"/>
      <c r="C251" s="301"/>
      <c r="D251" s="301"/>
      <c r="E251" s="301"/>
      <c r="F251" s="301"/>
      <c r="G251" s="301"/>
      <c r="H251" s="301"/>
      <c r="I251" s="301"/>
      <c r="J251" s="301"/>
      <c r="K251" s="301"/>
      <c r="L251" s="301"/>
    </row>
    <row r="252" ht="15.75" customHeight="1">
      <c r="B252" s="301"/>
      <c r="C252" s="301"/>
      <c r="D252" s="301"/>
      <c r="E252" s="301"/>
      <c r="F252" s="301"/>
      <c r="G252" s="301"/>
      <c r="H252" s="301"/>
      <c r="I252" s="301"/>
      <c r="J252" s="301"/>
      <c r="K252" s="301"/>
      <c r="L252" s="301"/>
    </row>
    <row r="253" ht="15.75" customHeight="1">
      <c r="B253" s="301"/>
      <c r="C253" s="301"/>
      <c r="D253" s="301"/>
      <c r="E253" s="301"/>
      <c r="F253" s="301"/>
      <c r="G253" s="301"/>
      <c r="H253" s="301"/>
      <c r="I253" s="301"/>
      <c r="J253" s="301"/>
      <c r="K253" s="301"/>
      <c r="L253" s="301"/>
    </row>
    <row r="254" ht="15.75" customHeight="1">
      <c r="B254" s="301"/>
      <c r="C254" s="301"/>
      <c r="D254" s="301"/>
      <c r="E254" s="301"/>
      <c r="F254" s="301"/>
      <c r="G254" s="301"/>
      <c r="H254" s="301"/>
      <c r="I254" s="301"/>
      <c r="J254" s="301"/>
      <c r="K254" s="301"/>
      <c r="L254" s="301"/>
    </row>
    <row r="255" ht="15.75" customHeight="1">
      <c r="B255" s="301"/>
      <c r="C255" s="301"/>
      <c r="D255" s="301"/>
      <c r="E255" s="301"/>
      <c r="F255" s="301"/>
      <c r="G255" s="301"/>
      <c r="H255" s="301"/>
      <c r="I255" s="301"/>
      <c r="J255" s="301"/>
      <c r="K255" s="301"/>
      <c r="L255" s="301"/>
    </row>
    <row r="256" ht="15.75" customHeight="1">
      <c r="B256" s="301"/>
      <c r="C256" s="301"/>
      <c r="D256" s="301"/>
      <c r="E256" s="301"/>
      <c r="F256" s="301"/>
      <c r="G256" s="301"/>
      <c r="H256" s="301"/>
      <c r="I256" s="301"/>
      <c r="J256" s="301"/>
      <c r="K256" s="301"/>
      <c r="L256" s="301"/>
    </row>
    <row r="257" ht="15.75" customHeight="1">
      <c r="B257" s="301"/>
      <c r="C257" s="301"/>
      <c r="D257" s="301"/>
      <c r="E257" s="301"/>
      <c r="F257" s="301"/>
      <c r="G257" s="301"/>
      <c r="H257" s="301"/>
      <c r="I257" s="301"/>
      <c r="J257" s="301"/>
      <c r="K257" s="301"/>
      <c r="L257" s="301"/>
    </row>
    <row r="258" ht="15.75" customHeight="1">
      <c r="B258" s="301"/>
      <c r="C258" s="301"/>
      <c r="D258" s="301"/>
      <c r="E258" s="301"/>
      <c r="F258" s="301"/>
      <c r="G258" s="301"/>
      <c r="H258" s="301"/>
      <c r="I258" s="301"/>
      <c r="J258" s="301"/>
      <c r="K258" s="301"/>
      <c r="L258" s="301"/>
    </row>
    <row r="259" ht="15.75" customHeight="1">
      <c r="B259" s="301"/>
      <c r="C259" s="301"/>
      <c r="D259" s="301"/>
      <c r="E259" s="301"/>
      <c r="F259" s="301"/>
      <c r="G259" s="301"/>
      <c r="H259" s="301"/>
      <c r="I259" s="301"/>
      <c r="J259" s="301"/>
      <c r="K259" s="301"/>
      <c r="L259" s="301"/>
    </row>
    <row r="260" ht="15.75" customHeight="1">
      <c r="B260" s="301"/>
      <c r="C260" s="301"/>
      <c r="D260" s="301"/>
      <c r="E260" s="301"/>
      <c r="F260" s="301"/>
      <c r="G260" s="301"/>
      <c r="H260" s="301"/>
      <c r="I260" s="301"/>
      <c r="J260" s="301"/>
      <c r="K260" s="301"/>
      <c r="L260" s="301"/>
    </row>
    <row r="261" ht="15.75" customHeight="1">
      <c r="B261" s="301"/>
      <c r="C261" s="301"/>
      <c r="D261" s="301"/>
      <c r="E261" s="301"/>
      <c r="F261" s="301"/>
      <c r="G261" s="301"/>
      <c r="H261" s="301"/>
      <c r="I261" s="301"/>
      <c r="J261" s="301"/>
      <c r="K261" s="301"/>
      <c r="L261" s="301"/>
    </row>
    <row r="262" ht="15.75" customHeight="1">
      <c r="B262" s="301"/>
      <c r="C262" s="301"/>
      <c r="D262" s="301"/>
      <c r="E262" s="301"/>
      <c r="F262" s="301"/>
      <c r="G262" s="301"/>
      <c r="H262" s="301"/>
      <c r="I262" s="301"/>
      <c r="J262" s="301"/>
      <c r="K262" s="301"/>
      <c r="L262" s="301"/>
    </row>
    <row r="263" ht="15.75" customHeight="1">
      <c r="B263" s="301"/>
      <c r="C263" s="301"/>
      <c r="D263" s="301"/>
      <c r="E263" s="301"/>
      <c r="F263" s="301"/>
      <c r="G263" s="301"/>
      <c r="H263" s="301"/>
      <c r="I263" s="301"/>
      <c r="J263" s="301"/>
      <c r="K263" s="301"/>
      <c r="L263" s="301"/>
    </row>
    <row r="264" ht="15.75" customHeight="1">
      <c r="B264" s="301"/>
      <c r="C264" s="301"/>
      <c r="D264" s="301"/>
      <c r="E264" s="301"/>
      <c r="F264" s="301"/>
      <c r="G264" s="301"/>
      <c r="H264" s="301"/>
      <c r="I264" s="301"/>
      <c r="J264" s="301"/>
      <c r="K264" s="301"/>
      <c r="L264" s="301"/>
    </row>
    <row r="265" ht="15.75" customHeight="1">
      <c r="B265" s="301"/>
      <c r="C265" s="301"/>
      <c r="D265" s="301"/>
      <c r="E265" s="301"/>
      <c r="F265" s="301"/>
      <c r="G265" s="301"/>
      <c r="H265" s="301"/>
      <c r="I265" s="301"/>
      <c r="J265" s="301"/>
      <c r="K265" s="301"/>
      <c r="L265" s="301"/>
    </row>
    <row r="266" ht="15.75" customHeight="1">
      <c r="B266" s="301"/>
      <c r="C266" s="301"/>
      <c r="D266" s="301"/>
      <c r="E266" s="301"/>
      <c r="F266" s="301"/>
      <c r="G266" s="301"/>
      <c r="H266" s="301"/>
      <c r="I266" s="301"/>
      <c r="J266" s="301"/>
      <c r="K266" s="301"/>
      <c r="L266" s="301"/>
    </row>
    <row r="267" ht="15.75" customHeight="1">
      <c r="B267" s="301"/>
      <c r="C267" s="301"/>
      <c r="D267" s="301"/>
      <c r="E267" s="301"/>
      <c r="F267" s="301"/>
      <c r="G267" s="301"/>
      <c r="H267" s="301"/>
      <c r="I267" s="301"/>
      <c r="J267" s="301"/>
      <c r="K267" s="301"/>
      <c r="L267" s="301"/>
    </row>
    <row r="268" ht="15.75" customHeight="1">
      <c r="B268" s="301"/>
      <c r="C268" s="301"/>
      <c r="D268" s="301"/>
      <c r="E268" s="301"/>
      <c r="F268" s="301"/>
      <c r="G268" s="301"/>
      <c r="H268" s="301"/>
      <c r="I268" s="301"/>
      <c r="J268" s="301"/>
      <c r="K268" s="301"/>
      <c r="L268" s="301"/>
    </row>
    <row r="269" ht="15.75" customHeight="1">
      <c r="B269" s="301"/>
      <c r="C269" s="301"/>
      <c r="D269" s="301"/>
      <c r="E269" s="301"/>
      <c r="F269" s="301"/>
      <c r="G269" s="301"/>
      <c r="H269" s="301"/>
      <c r="I269" s="301"/>
      <c r="J269" s="301"/>
      <c r="K269" s="301"/>
      <c r="L269" s="301"/>
    </row>
    <row r="270" ht="15.75" customHeight="1">
      <c r="B270" s="301"/>
      <c r="C270" s="301"/>
      <c r="D270" s="301"/>
      <c r="E270" s="301"/>
      <c r="F270" s="301"/>
      <c r="G270" s="301"/>
      <c r="H270" s="301"/>
      <c r="I270" s="301"/>
      <c r="J270" s="301"/>
      <c r="K270" s="301"/>
      <c r="L270" s="301"/>
    </row>
    <row r="271" ht="15.75" customHeight="1">
      <c r="B271" s="301"/>
      <c r="C271" s="301"/>
      <c r="D271" s="301"/>
      <c r="E271" s="301"/>
      <c r="F271" s="301"/>
      <c r="G271" s="301"/>
      <c r="H271" s="301"/>
      <c r="I271" s="301"/>
      <c r="J271" s="301"/>
      <c r="K271" s="301"/>
      <c r="L271" s="301"/>
    </row>
    <row r="272" ht="15.75" customHeight="1">
      <c r="B272" s="301"/>
      <c r="C272" s="301"/>
      <c r="D272" s="301"/>
      <c r="E272" s="301"/>
      <c r="F272" s="301"/>
      <c r="G272" s="301"/>
      <c r="H272" s="301"/>
      <c r="I272" s="301"/>
      <c r="J272" s="301"/>
      <c r="K272" s="301"/>
      <c r="L272" s="301"/>
    </row>
    <row r="273" ht="15.75" customHeight="1">
      <c r="B273" s="301"/>
      <c r="C273" s="301"/>
      <c r="D273" s="301"/>
      <c r="E273" s="301"/>
      <c r="F273" s="301"/>
      <c r="G273" s="301"/>
      <c r="H273" s="301"/>
      <c r="I273" s="301"/>
      <c r="J273" s="301"/>
      <c r="K273" s="301"/>
      <c r="L273" s="301"/>
    </row>
    <row r="274" ht="15.75" customHeight="1">
      <c r="B274" s="301"/>
      <c r="C274" s="301"/>
      <c r="D274" s="301"/>
      <c r="E274" s="301"/>
      <c r="F274" s="301"/>
      <c r="G274" s="301"/>
      <c r="H274" s="301"/>
      <c r="I274" s="301"/>
      <c r="J274" s="301"/>
      <c r="K274" s="301"/>
      <c r="L274" s="301"/>
    </row>
    <row r="275" ht="15.75" customHeight="1">
      <c r="B275" s="301"/>
      <c r="C275" s="301"/>
      <c r="D275" s="301"/>
      <c r="E275" s="301"/>
      <c r="F275" s="301"/>
      <c r="G275" s="301"/>
      <c r="H275" s="301"/>
      <c r="I275" s="301"/>
      <c r="J275" s="301"/>
      <c r="K275" s="301"/>
      <c r="L275" s="301"/>
    </row>
    <row r="276" ht="15.75" customHeight="1">
      <c r="B276" s="301"/>
      <c r="C276" s="301"/>
      <c r="D276" s="301"/>
      <c r="E276" s="301"/>
      <c r="F276" s="301"/>
      <c r="G276" s="301"/>
      <c r="H276" s="301"/>
      <c r="I276" s="301"/>
      <c r="J276" s="301"/>
      <c r="K276" s="301"/>
      <c r="L276" s="30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2016</v>
      </c>
      <c r="C2" s="15">
        <f>IFERROR(IF(VLOOKUP("Income Statement*",'7.TIKR_IS'!$A:$K,COLUMN(C3),FALSE)="","",IFERROR(YEAR(VLOOKUP("Income Statement*",'7.TIKR_IS'!$A:$K,COLUMN(C3),FALSE)),B2+1)),"")</f>
        <v>2017</v>
      </c>
      <c r="D2" s="15">
        <f>IFERROR(IF(VLOOKUP("Income Statement*",'7.TIKR_IS'!$A:$K,COLUMN(D3),FALSE)="","",IFERROR(YEAR(VLOOKUP("Income Statement*",'7.TIKR_IS'!$A:$K,COLUMN(D3),FALSE)),C2+1)),"")</f>
        <v>2018</v>
      </c>
      <c r="E2" s="15">
        <f>IFERROR(IF(VLOOKUP("Income Statement*",'7.TIKR_IS'!$A:$K,COLUMN(E3),FALSE)="","",IFERROR(YEAR(VLOOKUP("Income Statement*",'7.TIKR_IS'!$A:$K,COLUMN(E3),FALSE)),D2+1)),"")</f>
        <v>2019</v>
      </c>
      <c r="F2" s="15">
        <f>IFERROR(IF(VLOOKUP("Income Statement*",'7.TIKR_IS'!$A:$K,COLUMN(F3),FALSE)="","",IFERROR(YEAR(VLOOKUP("Income Statement*",'7.TIKR_IS'!$A:$K,COLUMN(F3),FALSE)),E2+1)),"")</f>
        <v>2020</v>
      </c>
      <c r="G2" s="15">
        <f>IFERROR(IF(VLOOKUP("Income Statement*",'7.TIKR_IS'!$A:$K,COLUMN(G3),FALSE)="","",IFERROR(YEAR(VLOOKUP("Income Statement*",'7.TIKR_IS'!$A:$K,COLUMN(G3),FALSE)),F2+1)),"")</f>
        <v>2021</v>
      </c>
      <c r="H2" s="15">
        <f>IFERROR(IF(VLOOKUP("Income Statement*",'7.TIKR_IS'!$A:$K,COLUMN(H3),FALSE)="","",IFERROR(YEAR(VLOOKUP("Income Statement*",'7.TIKR_IS'!$A:$K,COLUMN(H3),FALSE)),G2+1)),"")</f>
        <v>2022</v>
      </c>
      <c r="I2" s="15">
        <f>IFERROR(IF(VLOOKUP("Income Statement*",'7.TIKR_IS'!$A:$K,COLUMN(I3),FALSE)="","",IFERROR(YEAR(VLOOKUP("Income Statement*",'7.TIKR_IS'!$A:$K,COLUMN(I3),FALSE)),H2+1)),"")</f>
        <v>2023</v>
      </c>
      <c r="J2" s="15">
        <f>IFERROR(IF(VLOOKUP("Income Statement*",'7.TIKR_IS'!$A:$K,COLUMN(J3),FALSE)="","",IFERROR(YEAR(VLOOKUP("Income Statement*",'7.TIKR_IS'!$A:$K,COLUMN(J3),FALSE)),I2+1)),"")</f>
        <v>2024</v>
      </c>
      <c r="K2" s="15">
        <f>IFERROR(IF(VLOOKUP("Income Statement*",'7.TIKR_IS'!$A:$K,COLUMN(K3),FALSE)="","",IFERROR(YEAR(VLOOKUP("Income Statement*",'7.TIKR_IS'!$A:$K,COLUMN(K3),FALSE)),J2+1)),"")</f>
        <v>2025</v>
      </c>
      <c r="L2" s="16" t="str">
        <f>IF(K2&lt;&gt;"",(K2+1)&amp;"e","")</f>
        <v>2026e</v>
      </c>
      <c r="M2" s="16" t="str">
        <f t="shared" ref="M2:P2" si="1">IF(L2&lt;&gt;"",(LEFT(L2,4)+1)&amp;"e","")</f>
        <v>2027e</v>
      </c>
      <c r="N2" s="16" t="str">
        <f t="shared" si="1"/>
        <v>2028e</v>
      </c>
      <c r="O2" s="16" t="str">
        <f t="shared" si="1"/>
        <v>2029e</v>
      </c>
      <c r="P2" s="16" t="str">
        <f t="shared" si="1"/>
        <v>2030e</v>
      </c>
      <c r="Q2" s="17"/>
      <c r="R2" s="18"/>
      <c r="S2" s="19" t="str">
        <f>"Promedio "&amp;CHAR(10)&amp;B2&amp;" - "&amp;K2</f>
        <v>Promedio 
2016 - 2025</v>
      </c>
      <c r="T2" s="20"/>
      <c r="U2" s="20"/>
      <c r="V2" s="20"/>
      <c r="W2" s="21"/>
      <c r="X2" s="21"/>
      <c r="Y2" s="21"/>
      <c r="Z2" s="21"/>
    </row>
    <row r="3" ht="24.75" customHeight="1">
      <c r="A3" s="22" t="s">
        <v>16</v>
      </c>
      <c r="B3" s="23">
        <f>IFERROR(VLOOKUP("Total Revenues*",'7.TIKR_IS'!$A:$K,COLUMN(B3),FALSE),"0")</f>
        <v>482130</v>
      </c>
      <c r="C3" s="24">
        <f>IFERROR(VLOOKUP("Total Revenues*",'7.TIKR_IS'!$A:$K,COLUMN(C3),FALSE),"0")</f>
        <v>485873</v>
      </c>
      <c r="D3" s="24">
        <f>IFERROR(VLOOKUP("Total Revenues*",'7.TIKR_IS'!$A:$K,COLUMN(D3),FALSE),"0")</f>
        <v>500343</v>
      </c>
      <c r="E3" s="24">
        <f>IFERROR(VLOOKUP("Total Revenues*",'7.TIKR_IS'!$A:$K,COLUMN(E3),FALSE),"0")</f>
        <v>514405</v>
      </c>
      <c r="F3" s="24">
        <f>IFERROR(VLOOKUP("Total Revenues*",'7.TIKR_IS'!$A:$K,COLUMN(F3),FALSE),"0")</f>
        <v>523964</v>
      </c>
      <c r="G3" s="24">
        <f>IFERROR(VLOOKUP("Total Revenues*",'7.TIKR_IS'!$A:$K,COLUMN(G3),FALSE),"0")</f>
        <v>559151</v>
      </c>
      <c r="H3" s="24">
        <f>IFERROR(VLOOKUP("Total Revenues*",'7.TIKR_IS'!$A:$K,COLUMN(H3),FALSE),"0")</f>
        <v>572754</v>
      </c>
      <c r="I3" s="24">
        <f>IFERROR(VLOOKUP("Total Revenues*",'7.TIKR_IS'!$A:$K,COLUMN(I3),FALSE),"0")</f>
        <v>611289</v>
      </c>
      <c r="J3" s="24">
        <f>IFERROR(VLOOKUP("Total Revenues*",'7.TIKR_IS'!$A:$K,COLUMN(J3),FALSE),"0")</f>
        <v>648125</v>
      </c>
      <c r="K3" s="24">
        <f>IFERROR(VLOOKUP("Total Revenues*",'7.TIKR_IS'!$A:$K,COLUMN(K3),FALSE),"0")</f>
        <v>680985</v>
      </c>
      <c r="L3" s="25">
        <f t="shared" ref="L3:P3" si="2">IFERROR(K3*(1+L4),"")</f>
        <v>711629.325</v>
      </c>
      <c r="M3" s="26">
        <f t="shared" si="2"/>
        <v>743652.6446</v>
      </c>
      <c r="N3" s="26">
        <f t="shared" si="2"/>
        <v>777117.0136</v>
      </c>
      <c r="O3" s="26">
        <f t="shared" si="2"/>
        <v>812087.2792</v>
      </c>
      <c r="P3" s="27">
        <f t="shared" si="2"/>
        <v>848631.2068</v>
      </c>
      <c r="Q3" s="21"/>
      <c r="R3" s="28" t="s">
        <v>17</v>
      </c>
      <c r="S3" s="29">
        <v>0.045</v>
      </c>
      <c r="T3" s="20"/>
      <c r="U3" s="20"/>
      <c r="V3" s="20"/>
      <c r="W3" s="21"/>
      <c r="X3" s="21"/>
      <c r="Y3" s="21"/>
      <c r="Z3" s="21"/>
    </row>
    <row r="4" ht="24.75" customHeight="1">
      <c r="A4" s="30" t="s">
        <v>18</v>
      </c>
      <c r="B4" s="31"/>
      <c r="C4" s="32">
        <f t="shared" ref="C4:K4" si="3">IFERROR((C3-B3)/B3,"")</f>
        <v>0.007763466285</v>
      </c>
      <c r="D4" s="32">
        <f t="shared" si="3"/>
        <v>0.02978144495</v>
      </c>
      <c r="E4" s="32">
        <f t="shared" si="3"/>
        <v>0.02810472016</v>
      </c>
      <c r="F4" s="32">
        <f t="shared" si="3"/>
        <v>0.01858263431</v>
      </c>
      <c r="G4" s="32">
        <f t="shared" si="3"/>
        <v>0.06715537709</v>
      </c>
      <c r="H4" s="32">
        <f t="shared" si="3"/>
        <v>0.02432795435</v>
      </c>
      <c r="I4" s="33">
        <f t="shared" si="3"/>
        <v>0.06728019359</v>
      </c>
      <c r="J4" s="33">
        <f t="shared" si="3"/>
        <v>0.0602595499</v>
      </c>
      <c r="K4" s="33">
        <f t="shared" si="3"/>
        <v>0.05070009643</v>
      </c>
      <c r="L4" s="34">
        <f>S3</f>
        <v>0.045</v>
      </c>
      <c r="M4" s="35">
        <f t="shared" ref="M4:P4" si="4">L4</f>
        <v>0.045</v>
      </c>
      <c r="N4" s="35">
        <f t="shared" si="4"/>
        <v>0.045</v>
      </c>
      <c r="O4" s="35">
        <f t="shared" si="4"/>
        <v>0.045</v>
      </c>
      <c r="P4" s="36">
        <f t="shared" si="4"/>
        <v>0.045</v>
      </c>
      <c r="Q4" s="21"/>
      <c r="R4" s="28" t="s">
        <v>19</v>
      </c>
      <c r="S4" s="29">
        <v>0.048</v>
      </c>
      <c r="T4" s="20"/>
      <c r="U4" s="20"/>
      <c r="V4" s="20"/>
      <c r="W4" s="21"/>
      <c r="X4" s="21"/>
      <c r="Y4" s="21"/>
      <c r="Z4" s="21"/>
    </row>
    <row r="5" ht="24.75" customHeight="1">
      <c r="A5" s="37" t="s">
        <v>20</v>
      </c>
      <c r="B5" s="38">
        <f t="shared" ref="B5:K5" si="5">B9-B8</f>
        <v>33559</v>
      </c>
      <c r="C5" s="39">
        <f t="shared" si="5"/>
        <v>32844</v>
      </c>
      <c r="D5" s="39">
        <f t="shared" si="5"/>
        <v>31466</v>
      </c>
      <c r="E5" s="39">
        <f t="shared" si="5"/>
        <v>32635</v>
      </c>
      <c r="F5" s="39">
        <f t="shared" si="5"/>
        <v>32455</v>
      </c>
      <c r="G5" s="39">
        <f t="shared" si="5"/>
        <v>33700</v>
      </c>
      <c r="H5" s="39">
        <f t="shared" si="5"/>
        <v>36600</v>
      </c>
      <c r="I5" s="39">
        <f t="shared" si="5"/>
        <v>35473</v>
      </c>
      <c r="J5" s="39">
        <f t="shared" si="5"/>
        <v>38865</v>
      </c>
      <c r="K5" s="39">
        <f t="shared" si="5"/>
        <v>42477</v>
      </c>
      <c r="L5" s="40">
        <v>45150.0</v>
      </c>
      <c r="M5" s="41">
        <v>49000.0</v>
      </c>
      <c r="N5" s="41">
        <v>52500.0</v>
      </c>
      <c r="O5" s="41">
        <v>56500.0</v>
      </c>
      <c r="P5" s="42">
        <v>61000.0</v>
      </c>
      <c r="Q5" s="21"/>
      <c r="R5" s="28" t="s">
        <v>21</v>
      </c>
      <c r="S5" s="29">
        <v>0.245</v>
      </c>
      <c r="T5" s="20"/>
      <c r="U5" s="20"/>
      <c r="V5" s="20"/>
      <c r="W5" s="21"/>
      <c r="X5" s="21"/>
      <c r="Y5" s="21"/>
      <c r="Z5" s="21"/>
    </row>
    <row r="6" ht="24.75" customHeight="1">
      <c r="A6" s="30" t="s">
        <v>22</v>
      </c>
      <c r="B6" s="31">
        <f t="shared" ref="B6:K6" si="6">IFERROR((B5/B3),"")</f>
        <v>0.069605708</v>
      </c>
      <c r="C6" s="32">
        <f t="shared" si="6"/>
        <v>0.06759791139</v>
      </c>
      <c r="D6" s="32">
        <f t="shared" si="6"/>
        <v>0.06288885824</v>
      </c>
      <c r="E6" s="32">
        <f t="shared" si="6"/>
        <v>0.06344222937</v>
      </c>
      <c r="F6" s="32">
        <f t="shared" si="6"/>
        <v>0.06194127841</v>
      </c>
      <c r="G6" s="32">
        <f t="shared" si="6"/>
        <v>0.06026994497</v>
      </c>
      <c r="H6" s="32">
        <f t="shared" si="6"/>
        <v>0.06390177982</v>
      </c>
      <c r="I6" s="33">
        <f t="shared" si="6"/>
        <v>0.05802983532</v>
      </c>
      <c r="J6" s="33">
        <f t="shared" si="6"/>
        <v>0.05996528447</v>
      </c>
      <c r="K6" s="33">
        <f t="shared" si="6"/>
        <v>0.06237582326</v>
      </c>
      <c r="L6" s="43">
        <f t="shared" ref="L6:P6" si="7">IFERROR(L5/L3,"")</f>
        <v>0.06344595201</v>
      </c>
      <c r="M6" s="33">
        <f t="shared" si="7"/>
        <v>0.06589097794</v>
      </c>
      <c r="N6" s="33">
        <f t="shared" si="7"/>
        <v>0.06755739365</v>
      </c>
      <c r="O6" s="33">
        <f t="shared" si="7"/>
        <v>0.06957380253</v>
      </c>
      <c r="P6" s="44">
        <f t="shared" si="7"/>
        <v>0.07188045821</v>
      </c>
      <c r="Q6" s="21"/>
      <c r="R6" s="45" t="s">
        <v>23</v>
      </c>
      <c r="S6" s="46">
        <v>-0.013</v>
      </c>
      <c r="T6" s="20"/>
      <c r="U6" s="20"/>
      <c r="V6" s="20"/>
      <c r="W6" s="21"/>
      <c r="X6" s="21"/>
      <c r="Y6" s="21"/>
      <c r="Z6" s="21"/>
    </row>
    <row r="7" ht="24.75" customHeight="1">
      <c r="A7" s="30" t="s">
        <v>18</v>
      </c>
      <c r="B7" s="31"/>
      <c r="C7" s="32">
        <f t="shared" ref="C7:P7" si="8">IFERROR((C5-B5)/B5,"")</f>
        <v>-0.02130576</v>
      </c>
      <c r="D7" s="32">
        <f t="shared" si="8"/>
        <v>-0.0419559128</v>
      </c>
      <c r="E7" s="32">
        <f t="shared" si="8"/>
        <v>0.03715121083</v>
      </c>
      <c r="F7" s="32">
        <f t="shared" si="8"/>
        <v>-0.005515550789</v>
      </c>
      <c r="G7" s="32">
        <f t="shared" si="8"/>
        <v>0.03836080727</v>
      </c>
      <c r="H7" s="32">
        <f t="shared" si="8"/>
        <v>0.08605341246</v>
      </c>
      <c r="I7" s="32">
        <f t="shared" si="8"/>
        <v>-0.03079234973</v>
      </c>
      <c r="J7" s="32">
        <f t="shared" si="8"/>
        <v>0.09562202238</v>
      </c>
      <c r="K7" s="32">
        <f t="shared" si="8"/>
        <v>0.09293708993</v>
      </c>
      <c r="L7" s="31">
        <f t="shared" si="8"/>
        <v>0.06292817289</v>
      </c>
      <c r="M7" s="32">
        <f t="shared" si="8"/>
        <v>0.08527131783</v>
      </c>
      <c r="N7" s="32">
        <f t="shared" si="8"/>
        <v>0.07142857143</v>
      </c>
      <c r="O7" s="32">
        <f t="shared" si="8"/>
        <v>0.07619047619</v>
      </c>
      <c r="P7" s="47">
        <f t="shared" si="8"/>
        <v>0.0796460177</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-9454</v>
      </c>
      <c r="C8" s="51">
        <f>IFERROR(-VLOOKUP("Depreciation*",'9.TIKR_CF'!$A:$K,COLUMN(C8),FALSE)-IFERROR(VLOOKUP("Amortization of Goodwill and Intangible Assets*",'9.TIKR_CF'!$A:$K,COLUMN(C8),FALSE),"0"),"0")</f>
        <v>-10080</v>
      </c>
      <c r="D8" s="51">
        <f>IFERROR(-VLOOKUP("Depreciation*",'9.TIKR_CF'!$A:$K,COLUMN(D8),FALSE)-IFERROR(VLOOKUP("Amortization of Goodwill and Intangible Assets*",'9.TIKR_CF'!$A:$K,COLUMN(D8),FALSE),"0"),"0")</f>
        <v>-10529</v>
      </c>
      <c r="E8" s="51">
        <f>IFERROR(-VLOOKUP("Depreciation*",'9.TIKR_CF'!$A:$K,COLUMN(E8),FALSE)-IFERROR(VLOOKUP("Amortization of Goodwill and Intangible Assets*",'9.TIKR_CF'!$A:$K,COLUMN(E8),FALSE),"0"),"0")</f>
        <v>-10678</v>
      </c>
      <c r="F8" s="51">
        <f>IFERROR(-VLOOKUP("Depreciation*",'9.TIKR_CF'!$A:$K,COLUMN(F8),FALSE)-IFERROR(VLOOKUP("Amortization of Goodwill and Intangible Assets*",'9.TIKR_CF'!$A:$K,COLUMN(F8),FALSE),"0"),"0")</f>
        <v>-10987</v>
      </c>
      <c r="G8" s="51">
        <f>IFERROR(-VLOOKUP("Depreciation*",'9.TIKR_CF'!$A:$K,COLUMN(G8),FALSE)-IFERROR(VLOOKUP("Amortization of Goodwill and Intangible Assets*",'9.TIKR_CF'!$A:$K,COLUMN(G8),FALSE),"0"),"0")</f>
        <v>-11152</v>
      </c>
      <c r="H8" s="51">
        <f>IFERROR(-VLOOKUP("Depreciation*",'9.TIKR_CF'!$A:$K,COLUMN(H8),FALSE)-IFERROR(VLOOKUP("Amortization of Goodwill and Intangible Assets*",'9.TIKR_CF'!$A:$K,COLUMN(H8),FALSE),"0"),"0")</f>
        <v>-10658</v>
      </c>
      <c r="I8" s="51">
        <f>IFERROR(-VLOOKUP("Depreciation*",'9.TIKR_CF'!$A:$K,COLUMN(I8),FALSE)-IFERROR(VLOOKUP("Amortization of Goodwill and Intangible Assets*",'9.TIKR_CF'!$A:$K,COLUMN(I8),FALSE),"0"),"0")</f>
        <v>-10945</v>
      </c>
      <c r="J8" s="51">
        <f>IFERROR(-VLOOKUP("Depreciation*",'9.TIKR_CF'!$A:$K,COLUMN(J8),FALSE)-IFERROR(VLOOKUP("Amortization of Goodwill and Intangible Assets*",'9.TIKR_CF'!$A:$K,COLUMN(J8),FALSE),"0"),"0")</f>
        <v>-11853</v>
      </c>
      <c r="K8" s="51">
        <f>IFERROR(-VLOOKUP("Depreciation*",'9.TIKR_CF'!$A:$K,COLUMN(K8),FALSE)-IFERROR(VLOOKUP("Amortization of Goodwill and Intangible Assets*",'9.TIKR_CF'!$A:$K,COLUMN(K8),FALSE),"0"),"0")</f>
        <v>-12973</v>
      </c>
      <c r="L8" s="52">
        <f t="shared" ref="L8:P8" si="9">IFERROR(K8*(1+L4),"")</f>
        <v>-13556.785</v>
      </c>
      <c r="M8" s="53">
        <f t="shared" si="9"/>
        <v>-14166.84033</v>
      </c>
      <c r="N8" s="53">
        <f t="shared" si="9"/>
        <v>-14804.34814</v>
      </c>
      <c r="O8" s="53">
        <f t="shared" si="9"/>
        <v>-15470.54381</v>
      </c>
      <c r="P8" s="54">
        <f t="shared" si="9"/>
        <v>-16166.71828</v>
      </c>
      <c r="Q8" s="21"/>
      <c r="R8" s="21"/>
      <c r="S8" s="55"/>
      <c r="T8" s="20"/>
      <c r="U8" s="20"/>
      <c r="V8" s="20"/>
      <c r="W8" s="21"/>
      <c r="X8" s="21"/>
      <c r="Y8" s="21"/>
      <c r="Z8" s="21"/>
    </row>
    <row r="9" ht="24.75" customHeight="1">
      <c r="A9" s="22" t="s">
        <v>25</v>
      </c>
      <c r="B9" s="56">
        <f>IFERROR(VLOOKUP("Operating Income*",'7.TIKR_IS'!$A:$K,COLUMN(B2),FALSE),"0")</f>
        <v>24105</v>
      </c>
      <c r="C9" s="57">
        <f>IFERROR(VLOOKUP("Operating Income*",'7.TIKR_IS'!$A:$K,COLUMN(C2),FALSE),"0")</f>
        <v>22764</v>
      </c>
      <c r="D9" s="57">
        <f>IFERROR(VLOOKUP("Operating Income*",'7.TIKR_IS'!$A:$K,COLUMN(D2),FALSE),"0")</f>
        <v>20937</v>
      </c>
      <c r="E9" s="57">
        <f>IFERROR(VLOOKUP("Operating Income*",'7.TIKR_IS'!$A:$K,COLUMN(E2),FALSE),"0")</f>
        <v>21957</v>
      </c>
      <c r="F9" s="57">
        <f>IFERROR(VLOOKUP("Operating Income*",'7.TIKR_IS'!$A:$K,COLUMN(F2),FALSE),"0")</f>
        <v>21468</v>
      </c>
      <c r="G9" s="57">
        <f>IFERROR(VLOOKUP("Operating Income*",'7.TIKR_IS'!$A:$K,COLUMN(G2),FALSE),"0")</f>
        <v>22548</v>
      </c>
      <c r="H9" s="57">
        <f>IFERROR(VLOOKUP("Operating Income*",'7.TIKR_IS'!$A:$K,COLUMN(H2),FALSE),"0")</f>
        <v>25942</v>
      </c>
      <c r="I9" s="57">
        <f>IFERROR(VLOOKUP("Operating Income*",'7.TIKR_IS'!$A:$K,COLUMN(I2),FALSE),"0")</f>
        <v>24528</v>
      </c>
      <c r="J9" s="57">
        <f>IFERROR(VLOOKUP("Operating Income*",'7.TIKR_IS'!$A:$K,COLUMN(J2),FALSE),"0")</f>
        <v>27012</v>
      </c>
      <c r="K9" s="57">
        <f>IFERROR(VLOOKUP("Operating Income*",'7.TIKR_IS'!$A:$K,COLUMN(K2),FALSE),"0")</f>
        <v>29504</v>
      </c>
      <c r="L9" s="38">
        <f t="shared" ref="L9:P9" si="10">IFERROR(L3*L10,"")</f>
        <v>34158.2076</v>
      </c>
      <c r="M9" s="39">
        <f t="shared" si="10"/>
        <v>35695.32694</v>
      </c>
      <c r="N9" s="39">
        <f t="shared" si="10"/>
        <v>37301.61665</v>
      </c>
      <c r="O9" s="39">
        <f t="shared" si="10"/>
        <v>38980.1894</v>
      </c>
      <c r="P9" s="58">
        <f t="shared" si="10"/>
        <v>40734.29793</v>
      </c>
      <c r="Q9" s="21"/>
      <c r="R9" s="21"/>
      <c r="S9" s="59"/>
      <c r="T9" s="20"/>
      <c r="U9" s="20"/>
      <c r="V9" s="20"/>
      <c r="W9" s="21"/>
      <c r="X9" s="21"/>
      <c r="Y9" s="21"/>
      <c r="Z9" s="21"/>
    </row>
    <row r="10" ht="24.75" customHeight="1">
      <c r="A10" s="30" t="s">
        <v>26</v>
      </c>
      <c r="B10" s="31">
        <f t="shared" ref="B10:K10" si="11">IFERROR((B9/B3),"")</f>
        <v>0.04999688881</v>
      </c>
      <c r="C10" s="32">
        <f t="shared" si="11"/>
        <v>0.04685174933</v>
      </c>
      <c r="D10" s="32">
        <f t="shared" si="11"/>
        <v>0.04184529413</v>
      </c>
      <c r="E10" s="32">
        <f t="shared" si="11"/>
        <v>0.04268426629</v>
      </c>
      <c r="F10" s="32">
        <f t="shared" si="11"/>
        <v>0.04097228054</v>
      </c>
      <c r="G10" s="32">
        <f t="shared" si="11"/>
        <v>0.04032542193</v>
      </c>
      <c r="H10" s="32">
        <f t="shared" si="11"/>
        <v>0.04529344186</v>
      </c>
      <c r="I10" s="33">
        <f t="shared" si="11"/>
        <v>0.04012504724</v>
      </c>
      <c r="J10" s="33">
        <f t="shared" si="11"/>
        <v>0.04167714561</v>
      </c>
      <c r="K10" s="33">
        <f t="shared" si="11"/>
        <v>0.04332547707</v>
      </c>
      <c r="L10" s="34">
        <f>S4</f>
        <v>0.048</v>
      </c>
      <c r="M10" s="35">
        <f t="shared" ref="M10:P10" si="12">L10</f>
        <v>0.048</v>
      </c>
      <c r="N10" s="35">
        <f t="shared" si="12"/>
        <v>0.048</v>
      </c>
      <c r="O10" s="35">
        <f t="shared" si="12"/>
        <v>0.048</v>
      </c>
      <c r="P10" s="36">
        <f t="shared" si="12"/>
        <v>0.048</v>
      </c>
      <c r="Q10" s="60"/>
      <c r="R10" s="21"/>
      <c r="S10" s="61"/>
      <c r="T10" s="20"/>
      <c r="U10" s="20"/>
      <c r="V10" s="20"/>
      <c r="W10" s="21"/>
      <c r="X10" s="21"/>
      <c r="Y10" s="21"/>
      <c r="Z10" s="21"/>
    </row>
    <row r="11" ht="24.75" customHeight="1">
      <c r="A11" s="30" t="s">
        <v>18</v>
      </c>
      <c r="B11" s="31"/>
      <c r="C11" s="32">
        <f t="shared" ref="C11:P11" si="13">IFERROR((C9-B9)/B9,"")</f>
        <v>-0.0556316117</v>
      </c>
      <c r="D11" s="32">
        <f t="shared" si="13"/>
        <v>-0.08025830258</v>
      </c>
      <c r="E11" s="32">
        <f t="shared" si="13"/>
        <v>0.04871758132</v>
      </c>
      <c r="F11" s="32">
        <f t="shared" si="13"/>
        <v>-0.02227080202</v>
      </c>
      <c r="G11" s="32">
        <f t="shared" si="13"/>
        <v>0.05030743432</v>
      </c>
      <c r="H11" s="32">
        <f t="shared" si="13"/>
        <v>0.150523328</v>
      </c>
      <c r="I11" s="32">
        <f t="shared" si="13"/>
        <v>-0.05450620615</v>
      </c>
      <c r="J11" s="32">
        <f t="shared" si="13"/>
        <v>0.1012720157</v>
      </c>
      <c r="K11" s="32">
        <f t="shared" si="13"/>
        <v>0.09225529394</v>
      </c>
      <c r="L11" s="31">
        <f t="shared" si="13"/>
        <v>0.1577483595</v>
      </c>
      <c r="M11" s="32">
        <f t="shared" si="13"/>
        <v>0.045</v>
      </c>
      <c r="N11" s="32">
        <f t="shared" si="13"/>
        <v>0.045</v>
      </c>
      <c r="O11" s="32">
        <f t="shared" si="13"/>
        <v>0.045</v>
      </c>
      <c r="P11" s="47">
        <f t="shared" si="13"/>
        <v>0.045</v>
      </c>
      <c r="Q11" s="21"/>
      <c r="R11" s="21"/>
      <c r="S11" s="61"/>
      <c r="T11" s="20"/>
      <c r="U11" s="20"/>
      <c r="V11" s="20"/>
      <c r="W11" s="21"/>
      <c r="X11" s="21"/>
      <c r="Y11" s="21"/>
      <c r="Z11" s="21"/>
    </row>
    <row r="12" ht="24.75" customHeight="1">
      <c r="A12" s="49" t="s">
        <v>27</v>
      </c>
      <c r="B12" s="50">
        <f>IFERROR(VLOOKUP("Interest Expense*",'7.TIKR_IS'!$A:$K,COLUMN(B12),FALSE),"0")</f>
        <v>-2548</v>
      </c>
      <c r="C12" s="51">
        <f>IFERROR(VLOOKUP("Interest Expense*",'7.TIKR_IS'!$A:$K,COLUMN(C12),FALSE),"0")</f>
        <v>-2367</v>
      </c>
      <c r="D12" s="51">
        <f>IFERROR(VLOOKUP("Interest Expense*",'7.TIKR_IS'!$A:$K,COLUMN(D12),FALSE),"0")</f>
        <v>-2330</v>
      </c>
      <c r="E12" s="51">
        <f>IFERROR(VLOOKUP("Interest Expense*",'7.TIKR_IS'!$A:$K,COLUMN(E12),FALSE),"0")</f>
        <v>-2346</v>
      </c>
      <c r="F12" s="51">
        <f>IFERROR(VLOOKUP("Interest Expense*",'7.TIKR_IS'!$A:$K,COLUMN(F12),FALSE),"0")</f>
        <v>-2599</v>
      </c>
      <c r="G12" s="51">
        <f>IFERROR(VLOOKUP("Interest Expense*",'7.TIKR_IS'!$A:$K,COLUMN(G12),FALSE),"0")</f>
        <v>-2315</v>
      </c>
      <c r="H12" s="51">
        <f>IFERROR(VLOOKUP("Interest Expense*",'7.TIKR_IS'!$A:$K,COLUMN(H12),FALSE),"0")</f>
        <v>-1994</v>
      </c>
      <c r="I12" s="51">
        <f>IFERROR(VLOOKUP("Interest Expense*",'7.TIKR_IS'!$A:$K,COLUMN(I12),FALSE),"0")</f>
        <v>-2128</v>
      </c>
      <c r="J12" s="51">
        <f>IFERROR(VLOOKUP("Interest Expense*",'7.TIKR_IS'!$A:$K,COLUMN(J12),FALSE),"0")</f>
        <v>-2683</v>
      </c>
      <c r="K12" s="51">
        <f>IFERROR(VLOOKUP("Interest Expense*",'7.TIKR_IS'!$A:$K,COLUMN(K12),FALSE),"0")</f>
        <v>-2728</v>
      </c>
      <c r="L12" s="52">
        <f>IFERROR(-'TIKR_Cálculos'!$B$27*SUM('3.ROIC'!L6:L7),"")</f>
        <v>-2535.73352</v>
      </c>
      <c r="M12" s="53">
        <f>IFERROR(-'TIKR_Cálculos'!$B$27*SUM('3.ROIC'!M6:M7),"")</f>
        <v>-2751.958859</v>
      </c>
      <c r="N12" s="53">
        <f>IFERROR(-'TIKR_Cálculos'!$B$27*SUM('3.ROIC'!N6:N7),"")</f>
        <v>-2948.527349</v>
      </c>
      <c r="O12" s="53">
        <f>IFERROR(-'TIKR_Cálculos'!$B$27*SUM('3.ROIC'!O6:O7),"")</f>
        <v>-3173.177052</v>
      </c>
      <c r="P12" s="54">
        <f>IFERROR(-'TIKR_Cálculos'!$B$27*SUM('3.ROIC'!P6:P7),"")</f>
        <v>-3425.907967</v>
      </c>
      <c r="Q12" s="21"/>
      <c r="R12" s="21"/>
      <c r="S12" s="61"/>
      <c r="T12" s="20"/>
      <c r="U12" s="20"/>
      <c r="V12" s="20"/>
      <c r="W12" s="21"/>
      <c r="X12" s="21"/>
      <c r="Y12" s="21"/>
      <c r="Z12" s="21"/>
    </row>
    <row r="13" ht="24.75" customHeight="1">
      <c r="A13" s="49" t="s">
        <v>28</v>
      </c>
      <c r="B13" s="50">
        <f>IFERROR(VLOOKUP("Interest And Investment Income*",'7.TIKR_IS'!$A:$K,COLUMN(B13),FALSE),"0")</f>
        <v>81</v>
      </c>
      <c r="C13" s="51">
        <f>IFERROR(VLOOKUP("Interest And Investment Income*",'7.TIKR_IS'!$A:$K,COLUMN(C13),FALSE),"0")</f>
        <v>100</v>
      </c>
      <c r="D13" s="51">
        <f>IFERROR(VLOOKUP("Interest And Investment Income*",'7.TIKR_IS'!$A:$K,COLUMN(D13),FALSE),"0")</f>
        <v>152</v>
      </c>
      <c r="E13" s="51">
        <f>IFERROR(VLOOKUP("Interest And Investment Income*",'7.TIKR_IS'!$A:$K,COLUMN(E13),FALSE),"0")</f>
        <v>217</v>
      </c>
      <c r="F13" s="51">
        <f>IFERROR(VLOOKUP("Interest And Investment Income*",'7.TIKR_IS'!$A:$K,COLUMN(F13),FALSE),"0")</f>
        <v>189</v>
      </c>
      <c r="G13" s="51">
        <f>IFERROR(VLOOKUP("Interest And Investment Income*",'7.TIKR_IS'!$A:$K,COLUMN(G13),FALSE),"0")</f>
        <v>121</v>
      </c>
      <c r="H13" s="51">
        <f>IFERROR(VLOOKUP("Interest And Investment Income*",'7.TIKR_IS'!$A:$K,COLUMN(H13),FALSE),"0")</f>
        <v>158</v>
      </c>
      <c r="I13" s="51">
        <f>IFERROR(VLOOKUP("Interest And Investment Income*",'7.TIKR_IS'!$A:$K,COLUMN(I13),FALSE),"0")</f>
        <v>454</v>
      </c>
      <c r="J13" s="51">
        <f>IFERROR(VLOOKUP("Interest And Investment Income*",'7.TIKR_IS'!$A:$K,COLUMN(J13),FALSE),"0")</f>
        <v>546</v>
      </c>
      <c r="K13" s="51">
        <f>IFERROR(VLOOKUP("Interest And Investment Income*",'7.TIKR_IS'!$A:$K,COLUMN(K13),FALSE),"0")</f>
        <v>483</v>
      </c>
      <c r="L13" s="52">
        <f>IFERROR('TIKR_Cálculos'!$B$26*'3.ROIC'!L5,"")</f>
        <v>0</v>
      </c>
      <c r="M13" s="53">
        <f>IFERROR('TIKR_Cálculos'!$B$26*'3.ROIC'!M5,"")</f>
        <v>0</v>
      </c>
      <c r="N13" s="53">
        <f>IFERROR('TIKR_Cálculos'!$B$26*'3.ROIC'!N5,"")</f>
        <v>0</v>
      </c>
      <c r="O13" s="53">
        <f>IFERROR('TIKR_Cálculos'!$B$26*'3.ROIC'!O5,"")</f>
        <v>0</v>
      </c>
      <c r="P13" s="54">
        <f>IFERROR('TIKR_Cálculos'!$B$26*'3.ROIC'!P5,"")</f>
        <v>0</v>
      </c>
      <c r="Q13" s="21"/>
      <c r="R13" s="62" t="s">
        <v>29</v>
      </c>
      <c r="S13" s="59"/>
      <c r="T13" s="20"/>
      <c r="U13" s="20"/>
      <c r="V13" s="20"/>
      <c r="W13" s="21"/>
      <c r="X13" s="21"/>
      <c r="Y13" s="21"/>
      <c r="Z13" s="21"/>
    </row>
    <row r="14" ht="24.75" customHeight="1">
      <c r="A14" s="30" t="s">
        <v>30</v>
      </c>
      <c r="B14" s="52">
        <f t="shared" ref="B14:K14" si="14">B12+B13</f>
        <v>-2467</v>
      </c>
      <c r="C14" s="53">
        <f t="shared" si="14"/>
        <v>-2267</v>
      </c>
      <c r="D14" s="53">
        <f t="shared" si="14"/>
        <v>-2178</v>
      </c>
      <c r="E14" s="53">
        <f t="shared" si="14"/>
        <v>-2129</v>
      </c>
      <c r="F14" s="53">
        <f t="shared" si="14"/>
        <v>-2410</v>
      </c>
      <c r="G14" s="53">
        <f t="shared" si="14"/>
        <v>-2194</v>
      </c>
      <c r="H14" s="53">
        <f t="shared" si="14"/>
        <v>-1836</v>
      </c>
      <c r="I14" s="53">
        <f t="shared" si="14"/>
        <v>-1674</v>
      </c>
      <c r="J14" s="53">
        <f t="shared" si="14"/>
        <v>-2137</v>
      </c>
      <c r="K14" s="53">
        <f t="shared" si="14"/>
        <v>-2245</v>
      </c>
      <c r="L14" s="52">
        <f t="shared" ref="L14:P14" si="15">IFERROR(SUM(L12:L13),"")</f>
        <v>-2535.73352</v>
      </c>
      <c r="M14" s="53">
        <f t="shared" si="15"/>
        <v>-2751.958859</v>
      </c>
      <c r="N14" s="53">
        <f t="shared" si="15"/>
        <v>-2948.527349</v>
      </c>
      <c r="O14" s="53">
        <f t="shared" si="15"/>
        <v>-3173.177052</v>
      </c>
      <c r="P14" s="54">
        <f t="shared" si="15"/>
        <v>-3425.907967</v>
      </c>
      <c r="Q14" s="21"/>
      <c r="S14" s="59"/>
      <c r="T14" s="20"/>
      <c r="U14" s="20"/>
      <c r="V14" s="20"/>
      <c r="W14" s="21"/>
      <c r="X14" s="21"/>
      <c r="Y14" s="21"/>
      <c r="Z14" s="21"/>
    </row>
    <row r="15" ht="24.75" customHeight="1">
      <c r="A15" s="30" t="s">
        <v>31</v>
      </c>
      <c r="B15" s="52">
        <f t="shared" ref="B15:P15" si="16">IFERROR(B9+B14,"")</f>
        <v>21638</v>
      </c>
      <c r="C15" s="53">
        <f t="shared" si="16"/>
        <v>20497</v>
      </c>
      <c r="D15" s="53">
        <f t="shared" si="16"/>
        <v>18759</v>
      </c>
      <c r="E15" s="53">
        <f t="shared" si="16"/>
        <v>19828</v>
      </c>
      <c r="F15" s="53">
        <f t="shared" si="16"/>
        <v>19058</v>
      </c>
      <c r="G15" s="53">
        <f t="shared" si="16"/>
        <v>20354</v>
      </c>
      <c r="H15" s="53">
        <f t="shared" si="16"/>
        <v>24106</v>
      </c>
      <c r="I15" s="53">
        <f t="shared" si="16"/>
        <v>22854</v>
      </c>
      <c r="J15" s="53">
        <f t="shared" si="16"/>
        <v>24875</v>
      </c>
      <c r="K15" s="53">
        <f t="shared" si="16"/>
        <v>27259</v>
      </c>
      <c r="L15" s="52">
        <f t="shared" si="16"/>
        <v>31622.47408</v>
      </c>
      <c r="M15" s="53">
        <f t="shared" si="16"/>
        <v>32943.36808</v>
      </c>
      <c r="N15" s="53">
        <f t="shared" si="16"/>
        <v>34353.08931</v>
      </c>
      <c r="O15" s="53">
        <f t="shared" si="16"/>
        <v>35807.01235</v>
      </c>
      <c r="P15" s="54">
        <f t="shared" si="16"/>
        <v>37308.38996</v>
      </c>
      <c r="Q15" s="21"/>
      <c r="S15" s="59"/>
      <c r="T15" s="20"/>
      <c r="U15" s="20"/>
      <c r="V15" s="20"/>
      <c r="W15" s="21"/>
      <c r="X15" s="21"/>
      <c r="Y15" s="21"/>
      <c r="Z15" s="21"/>
    </row>
    <row r="16" ht="24.75" customHeight="1">
      <c r="A16" s="49" t="s">
        <v>32</v>
      </c>
      <c r="B16" s="50">
        <f>IFERROR(VLOOKUP("Income Tax Expense*",'7.TIKR_IS'!$A:$K,COLUMN(B16),FALSE),"0")</f>
        <v>-6558</v>
      </c>
      <c r="C16" s="51">
        <f>IFERROR(VLOOKUP("Income Tax Expense*",'7.TIKR_IS'!$A:$K,COLUMN(C16),FALSE),"0")</f>
        <v>-6204</v>
      </c>
      <c r="D16" s="51">
        <f>IFERROR(VLOOKUP("Income Tax Expense*",'7.TIKR_IS'!$A:$K,COLUMN(D16),FALSE),"0")</f>
        <v>-4600</v>
      </c>
      <c r="E16" s="51">
        <f>IFERROR(VLOOKUP("Income Tax Expense*",'7.TIKR_IS'!$A:$K,COLUMN(E16),FALSE),"0")</f>
        <v>-4281</v>
      </c>
      <c r="F16" s="51">
        <f>IFERROR(VLOOKUP("Income Tax Expense*",'7.TIKR_IS'!$A:$K,COLUMN(F16),FALSE),"0")</f>
        <v>-4915</v>
      </c>
      <c r="G16" s="51">
        <f>IFERROR(VLOOKUP("Income Tax Expense*",'7.TIKR_IS'!$A:$K,COLUMN(G16),FALSE),"0")</f>
        <v>-6858</v>
      </c>
      <c r="H16" s="51">
        <f>IFERROR(VLOOKUP("Income Tax Expense*",'7.TIKR_IS'!$A:$K,COLUMN(H16),FALSE),"0")</f>
        <v>-4756</v>
      </c>
      <c r="I16" s="51">
        <f>IFERROR(VLOOKUP("Income Tax Expense*",'7.TIKR_IS'!$A:$K,COLUMN(I16),FALSE),"0")</f>
        <v>-5724</v>
      </c>
      <c r="J16" s="51">
        <f>IFERROR(VLOOKUP("Income Tax Expense*",'7.TIKR_IS'!$A:$K,COLUMN(J16),FALSE),"0")</f>
        <v>-5578</v>
      </c>
      <c r="K16" s="51">
        <f>IFERROR(VLOOKUP("Income Tax Expense*",'7.TIKR_IS'!$A:$K,COLUMN(K16),FALSE),"0")</f>
        <v>-6152</v>
      </c>
      <c r="L16" s="52">
        <f t="shared" ref="L16:P16" si="17">IFERROR(-L15*L17,"")</f>
        <v>-7747.50615</v>
      </c>
      <c r="M16" s="53">
        <f t="shared" si="17"/>
        <v>-8071.12518</v>
      </c>
      <c r="N16" s="53">
        <f t="shared" si="17"/>
        <v>-8416.50688</v>
      </c>
      <c r="O16" s="53">
        <f t="shared" si="17"/>
        <v>-8772.718026</v>
      </c>
      <c r="P16" s="54">
        <f t="shared" si="17"/>
        <v>-9140.55554</v>
      </c>
      <c r="Q16" s="21"/>
      <c r="R16" s="17"/>
      <c r="S16" s="59"/>
      <c r="T16" s="20"/>
      <c r="U16" s="20"/>
      <c r="V16" s="20"/>
      <c r="W16" s="21"/>
      <c r="X16" s="21"/>
      <c r="Y16" s="21"/>
      <c r="Z16" s="21"/>
    </row>
    <row r="17" ht="24.75" customHeight="1">
      <c r="A17" s="30" t="s">
        <v>33</v>
      </c>
      <c r="B17" s="31">
        <f t="shared" ref="B17:K17" si="18">IFERROR((ABS(B16)/B15),"")</f>
        <v>0.3030779185</v>
      </c>
      <c r="C17" s="32">
        <f t="shared" si="18"/>
        <v>0.3026784407</v>
      </c>
      <c r="D17" s="32">
        <f t="shared" si="18"/>
        <v>0.2452156298</v>
      </c>
      <c r="E17" s="32">
        <f t="shared" si="18"/>
        <v>0.2159067985</v>
      </c>
      <c r="F17" s="32">
        <f t="shared" si="18"/>
        <v>0.2578969462</v>
      </c>
      <c r="G17" s="32">
        <f t="shared" si="18"/>
        <v>0.3369362288</v>
      </c>
      <c r="H17" s="32">
        <f t="shared" si="18"/>
        <v>0.1972952792</v>
      </c>
      <c r="I17" s="33">
        <f t="shared" si="18"/>
        <v>0.2504594382</v>
      </c>
      <c r="J17" s="33">
        <f t="shared" si="18"/>
        <v>0.224241206</v>
      </c>
      <c r="K17" s="33">
        <f t="shared" si="18"/>
        <v>0.2256869291</v>
      </c>
      <c r="L17" s="34">
        <f>S5</f>
        <v>0.245</v>
      </c>
      <c r="M17" s="35">
        <f t="shared" ref="M17:P17" si="19">L17</f>
        <v>0.245</v>
      </c>
      <c r="N17" s="35">
        <f t="shared" si="19"/>
        <v>0.245</v>
      </c>
      <c r="O17" s="35">
        <f t="shared" si="19"/>
        <v>0.245</v>
      </c>
      <c r="P17" s="36">
        <f t="shared" si="19"/>
        <v>0.245</v>
      </c>
      <c r="Q17" s="21"/>
      <c r="R17" s="21"/>
      <c r="S17" s="55"/>
      <c r="T17" s="20"/>
      <c r="U17" s="20"/>
      <c r="V17" s="20"/>
      <c r="W17" s="21"/>
      <c r="X17" s="21"/>
      <c r="Y17" s="21"/>
      <c r="Z17" s="21"/>
    </row>
    <row r="18" ht="24.75" customHeight="1">
      <c r="A18" s="30" t="s">
        <v>34</v>
      </c>
      <c r="B18" s="52">
        <f t="shared" ref="B18:K18" si="20">B15+B16</f>
        <v>15080</v>
      </c>
      <c r="C18" s="53">
        <f t="shared" si="20"/>
        <v>14293</v>
      </c>
      <c r="D18" s="53">
        <f t="shared" si="20"/>
        <v>14159</v>
      </c>
      <c r="E18" s="53">
        <f t="shared" si="20"/>
        <v>15547</v>
      </c>
      <c r="F18" s="53">
        <f t="shared" si="20"/>
        <v>14143</v>
      </c>
      <c r="G18" s="53">
        <f t="shared" si="20"/>
        <v>13496</v>
      </c>
      <c r="H18" s="53">
        <f t="shared" si="20"/>
        <v>19350</v>
      </c>
      <c r="I18" s="53">
        <f t="shared" si="20"/>
        <v>17130</v>
      </c>
      <c r="J18" s="53">
        <f t="shared" si="20"/>
        <v>19297</v>
      </c>
      <c r="K18" s="53">
        <f t="shared" si="20"/>
        <v>21107</v>
      </c>
      <c r="L18" s="52">
        <f t="shared" ref="L18:P18" si="21">IFERROR(L15+L16,"")</f>
        <v>23874.96793</v>
      </c>
      <c r="M18" s="53">
        <f t="shared" si="21"/>
        <v>24872.2429</v>
      </c>
      <c r="N18" s="53">
        <f t="shared" si="21"/>
        <v>25936.58243</v>
      </c>
      <c r="O18" s="53">
        <f t="shared" si="21"/>
        <v>27034.29433</v>
      </c>
      <c r="P18" s="54">
        <f t="shared" si="21"/>
        <v>28167.83442</v>
      </c>
      <c r="Q18" s="21"/>
      <c r="R18" s="21"/>
      <c r="S18" s="55"/>
      <c r="T18" s="20"/>
      <c r="U18" s="20"/>
      <c r="V18" s="20"/>
      <c r="W18" s="21"/>
      <c r="X18" s="21"/>
      <c r="Y18" s="21"/>
      <c r="Z18" s="21"/>
    </row>
    <row r="19" ht="24.75" customHeight="1">
      <c r="A19" s="49" t="s">
        <v>35</v>
      </c>
      <c r="B19" s="50">
        <f>IFERROR(VLOOKUP("Minority Interest*",'7.TIKR_IS'!$A:$K,COLUMN(B19),FALSE),"0")</f>
        <v>-386</v>
      </c>
      <c r="C19" s="51">
        <f>IFERROR(VLOOKUP("Minority Interest*",'7.TIKR_IS'!$A:$K,COLUMN(C19),FALSE),"0")</f>
        <v>-650</v>
      </c>
      <c r="D19" s="51">
        <f>IFERROR(VLOOKUP("Minority Interest*",'7.TIKR_IS'!$A:$K,COLUMN(D19),FALSE),"0")</f>
        <v>-661</v>
      </c>
      <c r="E19" s="51">
        <f>IFERROR(VLOOKUP("Minority Interest*",'7.TIKR_IS'!$A:$K,COLUMN(E19),FALSE),"0")</f>
        <v>-509</v>
      </c>
      <c r="F19" s="51">
        <f>IFERROR(VLOOKUP("Minority Interest*",'7.TIKR_IS'!$A:$K,COLUMN(F19),FALSE),"0")</f>
        <v>-320</v>
      </c>
      <c r="G19" s="51">
        <f>IFERROR(VLOOKUP("Minority Interest*",'7.TIKR_IS'!$A:$K,COLUMN(G19),FALSE),"0")</f>
        <v>-196</v>
      </c>
      <c r="H19" s="51">
        <f>IFERROR(VLOOKUP("Minority Interest*",'7.TIKR_IS'!$A:$K,COLUMN(H19),FALSE),"0")</f>
        <v>-267</v>
      </c>
      <c r="I19" s="51">
        <f>IFERROR(VLOOKUP("Minority Interest*",'7.TIKR_IS'!$A:$K,COLUMN(I19),FALSE),"0")</f>
        <v>388</v>
      </c>
      <c r="J19" s="51">
        <f>IFERROR(VLOOKUP("Minority Interest*",'7.TIKR_IS'!$A:$K,COLUMN(J19),FALSE),"0")</f>
        <v>-759</v>
      </c>
      <c r="K19" s="51">
        <f>IFERROR(VLOOKUP("Minority Interest*",'7.TIKR_IS'!$A:$K,COLUMN(K19),FALSE),"0")</f>
        <v>-721</v>
      </c>
      <c r="L19" s="52">
        <f t="shared" ref="L19:P19" si="22">IFERROR(K19/K18*L18,"")</f>
        <v>-815.5518017</v>
      </c>
      <c r="M19" s="53">
        <f t="shared" si="22"/>
        <v>-849.6180003</v>
      </c>
      <c r="N19" s="53">
        <f t="shared" si="22"/>
        <v>-885.975076</v>
      </c>
      <c r="O19" s="53">
        <f t="shared" si="22"/>
        <v>-923.4721282</v>
      </c>
      <c r="P19" s="54">
        <f t="shared" si="22"/>
        <v>-962.1930457</v>
      </c>
      <c r="Q19" s="21"/>
      <c r="R19" s="21"/>
      <c r="S19" s="55"/>
      <c r="T19" s="20"/>
      <c r="U19" s="20"/>
      <c r="V19" s="20"/>
      <c r="W19" s="21"/>
      <c r="X19" s="21"/>
      <c r="Y19" s="21"/>
      <c r="Z19" s="21"/>
    </row>
    <row r="20" ht="24.75" customHeight="1">
      <c r="A20" s="30" t="s">
        <v>36</v>
      </c>
      <c r="B20" s="52">
        <f t="shared" ref="B20:K20" si="23">B18+B19</f>
        <v>14694</v>
      </c>
      <c r="C20" s="53">
        <f t="shared" si="23"/>
        <v>13643</v>
      </c>
      <c r="D20" s="53">
        <f t="shared" si="23"/>
        <v>13498</v>
      </c>
      <c r="E20" s="53">
        <f t="shared" si="23"/>
        <v>15038</v>
      </c>
      <c r="F20" s="53">
        <f t="shared" si="23"/>
        <v>13823</v>
      </c>
      <c r="G20" s="53">
        <f t="shared" si="23"/>
        <v>13300</v>
      </c>
      <c r="H20" s="53">
        <f t="shared" si="23"/>
        <v>19083</v>
      </c>
      <c r="I20" s="53">
        <f t="shared" si="23"/>
        <v>17518</v>
      </c>
      <c r="J20" s="53">
        <f t="shared" si="23"/>
        <v>18538</v>
      </c>
      <c r="K20" s="53">
        <f t="shared" si="23"/>
        <v>20386</v>
      </c>
      <c r="L20" s="52">
        <f t="shared" ref="L20:P20" si="24">IFERROR(L18+L19,"")</f>
        <v>23059.41613</v>
      </c>
      <c r="M20" s="53">
        <f t="shared" si="24"/>
        <v>24022.6249</v>
      </c>
      <c r="N20" s="53">
        <f t="shared" si="24"/>
        <v>25050.60735</v>
      </c>
      <c r="O20" s="53">
        <f t="shared" si="24"/>
        <v>26110.8222</v>
      </c>
      <c r="P20" s="54">
        <f t="shared" si="24"/>
        <v>27205.64137</v>
      </c>
      <c r="Q20" s="21"/>
      <c r="R20" s="21"/>
      <c r="S20" s="55"/>
      <c r="T20" s="20"/>
      <c r="U20" s="20"/>
      <c r="V20" s="20"/>
      <c r="W20" s="21"/>
      <c r="X20" s="21"/>
      <c r="Y20" s="21"/>
      <c r="Z20" s="21"/>
    </row>
    <row r="21" ht="24.75" customHeight="1">
      <c r="A21" s="30" t="s">
        <v>37</v>
      </c>
      <c r="B21" s="31">
        <f t="shared" ref="B21:P21" si="25">IFERROR(B20/B3,"")</f>
        <v>0.03047725717</v>
      </c>
      <c r="C21" s="32">
        <f t="shared" si="25"/>
        <v>0.02807935407</v>
      </c>
      <c r="D21" s="32">
        <f t="shared" si="25"/>
        <v>0.02697749344</v>
      </c>
      <c r="E21" s="32">
        <f t="shared" si="25"/>
        <v>0.02923377494</v>
      </c>
      <c r="F21" s="32">
        <f t="shared" si="25"/>
        <v>0.02638158347</v>
      </c>
      <c r="G21" s="32">
        <f t="shared" si="25"/>
        <v>0.02378606137</v>
      </c>
      <c r="H21" s="32">
        <f t="shared" si="25"/>
        <v>0.03331796897</v>
      </c>
      <c r="I21" s="32">
        <f t="shared" si="25"/>
        <v>0.02865747625</v>
      </c>
      <c r="J21" s="32">
        <f t="shared" si="25"/>
        <v>0.02860250723</v>
      </c>
      <c r="K21" s="32">
        <f t="shared" si="25"/>
        <v>0.02993604852</v>
      </c>
      <c r="L21" s="31">
        <f t="shared" si="25"/>
        <v>0.03240369012</v>
      </c>
      <c r="M21" s="32">
        <f t="shared" si="25"/>
        <v>0.03230355607</v>
      </c>
      <c r="N21" s="32">
        <f t="shared" si="25"/>
        <v>0.03223530937</v>
      </c>
      <c r="O21" s="32">
        <f t="shared" si="25"/>
        <v>0.03215272898</v>
      </c>
      <c r="P21" s="47">
        <f t="shared" si="25"/>
        <v>0.03205826177</v>
      </c>
      <c r="Q21" s="21"/>
      <c r="R21" s="21"/>
      <c r="S21" s="55"/>
      <c r="T21" s="20"/>
      <c r="U21" s="20"/>
      <c r="V21" s="20"/>
      <c r="W21" s="21"/>
      <c r="X21" s="21"/>
      <c r="Y21" s="21"/>
      <c r="Z21" s="21"/>
    </row>
    <row r="22" ht="24.75" customHeight="1">
      <c r="A22" s="30" t="s">
        <v>18</v>
      </c>
      <c r="B22" s="31"/>
      <c r="C22" s="32">
        <f t="shared" ref="C22:P22" si="26">IFERROR((C20-B20)/B20,"")</f>
        <v>-0.07152579284</v>
      </c>
      <c r="D22" s="32">
        <f t="shared" si="26"/>
        <v>-0.01062816096</v>
      </c>
      <c r="E22" s="32">
        <f t="shared" si="26"/>
        <v>0.1140909764</v>
      </c>
      <c r="F22" s="32">
        <f t="shared" si="26"/>
        <v>-0.08079531853</v>
      </c>
      <c r="G22" s="32">
        <f t="shared" si="26"/>
        <v>-0.03783549157</v>
      </c>
      <c r="H22" s="32">
        <f t="shared" si="26"/>
        <v>0.4348120301</v>
      </c>
      <c r="I22" s="32">
        <f t="shared" si="26"/>
        <v>-0.08201016612</v>
      </c>
      <c r="J22" s="32">
        <f t="shared" si="26"/>
        <v>0.05822582487</v>
      </c>
      <c r="K22" s="32">
        <f t="shared" si="26"/>
        <v>0.09968712914</v>
      </c>
      <c r="L22" s="31">
        <f t="shared" si="26"/>
        <v>0.1311398081</v>
      </c>
      <c r="M22" s="32">
        <f t="shared" si="26"/>
        <v>0.04177073558</v>
      </c>
      <c r="N22" s="32">
        <f t="shared" si="26"/>
        <v>0.04279226152</v>
      </c>
      <c r="O22" s="32">
        <f t="shared" si="26"/>
        <v>0.04232291989</v>
      </c>
      <c r="P22" s="47">
        <f t="shared" si="26"/>
        <v>0.04192970899</v>
      </c>
      <c r="Q22" s="21"/>
      <c r="R22" s="21"/>
      <c r="S22" s="55"/>
      <c r="T22" s="20"/>
      <c r="U22" s="20"/>
      <c r="V22" s="20"/>
      <c r="W22" s="21"/>
      <c r="X22" s="21"/>
      <c r="Y22" s="21"/>
      <c r="Z22" s="21"/>
    </row>
    <row r="23" ht="24.75" customHeight="1">
      <c r="A23" s="37" t="s">
        <v>38</v>
      </c>
      <c r="B23" s="63">
        <f t="shared" ref="B23:P23" si="27">IFERROR(B20/B25,"")</f>
        <v>1.522536525</v>
      </c>
      <c r="C23" s="64">
        <f t="shared" si="27"/>
        <v>1.461332476</v>
      </c>
      <c r="D23" s="64">
        <f t="shared" si="27"/>
        <v>1.494795127</v>
      </c>
      <c r="E23" s="64">
        <f t="shared" si="27"/>
        <v>1.702093945</v>
      </c>
      <c r="F23" s="64">
        <f t="shared" si="27"/>
        <v>1.606578336</v>
      </c>
      <c r="G23" s="64">
        <f t="shared" si="27"/>
        <v>1.557194708</v>
      </c>
      <c r="H23" s="64">
        <f t="shared" si="27"/>
        <v>2.267736185</v>
      </c>
      <c r="I23" s="64">
        <f t="shared" si="27"/>
        <v>2.135820532</v>
      </c>
      <c r="J23" s="64">
        <f t="shared" si="27"/>
        <v>2.286383818</v>
      </c>
      <c r="K23" s="64">
        <f t="shared" si="27"/>
        <v>2.522707586</v>
      </c>
      <c r="L23" s="63">
        <f t="shared" si="27"/>
        <v>2.891119528</v>
      </c>
      <c r="M23" s="64">
        <f t="shared" si="27"/>
        <v>3.051553919</v>
      </c>
      <c r="N23" s="64">
        <f t="shared" si="27"/>
        <v>3.224049455</v>
      </c>
      <c r="O23" s="64">
        <f t="shared" si="27"/>
        <v>3.404762555</v>
      </c>
      <c r="P23" s="65">
        <f t="shared" si="27"/>
        <v>3.594248488</v>
      </c>
      <c r="Q23" s="21"/>
      <c r="R23" s="21"/>
      <c r="S23" s="21"/>
      <c r="T23" s="20"/>
      <c r="U23" s="20"/>
      <c r="V23" s="20"/>
      <c r="W23" s="21"/>
      <c r="X23" s="21"/>
      <c r="Y23" s="21"/>
      <c r="Z23" s="21"/>
    </row>
    <row r="24" ht="24.75" customHeight="1">
      <c r="A24" s="30" t="s">
        <v>18</v>
      </c>
      <c r="B24" s="31"/>
      <c r="C24" s="32">
        <f t="shared" ref="C24:P24" si="28">IFERROR((C23-B23)/B23,"")</f>
        <v>-0.04019873894</v>
      </c>
      <c r="D24" s="32">
        <f t="shared" si="28"/>
        <v>0.02289872528</v>
      </c>
      <c r="E24" s="32">
        <f t="shared" si="28"/>
        <v>0.1386804207</v>
      </c>
      <c r="F24" s="32">
        <f t="shared" si="28"/>
        <v>-0.05611653175</v>
      </c>
      <c r="G24" s="32">
        <f t="shared" si="28"/>
        <v>-0.03073838772</v>
      </c>
      <c r="H24" s="32">
        <f t="shared" si="28"/>
        <v>0.4562958466</v>
      </c>
      <c r="I24" s="32">
        <f t="shared" si="28"/>
        <v>-0.05817063495</v>
      </c>
      <c r="J24" s="32">
        <f t="shared" si="28"/>
        <v>0.07049435318</v>
      </c>
      <c r="K24" s="32">
        <f t="shared" si="28"/>
        <v>0.1033613715</v>
      </c>
      <c r="L24" s="31">
        <f t="shared" si="28"/>
        <v>0.1460383061</v>
      </c>
      <c r="M24" s="32">
        <f t="shared" si="28"/>
        <v>0.05549213331</v>
      </c>
      <c r="N24" s="32">
        <f t="shared" si="28"/>
        <v>0.05652711401</v>
      </c>
      <c r="O24" s="32">
        <f t="shared" si="28"/>
        <v>0.05605159057</v>
      </c>
      <c r="P24" s="47">
        <f t="shared" si="28"/>
        <v>0.05565320059</v>
      </c>
      <c r="Q24" s="21"/>
      <c r="R24" s="21"/>
      <c r="S24" s="21"/>
      <c r="T24" s="20"/>
      <c r="U24" s="20"/>
      <c r="V24" s="20"/>
      <c r="W24" s="21"/>
      <c r="X24" s="21"/>
      <c r="Y24" s="21"/>
      <c r="Z24" s="21"/>
    </row>
    <row r="25" ht="24.75" customHeight="1">
      <c r="A25" s="49" t="s">
        <v>39</v>
      </c>
      <c r="B25" s="66">
        <f>IFERROR(VLOOKUP("*Diluted Shares Outstanding*",'7.TIKR_IS'!$A:$K,COLUMN(B25),FALSE),"0")</f>
        <v>9651</v>
      </c>
      <c r="C25" s="67">
        <f>IFERROR(VLOOKUP("*Diluted Shares Outstanding*",'7.TIKR_IS'!$A:$K,COLUMN(C25),FALSE),"0")</f>
        <v>9336</v>
      </c>
      <c r="D25" s="67">
        <f>IFERROR(VLOOKUP("*Diluted Shares Outstanding*",'7.TIKR_IS'!$A:$K,COLUMN(D25),FALSE),"0")</f>
        <v>9030</v>
      </c>
      <c r="E25" s="67">
        <f>IFERROR(VLOOKUP("*Diluted Shares Outstanding*",'7.TIKR_IS'!$A:$K,COLUMN(E25),FALSE),"0")</f>
        <v>8835</v>
      </c>
      <c r="F25" s="67">
        <f>IFERROR(VLOOKUP("*Diluted Shares Outstanding*",'7.TIKR_IS'!$A:$K,COLUMN(F25),FALSE),"0")</f>
        <v>8604</v>
      </c>
      <c r="G25" s="67">
        <f>IFERROR(VLOOKUP("*Diluted Shares Outstanding*",'7.TIKR_IS'!$A:$K,COLUMN(G25),FALSE),"0")</f>
        <v>8541</v>
      </c>
      <c r="H25" s="67">
        <f>IFERROR(VLOOKUP("*Diluted Shares Outstanding*",'7.TIKR_IS'!$A:$K,COLUMN(H25),FALSE),"0")</f>
        <v>8415</v>
      </c>
      <c r="I25" s="67">
        <f>IFERROR(VLOOKUP("*Diluted Shares Outstanding*",'7.TIKR_IS'!$A:$K,COLUMN(I25),FALSE),"0")</f>
        <v>8202</v>
      </c>
      <c r="J25" s="67">
        <f>IFERROR(VLOOKUP("*Diluted Shares Outstanding*",'7.TIKR_IS'!$A:$K,COLUMN(J25),FALSE),"0")</f>
        <v>8108</v>
      </c>
      <c r="K25" s="67">
        <f>IFERROR(VLOOKUP("*Diluted Shares Outstanding*",'7.TIKR_IS'!$A:$K,COLUMN(K25),FALSE),"0")</f>
        <v>8081</v>
      </c>
      <c r="L25" s="68">
        <f t="shared" ref="L25:P25" si="29">IFERROR(K25*(1+L26),"")</f>
        <v>7975.947</v>
      </c>
      <c r="M25" s="69">
        <f t="shared" si="29"/>
        <v>7872.259689</v>
      </c>
      <c r="N25" s="69">
        <f t="shared" si="29"/>
        <v>7769.920313</v>
      </c>
      <c r="O25" s="69">
        <f t="shared" si="29"/>
        <v>7668.911349</v>
      </c>
      <c r="P25" s="70">
        <f t="shared" si="29"/>
        <v>7569.215501</v>
      </c>
      <c r="Q25" s="21"/>
      <c r="R25" s="21"/>
      <c r="S25" s="55"/>
      <c r="T25" s="20"/>
      <c r="U25" s="20"/>
      <c r="V25" s="20"/>
      <c r="W25" s="21"/>
      <c r="X25" s="21"/>
      <c r="Y25" s="21"/>
      <c r="Z25" s="21"/>
    </row>
    <row r="26" ht="24.75" customHeight="1">
      <c r="A26" s="30" t="s">
        <v>18</v>
      </c>
      <c r="B26" s="31"/>
      <c r="C26" s="32">
        <f t="shared" ref="C26:K26" si="30">IFERROR((C25-B25)/B25,"")</f>
        <v>-0.03263910476</v>
      </c>
      <c r="D26" s="32">
        <f t="shared" si="30"/>
        <v>-0.03277634961</v>
      </c>
      <c r="E26" s="32">
        <f t="shared" si="30"/>
        <v>-0.02159468439</v>
      </c>
      <c r="F26" s="32">
        <f t="shared" si="30"/>
        <v>-0.02614601019</v>
      </c>
      <c r="G26" s="32">
        <f t="shared" si="30"/>
        <v>-0.007322175732</v>
      </c>
      <c r="H26" s="32">
        <f t="shared" si="30"/>
        <v>-0.01475237092</v>
      </c>
      <c r="I26" s="33">
        <f t="shared" si="30"/>
        <v>-0.02531194296</v>
      </c>
      <c r="J26" s="33">
        <f t="shared" si="30"/>
        <v>-0.01146061936</v>
      </c>
      <c r="K26" s="33">
        <f t="shared" si="30"/>
        <v>-0.003330044401</v>
      </c>
      <c r="L26" s="34">
        <f>S6</f>
        <v>-0.013</v>
      </c>
      <c r="M26" s="35">
        <f t="shared" ref="M26:P26" si="31">L26</f>
        <v>-0.013</v>
      </c>
      <c r="N26" s="35">
        <f t="shared" si="31"/>
        <v>-0.013</v>
      </c>
      <c r="O26" s="35">
        <f t="shared" si="31"/>
        <v>-0.013</v>
      </c>
      <c r="P26" s="36">
        <f t="shared" si="31"/>
        <v>-0.013</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2016</v>
      </c>
      <c r="C2" s="75">
        <f>'1.IS'!C$2</f>
        <v>2017</v>
      </c>
      <c r="D2" s="75">
        <f>'1.IS'!D$2</f>
        <v>2018</v>
      </c>
      <c r="E2" s="75">
        <f>'1.IS'!E$2</f>
        <v>2019</v>
      </c>
      <c r="F2" s="75">
        <f>'1.IS'!F$2</f>
        <v>2020</v>
      </c>
      <c r="G2" s="75">
        <f>'1.IS'!G$2</f>
        <v>2021</v>
      </c>
      <c r="H2" s="75">
        <f>'1.IS'!H$2</f>
        <v>2022</v>
      </c>
      <c r="I2" s="75">
        <f>'1.IS'!I$2</f>
        <v>2023</v>
      </c>
      <c r="J2" s="75">
        <f>'1.IS'!J$2</f>
        <v>2024</v>
      </c>
      <c r="K2" s="75">
        <f>'1.IS'!K$2</f>
        <v>2025</v>
      </c>
      <c r="L2" s="76" t="str">
        <f>'1.IS'!L$2</f>
        <v>2026e</v>
      </c>
      <c r="M2" s="76" t="str">
        <f>'1.IS'!M$2</f>
        <v>2027e</v>
      </c>
      <c r="N2" s="76" t="str">
        <f>'1.IS'!N$2</f>
        <v>2028e</v>
      </c>
      <c r="O2" s="76" t="str">
        <f>'1.IS'!O$2</f>
        <v>2029e</v>
      </c>
      <c r="P2" s="76" t="str">
        <f>'1.IS'!P$2</f>
        <v>2030e</v>
      </c>
      <c r="Q2" s="77"/>
      <c r="R2" s="21"/>
      <c r="S2" s="21"/>
      <c r="T2" s="21"/>
      <c r="U2" s="21"/>
      <c r="V2" s="21"/>
      <c r="W2" s="21"/>
      <c r="X2" s="21"/>
      <c r="Y2" s="21"/>
      <c r="Z2" s="21"/>
    </row>
    <row r="3" ht="27.75" customHeight="1">
      <c r="A3" s="78" t="s">
        <v>20</v>
      </c>
      <c r="B3" s="79">
        <f>'1.IS'!B5</f>
        <v>33559</v>
      </c>
      <c r="C3" s="80">
        <f>'1.IS'!C5</f>
        <v>32844</v>
      </c>
      <c r="D3" s="80">
        <f>'1.IS'!D5</f>
        <v>31466</v>
      </c>
      <c r="E3" s="80">
        <f>'1.IS'!E5</f>
        <v>32635</v>
      </c>
      <c r="F3" s="80">
        <f>'1.IS'!F5</f>
        <v>32455</v>
      </c>
      <c r="G3" s="80">
        <f>'1.IS'!G5</f>
        <v>33700</v>
      </c>
      <c r="H3" s="80">
        <f>'1.IS'!H5</f>
        <v>36600</v>
      </c>
      <c r="I3" s="80">
        <f>'1.IS'!I5</f>
        <v>35473</v>
      </c>
      <c r="J3" s="80">
        <f>'1.IS'!J5</f>
        <v>38865</v>
      </c>
      <c r="K3" s="80">
        <f>'1.IS'!K5</f>
        <v>42477</v>
      </c>
      <c r="L3" s="79">
        <f>'1.IS'!L5</f>
        <v>45150</v>
      </c>
      <c r="M3" s="80">
        <f>'1.IS'!M5</f>
        <v>49000</v>
      </c>
      <c r="N3" s="80">
        <f>'1.IS'!N5</f>
        <v>52500</v>
      </c>
      <c r="O3" s="80">
        <f>'1.IS'!O5</f>
        <v>56500</v>
      </c>
      <c r="P3" s="81">
        <f>'1.IS'!P5</f>
        <v>61000</v>
      </c>
      <c r="Q3" s="82"/>
      <c r="R3" s="21"/>
      <c r="S3" s="21"/>
      <c r="T3" s="21"/>
      <c r="U3" s="21"/>
      <c r="V3" s="21"/>
      <c r="W3" s="21"/>
      <c r="X3" s="21"/>
      <c r="Y3" s="21"/>
      <c r="Z3" s="21"/>
    </row>
    <row r="4" ht="24.75" customHeight="1">
      <c r="A4" s="83" t="s">
        <v>42</v>
      </c>
      <c r="B4" s="84">
        <f>IFERROR(VLOOKUP("CapEx Mantenimiento",'TIKR_Cálculos'!$A:$K,COLUMN(B4),FALSE),"0")</f>
        <v>-9454</v>
      </c>
      <c r="C4" s="85">
        <f>IFERROR(VLOOKUP("CapEx Mantenimiento",'TIKR_Cálculos'!$A:$K,COLUMN(C4),FALSE),"0")</f>
        <v>-10080</v>
      </c>
      <c r="D4" s="85">
        <f>IFERROR(VLOOKUP("CapEx Mantenimiento",'TIKR_Cálculos'!$A:$K,COLUMN(D4),FALSE),"0")</f>
        <v>-9673</v>
      </c>
      <c r="E4" s="85">
        <f>IFERROR(VLOOKUP("CapEx Mantenimiento",'TIKR_Cálculos'!$A:$K,COLUMN(E4),FALSE),"0")</f>
        <v>-9825</v>
      </c>
      <c r="F4" s="85">
        <f>IFERROR(VLOOKUP("CapEx Mantenimiento",'TIKR_Cálculos'!$A:$K,COLUMN(F4),FALSE),"0")</f>
        <v>-10384</v>
      </c>
      <c r="G4" s="85">
        <f>IFERROR(VLOOKUP("CapEx Mantenimiento",'TIKR_Cálculos'!$A:$K,COLUMN(G4),FALSE),"0")</f>
        <v>-10049</v>
      </c>
      <c r="H4" s="85">
        <f>IFERROR(VLOOKUP("CapEx Mantenimiento",'TIKR_Cálculos'!$A:$K,COLUMN(H4),FALSE),"0")</f>
        <v>-10658</v>
      </c>
      <c r="I4" s="85">
        <f>IFERROR(VLOOKUP("CapEx Mantenimiento",'TIKR_Cálculos'!$A:$K,COLUMN(I4),FALSE),"0")</f>
        <v>-10945</v>
      </c>
      <c r="J4" s="85">
        <f>IFERROR(VLOOKUP("CapEx Mantenimiento",'TIKR_Cálculos'!$A:$K,COLUMN(J4),FALSE),"0")</f>
        <v>-11853</v>
      </c>
      <c r="K4" s="85">
        <f>IFERROR(VLOOKUP("CapEx Mantenimiento",'TIKR_Cálculos'!$A:$K,COLUMN(K4),FALSE),"0")</f>
        <v>-12973</v>
      </c>
      <c r="L4" s="86">
        <f>IFERROR(-L22*'1.IS'!L3,"")</f>
        <v>-13556.785</v>
      </c>
      <c r="M4" s="87">
        <f>IFERROR(-M22*'1.IS'!M3,"")</f>
        <v>-14166.84033</v>
      </c>
      <c r="N4" s="87">
        <f>IFERROR(-N22*'1.IS'!N3,"")</f>
        <v>-14804.34814</v>
      </c>
      <c r="O4" s="87">
        <f>IFERROR(-O22*'1.IS'!O3,"")</f>
        <v>-15470.54381</v>
      </c>
      <c r="P4" s="88">
        <f>IFERROR(-P22*'1.IS'!P3,"")</f>
        <v>-16166.71828</v>
      </c>
      <c r="Q4" s="89"/>
      <c r="R4" s="21"/>
      <c r="S4" s="21"/>
      <c r="T4" s="21"/>
      <c r="U4" s="21"/>
      <c r="V4" s="21"/>
      <c r="W4" s="21"/>
      <c r="X4" s="21"/>
      <c r="Y4" s="21"/>
      <c r="Z4" s="21"/>
    </row>
    <row r="5" ht="24.75" customHeight="1">
      <c r="A5" s="4" t="s">
        <v>43</v>
      </c>
      <c r="B5" s="86">
        <f>'1.IS'!B14</f>
        <v>-2467</v>
      </c>
      <c r="C5" s="87">
        <f>'1.IS'!C14</f>
        <v>-2267</v>
      </c>
      <c r="D5" s="87">
        <f>'1.IS'!D14</f>
        <v>-2178</v>
      </c>
      <c r="E5" s="87">
        <f>'1.IS'!E14</f>
        <v>-2129</v>
      </c>
      <c r="F5" s="87">
        <f>'1.IS'!F14</f>
        <v>-2410</v>
      </c>
      <c r="G5" s="87">
        <f>'1.IS'!G14</f>
        <v>-2194</v>
      </c>
      <c r="H5" s="87">
        <f>'1.IS'!H14</f>
        <v>-1836</v>
      </c>
      <c r="I5" s="87">
        <f>'1.IS'!I14</f>
        <v>-1674</v>
      </c>
      <c r="J5" s="87">
        <f>'1.IS'!J14</f>
        <v>-2137</v>
      </c>
      <c r="K5" s="87">
        <f>'1.IS'!K14</f>
        <v>-2245</v>
      </c>
      <c r="L5" s="86">
        <f>'1.IS'!L14</f>
        <v>-2535.73352</v>
      </c>
      <c r="M5" s="87">
        <f>'1.IS'!M14</f>
        <v>-2751.958859</v>
      </c>
      <c r="N5" s="87">
        <f>'1.IS'!N14</f>
        <v>-2948.527349</v>
      </c>
      <c r="O5" s="87">
        <f>'1.IS'!O14</f>
        <v>-3173.177052</v>
      </c>
      <c r="P5" s="88">
        <f>'1.IS'!P14</f>
        <v>-3425.907967</v>
      </c>
      <c r="Q5" s="89"/>
      <c r="R5" s="21"/>
      <c r="S5" s="21"/>
      <c r="T5" s="21"/>
      <c r="U5" s="21"/>
      <c r="V5" s="21"/>
      <c r="W5" s="21"/>
      <c r="X5" s="21"/>
      <c r="Y5" s="21"/>
      <c r="Z5" s="21"/>
    </row>
    <row r="6" ht="24.75" customHeight="1">
      <c r="A6" s="4" t="s">
        <v>44</v>
      </c>
      <c r="B6" s="86">
        <f>'1.IS'!B16</f>
        <v>-6558</v>
      </c>
      <c r="C6" s="87">
        <f>'1.IS'!C16</f>
        <v>-6204</v>
      </c>
      <c r="D6" s="87">
        <f>'1.IS'!D16</f>
        <v>-4600</v>
      </c>
      <c r="E6" s="87">
        <f>'1.IS'!E16</f>
        <v>-4281</v>
      </c>
      <c r="F6" s="87">
        <f>'1.IS'!F16</f>
        <v>-4915</v>
      </c>
      <c r="G6" s="87">
        <f>'1.IS'!G16</f>
        <v>-6858</v>
      </c>
      <c r="H6" s="87">
        <f>'1.IS'!H16</f>
        <v>-4756</v>
      </c>
      <c r="I6" s="87">
        <f>'1.IS'!I16</f>
        <v>-5724</v>
      </c>
      <c r="J6" s="87">
        <f>'1.IS'!J16</f>
        <v>-5578</v>
      </c>
      <c r="K6" s="87">
        <f>'1.IS'!K16</f>
        <v>-6152</v>
      </c>
      <c r="L6" s="86">
        <f>'1.IS'!L16</f>
        <v>-7747.50615</v>
      </c>
      <c r="M6" s="87">
        <f>'1.IS'!M16</f>
        <v>-8071.12518</v>
      </c>
      <c r="N6" s="87">
        <f>'1.IS'!N16</f>
        <v>-8416.50688</v>
      </c>
      <c r="O6" s="87">
        <f>'1.IS'!O16</f>
        <v>-8772.718026</v>
      </c>
      <c r="P6" s="88">
        <f>'1.IS'!P16</f>
        <v>-9140.55554</v>
      </c>
      <c r="Q6" s="89"/>
      <c r="R6" s="21"/>
      <c r="S6" s="21"/>
      <c r="T6" s="21"/>
      <c r="U6" s="21"/>
      <c r="V6" s="21"/>
      <c r="W6" s="21"/>
      <c r="X6" s="21"/>
      <c r="Y6" s="21"/>
      <c r="Z6" s="21"/>
    </row>
    <row r="7" ht="24.75" customHeight="1">
      <c r="A7" s="83" t="s">
        <v>45</v>
      </c>
      <c r="B7" s="84">
        <f>IFERROR(VLOOKUP("Inventory*",'8.TIKR_BS'!$A:$K,COLUMN(B7),FALSE),"0")</f>
        <v>44469</v>
      </c>
      <c r="C7" s="85">
        <f>IFERROR(VLOOKUP("Inventory*",'8.TIKR_BS'!$A:$K,COLUMN(C7),FALSE),"0")</f>
        <v>43046</v>
      </c>
      <c r="D7" s="85">
        <f>IFERROR(VLOOKUP("Inventory*",'8.TIKR_BS'!$A:$K,COLUMN(D7),FALSE),"0")</f>
        <v>43783</v>
      </c>
      <c r="E7" s="85">
        <f>IFERROR(VLOOKUP("Inventory*",'8.TIKR_BS'!$A:$K,COLUMN(E7),FALSE),"0")</f>
        <v>44269</v>
      </c>
      <c r="F7" s="85">
        <f>IFERROR(VLOOKUP("Inventory*",'8.TIKR_BS'!$A:$K,COLUMN(F7),FALSE),"0")</f>
        <v>44435</v>
      </c>
      <c r="G7" s="85">
        <f>IFERROR(VLOOKUP("Inventory*",'8.TIKR_BS'!$A:$K,COLUMN(G7),FALSE),"0")</f>
        <v>44949</v>
      </c>
      <c r="H7" s="85">
        <f>IFERROR(VLOOKUP("Inventory*",'8.TIKR_BS'!$A:$K,COLUMN(H7),FALSE),"0")</f>
        <v>56511</v>
      </c>
      <c r="I7" s="85">
        <f>IFERROR(VLOOKUP("Inventory*",'8.TIKR_BS'!$A:$K,COLUMN(I7),FALSE),"0")</f>
        <v>56576</v>
      </c>
      <c r="J7" s="85">
        <f>IFERROR(VLOOKUP("Inventory*",'8.TIKR_BS'!$A:$K,COLUMN(J7),FALSE),"0")</f>
        <v>54892</v>
      </c>
      <c r="K7" s="85">
        <f>IFERROR(VLOOKUP("Inventory*",'8.TIKR_BS'!$A:$K,COLUMN(K7),FALSE),"0")</f>
        <v>56435</v>
      </c>
      <c r="L7" s="86"/>
      <c r="M7" s="87"/>
      <c r="N7" s="87"/>
      <c r="O7" s="87"/>
      <c r="P7" s="88"/>
      <c r="Q7" s="89"/>
      <c r="R7" s="21"/>
      <c r="S7" s="21"/>
      <c r="T7" s="21"/>
      <c r="U7" s="21"/>
      <c r="V7" s="21"/>
      <c r="W7" s="21"/>
      <c r="X7" s="21"/>
      <c r="Y7" s="21"/>
      <c r="Z7" s="21"/>
    </row>
    <row r="8" ht="24.75" customHeight="1">
      <c r="A8" s="83" t="s">
        <v>46</v>
      </c>
      <c r="B8" s="84">
        <f>IFERROR(VLOOKUP("Accounts Receivable*",'8.TIKR_BS'!$A:$K,COLUMN(B8),FALSE),"0")</f>
        <v>5624</v>
      </c>
      <c r="C8" s="85">
        <f>IFERROR(VLOOKUP("Accounts Receivable*",'8.TIKR_BS'!$A:$K,COLUMN(C8),FALSE),"0")</f>
        <v>5835</v>
      </c>
      <c r="D8" s="85">
        <f>IFERROR(VLOOKUP("Accounts Receivable*",'8.TIKR_BS'!$A:$K,COLUMN(D8),FALSE),"0")</f>
        <v>5614</v>
      </c>
      <c r="E8" s="85">
        <f>IFERROR(VLOOKUP("Accounts Receivable*",'8.TIKR_BS'!$A:$K,COLUMN(E8),FALSE),"0")</f>
        <v>6283</v>
      </c>
      <c r="F8" s="85">
        <f>IFERROR(VLOOKUP("Accounts Receivable*",'8.TIKR_BS'!$A:$K,COLUMN(F8),FALSE),"0")</f>
        <v>6284</v>
      </c>
      <c r="G8" s="85">
        <f>IFERROR(VLOOKUP("Accounts Receivable*",'8.TIKR_BS'!$A:$K,COLUMN(G8),FALSE),"0")</f>
        <v>6516</v>
      </c>
      <c r="H8" s="85">
        <f>IFERROR(VLOOKUP("Accounts Receivable*",'8.TIKR_BS'!$A:$K,COLUMN(H8),FALSE),"0")</f>
        <v>8280</v>
      </c>
      <c r="I8" s="85">
        <f>IFERROR(VLOOKUP("Accounts Receivable*",'8.TIKR_BS'!$A:$K,COLUMN(I8),FALSE),"0")</f>
        <v>7933</v>
      </c>
      <c r="J8" s="85">
        <f>IFERROR(VLOOKUP("Accounts Receivable*",'8.TIKR_BS'!$A:$K,COLUMN(J8),FALSE),"0")</f>
        <v>8796</v>
      </c>
      <c r="K8" s="85">
        <f>IFERROR(VLOOKUP("Accounts Receivable*",'8.TIKR_BS'!$A:$K,COLUMN(K8),FALSE),"0")</f>
        <v>9975</v>
      </c>
      <c r="L8" s="86"/>
      <c r="M8" s="87"/>
      <c r="N8" s="87"/>
      <c r="O8" s="87"/>
      <c r="P8" s="88"/>
      <c r="Q8" s="89"/>
      <c r="R8" s="21"/>
      <c r="S8" s="21"/>
      <c r="T8" s="21"/>
      <c r="U8" s="21"/>
      <c r="V8" s="21"/>
      <c r="W8" s="21"/>
      <c r="X8" s="21"/>
      <c r="Y8" s="21"/>
      <c r="Z8" s="21"/>
    </row>
    <row r="9" ht="24.75" customHeight="1">
      <c r="A9" s="83" t="s">
        <v>47</v>
      </c>
      <c r="B9" s="84">
        <f>IFERROR(VLOOKUP("Accounts Payable*",'8.TIKR_BS'!$A:$K,COLUMN(B9),FALSE),"0")</f>
        <v>38487</v>
      </c>
      <c r="C9" s="85">
        <f>IFERROR(VLOOKUP("Accounts Payable*",'8.TIKR_BS'!$A:$K,COLUMN(C9),FALSE),"0")</f>
        <v>41433</v>
      </c>
      <c r="D9" s="85">
        <f>IFERROR(VLOOKUP("Accounts Payable*",'8.TIKR_BS'!$A:$K,COLUMN(D9),FALSE),"0")</f>
        <v>46092</v>
      </c>
      <c r="E9" s="85">
        <f>IFERROR(VLOOKUP("Accounts Payable*",'8.TIKR_BS'!$A:$K,COLUMN(E9),FALSE),"0")</f>
        <v>47060</v>
      </c>
      <c r="F9" s="85">
        <f>IFERROR(VLOOKUP("Accounts Payable*",'8.TIKR_BS'!$A:$K,COLUMN(F9),FALSE),"0")</f>
        <v>46973</v>
      </c>
      <c r="G9" s="85">
        <f>IFERROR(VLOOKUP("Accounts Payable*",'8.TIKR_BS'!$A:$K,COLUMN(G9),FALSE),"0")</f>
        <v>49141</v>
      </c>
      <c r="H9" s="85">
        <f>IFERROR(VLOOKUP("Accounts Payable*",'8.TIKR_BS'!$A:$K,COLUMN(H9),FALSE),"0")</f>
        <v>55261</v>
      </c>
      <c r="I9" s="85">
        <f>IFERROR(VLOOKUP("Accounts Payable*",'8.TIKR_BS'!$A:$K,COLUMN(I9),FALSE),"0")</f>
        <v>53742</v>
      </c>
      <c r="J9" s="85">
        <f>IFERROR(VLOOKUP("Accounts Payable*",'8.TIKR_BS'!$A:$K,COLUMN(J9),FALSE),"0")</f>
        <v>56812</v>
      </c>
      <c r="K9" s="85">
        <f>IFERROR(VLOOKUP("Accounts Payable*",'8.TIKR_BS'!$A:$K,COLUMN(K9),FALSE),"0")</f>
        <v>58666</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0</v>
      </c>
      <c r="C10" s="85">
        <f>IFERROR(VLOOKUP("Unearned Revenue Current*",'8.TIKR_BS'!$A:$K,COLUMN(C9),FALSE),"0")+IFERROR(VLOOKUP("Unearned Revenue Non Current*",'8.TIKR_BS'!$A:$K,COLUMN(C9),FALSE),"0")</f>
        <v>1856</v>
      </c>
      <c r="D10" s="85">
        <f>IFERROR(VLOOKUP("Unearned Revenue Current*",'8.TIKR_BS'!$A:$K,COLUMN(D9),FALSE),"0")+IFERROR(VLOOKUP("Unearned Revenue Non Current*",'8.TIKR_BS'!$A:$K,COLUMN(D9),FALSE),"0")</f>
        <v>2017</v>
      </c>
      <c r="E10" s="85">
        <f>IFERROR(VLOOKUP("Unearned Revenue Current*",'8.TIKR_BS'!$A:$K,COLUMN(E9),FALSE),"0")+IFERROR(VLOOKUP("Unearned Revenue Non Current*",'8.TIKR_BS'!$A:$K,COLUMN(E9),FALSE),"0")</f>
        <v>1932</v>
      </c>
      <c r="F10" s="85">
        <f>IFERROR(VLOOKUP("Unearned Revenue Current*",'8.TIKR_BS'!$A:$K,COLUMN(F9),FALSE),"0")+IFERROR(VLOOKUP("Unearned Revenue Non Current*",'8.TIKR_BS'!$A:$K,COLUMN(F9),FALSE),"0")</f>
        <v>1990</v>
      </c>
      <c r="G10" s="85">
        <f>IFERROR(VLOOKUP("Unearned Revenue Current*",'8.TIKR_BS'!$A:$K,COLUMN(G9),FALSE),"0")+IFERROR(VLOOKUP("Unearned Revenue Non Current*",'8.TIKR_BS'!$A:$K,COLUMN(G9),FALSE),"0")</f>
        <v>2310</v>
      </c>
      <c r="H10" s="85">
        <f>IFERROR(VLOOKUP("Unearned Revenue Current*",'8.TIKR_BS'!$A:$K,COLUMN(H9),FALSE),"0")+IFERROR(VLOOKUP("Unearned Revenue Non Current*",'8.TIKR_BS'!$A:$K,COLUMN(H9),FALSE),"0")</f>
        <v>2559</v>
      </c>
      <c r="I10" s="85">
        <f>IFERROR(VLOOKUP("Unearned Revenue Current*",'8.TIKR_BS'!$A:$K,COLUMN(I9),FALSE),"0")+IFERROR(VLOOKUP("Unearned Revenue Non Current*",'8.TIKR_BS'!$A:$K,COLUMN(I9),FALSE),"0")</f>
        <v>2488</v>
      </c>
      <c r="J10" s="85">
        <f>IFERROR(VLOOKUP("Unearned Revenue Current*",'8.TIKR_BS'!$A:$K,COLUMN(J9),FALSE),"0")+IFERROR(VLOOKUP("Unearned Revenue Non Current*",'8.TIKR_BS'!$A:$K,COLUMN(J9),FALSE),"0")</f>
        <v>2664</v>
      </c>
      <c r="K10" s="85">
        <f>IFERROR(VLOOKUP("Unearned Revenue Current*",'8.TIKR_BS'!$A:$K,COLUMN(K9),FALSE),"0")+IFERROR(VLOOKUP("Unearned Revenue Non Current*",'8.TIKR_BS'!$A:$K,COLUMN(K9),FALSE),"0")</f>
        <v>0</v>
      </c>
      <c r="L10" s="86"/>
      <c r="M10" s="87"/>
      <c r="N10" s="87"/>
      <c r="O10" s="87"/>
      <c r="P10" s="88"/>
      <c r="Q10" s="89"/>
      <c r="R10" s="21"/>
      <c r="S10" s="21"/>
      <c r="T10" s="21"/>
      <c r="U10" s="21"/>
      <c r="V10" s="21"/>
      <c r="W10" s="21"/>
      <c r="X10" s="21"/>
      <c r="Y10" s="21"/>
      <c r="Z10" s="21"/>
    </row>
    <row r="11" ht="24.75" customHeight="1">
      <c r="A11" s="4" t="s">
        <v>49</v>
      </c>
      <c r="B11" s="86">
        <f t="shared" ref="B11:K11" si="1">B7+B8-B9-B10</f>
        <v>11606</v>
      </c>
      <c r="C11" s="87">
        <f t="shared" si="1"/>
        <v>5592</v>
      </c>
      <c r="D11" s="87">
        <f t="shared" si="1"/>
        <v>1288</v>
      </c>
      <c r="E11" s="87">
        <f t="shared" si="1"/>
        <v>1560</v>
      </c>
      <c r="F11" s="87">
        <f t="shared" si="1"/>
        <v>1756</v>
      </c>
      <c r="G11" s="87">
        <f t="shared" si="1"/>
        <v>14</v>
      </c>
      <c r="H11" s="87">
        <f t="shared" si="1"/>
        <v>6971</v>
      </c>
      <c r="I11" s="87">
        <f t="shared" si="1"/>
        <v>8279</v>
      </c>
      <c r="J11" s="87">
        <f t="shared" si="1"/>
        <v>4212</v>
      </c>
      <c r="K11" s="87">
        <f t="shared" si="1"/>
        <v>7744</v>
      </c>
      <c r="L11" s="86">
        <f t="shared" ref="L11:P11" si="2">IFERROR(IF(AND(L7&lt;&gt;"",L8&lt;&gt;"",L10&lt;&gt;""),L7+L8-L9-L10,K11+L12),"")</f>
        <v>7204.786285</v>
      </c>
      <c r="M11" s="87">
        <f t="shared" si="2"/>
        <v>6641.307953</v>
      </c>
      <c r="N11" s="87">
        <f t="shared" si="2"/>
        <v>6052.473095</v>
      </c>
      <c r="O11" s="87">
        <f t="shared" si="2"/>
        <v>5437.14067</v>
      </c>
      <c r="P11" s="88">
        <f t="shared" si="2"/>
        <v>4794.118285</v>
      </c>
      <c r="Q11" s="89"/>
      <c r="R11" s="61" t="s">
        <v>50</v>
      </c>
      <c r="S11" s="21"/>
      <c r="T11" s="21"/>
      <c r="U11" s="21"/>
      <c r="V11" s="21"/>
      <c r="W11" s="21"/>
      <c r="X11" s="21"/>
      <c r="Y11" s="21"/>
      <c r="Z11" s="21"/>
    </row>
    <row r="12" ht="24.75" customHeight="1">
      <c r="A12" s="4" t="s">
        <v>51</v>
      </c>
      <c r="B12" s="86"/>
      <c r="C12" s="87">
        <f t="shared" ref="C12:K12" si="3">IF(B9&gt;0,C11-B11,0)</f>
        <v>-6014</v>
      </c>
      <c r="D12" s="87">
        <f t="shared" si="3"/>
        <v>-4304</v>
      </c>
      <c r="E12" s="87">
        <f t="shared" si="3"/>
        <v>272</v>
      </c>
      <c r="F12" s="87">
        <f t="shared" si="3"/>
        <v>196</v>
      </c>
      <c r="G12" s="87">
        <f t="shared" si="3"/>
        <v>-1742</v>
      </c>
      <c r="H12" s="87">
        <f t="shared" si="3"/>
        <v>6957</v>
      </c>
      <c r="I12" s="87">
        <f t="shared" si="3"/>
        <v>1308</v>
      </c>
      <c r="J12" s="87">
        <f t="shared" si="3"/>
        <v>-4067</v>
      </c>
      <c r="K12" s="87">
        <f t="shared" si="3"/>
        <v>3532</v>
      </c>
      <c r="L12" s="90">
        <f>IFERROR((SUM(C12:K12)/SUM('1.IS'!C3:K3))*'1.IS'!L3,"")</f>
        <v>-539.2137151</v>
      </c>
      <c r="M12" s="91">
        <f>IFERROR(IF(AND(M7&lt;&gt;"",M8&lt;&gt;"",M10&lt;&gt;""),(M7+M8-M9-M10)-(L7+L8-L9-L10),(L12/'1.IS'!L3)*'1.IS'!M3),"")</f>
        <v>-563.4783323</v>
      </c>
      <c r="N12" s="91">
        <f>IFERROR(IF(AND(N7&lt;&gt;"",N8&lt;&gt;"",N10&lt;&gt;""),(N7+N8-N9-N10)-(M7+M8-M9-M10),(M12/'1.IS'!M3)*'1.IS'!N3),"")</f>
        <v>-588.8348572</v>
      </c>
      <c r="O12" s="91">
        <f>IFERROR(IF(AND(O7&lt;&gt;"",O8&lt;&gt;"",O10&lt;&gt;""),(O7+O8-O9-O10)-(N7+N8-N9-N10),(N12/'1.IS'!N3)*'1.IS'!O3),"")</f>
        <v>-615.3324258</v>
      </c>
      <c r="P12" s="92">
        <f>IFERROR(IF(AND(P7&lt;&gt;"",P8&lt;&gt;"",P10&lt;&gt;""),(P7+P8-P9-P10)-(O7+O8-O9-O10),(O12/'1.IS'!O3)*'1.IS'!P3),"")</f>
        <v>-643.022385</v>
      </c>
      <c r="Q12" s="89"/>
      <c r="S12" s="21"/>
      <c r="T12" s="21"/>
      <c r="U12" s="21"/>
      <c r="V12" s="21"/>
      <c r="W12" s="21"/>
      <c r="X12" s="21"/>
      <c r="Y12" s="21"/>
      <c r="Z12" s="21"/>
    </row>
    <row r="13" ht="24.75" customHeight="1">
      <c r="A13" s="4" t="s">
        <v>52</v>
      </c>
      <c r="B13" s="86">
        <f>'1.IS'!B19</f>
        <v>-386</v>
      </c>
      <c r="C13" s="87">
        <f>'1.IS'!C19</f>
        <v>-650</v>
      </c>
      <c r="D13" s="87">
        <f>'1.IS'!D19</f>
        <v>-661</v>
      </c>
      <c r="E13" s="87">
        <f>'1.IS'!E19</f>
        <v>-509</v>
      </c>
      <c r="F13" s="87">
        <f>'1.IS'!F19</f>
        <v>-320</v>
      </c>
      <c r="G13" s="87">
        <f>'1.IS'!G19</f>
        <v>-196</v>
      </c>
      <c r="H13" s="87">
        <f>'1.IS'!H19</f>
        <v>-267</v>
      </c>
      <c r="I13" s="87">
        <f>'1.IS'!I19</f>
        <v>388</v>
      </c>
      <c r="J13" s="87">
        <f>'1.IS'!J19</f>
        <v>-759</v>
      </c>
      <c r="K13" s="87">
        <f>'1.IS'!K19</f>
        <v>-721</v>
      </c>
      <c r="L13" s="86">
        <f>'1.IS'!L19</f>
        <v>-815.5518017</v>
      </c>
      <c r="M13" s="87">
        <f>'1.IS'!M19</f>
        <v>-849.6180003</v>
      </c>
      <c r="N13" s="87">
        <f>'1.IS'!N19</f>
        <v>-885.975076</v>
      </c>
      <c r="O13" s="87">
        <f>'1.IS'!O19</f>
        <v>-923.4721282</v>
      </c>
      <c r="P13" s="88">
        <f>'1.IS'!P19</f>
        <v>-962.1930457</v>
      </c>
      <c r="Q13" s="89"/>
      <c r="S13" s="21"/>
      <c r="T13" s="21"/>
      <c r="U13" s="21"/>
      <c r="V13" s="21"/>
      <c r="W13" s="21"/>
      <c r="X13" s="21"/>
      <c r="Y13" s="21"/>
      <c r="Z13" s="21"/>
    </row>
    <row r="14" ht="24.75" customHeight="1">
      <c r="A14" s="93" t="s">
        <v>53</v>
      </c>
      <c r="B14" s="94">
        <f t="shared" ref="B14:K14" si="4">B3+B4+B5+B6-B12+B13</f>
        <v>14694</v>
      </c>
      <c r="C14" s="95">
        <f t="shared" si="4"/>
        <v>19657</v>
      </c>
      <c r="D14" s="95">
        <f t="shared" si="4"/>
        <v>18658</v>
      </c>
      <c r="E14" s="95">
        <f t="shared" si="4"/>
        <v>15619</v>
      </c>
      <c r="F14" s="95">
        <f t="shared" si="4"/>
        <v>14230</v>
      </c>
      <c r="G14" s="95">
        <f t="shared" si="4"/>
        <v>16145</v>
      </c>
      <c r="H14" s="95">
        <f t="shared" si="4"/>
        <v>12126</v>
      </c>
      <c r="I14" s="95">
        <f t="shared" si="4"/>
        <v>16210</v>
      </c>
      <c r="J14" s="95">
        <f t="shared" si="4"/>
        <v>22605</v>
      </c>
      <c r="K14" s="95">
        <f t="shared" si="4"/>
        <v>16854</v>
      </c>
      <c r="L14" s="94">
        <f t="shared" ref="L14:P14" si="5">IFERROR(L3+L4+L5+L6-L12+L13,"")</f>
        <v>21033.63724</v>
      </c>
      <c r="M14" s="95">
        <f t="shared" si="5"/>
        <v>23723.93597</v>
      </c>
      <c r="N14" s="95">
        <f t="shared" si="5"/>
        <v>26033.47741</v>
      </c>
      <c r="O14" s="95">
        <f t="shared" si="5"/>
        <v>28775.42141</v>
      </c>
      <c r="P14" s="96">
        <f t="shared" si="5"/>
        <v>31947.64755</v>
      </c>
      <c r="Q14" s="89"/>
      <c r="R14" s="21"/>
      <c r="S14" s="21"/>
      <c r="T14" s="21"/>
      <c r="U14" s="21"/>
      <c r="V14" s="21"/>
      <c r="W14" s="21"/>
      <c r="X14" s="21"/>
      <c r="Y14" s="21"/>
      <c r="Z14" s="21"/>
    </row>
    <row r="15" ht="24.75" customHeight="1">
      <c r="A15" s="97" t="s">
        <v>54</v>
      </c>
      <c r="B15" s="98">
        <f>IFERROR(B14/'1.IS'!B3,"")</f>
        <v>0.03047725717</v>
      </c>
      <c r="C15" s="99">
        <f>IFERROR(C14/'1.IS'!C3,"")</f>
        <v>0.04045707417</v>
      </c>
      <c r="D15" s="99">
        <f>IFERROR(D14/'1.IS'!D3,"")</f>
        <v>0.03729041877</v>
      </c>
      <c r="E15" s="99">
        <f>IFERROR(E14/'1.IS'!E3,"")</f>
        <v>0.03036323519</v>
      </c>
      <c r="F15" s="99">
        <f>IFERROR(F14/'1.IS'!F3,"")</f>
        <v>0.02715835439</v>
      </c>
      <c r="G15" s="99">
        <f>IFERROR(G14/'1.IS'!G3,"")</f>
        <v>0.02887413239</v>
      </c>
      <c r="H15" s="99">
        <f>IFERROR(H14/'1.IS'!H3,"")</f>
        <v>0.02117139295</v>
      </c>
      <c r="I15" s="99">
        <f>IFERROR(I14/'1.IS'!I3,"")</f>
        <v>0.02651773547</v>
      </c>
      <c r="J15" s="99">
        <f>IFERROR(J14/'1.IS'!J3,"")</f>
        <v>0.03487753134</v>
      </c>
      <c r="K15" s="99">
        <f>IFERROR(K14/'1.IS'!K3,"")</f>
        <v>0.02474944382</v>
      </c>
      <c r="L15" s="98">
        <f>IFERROR(L14/'1.IS'!L3,"")</f>
        <v>0.02955701305</v>
      </c>
      <c r="M15" s="99">
        <f>IFERROR(M14/'1.IS'!M3,"")</f>
        <v>0.03190190493</v>
      </c>
      <c r="N15" s="99">
        <f>IFERROR(N14/'1.IS'!N3,"")</f>
        <v>0.03350007394</v>
      </c>
      <c r="O15" s="99">
        <f>IFERROR(O14/'1.IS'!O3,"")</f>
        <v>0.03543390243</v>
      </c>
      <c r="P15" s="100">
        <f>IFERROR(P14/'1.IS'!P3,"")</f>
        <v>0.0376460909</v>
      </c>
      <c r="Q15" s="89"/>
      <c r="R15" s="21"/>
      <c r="S15" s="21"/>
      <c r="T15" s="21"/>
      <c r="U15" s="21"/>
      <c r="V15" s="21"/>
      <c r="W15" s="21"/>
      <c r="X15" s="21"/>
      <c r="Y15" s="21"/>
      <c r="Z15" s="21"/>
    </row>
    <row r="16" ht="24.75" customHeight="1">
      <c r="A16" s="97" t="s">
        <v>18</v>
      </c>
      <c r="B16" s="101"/>
      <c r="C16" s="99">
        <f t="shared" ref="C16:P16" si="6">IFERROR((C14-B14)/B14,"")</f>
        <v>0.3377569076</v>
      </c>
      <c r="D16" s="99">
        <f t="shared" si="6"/>
        <v>-0.05082159027</v>
      </c>
      <c r="E16" s="99">
        <f t="shared" si="6"/>
        <v>-0.1628791939</v>
      </c>
      <c r="F16" s="99">
        <f t="shared" si="6"/>
        <v>-0.08893014918</v>
      </c>
      <c r="G16" s="99">
        <f t="shared" si="6"/>
        <v>0.1345748419</v>
      </c>
      <c r="H16" s="99">
        <f t="shared" si="6"/>
        <v>-0.2489315578</v>
      </c>
      <c r="I16" s="99">
        <f t="shared" si="6"/>
        <v>0.3367969652</v>
      </c>
      <c r="J16" s="99">
        <f t="shared" si="6"/>
        <v>0.394509562</v>
      </c>
      <c r="K16" s="99">
        <f t="shared" si="6"/>
        <v>-0.2544127405</v>
      </c>
      <c r="L16" s="98">
        <f t="shared" si="6"/>
        <v>0.2479908178</v>
      </c>
      <c r="M16" s="99">
        <f t="shared" si="6"/>
        <v>0.1279045889</v>
      </c>
      <c r="N16" s="99">
        <f t="shared" si="6"/>
        <v>0.09735068618</v>
      </c>
      <c r="O16" s="99">
        <f t="shared" si="6"/>
        <v>0.1053237705</v>
      </c>
      <c r="P16" s="100">
        <f t="shared" si="6"/>
        <v>0.1102408231</v>
      </c>
      <c r="Q16" s="89"/>
      <c r="R16" s="21"/>
      <c r="S16" s="21"/>
      <c r="T16" s="21"/>
      <c r="U16" s="21"/>
      <c r="V16" s="21"/>
      <c r="W16" s="21"/>
      <c r="X16" s="21"/>
      <c r="Y16" s="21"/>
      <c r="Z16" s="21"/>
    </row>
    <row r="17" ht="24.75" customHeight="1">
      <c r="A17" s="97" t="s">
        <v>55</v>
      </c>
      <c r="B17" s="102">
        <f>IFERROR(B14/'1.IS'!B25,"")</f>
        <v>1.522536525</v>
      </c>
      <c r="C17" s="103">
        <f>IFERROR(C14/'1.IS'!C25,"")</f>
        <v>2.10550557</v>
      </c>
      <c r="D17" s="103">
        <f>IFERROR(D14/'1.IS'!D25,"")</f>
        <v>2.066223699</v>
      </c>
      <c r="E17" s="103">
        <f>IFERROR(E14/'1.IS'!E25,"")</f>
        <v>1.767855122</v>
      </c>
      <c r="F17" s="103">
        <f>IFERROR(F14/'1.IS'!F25,"")</f>
        <v>1.653881915</v>
      </c>
      <c r="G17" s="103">
        <f>IFERROR(G14/'1.IS'!G25,"")</f>
        <v>1.890293877</v>
      </c>
      <c r="H17" s="103">
        <f>IFERROR(H14/'1.IS'!H25,"")</f>
        <v>1.440998217</v>
      </c>
      <c r="I17" s="103">
        <f>IFERROR(I14/'1.IS'!I25,"")</f>
        <v>1.976347232</v>
      </c>
      <c r="J17" s="103">
        <f>IFERROR(J14/'1.IS'!J25,"")</f>
        <v>2.787987173</v>
      </c>
      <c r="K17" s="103">
        <f>IFERROR(K14/'1.IS'!K25,"")</f>
        <v>2.085632966</v>
      </c>
      <c r="L17" s="102">
        <f>IFERROR(L14/'1.IS'!L25,"")</f>
        <v>2.637133527</v>
      </c>
      <c r="M17" s="103">
        <f>IFERROR(M14/'1.IS'!M25,"")</f>
        <v>3.013611962</v>
      </c>
      <c r="N17" s="103">
        <f>IFERROR(N14/'1.IS'!N25,"")</f>
        <v>3.350546256</v>
      </c>
      <c r="O17" s="103">
        <f>IFERROR(O14/'1.IS'!O25,"")</f>
        <v>3.752217245</v>
      </c>
      <c r="P17" s="104">
        <f>IFERROR(P14/'1.IS'!P25,"")</f>
        <v>4.220734308</v>
      </c>
      <c r="Q17" s="105"/>
      <c r="R17" s="21"/>
      <c r="S17" s="21"/>
      <c r="T17" s="21"/>
      <c r="U17" s="21"/>
      <c r="V17" s="21"/>
      <c r="W17" s="21"/>
      <c r="X17" s="21"/>
      <c r="Y17" s="21"/>
      <c r="Z17" s="21"/>
    </row>
    <row r="18" ht="24.75" customHeight="1">
      <c r="A18" s="97" t="s">
        <v>18</v>
      </c>
      <c r="B18" s="106"/>
      <c r="C18" s="107">
        <f t="shared" ref="C18:P18" si="7">IFERROR((C17-B17)/B17,"")</f>
        <v>0.3828933071</v>
      </c>
      <c r="D18" s="107">
        <f t="shared" si="7"/>
        <v>-0.01865674051</v>
      </c>
      <c r="E18" s="107">
        <f t="shared" si="7"/>
        <v>-0.1444028434</v>
      </c>
      <c r="F18" s="107">
        <f t="shared" si="7"/>
        <v>-0.06446976615</v>
      </c>
      <c r="G18" s="107">
        <f t="shared" si="7"/>
        <v>0.1429436763</v>
      </c>
      <c r="H18" s="107">
        <f t="shared" si="7"/>
        <v>-0.2376856132</v>
      </c>
      <c r="I18" s="107">
        <f t="shared" si="7"/>
        <v>0.3715126143</v>
      </c>
      <c r="J18" s="107">
        <f t="shared" si="7"/>
        <v>0.4106767918</v>
      </c>
      <c r="K18" s="107">
        <f t="shared" si="7"/>
        <v>-0.2519216063</v>
      </c>
      <c r="L18" s="106">
        <f t="shared" si="7"/>
        <v>0.2644283869</v>
      </c>
      <c r="M18" s="107">
        <f t="shared" si="7"/>
        <v>0.142760475</v>
      </c>
      <c r="N18" s="107">
        <f t="shared" si="7"/>
        <v>0.11180414</v>
      </c>
      <c r="O18" s="107">
        <f t="shared" si="7"/>
        <v>0.1198822396</v>
      </c>
      <c r="P18" s="108">
        <f t="shared" si="7"/>
        <v>0.1248640558</v>
      </c>
      <c r="Q18" s="105"/>
      <c r="R18" s="21"/>
      <c r="S18" s="21"/>
      <c r="T18" s="21"/>
      <c r="U18" s="21"/>
      <c r="V18" s="21"/>
      <c r="W18" s="21"/>
      <c r="X18" s="21"/>
      <c r="Y18" s="21"/>
      <c r="Z18" s="21"/>
    </row>
    <row r="19" ht="24.75" customHeight="1">
      <c r="A19" s="109" t="s">
        <v>56</v>
      </c>
      <c r="B19" s="110">
        <f>IFERROR(VLOOKUP("Net Change in Cash*",'9.TIKR_CF'!$A:$K,COLUMN(B19),FALSE),"0")</f>
        <v>-430</v>
      </c>
      <c r="C19" s="111">
        <f>IFERROR(VLOOKUP("Net Change in Cash*",'9.TIKR_CF'!$A:$K,COLUMN(C19),FALSE),"0")</f>
        <v>-1747</v>
      </c>
      <c r="D19" s="111">
        <f>IFERROR(VLOOKUP("Net Change in Cash*",'9.TIKR_CF'!$A:$K,COLUMN(D19),FALSE),"0")</f>
        <v>-130</v>
      </c>
      <c r="E19" s="111">
        <f>IFERROR(VLOOKUP("Net Change in Cash*",'9.TIKR_CF'!$A:$K,COLUMN(E19),FALSE),"0")</f>
        <v>742</v>
      </c>
      <c r="F19" s="111">
        <f>IFERROR(VLOOKUP("Net Change in Cash*",'9.TIKR_CF'!$A:$K,COLUMN(F19),FALSE),"0")</f>
        <v>1759</v>
      </c>
      <c r="G19" s="111">
        <f>IFERROR(VLOOKUP("Net Change in Cash*",'9.TIKR_CF'!$A:$K,COLUMN(G19),FALSE),"0")</f>
        <v>8273</v>
      </c>
      <c r="H19" s="111">
        <f>IFERROR(VLOOKUP("Net Change in Cash*",'9.TIKR_CF'!$A:$K,COLUMN(H19),FALSE),"0")</f>
        <v>-2954</v>
      </c>
      <c r="I19" s="111">
        <f>IFERROR(VLOOKUP("Net Change in Cash*",'9.TIKR_CF'!$A:$K,COLUMN(I19),FALSE),"0")</f>
        <v>-5993</v>
      </c>
      <c r="J19" s="111">
        <f>IFERROR(VLOOKUP("Net Change in Cash*",'9.TIKR_CF'!$A:$K,COLUMN(J19),FALSE),"0")</f>
        <v>1094</v>
      </c>
      <c r="K19" s="111">
        <f>IFERROR(VLOOKUP("Net Change in Cash*",'9.TIKR_CF'!$A:$K,COLUMN(K19),FALSE),"0")</f>
        <v>-399</v>
      </c>
      <c r="L19" s="110">
        <f>IF('4.Valoración'!L4&gt;0,IFERROR('4.Valoración'!L4-'4.Valoración'!K4,0),IFERROR('4.Valoración'!K4-'4.Valoración'!L4,0))</f>
        <v>6090</v>
      </c>
      <c r="M19" s="111">
        <f>IF('4.Valoración'!M4&gt;0,IFERROR('4.Valoración'!M4-'4.Valoración'!L4,0),IFERROR('4.Valoración'!L4-'4.Valoración'!M4,0))</f>
        <v>3080</v>
      </c>
      <c r="N19" s="111">
        <f>IF('4.Valoración'!N4&gt;0,IFERROR('4.Valoración'!N4-'4.Valoración'!M4,0),IFERROR('4.Valoración'!M4-'4.Valoración'!N4,0))</f>
        <v>2800</v>
      </c>
      <c r="O19" s="111">
        <f>IF('4.Valoración'!O4&gt;0,IFERROR('4.Valoración'!O4-'4.Valoración'!N4,0),IFERROR('4.Valoración'!N4-'4.Valoración'!O4,0))</f>
        <v>3200</v>
      </c>
      <c r="P19" s="112">
        <f>IF('4.Valoración'!P4&gt;0,IFERROR('4.Valoración'!P4-'4.Valoración'!O4,0),IFERROR('4.Valoración'!O4-'4.Valoración'!P4,0))</f>
        <v>3600</v>
      </c>
      <c r="Q19" s="105"/>
      <c r="R19" s="21"/>
      <c r="S19" s="21"/>
      <c r="T19" s="21"/>
      <c r="U19" s="21"/>
      <c r="V19" s="21"/>
      <c r="W19" s="21"/>
      <c r="X19" s="21"/>
      <c r="Y19" s="21"/>
      <c r="Z19" s="21"/>
    </row>
    <row r="20" ht="24.75" customHeight="1">
      <c r="A20" s="4"/>
      <c r="B20" s="113"/>
      <c r="C20" s="113"/>
      <c r="D20" s="113"/>
      <c r="E20" s="113"/>
      <c r="F20" s="113"/>
      <c r="G20" s="113"/>
      <c r="H20" s="113"/>
      <c r="I20" s="113"/>
      <c r="J20" s="113"/>
      <c r="K20" s="113"/>
      <c r="L20" s="113"/>
      <c r="M20" s="113"/>
      <c r="N20" s="113"/>
      <c r="O20" s="113"/>
      <c r="P20" s="113"/>
      <c r="Q20" s="55"/>
      <c r="R20" s="21"/>
      <c r="S20" s="21"/>
      <c r="T20" s="21"/>
      <c r="U20" s="21"/>
      <c r="V20" s="21"/>
      <c r="W20" s="21"/>
      <c r="X20" s="21"/>
      <c r="Y20" s="21"/>
      <c r="Z20" s="21"/>
    </row>
    <row r="21" ht="34.5" customHeight="1">
      <c r="A21" s="74" t="s">
        <v>57</v>
      </c>
      <c r="B21" s="75">
        <f>'1.IS'!B$2</f>
        <v>2016</v>
      </c>
      <c r="C21" s="75">
        <f>'1.IS'!C$2</f>
        <v>2017</v>
      </c>
      <c r="D21" s="75">
        <f>'1.IS'!D$2</f>
        <v>2018</v>
      </c>
      <c r="E21" s="75">
        <f>'1.IS'!E$2</f>
        <v>2019</v>
      </c>
      <c r="F21" s="75">
        <f>'1.IS'!F$2</f>
        <v>2020</v>
      </c>
      <c r="G21" s="75">
        <f>'1.IS'!G$2</f>
        <v>2021</v>
      </c>
      <c r="H21" s="75">
        <f>'1.IS'!H$2</f>
        <v>2022</v>
      </c>
      <c r="I21" s="75">
        <f>'1.IS'!I$2</f>
        <v>2023</v>
      </c>
      <c r="J21" s="75">
        <f>'1.IS'!J$2</f>
        <v>2024</v>
      </c>
      <c r="K21" s="75">
        <f>'1.IS'!K$2</f>
        <v>2025</v>
      </c>
      <c r="L21" s="76" t="str">
        <f>'1.IS'!L$2</f>
        <v>2026e</v>
      </c>
      <c r="M21" s="76" t="str">
        <f>'1.IS'!M$2</f>
        <v>2027e</v>
      </c>
      <c r="N21" s="76" t="str">
        <f>'1.IS'!N$2</f>
        <v>2028e</v>
      </c>
      <c r="O21" s="76" t="str">
        <f>'1.IS'!O$2</f>
        <v>2029e</v>
      </c>
      <c r="P21" s="76" t="str">
        <f>'1.IS'!P$2</f>
        <v>2030e</v>
      </c>
      <c r="Q21" s="114" t="str">
        <f>"Promedio "&amp;CHAR(10)&amp;$B$2&amp;"-"&amp;$K$2</f>
        <v>Promedio 
2016-2025</v>
      </c>
      <c r="R21" s="21"/>
      <c r="S21" s="21"/>
      <c r="T21" s="21"/>
      <c r="U21" s="21"/>
      <c r="V21" s="21"/>
      <c r="W21" s="21"/>
      <c r="X21" s="21"/>
      <c r="Y21" s="21"/>
      <c r="Z21" s="21"/>
    </row>
    <row r="22" ht="24.75" customHeight="1">
      <c r="A22" s="4" t="s">
        <v>58</v>
      </c>
      <c r="B22" s="98">
        <f>IFERROR(ABS(B4)/'1.IS'!B$3,"")</f>
        <v>0.0196088192</v>
      </c>
      <c r="C22" s="99">
        <f>IFERROR(ABS(C4)/'1.IS'!C$3,"")</f>
        <v>0.02074616206</v>
      </c>
      <c r="D22" s="99">
        <f>IFERROR(ABS(D4)/'1.IS'!D$3,"")</f>
        <v>0.01933273774</v>
      </c>
      <c r="E22" s="99">
        <f>IFERROR(ABS(E4)/'1.IS'!E$3,"")</f>
        <v>0.01909973659</v>
      </c>
      <c r="F22" s="99">
        <f>IFERROR(ABS(F4)/'1.IS'!F$3,"")</f>
        <v>0.01981815545</v>
      </c>
      <c r="G22" s="99">
        <f>IFERROR(ABS(G4)/'1.IS'!G$3,"")</f>
        <v>0.01797188953</v>
      </c>
      <c r="H22" s="99">
        <f>IFERROR(ABS(H4)/'1.IS'!H$3,"")</f>
        <v>0.01860833796</v>
      </c>
      <c r="I22" s="115">
        <f>IFERROR(ABS(I4)/'1.IS'!I$3,"")</f>
        <v>0.01790478808</v>
      </c>
      <c r="J22" s="115">
        <f>IFERROR(ABS(J4)/'1.IS'!J$3,"")</f>
        <v>0.01828813886</v>
      </c>
      <c r="K22" s="115">
        <f>IFERROR(ABS(K4)/'1.IS'!K$3,"")</f>
        <v>0.01905034619</v>
      </c>
      <c r="L22" s="116">
        <f>IFERROR(ABS((K4*'1.IS'!L4)+'2.FCF'!K4)/'1.IS'!L$3,"")</f>
        <v>0.01905034619</v>
      </c>
      <c r="M22" s="117">
        <f t="shared" ref="M22:P22" si="8">$L$22</f>
        <v>0.01905034619</v>
      </c>
      <c r="N22" s="117">
        <f t="shared" si="8"/>
        <v>0.01905034619</v>
      </c>
      <c r="O22" s="117">
        <f t="shared" si="8"/>
        <v>0.01905034619</v>
      </c>
      <c r="P22" s="118">
        <f t="shared" si="8"/>
        <v>0.01905034619</v>
      </c>
      <c r="Q22" s="119">
        <f t="shared" ref="Q22:Q25" si="9">IFERROR(AVERAGE(B22:K22),"")</f>
        <v>0.01904291117</v>
      </c>
      <c r="R22" s="21"/>
      <c r="S22" s="21"/>
      <c r="T22" s="21"/>
      <c r="U22" s="21"/>
      <c r="V22" s="21"/>
      <c r="W22" s="21"/>
      <c r="X22" s="21"/>
      <c r="Y22" s="21"/>
      <c r="Z22" s="21"/>
    </row>
    <row r="23" ht="24.75" customHeight="1">
      <c r="A23" s="4" t="s">
        <v>59</v>
      </c>
      <c r="B23" s="98">
        <f>IFERROR((B7+B8-B9)/'1.IS'!B$3,"")</f>
        <v>0.02407234563</v>
      </c>
      <c r="C23" s="99">
        <f>IFERROR((C7+C8-C9)/'1.IS'!C$3,"")</f>
        <v>0.01532910864</v>
      </c>
      <c r="D23" s="99">
        <f>IFERROR((D7+D8-D9)/'1.IS'!D$3,"")</f>
        <v>0.006605468649</v>
      </c>
      <c r="E23" s="99">
        <f>IFERROR((E7+E8-E9)/'1.IS'!E$3,"")</f>
        <v>0.006788425462</v>
      </c>
      <c r="F23" s="99">
        <f>IFERROR((F7+F8-F9)/'1.IS'!F$3,"")</f>
        <v>0.007149346138</v>
      </c>
      <c r="G23" s="99">
        <f>IFERROR((G7+G8-G9)/'1.IS'!G$3,"")</f>
        <v>0.00415630125</v>
      </c>
      <c r="H23" s="99">
        <f>IFERROR((H7+H8-H9)/'1.IS'!H$3,"")</f>
        <v>0.01663890606</v>
      </c>
      <c r="I23" s="115">
        <f>IFERROR((I7+I8-I9)/'1.IS'!I$3,"")</f>
        <v>0.01761360011</v>
      </c>
      <c r="J23" s="115">
        <f>IFERROR((J7+J8-J9)/'1.IS'!J$3,"")</f>
        <v>0.01060906461</v>
      </c>
      <c r="K23" s="115">
        <f>IFERROR((K7+K8-K9)/'1.IS'!K$3,"")</f>
        <v>0.01137176296</v>
      </c>
      <c r="L23" s="120">
        <f>IFERROR(L11/'1.IS'!L$3,"")</f>
        <v>0.01012435271</v>
      </c>
      <c r="M23" s="115">
        <f>IFERROR(M11/'1.IS'!M$3,"")</f>
        <v>0.008930658689</v>
      </c>
      <c r="N23" s="115">
        <f>IFERROR(N11/'1.IS'!N$3,"")</f>
        <v>0.007788367761</v>
      </c>
      <c r="O23" s="115">
        <f>IFERROR(O11/'1.IS'!O$3,"")</f>
        <v>0.006695266394</v>
      </c>
      <c r="P23" s="115">
        <f>IFERROR(P11/'1.IS'!P$3,"")</f>
        <v>0.005649236377</v>
      </c>
      <c r="Q23" s="119">
        <f t="shared" si="9"/>
        <v>0.01203343295</v>
      </c>
      <c r="R23" s="21"/>
      <c r="S23" s="21"/>
      <c r="T23" s="21"/>
      <c r="U23" s="21"/>
      <c r="V23" s="21"/>
      <c r="W23" s="21"/>
      <c r="X23" s="21"/>
      <c r="Y23" s="21"/>
      <c r="Z23" s="21"/>
    </row>
    <row r="24" ht="24.75" customHeight="1">
      <c r="A24" s="4" t="s">
        <v>60</v>
      </c>
      <c r="B24" s="98">
        <f>IFERROR(B14/'1.IS'!B$3,"")</f>
        <v>0.03047725717</v>
      </c>
      <c r="C24" s="99">
        <f>IFERROR(C14/'1.IS'!C$3,"")</f>
        <v>0.04045707417</v>
      </c>
      <c r="D24" s="99">
        <f>IFERROR(D14/'1.IS'!D$3,"")</f>
        <v>0.03729041877</v>
      </c>
      <c r="E24" s="99">
        <f>IFERROR(E14/'1.IS'!E$3,"")</f>
        <v>0.03036323519</v>
      </c>
      <c r="F24" s="99">
        <f>IFERROR(F14/'1.IS'!F$3,"")</f>
        <v>0.02715835439</v>
      </c>
      <c r="G24" s="99">
        <f>IFERROR(G14/'1.IS'!G$3,"")</f>
        <v>0.02887413239</v>
      </c>
      <c r="H24" s="99">
        <f>IFERROR(H14/'1.IS'!H$3,"")</f>
        <v>0.02117139295</v>
      </c>
      <c r="I24" s="115">
        <f>IFERROR(I14/'1.IS'!I$3,"")</f>
        <v>0.02651773547</v>
      </c>
      <c r="J24" s="115">
        <f>IFERROR(J14/'1.IS'!J$3,"")</f>
        <v>0.03487753134</v>
      </c>
      <c r="K24" s="115">
        <f>IFERROR(K14/'1.IS'!K$3,"")</f>
        <v>0.02474944382</v>
      </c>
      <c r="L24" s="120">
        <f>IFERROR(L14/'1.IS'!L$3,"")</f>
        <v>0.02955701305</v>
      </c>
      <c r="M24" s="115">
        <f>IFERROR(M14/'1.IS'!M$3,"")</f>
        <v>0.03190190493</v>
      </c>
      <c r="N24" s="115">
        <f>IFERROR(N14/'1.IS'!N$3,"")</f>
        <v>0.03350007394</v>
      </c>
      <c r="O24" s="115">
        <f>IFERROR(O14/'1.IS'!O$3,"")</f>
        <v>0.03543390243</v>
      </c>
      <c r="P24" s="115">
        <f>IFERROR(P14/'1.IS'!P$3,"")</f>
        <v>0.0376460909</v>
      </c>
      <c r="Q24" s="119">
        <f t="shared" si="9"/>
        <v>0.03019365757</v>
      </c>
      <c r="R24" s="21"/>
      <c r="S24" s="21"/>
      <c r="T24" s="21"/>
      <c r="U24" s="21"/>
      <c r="V24" s="21"/>
      <c r="W24" s="21"/>
      <c r="X24" s="21"/>
      <c r="Y24" s="21"/>
      <c r="Z24" s="21"/>
    </row>
    <row r="25" ht="24.75" customHeight="1">
      <c r="A25" s="121" t="s">
        <v>61</v>
      </c>
      <c r="B25" s="122">
        <f t="shared" ref="B25:P25" si="10">IFERROR(B14/B3,"")</f>
        <v>0.4378557168</v>
      </c>
      <c r="C25" s="123">
        <f t="shared" si="10"/>
        <v>0.5984959201</v>
      </c>
      <c r="D25" s="123">
        <f t="shared" si="10"/>
        <v>0.5929574779</v>
      </c>
      <c r="E25" s="123">
        <f t="shared" si="10"/>
        <v>0.4785965987</v>
      </c>
      <c r="F25" s="123">
        <f t="shared" si="10"/>
        <v>0.438453243</v>
      </c>
      <c r="G25" s="123">
        <f t="shared" si="10"/>
        <v>0.4790801187</v>
      </c>
      <c r="H25" s="123">
        <f t="shared" si="10"/>
        <v>0.3313114754</v>
      </c>
      <c r="I25" s="123">
        <f t="shared" si="10"/>
        <v>0.4569672709</v>
      </c>
      <c r="J25" s="123">
        <f t="shared" si="10"/>
        <v>0.5816287148</v>
      </c>
      <c r="K25" s="123">
        <f t="shared" si="10"/>
        <v>0.3967794336</v>
      </c>
      <c r="L25" s="122">
        <f t="shared" si="10"/>
        <v>0.46586129</v>
      </c>
      <c r="M25" s="123">
        <f t="shared" si="10"/>
        <v>0.4841619585</v>
      </c>
      <c r="N25" s="123">
        <f t="shared" si="10"/>
        <v>0.4958757602</v>
      </c>
      <c r="O25" s="123">
        <f t="shared" si="10"/>
        <v>0.5092994941</v>
      </c>
      <c r="P25" s="123">
        <f t="shared" si="10"/>
        <v>0.5237319271</v>
      </c>
      <c r="Q25" s="124">
        <f t="shared" si="9"/>
        <v>0.479212597</v>
      </c>
      <c r="R25" s="17"/>
      <c r="S25" s="17"/>
      <c r="T25" s="17"/>
      <c r="U25" s="17"/>
      <c r="V25" s="17"/>
      <c r="W25" s="17"/>
      <c r="X25" s="17"/>
      <c r="Y25" s="17"/>
      <c r="Z25" s="17"/>
    </row>
    <row r="26" ht="24.75" customHeight="1">
      <c r="A26" s="97"/>
      <c r="B26" s="107"/>
      <c r="C26" s="107"/>
      <c r="D26" s="107"/>
      <c r="E26" s="107"/>
      <c r="F26" s="107"/>
      <c r="G26" s="107"/>
      <c r="H26" s="107"/>
      <c r="I26" s="107"/>
      <c r="J26" s="107"/>
      <c r="K26" s="107"/>
      <c r="L26" s="107"/>
      <c r="M26" s="107"/>
      <c r="N26" s="107"/>
      <c r="O26" s="107"/>
      <c r="P26" s="107"/>
      <c r="Q26" s="125"/>
      <c r="R26" s="17"/>
      <c r="S26" s="17"/>
      <c r="T26" s="17"/>
      <c r="U26" s="17"/>
      <c r="V26" s="17"/>
      <c r="W26" s="17"/>
      <c r="X26" s="17"/>
      <c r="Y26" s="17"/>
      <c r="Z26" s="17"/>
    </row>
    <row r="27" ht="34.5" customHeight="1">
      <c r="A27" s="74" t="s">
        <v>62</v>
      </c>
      <c r="B27" s="75">
        <f>'1.IS'!B$2</f>
        <v>2016</v>
      </c>
      <c r="C27" s="75">
        <f>'1.IS'!C$2</f>
        <v>2017</v>
      </c>
      <c r="D27" s="75">
        <f>'1.IS'!D$2</f>
        <v>2018</v>
      </c>
      <c r="E27" s="75">
        <f>'1.IS'!E$2</f>
        <v>2019</v>
      </c>
      <c r="F27" s="75">
        <f>'1.IS'!F$2</f>
        <v>2020</v>
      </c>
      <c r="G27" s="75">
        <f>'1.IS'!G$2</f>
        <v>2021</v>
      </c>
      <c r="H27" s="75">
        <f>'1.IS'!H$2</f>
        <v>2022</v>
      </c>
      <c r="I27" s="75">
        <f>'1.IS'!I$2</f>
        <v>2023</v>
      </c>
      <c r="J27" s="75">
        <f>'1.IS'!J$2</f>
        <v>2024</v>
      </c>
      <c r="K27" s="75">
        <f>'1.IS'!K$2</f>
        <v>2025</v>
      </c>
      <c r="L27" s="126" t="str">
        <f>"Promedio "&amp;CHAR(10)&amp;$B$2&amp;"-"&amp;$K$2</f>
        <v>Promedio 
2016-2025</v>
      </c>
      <c r="M27" s="127"/>
      <c r="N27" s="107"/>
      <c r="O27" s="107"/>
      <c r="P27" s="107"/>
      <c r="Q27" s="125"/>
      <c r="R27" s="17"/>
      <c r="S27" s="17"/>
      <c r="T27" s="17"/>
      <c r="U27" s="17"/>
      <c r="V27" s="17"/>
      <c r="W27" s="17"/>
      <c r="X27" s="17"/>
      <c r="Y27" s="17"/>
      <c r="Z27" s="17"/>
    </row>
    <row r="28" ht="24.75" customHeight="1">
      <c r="A28" s="4" t="s">
        <v>63</v>
      </c>
      <c r="B28" s="98">
        <f>IF(B14&gt;0,IFERROR('TIKR_Cálculos'!B40/B$14,""),"-")</f>
        <v>0.09446032394</v>
      </c>
      <c r="C28" s="99">
        <f>IF(C14&gt;0,IFERROR('TIKR_Cálculos'!C40/C$14,""),"-")</f>
        <v>0.004222414407</v>
      </c>
      <c r="D28" s="99">
        <f>IF(D14&gt;0,IFERROR('TIKR_Cálculos'!D40/D$14,""),"-")</f>
        <v>0</v>
      </c>
      <c r="E28" s="99">
        <f>IF(E14&gt;0,IFERROR('TIKR_Cálculos'!E40/E$14,""),"-")</f>
        <v>0</v>
      </c>
      <c r="F28" s="99">
        <f>IF(F14&gt;0,IFERROR('TIKR_Cálculos'!F40/F$14,""),"-")</f>
        <v>0</v>
      </c>
      <c r="G28" s="99">
        <f>IF(G14&gt;0,IFERROR('TIKR_Cálculos'!G40/G$14,""),"-")</f>
        <v>0</v>
      </c>
      <c r="H28" s="99">
        <f>IF(H14&gt;0,IFERROR('TIKR_Cálculos'!H40/H$14,""),"-")</f>
        <v>0.1693880917</v>
      </c>
      <c r="I28" s="99">
        <f>IF(I14&gt;0,IFERROR('TIKR_Cálculos'!I40/I$14,""),"-")</f>
        <v>0.3542257866</v>
      </c>
      <c r="J28" s="99">
        <f>IF(J14&gt;0,IFERROR('TIKR_Cálculos'!J40/J$14,""),"-")</f>
        <v>0.3761557178</v>
      </c>
      <c r="K28" s="99">
        <f>IF(K14&gt;0,IFERROR('TIKR_Cálculos'!K40/K$14,""),"-")</f>
        <v>0.6157588703</v>
      </c>
      <c r="L28" s="128">
        <f t="shared" ref="L28:L32" si="11">IFERROR(AVERAGE(B28:K28),"")</f>
        <v>0.1614211205</v>
      </c>
      <c r="M28" s="129"/>
      <c r="N28" s="21"/>
      <c r="O28" s="107"/>
      <c r="P28" s="107"/>
      <c r="Q28" s="125"/>
      <c r="R28" s="17"/>
      <c r="S28" s="17"/>
      <c r="T28" s="17"/>
      <c r="U28" s="17"/>
      <c r="V28" s="17"/>
      <c r="W28" s="17"/>
      <c r="X28" s="17"/>
      <c r="Y28" s="17"/>
      <c r="Z28" s="17"/>
    </row>
    <row r="29" ht="24.75" customHeight="1">
      <c r="A29" s="4" t="s">
        <v>64</v>
      </c>
      <c r="B29" s="98">
        <f>IF(B14&gt;0,IFERROR('TIKR_Cálculos'!B43/B$14,""),"-")</f>
        <v>0</v>
      </c>
      <c r="C29" s="99">
        <f>IF(C14&gt;0,IFERROR('TIKR_Cálculos'!C43/C$14,""),"-")</f>
        <v>0.1252988757</v>
      </c>
      <c r="D29" s="99">
        <f>IF(D14&gt;0,IFERROR('TIKR_Cálculos'!D43/D$14,""),"-")</f>
        <v>0.02009861722</v>
      </c>
      <c r="E29" s="99">
        <f>IF(E14&gt;0,IFERROR('TIKR_Cálculos'!E43/E$14,""),"-")</f>
        <v>0.9383443242</v>
      </c>
      <c r="F29" s="99">
        <f>IF(F14&gt;0,IFERROR('TIKR_Cálculos'!F43/F$14,""),"-")</f>
        <v>0.003935347857</v>
      </c>
      <c r="G29" s="99">
        <f>IF(G14&gt;0,IFERROR('TIKR_Cálculos'!G43/G$14,""),"-")</f>
        <v>0.01114896253</v>
      </c>
      <c r="H29" s="99">
        <f>IF(H14&gt;0,IFERROR('TIKR_Cálculos'!H43/H$14,""),"-")</f>
        <v>0.02960580571</v>
      </c>
      <c r="I29" s="99">
        <f>IF(I14&gt;0,IFERROR('TIKR_Cálculos'!I43/I$14,""),"-")</f>
        <v>0.04565083282</v>
      </c>
      <c r="J29" s="99">
        <f>IF(J14&gt;0,IFERROR('TIKR_Cálculos'!J43/J$14,""),"-")</f>
        <v>0.000398142004</v>
      </c>
      <c r="K29" s="99">
        <f>IF(K14&gt;0,IFERROR('TIKR_Cálculos'!K43/K$14,""),"-")</f>
        <v>0.11249555</v>
      </c>
      <c r="L29" s="130">
        <f t="shared" si="11"/>
        <v>0.1286976458</v>
      </c>
      <c r="M29" s="129"/>
      <c r="N29" s="21"/>
      <c r="O29" s="107"/>
      <c r="P29" s="107"/>
      <c r="Q29" s="125"/>
      <c r="R29" s="17"/>
      <c r="S29" s="17"/>
      <c r="T29" s="17"/>
      <c r="U29" s="17"/>
      <c r="V29" s="17"/>
      <c r="W29" s="17"/>
      <c r="X29" s="17"/>
      <c r="Y29" s="17"/>
      <c r="Z29" s="17"/>
    </row>
    <row r="30" ht="24.75" customHeight="1">
      <c r="A30" s="4" t="s">
        <v>65</v>
      </c>
      <c r="B30" s="98">
        <f>IF(B14&gt;0,IFERROR('TIKR_Cálculos'!B41/B$14,""),"-")</f>
        <v>0.4283380972</v>
      </c>
      <c r="C30" s="99">
        <f>IF(C14&gt;0,IFERROR('TIKR_Cálculos'!C41/C$14,""),"-")</f>
        <v>0.3162232284</v>
      </c>
      <c r="D30" s="99">
        <f>IF(D14&gt;0,IFERROR('TIKR_Cálculos'!D41/D$14,""),"-")</f>
        <v>0.3282238182</v>
      </c>
      <c r="E30" s="99">
        <f>IF(E14&gt;0,IFERROR('TIKR_Cálculos'!E41/E$14,""),"-")</f>
        <v>0.3906780204</v>
      </c>
      <c r="F30" s="99">
        <f>IF(F14&gt;0,IFERROR('TIKR_Cálculos'!F41/F$14,""),"-")</f>
        <v>0.4250175685</v>
      </c>
      <c r="G30" s="99">
        <f>IF(G14&gt;0,IFERROR('TIKR_Cálculos'!G41/G$14,""),"-")</f>
        <v>0.3788169712</v>
      </c>
      <c r="H30" s="99">
        <f>IF(H14&gt;0,IFERROR('TIKR_Cálculos'!H41/H$14,""),"-")</f>
        <v>0.5073396009</v>
      </c>
      <c r="I30" s="99">
        <f>IF(I14&gt;0,IFERROR('TIKR_Cálculos'!I41/I$14,""),"-")</f>
        <v>0.3771745836</v>
      </c>
      <c r="J30" s="99">
        <f>IF(J14&gt;0,IFERROR('TIKR_Cálculos'!J41/J$14,""),"-")</f>
        <v>0.2716213227</v>
      </c>
      <c r="K30" s="99">
        <f>IF(K14&gt;0,IFERROR('TIKR_Cálculos'!K41/K$14,""),"-")</f>
        <v>0.3968197461</v>
      </c>
      <c r="L30" s="130">
        <f t="shared" si="11"/>
        <v>0.3820252957</v>
      </c>
      <c r="M30" s="129"/>
      <c r="N30" s="21"/>
      <c r="O30" s="59"/>
      <c r="P30" s="59"/>
      <c r="Q30" s="59"/>
      <c r="R30" s="17"/>
      <c r="S30" s="17"/>
      <c r="T30" s="17"/>
      <c r="U30" s="17"/>
      <c r="V30" s="17"/>
      <c r="W30" s="17"/>
      <c r="X30" s="17"/>
      <c r="Y30" s="17"/>
      <c r="Z30" s="17"/>
    </row>
    <row r="31" ht="24.75" customHeight="1">
      <c r="A31" s="4" t="s">
        <v>66</v>
      </c>
      <c r="B31" s="98">
        <f>IF(B14&gt;0,IFERROR('TIKR_Cálculos'!B42/B$14,""),"-")</f>
        <v>0.2798421124</v>
      </c>
      <c r="C31" s="99">
        <f>IF(C14&gt;0,IFERROR('TIKR_Cálculos'!C42/C$14,""),"-")</f>
        <v>0.4221396958</v>
      </c>
      <c r="D31" s="99">
        <f>IF(D14&gt;0,IFERROR('TIKR_Cálculos'!D42/D$14,""),"-")</f>
        <v>0.4446350091</v>
      </c>
      <c r="E31" s="99">
        <f>IF(E14&gt;0,IFERROR('TIKR_Cálculos'!E42/E$14,""),"-")</f>
        <v>0.4744221781</v>
      </c>
      <c r="F31" s="99">
        <f>IF(F14&gt;0,IFERROR('TIKR_Cálculos'!F42/F$14,""),"-")</f>
        <v>0.4017568517</v>
      </c>
      <c r="G31" s="99">
        <f>IF(G14&gt;0,IFERROR('TIKR_Cálculos'!G42/G$14,""),"-")</f>
        <v>0.1625890369</v>
      </c>
      <c r="H31" s="99">
        <f>IF(H14&gt;0,IFERROR('TIKR_Cálculos'!H42/H$14,""),"-")</f>
        <v>0.8071086921</v>
      </c>
      <c r="I31" s="99">
        <f>IF(I14&gt;0,IFERROR('TIKR_Cálculos'!I42/I$14,""),"-")</f>
        <v>0.611967921</v>
      </c>
      <c r="J31" s="99">
        <f>IF(J14&gt;0,IFERROR('TIKR_Cálculos'!J42/J$14,""),"-")</f>
        <v>0.1229374032</v>
      </c>
      <c r="K31" s="99">
        <f>IF(K14&gt;0,IFERROR('TIKR_Cálculos'!K42/K$14,""),"-")</f>
        <v>0.2666429334</v>
      </c>
      <c r="L31" s="130">
        <f t="shared" si="11"/>
        <v>0.3994041834</v>
      </c>
      <c r="M31" s="129"/>
      <c r="N31" s="21"/>
      <c r="O31" s="59"/>
      <c r="P31" s="59"/>
      <c r="Q31" s="59"/>
      <c r="R31" s="17"/>
      <c r="S31" s="17"/>
      <c r="T31" s="17"/>
      <c r="U31" s="17"/>
      <c r="V31" s="17"/>
      <c r="W31" s="17"/>
      <c r="X31" s="17"/>
      <c r="Y31" s="17"/>
      <c r="Z31" s="17"/>
    </row>
    <row r="32" ht="24.75" customHeight="1">
      <c r="A32" s="131" t="s">
        <v>67</v>
      </c>
      <c r="B32" s="132">
        <f>IF(B14&gt;0,IFERROR(IF('TIKR_Cálculos'!B44&gt;0,'TIKR_Cálculos'!B44,0)/B14,""),"-")</f>
        <v>0.2149176535</v>
      </c>
      <c r="C32" s="133">
        <f>IF(C14&gt;0,IFERROR(IF('TIKR_Cálculos'!C44&gt;0,'TIKR_Cálculos'!C44,0)/C14,""),"-")</f>
        <v>0.1826830137</v>
      </c>
      <c r="D32" s="133">
        <f>IF(D14&gt;0,IFERROR(IF('TIKR_Cálculos'!D44&gt;0,'TIKR_Cálculos'!D44,0)/D14,""),"-")</f>
        <v>0.07701790117</v>
      </c>
      <c r="E32" s="133">
        <f>IF(E14&gt;0,IFERROR(IF('TIKR_Cálculos'!E44&gt;0,'TIKR_Cálculos'!E44,0)/E14,""),"-")</f>
        <v>0</v>
      </c>
      <c r="F32" s="133">
        <f>IF(F14&gt;0,IFERROR(IF('TIKR_Cálculos'!F44&gt;0,'TIKR_Cálculos'!F44,0)/F14,""),"-")</f>
        <v>0.07526352776</v>
      </c>
      <c r="G32" s="133">
        <f>IF(G14&gt;0,IFERROR(IF('TIKR_Cálculos'!G44&gt;0,'TIKR_Cálculos'!G44,0)/G14,""),"-")</f>
        <v>0.3534221121</v>
      </c>
      <c r="H32" s="133">
        <f>IF(H14&gt;0,IFERROR(IF('TIKR_Cálculos'!H44&gt;0,'TIKR_Cálculos'!H44,0)/H14,""),"-")</f>
        <v>0.4842487218</v>
      </c>
      <c r="I32" s="133">
        <f>IF(I14&gt;0,IFERROR(IF('TIKR_Cálculos'!I44&gt;0,'TIKR_Cálculos'!I44,0)/I14,""),"-")</f>
        <v>0</v>
      </c>
      <c r="J32" s="133">
        <f>IF(J14&gt;0,IFERROR(IF('TIKR_Cálculos'!J44&gt;0,'TIKR_Cálculos'!J44,0)/J14,""),"-")</f>
        <v>0</v>
      </c>
      <c r="K32" s="133">
        <f>IF(K14&gt;0,IFERROR(IF('TIKR_Cálculos'!K44&gt;0,'TIKR_Cálculos'!K44,0)/K14,""),"-")</f>
        <v>0.07452236858</v>
      </c>
      <c r="L32" s="124">
        <f t="shared" si="11"/>
        <v>0.1462075299</v>
      </c>
      <c r="M32" s="129"/>
      <c r="N32" s="17"/>
      <c r="O32" s="59"/>
      <c r="P32" s="59"/>
      <c r="Q32" s="59"/>
      <c r="R32" s="17"/>
      <c r="S32" s="17"/>
      <c r="T32" s="17"/>
      <c r="U32" s="17"/>
      <c r="V32" s="17"/>
      <c r="W32" s="17"/>
      <c r="X32" s="17"/>
      <c r="Y32" s="17"/>
      <c r="Z32" s="17"/>
    </row>
    <row r="33" ht="24.75" customHeight="1">
      <c r="A33" s="78" t="s">
        <v>68</v>
      </c>
      <c r="B33" s="125">
        <f t="shared" ref="B33:L33" si="12">SUM(B28:B32)</f>
        <v>1.017558187</v>
      </c>
      <c r="C33" s="125">
        <f t="shared" si="12"/>
        <v>1.050567228</v>
      </c>
      <c r="D33" s="125">
        <f t="shared" si="12"/>
        <v>0.8699753457</v>
      </c>
      <c r="E33" s="125">
        <f t="shared" si="12"/>
        <v>1.803444523</v>
      </c>
      <c r="F33" s="125">
        <f t="shared" si="12"/>
        <v>0.9059732959</v>
      </c>
      <c r="G33" s="125">
        <f t="shared" si="12"/>
        <v>0.9059770827</v>
      </c>
      <c r="H33" s="125">
        <f t="shared" si="12"/>
        <v>1.997690912</v>
      </c>
      <c r="I33" s="125">
        <f t="shared" si="12"/>
        <v>1.389019124</v>
      </c>
      <c r="J33" s="125">
        <f t="shared" si="12"/>
        <v>0.7711125857</v>
      </c>
      <c r="K33" s="125">
        <f t="shared" si="12"/>
        <v>1.466239468</v>
      </c>
      <c r="L33" s="125">
        <f t="shared" si="12"/>
        <v>1.217755775</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7"/>
      <c r="O35" s="107"/>
      <c r="P35" s="107"/>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7"/>
      <c r="O36" s="107"/>
      <c r="P36" s="107"/>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7"/>
      <c r="P37" s="107"/>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7"/>
      <c r="P38" s="107"/>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7"/>
      <c r="O41" s="107"/>
      <c r="P41" s="107"/>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4" t="s">
        <v>70</v>
      </c>
      <c r="B2" s="75">
        <f>'1.IS'!B$2</f>
        <v>2016</v>
      </c>
      <c r="C2" s="75">
        <f>'1.IS'!C$2</f>
        <v>2017</v>
      </c>
      <c r="D2" s="75">
        <f>'1.IS'!D$2</f>
        <v>2018</v>
      </c>
      <c r="E2" s="75">
        <f>'1.IS'!E$2</f>
        <v>2019</v>
      </c>
      <c r="F2" s="75">
        <f>'1.IS'!F$2</f>
        <v>2020</v>
      </c>
      <c r="G2" s="75">
        <f>'1.IS'!G$2</f>
        <v>2021</v>
      </c>
      <c r="H2" s="75">
        <f>'1.IS'!H$2</f>
        <v>2022</v>
      </c>
      <c r="I2" s="75">
        <f>'1.IS'!I$2</f>
        <v>2023</v>
      </c>
      <c r="J2" s="75">
        <f>'1.IS'!J$2</f>
        <v>2024</v>
      </c>
      <c r="K2" s="75">
        <f>'1.IS'!K$2</f>
        <v>2025</v>
      </c>
      <c r="L2" s="76" t="str">
        <f>'1.IS'!L$2</f>
        <v>2026e</v>
      </c>
      <c r="M2" s="76" t="str">
        <f>'1.IS'!M$2</f>
        <v>2027e</v>
      </c>
      <c r="N2" s="76" t="str">
        <f>'1.IS'!N$2</f>
        <v>2028e</v>
      </c>
      <c r="O2" s="76" t="str">
        <f>'1.IS'!O$2</f>
        <v>2029e</v>
      </c>
      <c r="P2" s="76" t="str">
        <f>'1.IS'!P$2</f>
        <v>2030e</v>
      </c>
      <c r="Q2" s="77"/>
      <c r="R2" s="77"/>
      <c r="S2" s="21"/>
      <c r="T2" s="21"/>
      <c r="U2" s="21"/>
      <c r="V2" s="21"/>
      <c r="W2" s="21"/>
      <c r="X2" s="21"/>
      <c r="Y2" s="21"/>
      <c r="Z2" s="21"/>
    </row>
    <row r="3" ht="24.75" customHeight="1">
      <c r="A3" s="136" t="s">
        <v>71</v>
      </c>
      <c r="B3" s="86">
        <f>IFERROR('1.IS'!B9*(1-'1.IS'!B17),"")</f>
        <v>16799.30678</v>
      </c>
      <c r="C3" s="87">
        <f>IFERROR('1.IS'!C9*(1-'1.IS'!C17),"")</f>
        <v>15873.82797</v>
      </c>
      <c r="D3" s="87">
        <f>IFERROR('1.IS'!D9*(1-'1.IS'!D17),"")</f>
        <v>15802.92036</v>
      </c>
      <c r="E3" s="87">
        <f>IFERROR('1.IS'!E9*(1-'1.IS'!E17),"")</f>
        <v>17216.33443</v>
      </c>
      <c r="F3" s="87">
        <f>IFERROR('1.IS'!F9*(1-'1.IS'!F17),"")</f>
        <v>15931.46836</v>
      </c>
      <c r="G3" s="87">
        <f>IFERROR('1.IS'!G9*(1-'1.IS'!G17),"")</f>
        <v>14950.76191</v>
      </c>
      <c r="H3" s="87">
        <f>IFERROR('1.IS'!H9*(1-'1.IS'!H17),"")</f>
        <v>20823.76587</v>
      </c>
      <c r="I3" s="87">
        <f>IFERROR('1.IS'!I9*(1-'1.IS'!I17),"")</f>
        <v>18384.7309</v>
      </c>
      <c r="J3" s="87">
        <f>IFERROR('1.IS'!J9*(1-'1.IS'!J17),"")</f>
        <v>20954.79654</v>
      </c>
      <c r="K3" s="87">
        <f>IFERROR('1.IS'!K9*(1-'1.IS'!K17),"")</f>
        <v>22845.33284</v>
      </c>
      <c r="L3" s="137">
        <f>IFERROR('1.IS'!L9*(1-'1.IS'!L17),"")</f>
        <v>25789.44674</v>
      </c>
      <c r="M3" s="138">
        <f>IFERROR('1.IS'!M9*(1-'1.IS'!M17),"")</f>
        <v>26949.97184</v>
      </c>
      <c r="N3" s="138">
        <f>IFERROR('1.IS'!N9*(1-'1.IS'!N17),"")</f>
        <v>28162.72057</v>
      </c>
      <c r="O3" s="138">
        <f>IFERROR('1.IS'!O9*(1-'1.IS'!O17),"")</f>
        <v>29430.043</v>
      </c>
      <c r="P3" s="139">
        <f>IFERROR('1.IS'!P9*(1-'1.IS'!P17),"")</f>
        <v>30754.39493</v>
      </c>
      <c r="Q3" s="138"/>
      <c r="R3" s="138"/>
      <c r="S3" s="21"/>
      <c r="T3" s="21"/>
      <c r="U3" s="21"/>
      <c r="V3" s="140"/>
      <c r="W3" s="21"/>
      <c r="X3" s="21"/>
      <c r="Y3" s="21"/>
      <c r="Z3" s="21"/>
    </row>
    <row r="4" ht="24.75" customHeight="1">
      <c r="A4" s="141" t="s">
        <v>72</v>
      </c>
      <c r="B4" s="84">
        <f>IFERROR(VLOOKUP("Cash And Equivalents*",'8.TIKR_BS'!$A:$K,COLUMN(B4),FALSE),"0")</f>
        <v>8705</v>
      </c>
      <c r="C4" s="85">
        <f>IFERROR(VLOOKUP("Cash And Equivalents*",'8.TIKR_BS'!$A:$K,COLUMN(C4),FALSE),"0")</f>
        <v>6867</v>
      </c>
      <c r="D4" s="85">
        <f>IFERROR(VLOOKUP("Cash And Equivalents*",'8.TIKR_BS'!$A:$K,COLUMN(D4),FALSE),"0")</f>
        <v>6756</v>
      </c>
      <c r="E4" s="85">
        <f>IFERROR(VLOOKUP("Cash And Equivalents*",'8.TIKR_BS'!$A:$K,COLUMN(E4),FALSE),"0")</f>
        <v>7722</v>
      </c>
      <c r="F4" s="85">
        <f>IFERROR(VLOOKUP("Cash And Equivalents*",'8.TIKR_BS'!$A:$K,COLUMN(F4),FALSE),"0")</f>
        <v>9465</v>
      </c>
      <c r="G4" s="85">
        <f>IFERROR(VLOOKUP("Cash And Equivalents*",'8.TIKR_BS'!$A:$K,COLUMN(G4),FALSE),"0")</f>
        <v>17741</v>
      </c>
      <c r="H4" s="85">
        <f>IFERROR(VLOOKUP("Cash And Equivalents*",'8.TIKR_BS'!$A:$K,COLUMN(H4),FALSE),"0")</f>
        <v>14760</v>
      </c>
      <c r="I4" s="85">
        <f>IFERROR(VLOOKUP("Cash And Equivalents*",'8.TIKR_BS'!$A:$K,COLUMN(I4),FALSE),"0")</f>
        <v>8625</v>
      </c>
      <c r="J4" s="85">
        <f>IFERROR(VLOOKUP("Cash And Equivalents*",'8.TIKR_BS'!$A:$K,COLUMN(J4),FALSE),"0")</f>
        <v>9867</v>
      </c>
      <c r="K4" s="85">
        <f>IFERROR(VLOOKUP("Cash And Equivalents*",'8.TIKR_BS'!$A:$K,COLUMN(K4),FALSE),"0")</f>
        <v>9037</v>
      </c>
      <c r="L4" s="137">
        <f>IFERROR('TIKR_Cálculos'!C32,0)</f>
        <v>9443.665</v>
      </c>
      <c r="M4" s="138">
        <f>IFERROR('TIKR_Cálculos'!D32,0)</f>
        <v>9868.629925</v>
      </c>
      <c r="N4" s="138">
        <f>IFERROR('TIKR_Cálculos'!E32,0)</f>
        <v>10312.71827</v>
      </c>
      <c r="O4" s="138">
        <f>IFERROR('TIKR_Cálculos'!F32,0)</f>
        <v>10776.79059</v>
      </c>
      <c r="P4" s="139">
        <f>IFERROR('TIKR_Cálculos'!G32,0)</f>
        <v>11261.74617</v>
      </c>
      <c r="Q4" s="138"/>
      <c r="R4" s="138"/>
      <c r="S4" s="21"/>
      <c r="T4" s="21"/>
      <c r="U4" s="21"/>
      <c r="V4" s="140"/>
      <c r="W4" s="21"/>
      <c r="X4" s="21"/>
      <c r="Y4" s="21"/>
      <c r="Z4" s="21"/>
    </row>
    <row r="5" ht="24.75" customHeight="1">
      <c r="A5" s="141" t="s">
        <v>73</v>
      </c>
      <c r="B5" s="84">
        <f>IFERROR(VLOOKUP("Total Cash And Short Term Investments*",'8.TIKR_BS'!$A:$K,COLUMN(B5),FALSE)-B4,"0")</f>
        <v>0</v>
      </c>
      <c r="C5" s="85">
        <f>IFERROR(VLOOKUP("Total Cash And Short Term Investments*",'8.TIKR_BS'!$A:$K,COLUMN(C5),FALSE)-C4,"0")</f>
        <v>0</v>
      </c>
      <c r="D5" s="85">
        <f>IFERROR(VLOOKUP("Total Cash And Short Term Investments*",'8.TIKR_BS'!$A:$K,COLUMN(D5),FALSE)-D4,"0")</f>
        <v>0</v>
      </c>
      <c r="E5" s="85">
        <f>IFERROR(VLOOKUP("Total Cash And Short Term Investments*",'8.TIKR_BS'!$A:$K,COLUMN(E5),FALSE)-E4,"0")</f>
        <v>0</v>
      </c>
      <c r="F5" s="85">
        <f>IFERROR(VLOOKUP("Total Cash And Short Term Investments*",'8.TIKR_BS'!$A:$K,COLUMN(F5),FALSE)-F4,"0")</f>
        <v>0</v>
      </c>
      <c r="G5" s="85">
        <f>IFERROR(VLOOKUP("Total Cash And Short Term Investments*",'8.TIKR_BS'!$A:$K,COLUMN(G5),FALSE)-G4,"0")</f>
        <v>0</v>
      </c>
      <c r="H5" s="85">
        <f>IFERROR(VLOOKUP("Total Cash And Short Term Investments*",'8.TIKR_BS'!$A:$K,COLUMN(H5),FALSE)-H4,"0")</f>
        <v>0</v>
      </c>
      <c r="I5" s="85">
        <f>IFERROR(VLOOKUP("Total Cash And Short Term Investments*",'8.TIKR_BS'!$A:$K,COLUMN(I5),FALSE)-I4,"0")</f>
        <v>0</v>
      </c>
      <c r="J5" s="85">
        <f>IFERROR(VLOOKUP("Total Cash And Short Term Investments*",'8.TIKR_BS'!$A:$K,COLUMN(J5),FALSE)-J4,"0")</f>
        <v>0</v>
      </c>
      <c r="K5" s="85">
        <f>IFERROR(VLOOKUP("Total Cash And Short Term Investments*",'8.TIKR_BS'!$A:$K,COLUMN(K5),FALSE)-K4,"0")</f>
        <v>0</v>
      </c>
      <c r="L5" s="137">
        <f>IFERROR('TIKR_Cálculos'!C33,0)</f>
        <v>0</v>
      </c>
      <c r="M5" s="138">
        <f>IFERROR('TIKR_Cálculos'!D33,0)</f>
        <v>0</v>
      </c>
      <c r="N5" s="138">
        <f>IFERROR('TIKR_Cálculos'!E33,0)</f>
        <v>0</v>
      </c>
      <c r="O5" s="138">
        <f>IFERROR('TIKR_Cálculos'!F33,0)</f>
        <v>0</v>
      </c>
      <c r="P5" s="139">
        <f>IFERROR('TIKR_Cálculos'!G33,0)</f>
        <v>0</v>
      </c>
      <c r="Q5" s="138"/>
      <c r="R5" s="138"/>
      <c r="S5" s="21"/>
      <c r="T5" s="21"/>
      <c r="U5" s="21"/>
      <c r="V5" s="140"/>
      <c r="W5" s="21"/>
      <c r="X5" s="21"/>
      <c r="Y5" s="21"/>
      <c r="Z5" s="21"/>
    </row>
    <row r="6" ht="24.75" customHeight="1">
      <c r="A6" s="141" t="s">
        <v>74</v>
      </c>
      <c r="B6" s="84">
        <f>IFERROR(VLOOKUP("Short-term Borrowings*",'8.TIKR_BS'!$A:$K,COLUMN(B6),FALSE),"0")+IFERROR(VLOOKUP("Current Portion of Long-Term Debt*",'8.TIKR_BS'!$A:$K,COLUMN(B6),FALSE),"0")+IFERROR(VLOOKUP("Finance Division Debt Current*",'8.TIKR_BS'!$A:$K,COLUMN(B6),FALSE),"0")</f>
        <v>5453</v>
      </c>
      <c r="C6" s="85">
        <f>IFERROR(VLOOKUP("Short-term Borrowings*",'8.TIKR_BS'!$A:$K,COLUMN(C6),FALSE),"0")+IFERROR(VLOOKUP("Current Portion of Long-Term Debt*",'8.TIKR_BS'!$A:$K,COLUMN(C6),FALSE),"0")+IFERROR(VLOOKUP("Finance Division Debt Current*",'8.TIKR_BS'!$A:$K,COLUMN(C6),FALSE),"0")</f>
        <v>3355</v>
      </c>
      <c r="D6" s="85">
        <f>IFERROR(VLOOKUP("Short-term Borrowings*",'8.TIKR_BS'!$A:$K,COLUMN(D6),FALSE),"0")+IFERROR(VLOOKUP("Current Portion of Long-Term Debt*",'8.TIKR_BS'!$A:$K,COLUMN(D6),FALSE),"0")+IFERROR(VLOOKUP("Finance Division Debt Current*",'8.TIKR_BS'!$A:$K,COLUMN(D6),FALSE),"0")</f>
        <v>8995</v>
      </c>
      <c r="E6" s="85">
        <f>IFERROR(VLOOKUP("Short-term Borrowings*",'8.TIKR_BS'!$A:$K,COLUMN(E6),FALSE),"0")+IFERROR(VLOOKUP("Current Portion of Long-Term Debt*",'8.TIKR_BS'!$A:$K,COLUMN(E6),FALSE),"0")+IFERROR(VLOOKUP("Finance Division Debt Current*",'8.TIKR_BS'!$A:$K,COLUMN(E6),FALSE),"0")</f>
        <v>7101</v>
      </c>
      <c r="F6" s="85">
        <f>IFERROR(VLOOKUP("Short-term Borrowings*",'8.TIKR_BS'!$A:$K,COLUMN(F6),FALSE),"0")+IFERROR(VLOOKUP("Current Portion of Long-Term Debt*",'8.TIKR_BS'!$A:$K,COLUMN(F6),FALSE),"0")+IFERROR(VLOOKUP("Finance Division Debt Current*",'8.TIKR_BS'!$A:$K,COLUMN(F6),FALSE),"0")</f>
        <v>5937</v>
      </c>
      <c r="G6" s="85">
        <f>IFERROR(VLOOKUP("Short-term Borrowings*",'8.TIKR_BS'!$A:$K,COLUMN(G6),FALSE),"0")+IFERROR(VLOOKUP("Current Portion of Long-Term Debt*",'8.TIKR_BS'!$A:$K,COLUMN(G6),FALSE),"0")+IFERROR(VLOOKUP("Finance Division Debt Current*",'8.TIKR_BS'!$A:$K,COLUMN(G6),FALSE),"0")</f>
        <v>3339</v>
      </c>
      <c r="H6" s="85">
        <f>IFERROR(VLOOKUP("Short-term Borrowings*",'8.TIKR_BS'!$A:$K,COLUMN(H6),FALSE),"0")+IFERROR(VLOOKUP("Current Portion of Long-Term Debt*",'8.TIKR_BS'!$A:$K,COLUMN(H6),FALSE),"0")+IFERROR(VLOOKUP("Finance Division Debt Current*",'8.TIKR_BS'!$A:$K,COLUMN(H6),FALSE),"0")</f>
        <v>3213</v>
      </c>
      <c r="I6" s="85">
        <f>IFERROR(VLOOKUP("Short-term Borrowings*",'8.TIKR_BS'!$A:$K,COLUMN(I6),FALSE),"0")+IFERROR(VLOOKUP("Current Portion of Long-Term Debt*",'8.TIKR_BS'!$A:$K,COLUMN(I6),FALSE),"0")+IFERROR(VLOOKUP("Finance Division Debt Current*",'8.TIKR_BS'!$A:$K,COLUMN(I6),FALSE),"0")</f>
        <v>4563</v>
      </c>
      <c r="J6" s="85">
        <f>IFERROR(VLOOKUP("Short-term Borrowings*",'8.TIKR_BS'!$A:$K,COLUMN(J6),FALSE),"0")+IFERROR(VLOOKUP("Current Portion of Long-Term Debt*",'8.TIKR_BS'!$A:$K,COLUMN(J6),FALSE),"0")+IFERROR(VLOOKUP("Finance Division Debt Current*",'8.TIKR_BS'!$A:$K,COLUMN(J6),FALSE),"0")</f>
        <v>4325</v>
      </c>
      <c r="K6" s="85">
        <f>IFERROR(VLOOKUP("Short-term Borrowings*",'8.TIKR_BS'!$A:$K,COLUMN(K6),FALSE),"0")+IFERROR(VLOOKUP("Current Portion of Long-Term Debt*",'8.TIKR_BS'!$A:$K,COLUMN(K6),FALSE),"0")+IFERROR(VLOOKUP("Finance Division Debt Current*",'8.TIKR_BS'!$A:$K,COLUMN(K6),FALSE),"0")</f>
        <v>5666</v>
      </c>
      <c r="L6" s="137">
        <f>IFERROR('TIKR_Cálculos'!C35,0)</f>
        <v>6608.230115</v>
      </c>
      <c r="M6" s="138">
        <f>IFERROR('TIKR_Cálculos'!D35,0)</f>
        <v>7171.722605</v>
      </c>
      <c r="N6" s="138">
        <f>IFERROR('TIKR_Cálculos'!E35,0)</f>
        <v>7683.988505</v>
      </c>
      <c r="O6" s="138">
        <f>IFERROR('TIKR_Cálculos'!F35,0)</f>
        <v>8269.435249</v>
      </c>
      <c r="P6" s="139">
        <f>IFERROR('TIKR_Cálculos'!G35,0)</f>
        <v>8928.062835</v>
      </c>
      <c r="Q6" s="138"/>
      <c r="R6" s="138"/>
      <c r="S6" s="21"/>
      <c r="T6" s="21"/>
      <c r="U6" s="21"/>
      <c r="V6" s="140"/>
      <c r="W6" s="21"/>
      <c r="X6" s="21"/>
      <c r="Y6" s="21"/>
      <c r="Z6" s="21"/>
    </row>
    <row r="7" ht="24.75" customHeight="1">
      <c r="A7" s="141" t="s">
        <v>75</v>
      </c>
      <c r="B7" s="84">
        <f>IFERROR(VLOOKUP("Long-term Borrowings*",'8.TIKR_BS'!$A:$K,COLUMN(B7),FALSE),"0")+IFERROR(VLOOKUP("Long-Term Debt*",'8.TIKR_BS'!$A:$K,COLUMN(B7),FALSE),"0")+IFERROR(VLOOKUP("Finance Division Debt Non Current*",'8.TIKR_BS'!$A:$K,COLUMN(B7),FALSE),"0")</f>
        <v>38952</v>
      </c>
      <c r="C7" s="85">
        <f>IFERROR(VLOOKUP("Long-term Borrowings*",'8.TIKR_BS'!$A:$K,COLUMN(C7),FALSE),"0")+IFERROR(VLOOKUP("Long-Term Debt*",'8.TIKR_BS'!$A:$K,COLUMN(C7),FALSE),"0")+IFERROR(VLOOKUP("Finance Division Debt Non Current*",'8.TIKR_BS'!$A:$K,COLUMN(C7),FALSE),"0")</f>
        <v>36645</v>
      </c>
      <c r="D7" s="85">
        <f>IFERROR(VLOOKUP("Long-term Borrowings*",'8.TIKR_BS'!$A:$K,COLUMN(D7),FALSE),"0")+IFERROR(VLOOKUP("Long-Term Debt*",'8.TIKR_BS'!$A:$K,COLUMN(D7),FALSE),"0")+IFERROR(VLOOKUP("Finance Division Debt Non Current*",'8.TIKR_BS'!$A:$K,COLUMN(D7),FALSE),"0")</f>
        <v>30231</v>
      </c>
      <c r="E7" s="85">
        <f>IFERROR(VLOOKUP("Long-term Borrowings*",'8.TIKR_BS'!$A:$K,COLUMN(E7),FALSE),"0")+IFERROR(VLOOKUP("Long-Term Debt*",'8.TIKR_BS'!$A:$K,COLUMN(E7),FALSE),"0")+IFERROR(VLOOKUP("Finance Division Debt Non Current*",'8.TIKR_BS'!$A:$K,COLUMN(E7),FALSE),"0")</f>
        <v>43948</v>
      </c>
      <c r="F7" s="85">
        <f>IFERROR(VLOOKUP("Long-term Borrowings*",'8.TIKR_BS'!$A:$K,COLUMN(F7),FALSE),"0")+IFERROR(VLOOKUP("Long-Term Debt*",'8.TIKR_BS'!$A:$K,COLUMN(F7),FALSE),"0")+IFERROR(VLOOKUP("Finance Division Debt Non Current*",'8.TIKR_BS'!$A:$K,COLUMN(F7),FALSE),"0")</f>
        <v>44410</v>
      </c>
      <c r="G7" s="85">
        <f>IFERROR(VLOOKUP("Long-term Borrowings*",'8.TIKR_BS'!$A:$K,COLUMN(G7),FALSE),"0")+IFERROR(VLOOKUP("Long-Term Debt*",'8.TIKR_BS'!$A:$K,COLUMN(G7),FALSE),"0")+IFERROR(VLOOKUP("Finance Division Debt Non Current*",'8.TIKR_BS'!$A:$K,COLUMN(G7),FALSE),"0")</f>
        <v>41588</v>
      </c>
      <c r="H7" s="85">
        <f>IFERROR(VLOOKUP("Long-term Borrowings*",'8.TIKR_BS'!$A:$K,COLUMN(H7),FALSE),"0")+IFERROR(VLOOKUP("Long-Term Debt*",'8.TIKR_BS'!$A:$K,COLUMN(H7),FALSE),"0")+IFERROR(VLOOKUP("Finance Division Debt Non Current*",'8.TIKR_BS'!$A:$K,COLUMN(H7),FALSE),"0")</f>
        <v>35959</v>
      </c>
      <c r="I7" s="85">
        <f>IFERROR(VLOOKUP("Long-term Borrowings*",'8.TIKR_BS'!$A:$K,COLUMN(I7),FALSE),"0")+IFERROR(VLOOKUP("Long-Term Debt*",'8.TIKR_BS'!$A:$K,COLUMN(I7),FALSE),"0")+IFERROR(VLOOKUP("Finance Division Debt Non Current*",'8.TIKR_BS'!$A:$K,COLUMN(I7),FALSE),"0")</f>
        <v>36761</v>
      </c>
      <c r="J7" s="85">
        <f>IFERROR(VLOOKUP("Long-term Borrowings*",'8.TIKR_BS'!$A:$K,COLUMN(J7),FALSE),"0")+IFERROR(VLOOKUP("Long-Term Debt*",'8.TIKR_BS'!$A:$K,COLUMN(J7),FALSE),"0")+IFERROR(VLOOKUP("Finance Division Debt Non Current*",'8.TIKR_BS'!$A:$K,COLUMN(J7),FALSE),"0")</f>
        <v>38088</v>
      </c>
      <c r="K7" s="85">
        <f>IFERROR(VLOOKUP("Long-term Borrowings*",'8.TIKR_BS'!$A:$K,COLUMN(K7),FALSE),"0")+IFERROR(VLOOKUP("Long-Term Debt*",'8.TIKR_BS'!$A:$K,COLUMN(K7),FALSE),"0")+IFERROR(VLOOKUP("Finance Division Debt Non Current*",'8.TIKR_BS'!$A:$K,COLUMN(K7),FALSE),"0")</f>
        <v>33401</v>
      </c>
      <c r="L7" s="137">
        <f>IFERROR('TIKR_Cálculos'!C36,0)</f>
        <v>38955.43489</v>
      </c>
      <c r="M7" s="138">
        <f>IFERROR('TIKR_Cálculos'!D36,0)</f>
        <v>42277.21615</v>
      </c>
      <c r="N7" s="138">
        <f>IFERROR('TIKR_Cálculos'!E36,0)</f>
        <v>45297.01731</v>
      </c>
      <c r="O7" s="138">
        <f>IFERROR('TIKR_Cálculos'!F36,0)</f>
        <v>48748.21863</v>
      </c>
      <c r="P7" s="139">
        <f>IFERROR('TIKR_Cálculos'!G36,0)</f>
        <v>52630.82011</v>
      </c>
      <c r="Q7" s="138"/>
      <c r="R7" s="138"/>
      <c r="S7" s="138"/>
      <c r="T7" s="138"/>
      <c r="U7" s="138"/>
      <c r="V7" s="140"/>
      <c r="W7" s="21"/>
      <c r="X7" s="21"/>
      <c r="Y7" s="21"/>
      <c r="Z7" s="21"/>
    </row>
    <row r="8" ht="24.75" customHeight="1">
      <c r="A8" s="141" t="s">
        <v>76</v>
      </c>
      <c r="B8" s="84">
        <f>IFERROR(VLOOKUP("Current Portion of Capital Lease Obligations*",'8.TIKR_BS'!$A:$K,COLUMN(B8),FALSE),"0")</f>
        <v>551</v>
      </c>
      <c r="C8" s="85">
        <f>IFERROR(VLOOKUP("Current Portion of Capital Lease Obligations*",'8.TIKR_BS'!$A:$K,COLUMN(C8),FALSE),"0")</f>
        <v>565</v>
      </c>
      <c r="D8" s="85">
        <f>IFERROR(VLOOKUP("Current Portion of Capital Lease Obligations*",'8.TIKR_BS'!$A:$K,COLUMN(D8),FALSE),"0")</f>
        <v>667</v>
      </c>
      <c r="E8" s="85">
        <f>IFERROR(VLOOKUP("Current Portion of Capital Lease Obligations*",'8.TIKR_BS'!$A:$K,COLUMN(E8),FALSE),"0")</f>
        <v>729</v>
      </c>
      <c r="F8" s="85">
        <f>IFERROR(VLOOKUP("Current Portion of Capital Lease Obligations*",'8.TIKR_BS'!$A:$K,COLUMN(F8),FALSE),"0")</f>
        <v>2304</v>
      </c>
      <c r="G8" s="85">
        <f>IFERROR(VLOOKUP("Current Portion of Capital Lease Obligations*",'8.TIKR_BS'!$A:$K,COLUMN(G8),FALSE),"0")</f>
        <v>1957</v>
      </c>
      <c r="H8" s="85">
        <f>IFERROR(VLOOKUP("Current Portion of Capital Lease Obligations*",'8.TIKR_BS'!$A:$K,COLUMN(H8),FALSE),"0")</f>
        <v>1994</v>
      </c>
      <c r="I8" s="85">
        <f>IFERROR(VLOOKUP("Current Portion of Capital Lease Obligations*",'8.TIKR_BS'!$A:$K,COLUMN(I8),FALSE),"0")</f>
        <v>2040</v>
      </c>
      <c r="J8" s="85">
        <f>IFERROR(VLOOKUP("Current Portion of Capital Lease Obligations*",'8.TIKR_BS'!$A:$K,COLUMN(J8),FALSE),"0")</f>
        <v>2212</v>
      </c>
      <c r="K8" s="85">
        <f>IFERROR(VLOOKUP("Current Portion of Capital Lease Obligations*",'8.TIKR_BS'!$A:$K,COLUMN(K8),FALSE),"0")</f>
        <v>2299</v>
      </c>
      <c r="L8" s="137">
        <f>IFERROR(K8*'1.IS'!L4+K8,"")</f>
        <v>2402.455</v>
      </c>
      <c r="M8" s="138">
        <f>IFERROR(L8*'1.IS'!M4+L8,"")</f>
        <v>2510.565475</v>
      </c>
      <c r="N8" s="138">
        <f>IFERROR(M8*'1.IS'!N4+M8,"")</f>
        <v>2623.540921</v>
      </c>
      <c r="O8" s="138">
        <f>IFERROR(N8*'1.IS'!O4+N8,"")</f>
        <v>2741.600263</v>
      </c>
      <c r="P8" s="139">
        <f>IFERROR(O8*'1.IS'!P4+O8,"")</f>
        <v>2864.972275</v>
      </c>
      <c r="Q8" s="138"/>
      <c r="R8" s="138"/>
      <c r="S8" s="138"/>
      <c r="T8" s="138"/>
      <c r="U8" s="138"/>
      <c r="V8" s="140"/>
      <c r="W8" s="21"/>
      <c r="X8" s="21"/>
      <c r="Y8" s="21"/>
      <c r="Z8" s="21"/>
    </row>
    <row r="9" ht="24.75" customHeight="1">
      <c r="A9" s="141" t="s">
        <v>77</v>
      </c>
      <c r="B9" s="84">
        <f>IFERROR(VLOOKUP("Capital Leases*",'8.TIKR_BS'!$A:$K,COLUMN(B9),FALSE),"0")</f>
        <v>5816</v>
      </c>
      <c r="C9" s="85">
        <f>IFERROR(VLOOKUP("Capital Leases*",'8.TIKR_BS'!$A:$K,COLUMN(C9),FALSE),"0")</f>
        <v>6003</v>
      </c>
      <c r="D9" s="85">
        <f>IFERROR(VLOOKUP("Capital Leases*",'8.TIKR_BS'!$A:$K,COLUMN(D9),FALSE),"0")</f>
        <v>6780</v>
      </c>
      <c r="E9" s="85">
        <f>IFERROR(VLOOKUP("Capital Leases*",'8.TIKR_BS'!$A:$K,COLUMN(E9),FALSE),"0")</f>
        <v>6683</v>
      </c>
      <c r="F9" s="85">
        <f>IFERROR(VLOOKUP("Capital Leases*",'8.TIKR_BS'!$A:$K,COLUMN(F9),FALSE),"0")</f>
        <v>20478</v>
      </c>
      <c r="G9" s="85">
        <f>IFERROR(VLOOKUP("Capital Leases*",'8.TIKR_BS'!$A:$K,COLUMN(G9),FALSE),"0")</f>
        <v>16756</v>
      </c>
      <c r="H9" s="85">
        <f>IFERROR(VLOOKUP("Capital Leases*",'8.TIKR_BS'!$A:$K,COLUMN(H9),FALSE),"0")</f>
        <v>17252</v>
      </c>
      <c r="I9" s="85">
        <f>IFERROR(VLOOKUP("Capital Leases*",'8.TIKR_BS'!$A:$K,COLUMN(I9),FALSE),"0")</f>
        <v>17671</v>
      </c>
      <c r="J9" s="85">
        <f>IFERROR(VLOOKUP("Capital Leases*",'8.TIKR_BS'!$A:$K,COLUMN(J9),FALSE),"0")</f>
        <v>18652</v>
      </c>
      <c r="K9" s="85">
        <f>IFERROR(VLOOKUP("Capital Leases*",'8.TIKR_BS'!$A:$K,COLUMN(K9),FALSE),"0")</f>
        <v>18748</v>
      </c>
      <c r="L9" s="137">
        <f>IFERROR(K9*'1.IS'!L4+K9,"")</f>
        <v>19591.66</v>
      </c>
      <c r="M9" s="138">
        <f>IFERROR(L9*'1.IS'!M4+L9,"")</f>
        <v>20473.2847</v>
      </c>
      <c r="N9" s="138">
        <f>IFERROR(M9*'1.IS'!N4+M9,"")</f>
        <v>21394.58251</v>
      </c>
      <c r="O9" s="138">
        <f>IFERROR(N9*'1.IS'!O4+N9,"")</f>
        <v>22357.33872</v>
      </c>
      <c r="P9" s="139">
        <f>IFERROR(O9*'1.IS'!P4+O9,"")</f>
        <v>23363.41897</v>
      </c>
      <c r="Q9" s="138"/>
      <c r="R9" s="138"/>
      <c r="S9" s="138"/>
      <c r="T9" s="138"/>
      <c r="U9" s="138"/>
      <c r="V9" s="140"/>
      <c r="W9" s="21"/>
      <c r="X9" s="21"/>
      <c r="Y9" s="21"/>
      <c r="Z9" s="21"/>
    </row>
    <row r="10" ht="24.75" customHeight="1">
      <c r="A10" s="141" t="s">
        <v>78</v>
      </c>
      <c r="B10" s="84">
        <f>IFERROR(VLOOKUP("Total Equity*",'8.TIKR_BS'!$A:$K,COLUMN(B10),FALSE),"0")</f>
        <v>83611</v>
      </c>
      <c r="C10" s="85">
        <f>IFERROR(VLOOKUP("Total Equity*",'8.TIKR_BS'!$A:$K,COLUMN(C10),FALSE),"0")</f>
        <v>80535</v>
      </c>
      <c r="D10" s="85">
        <f>IFERROR(VLOOKUP("Total Equity*",'8.TIKR_BS'!$A:$K,COLUMN(D10),FALSE),"0")</f>
        <v>80822</v>
      </c>
      <c r="E10" s="85">
        <f>IFERROR(VLOOKUP("Total Equity*",'8.TIKR_BS'!$A:$K,COLUMN(E10),FALSE),"0")</f>
        <v>79634</v>
      </c>
      <c r="F10" s="85">
        <f>IFERROR(VLOOKUP("Total Equity*",'8.TIKR_BS'!$A:$K,COLUMN(F10),FALSE),"0")</f>
        <v>81552</v>
      </c>
      <c r="G10" s="85">
        <f>IFERROR(VLOOKUP("Total Equity*",'8.TIKR_BS'!$A:$K,COLUMN(G10),FALSE),"0")</f>
        <v>87531</v>
      </c>
      <c r="H10" s="85">
        <f>IFERROR(VLOOKUP("Total Equity*",'8.TIKR_BS'!$A:$K,COLUMN(H10),FALSE),"0")</f>
        <v>91891</v>
      </c>
      <c r="I10" s="85">
        <f>IFERROR(VLOOKUP("Total Equity*",'8.TIKR_BS'!$A:$K,COLUMN(I10),FALSE),"0")</f>
        <v>83991</v>
      </c>
      <c r="J10" s="85">
        <f>IFERROR(VLOOKUP("Total Equity*",'8.TIKR_BS'!$A:$K,COLUMN(J10),FALSE),"0")</f>
        <v>90571</v>
      </c>
      <c r="K10" s="85">
        <f>IFERROR(VLOOKUP("Total Equity*",'8.TIKR_BS'!$A:$K,COLUMN(K10),FALSE),"0")</f>
        <v>97692</v>
      </c>
      <c r="L10" s="137">
        <f>IFERROR(K10+'1.IS'!L20+'1.IS'!L26*'4.Valoración'!L3-AVERAGE('2.FCF'!$J$30:$K$30)*'2.FCF'!L14,"")</f>
        <v>103891.9856</v>
      </c>
      <c r="M10" s="138">
        <f>IFERROR(L10+'1.IS'!M20+'1.IS'!M26*'4.Valoración'!M3-AVERAGE('2.FCF'!$J$30:$K$30)*'2.FCF'!M14,"")</f>
        <v>110283.8111</v>
      </c>
      <c r="N10" s="138">
        <f>IFERROR(M10+'1.IS'!N20+'1.IS'!N26*'4.Valoración'!N3-AVERAGE('2.FCF'!$J$30:$K$30)*'2.FCF'!N14,"")</f>
        <v>117057.8459</v>
      </c>
      <c r="O10" s="138">
        <f>IFERROR(N10+'1.IS'!O20+'1.IS'!O26*'4.Valoración'!O3-AVERAGE('2.FCF'!$J$30:$K$30)*'2.FCF'!O14,"")</f>
        <v>124100.165</v>
      </c>
      <c r="P10" s="139">
        <f>IFERROR(O10+'1.IS'!P20+'1.IS'!P26*'4.Valoración'!P3-AVERAGE('2.FCF'!$J$30:$K$30)*'2.FCF'!P14,"")</f>
        <v>131299.9454</v>
      </c>
      <c r="Q10" s="138"/>
      <c r="R10" s="138"/>
      <c r="S10" s="138"/>
      <c r="T10" s="138"/>
      <c r="U10" s="138"/>
      <c r="V10" s="140"/>
      <c r="W10" s="21"/>
      <c r="X10" s="21"/>
      <c r="Y10" s="21"/>
      <c r="Z10" s="21"/>
    </row>
    <row r="11" ht="24.75" customHeight="1">
      <c r="A11" s="142" t="s">
        <v>79</v>
      </c>
      <c r="B11" s="143">
        <f t="shared" ref="B11:K11" si="1">B10+B6+B7+B8+B9-B5</f>
        <v>134383</v>
      </c>
      <c r="C11" s="144">
        <f t="shared" si="1"/>
        <v>127103</v>
      </c>
      <c r="D11" s="144">
        <f t="shared" si="1"/>
        <v>127495</v>
      </c>
      <c r="E11" s="144">
        <f t="shared" si="1"/>
        <v>138095</v>
      </c>
      <c r="F11" s="144">
        <f t="shared" si="1"/>
        <v>154681</v>
      </c>
      <c r="G11" s="144">
        <f t="shared" si="1"/>
        <v>151171</v>
      </c>
      <c r="H11" s="144">
        <f t="shared" si="1"/>
        <v>150309</v>
      </c>
      <c r="I11" s="144">
        <f t="shared" si="1"/>
        <v>145026</v>
      </c>
      <c r="J11" s="144">
        <f t="shared" si="1"/>
        <v>153848</v>
      </c>
      <c r="K11" s="144">
        <f t="shared" si="1"/>
        <v>157806</v>
      </c>
      <c r="L11" s="145">
        <f t="shared" ref="L11:P11" si="2">IFERROR(L10+L6+L7+L8+L9-L5,"")</f>
        <v>171449.7656</v>
      </c>
      <c r="M11" s="146">
        <f t="shared" si="2"/>
        <v>182716.6</v>
      </c>
      <c r="N11" s="146">
        <f t="shared" si="2"/>
        <v>194056.9751</v>
      </c>
      <c r="O11" s="146">
        <f t="shared" si="2"/>
        <v>206216.7579</v>
      </c>
      <c r="P11" s="147">
        <f t="shared" si="2"/>
        <v>219087.2196</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f>'1.IS'!B$2</f>
        <v>2016</v>
      </c>
      <c r="C13" s="149">
        <f>'1.IS'!C$2</f>
        <v>2017</v>
      </c>
      <c r="D13" s="149">
        <f>'1.IS'!D$2</f>
        <v>2018</v>
      </c>
      <c r="E13" s="149">
        <f>'1.IS'!E$2</f>
        <v>2019</v>
      </c>
      <c r="F13" s="149">
        <f>'1.IS'!F$2</f>
        <v>2020</v>
      </c>
      <c r="G13" s="149">
        <f>'1.IS'!G$2</f>
        <v>2021</v>
      </c>
      <c r="H13" s="149">
        <f>'1.IS'!H$2</f>
        <v>2022</v>
      </c>
      <c r="I13" s="149">
        <f>'1.IS'!I$2</f>
        <v>2023</v>
      </c>
      <c r="J13" s="149">
        <f>'1.IS'!J$2</f>
        <v>2024</v>
      </c>
      <c r="K13" s="149">
        <f>'1.IS'!K$2</f>
        <v>2025</v>
      </c>
      <c r="L13" s="150" t="str">
        <f>'1.IS'!L$2</f>
        <v>2026e</v>
      </c>
      <c r="M13" s="150" t="str">
        <f>'1.IS'!M$2</f>
        <v>2027e</v>
      </c>
      <c r="N13" s="150" t="str">
        <f>'1.IS'!N$2</f>
        <v>2028e</v>
      </c>
      <c r="O13" s="150" t="str">
        <f>'1.IS'!O$2</f>
        <v>2029e</v>
      </c>
      <c r="P13" s="150" t="str">
        <f>'1.IS'!P$2</f>
        <v>2030e</v>
      </c>
      <c r="Q13" s="151" t="str">
        <f>"Promedio "&amp;CHAR(10)&amp;B$2&amp;" - "&amp;K$2</f>
        <v>Promedio 
2016 - 2025</v>
      </c>
      <c r="R13" s="152"/>
      <c r="S13" s="152"/>
      <c r="T13" s="152"/>
      <c r="U13" s="152"/>
      <c r="V13" s="152"/>
      <c r="W13" s="152"/>
      <c r="X13" s="152"/>
      <c r="Y13" s="152"/>
      <c r="Z13" s="152"/>
    </row>
    <row r="14" ht="24.75" customHeight="1">
      <c r="A14" s="153" t="s">
        <v>81</v>
      </c>
      <c r="B14" s="98">
        <f>IFERROR('1.IS'!B20/B10,"")</f>
        <v>0.1757424262</v>
      </c>
      <c r="C14" s="99">
        <f>IFERROR('1.IS'!C20/C10,"")</f>
        <v>0.1694046067</v>
      </c>
      <c r="D14" s="99">
        <f>IFERROR('1.IS'!D20/D10,"")</f>
        <v>0.1670089827</v>
      </c>
      <c r="E14" s="99">
        <f>IFERROR('1.IS'!E20/E10,"")</f>
        <v>0.1888389381</v>
      </c>
      <c r="F14" s="99">
        <f>IFERROR('1.IS'!F20/F10,"")</f>
        <v>0.1694992152</v>
      </c>
      <c r="G14" s="99">
        <f>IFERROR('1.IS'!G20/G10,"")</f>
        <v>0.1519461676</v>
      </c>
      <c r="H14" s="99">
        <f>IFERROR('1.IS'!H20/H10,"")</f>
        <v>0.2076699568</v>
      </c>
      <c r="I14" s="99">
        <f>IFERROR('1.IS'!I20/I10,"")</f>
        <v>0.2085699658</v>
      </c>
      <c r="J14" s="99">
        <f>IFERROR('1.IS'!J20/J10,"")</f>
        <v>0.204679202</v>
      </c>
      <c r="K14" s="99">
        <f>IFERROR('1.IS'!K20/K10,"")</f>
        <v>0.2086762478</v>
      </c>
      <c r="L14" s="154">
        <f>IFERROR('1.IS'!L20/L10,"")</f>
        <v>0.2219556783</v>
      </c>
      <c r="M14" s="155">
        <f>IFERROR('1.IS'!M20/M10,"")</f>
        <v>0.2178254874</v>
      </c>
      <c r="N14" s="155">
        <f>IFERROR('1.IS'!N20/N10,"")</f>
        <v>0.2140019506</v>
      </c>
      <c r="O14" s="155">
        <f>IFERROR('1.IS'!O20/O10,"")</f>
        <v>0.2104011884</v>
      </c>
      <c r="P14" s="156">
        <f>IFERROR('1.IS'!P20/P10,"")</f>
        <v>0.2072022292</v>
      </c>
      <c r="Q14" s="157">
        <f t="shared" ref="Q14:Q16" si="4">IFERROR(AVERAGE(B14:K14),"")</f>
        <v>0.1852035709</v>
      </c>
      <c r="R14" s="134"/>
      <c r="S14" s="134"/>
      <c r="T14" s="134"/>
      <c r="U14" s="134"/>
      <c r="V14" s="113"/>
      <c r="W14" s="113"/>
      <c r="X14" s="113"/>
      <c r="Y14" s="113"/>
      <c r="Z14" s="113"/>
    </row>
    <row r="15" ht="24.75" customHeight="1">
      <c r="A15" s="93" t="s">
        <v>82</v>
      </c>
      <c r="B15" s="98">
        <f t="shared" ref="B15:P15" si="3">IFERROR(B3/B11,"")</f>
        <v>0.1250106544</v>
      </c>
      <c r="C15" s="99">
        <f t="shared" si="3"/>
        <v>0.1248894831</v>
      </c>
      <c r="D15" s="99">
        <f t="shared" si="3"/>
        <v>0.1239493342</v>
      </c>
      <c r="E15" s="99">
        <f t="shared" si="3"/>
        <v>0.1246702229</v>
      </c>
      <c r="F15" s="99">
        <f t="shared" si="3"/>
        <v>0.1029956385</v>
      </c>
      <c r="G15" s="99">
        <f t="shared" si="3"/>
        <v>0.09889966934</v>
      </c>
      <c r="H15" s="99">
        <f t="shared" si="3"/>
        <v>0.138539714</v>
      </c>
      <c r="I15" s="115">
        <f t="shared" si="3"/>
        <v>0.1267685167</v>
      </c>
      <c r="J15" s="115">
        <f t="shared" si="3"/>
        <v>0.1362045431</v>
      </c>
      <c r="K15" s="115">
        <f t="shared" si="3"/>
        <v>0.1447684679</v>
      </c>
      <c r="L15" s="158">
        <f t="shared" si="3"/>
        <v>0.1504198425</v>
      </c>
      <c r="M15" s="115">
        <f t="shared" si="3"/>
        <v>0.147496023</v>
      </c>
      <c r="N15" s="115">
        <f t="shared" si="3"/>
        <v>0.1451260412</v>
      </c>
      <c r="O15" s="115">
        <f t="shared" si="3"/>
        <v>0.1427141194</v>
      </c>
      <c r="P15" s="159">
        <f t="shared" si="3"/>
        <v>0.1403751209</v>
      </c>
      <c r="Q15" s="119">
        <f t="shared" si="4"/>
        <v>0.1246696244</v>
      </c>
      <c r="R15" s="134"/>
      <c r="S15" s="134"/>
      <c r="T15" s="134"/>
      <c r="U15" s="134"/>
      <c r="V15" s="113"/>
      <c r="W15" s="113"/>
      <c r="X15" s="113"/>
      <c r="Y15" s="113"/>
      <c r="Z15" s="113"/>
    </row>
    <row r="16" ht="24.75" customHeight="1">
      <c r="A16" s="160" t="s">
        <v>83</v>
      </c>
      <c r="B16" s="132">
        <f>IF('2.FCF'!B14&gt;0,IFERROR('TIKR_Cálculos'!B12/'2.FCF'!B14,""),0%)</f>
        <v>0.09446032394</v>
      </c>
      <c r="C16" s="133">
        <f>IF('2.FCF'!C14&gt;0,IFERROR('TIKR_Cálculos'!C12/'2.FCF'!C14,""),0%)</f>
        <v>0.1295212901</v>
      </c>
      <c r="D16" s="133">
        <f>IF('2.FCF'!D14&gt;0,IFERROR('TIKR_Cálculos'!D12/'2.FCF'!D14,""),0%)</f>
        <v>0.02009861722</v>
      </c>
      <c r="E16" s="133">
        <f>IF('2.FCF'!E14&gt;0,IFERROR('TIKR_Cálculos'!E12/'2.FCF'!E14,""),0%)</f>
        <v>0.9383443242</v>
      </c>
      <c r="F16" s="133">
        <f>IF('2.FCF'!F14&gt;0,IFERROR('TIKR_Cálculos'!F12/'2.FCF'!F14,""),0%)</f>
        <v>0.003935347857</v>
      </c>
      <c r="G16" s="133">
        <f>IF('2.FCF'!G14&gt;0,IFERROR('TIKR_Cálculos'!G12/'2.FCF'!G14,""),0%)</f>
        <v>0.01114896253</v>
      </c>
      <c r="H16" s="133">
        <f>IF('2.FCF'!H14&gt;0,IFERROR('TIKR_Cálculos'!H12/'2.FCF'!H14,""),0%)</f>
        <v>0.1989938974</v>
      </c>
      <c r="I16" s="133">
        <f>IF('2.FCF'!I14&gt;0,IFERROR('TIKR_Cálculos'!I12/'2.FCF'!I14,""),0%)</f>
        <v>0.3998766194</v>
      </c>
      <c r="J16" s="133">
        <f>IF('2.FCF'!J14&gt;0,IFERROR('TIKR_Cálculos'!J12/'2.FCF'!J14,""),0%)</f>
        <v>0.3765538598</v>
      </c>
      <c r="K16" s="133">
        <f>IF('2.FCF'!K14&gt;0,IFERROR('TIKR_Cálculos'!K12/'2.FCF'!K14,""),0%)</f>
        <v>0.7282544203</v>
      </c>
      <c r="L16" s="122" t="s">
        <v>84</v>
      </c>
      <c r="M16" s="133" t="s">
        <v>84</v>
      </c>
      <c r="N16" s="133" t="s">
        <v>84</v>
      </c>
      <c r="O16" s="133" t="s">
        <v>84</v>
      </c>
      <c r="P16" s="161" t="s">
        <v>84</v>
      </c>
      <c r="Q16" s="162">
        <f t="shared" si="4"/>
        <v>0.2901187663</v>
      </c>
      <c r="R16" s="134"/>
      <c r="S16" s="134"/>
      <c r="T16" s="134"/>
      <c r="U16" s="134"/>
      <c r="V16" s="113"/>
      <c r="W16" s="113"/>
      <c r="X16" s="113"/>
      <c r="Y16" s="113"/>
      <c r="Z16" s="113"/>
    </row>
    <row r="17" ht="37.5" customHeight="1">
      <c r="A17" s="17"/>
      <c r="B17" s="163"/>
      <c r="C17" s="163"/>
      <c r="D17" s="163"/>
      <c r="E17" s="163"/>
      <c r="F17" s="164"/>
      <c r="G17" s="164"/>
      <c r="H17" s="163"/>
      <c r="I17" s="163"/>
      <c r="J17" s="163"/>
      <c r="K17" s="163"/>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5"/>
      <c r="L18" s="165"/>
      <c r="M18" s="59"/>
      <c r="N18" s="59"/>
      <c r="O18" s="59"/>
      <c r="P18" s="165"/>
      <c r="Q18" s="59"/>
      <c r="R18" s="59"/>
      <c r="S18" s="59"/>
      <c r="T18" s="59"/>
      <c r="U18" s="59"/>
      <c r="V18" s="59"/>
      <c r="W18" s="17"/>
      <c r="X18" s="17"/>
      <c r="Y18" s="17"/>
      <c r="Z18" s="17"/>
    </row>
    <row r="19" ht="17.25" customHeight="1">
      <c r="A19" s="3"/>
      <c r="B19" s="59"/>
      <c r="C19" s="59"/>
      <c r="D19" s="59"/>
      <c r="E19" s="59"/>
      <c r="F19" s="59"/>
      <c r="G19" s="59"/>
      <c r="H19" s="59"/>
      <c r="I19" s="59"/>
      <c r="J19" s="59"/>
      <c r="K19" s="59"/>
      <c r="L19" s="165"/>
      <c r="M19" s="165"/>
      <c r="N19" s="165"/>
      <c r="O19" s="165"/>
      <c r="P19" s="165"/>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2016</v>
      </c>
      <c r="C2" s="75">
        <f>'1.IS'!C$2</f>
        <v>2017</v>
      </c>
      <c r="D2" s="75">
        <f>'1.IS'!D$2</f>
        <v>2018</v>
      </c>
      <c r="E2" s="75">
        <f>'1.IS'!E$2</f>
        <v>2019</v>
      </c>
      <c r="F2" s="75">
        <f>'1.IS'!F$2</f>
        <v>2020</v>
      </c>
      <c r="G2" s="75">
        <f>'1.IS'!G$2</f>
        <v>2021</v>
      </c>
      <c r="H2" s="75">
        <f>'1.IS'!H$2</f>
        <v>2022</v>
      </c>
      <c r="I2" s="75">
        <f>'1.IS'!I$2</f>
        <v>2023</v>
      </c>
      <c r="J2" s="75">
        <f>'1.IS'!J$2</f>
        <v>2024</v>
      </c>
      <c r="K2" s="75">
        <f>'1.IS'!K$2</f>
        <v>2025</v>
      </c>
      <c r="L2" s="76" t="str">
        <f>'1.IS'!L$2</f>
        <v>2026e</v>
      </c>
      <c r="M2" s="76" t="str">
        <f>'1.IS'!M$2</f>
        <v>2027e</v>
      </c>
      <c r="N2" s="76" t="str">
        <f>'1.IS'!N$2</f>
        <v>2028e</v>
      </c>
      <c r="O2" s="76" t="str">
        <f>'1.IS'!O$2</f>
        <v>2029e</v>
      </c>
      <c r="P2" s="76" t="str">
        <f>'1.IS'!P$2</f>
        <v>2030e</v>
      </c>
      <c r="Q2" s="21"/>
      <c r="R2" s="21"/>
      <c r="S2" s="21"/>
      <c r="T2" s="21"/>
      <c r="U2" s="21"/>
      <c r="V2" s="21"/>
      <c r="W2" s="21"/>
      <c r="X2" s="21"/>
      <c r="Y2" s="21"/>
      <c r="Z2" s="21"/>
    </row>
    <row r="3" ht="24.75" customHeight="1">
      <c r="A3" s="136" t="s">
        <v>87</v>
      </c>
      <c r="B3" s="166"/>
      <c r="C3" s="167"/>
      <c r="D3" s="167"/>
      <c r="E3" s="167"/>
      <c r="F3" s="167"/>
      <c r="G3" s="167"/>
      <c r="H3" s="168"/>
      <c r="I3" s="169"/>
      <c r="J3" s="169"/>
      <c r="K3" s="169">
        <f>$D$12*'1.IS'!K25</f>
        <v>766078.8</v>
      </c>
      <c r="L3" s="170">
        <f>IFERROR($D$12*'1.IS'!L25,"")</f>
        <v>756119.7756</v>
      </c>
      <c r="M3" s="171">
        <f>IFERROR($D$12*'1.IS'!M25,"")</f>
        <v>746290.2185</v>
      </c>
      <c r="N3" s="171">
        <f>IFERROR($D$12*'1.IS'!N25,"")</f>
        <v>736588.4457</v>
      </c>
      <c r="O3" s="171">
        <f>IFERROR($D$12*'1.IS'!O25,"")</f>
        <v>727012.7959</v>
      </c>
      <c r="P3" s="172">
        <f>IFERROR($D$12*'1.IS'!P25,"")</f>
        <v>717561.6295</v>
      </c>
      <c r="Q3" s="21"/>
      <c r="R3" s="21"/>
      <c r="S3" s="21"/>
      <c r="T3" s="21"/>
      <c r="U3" s="21"/>
      <c r="V3" s="21"/>
      <c r="W3" s="21"/>
      <c r="X3" s="21"/>
      <c r="Y3" s="21"/>
      <c r="Z3" s="21"/>
    </row>
    <row r="4" ht="24.75" customHeight="1">
      <c r="A4" s="136" t="s">
        <v>88</v>
      </c>
      <c r="B4" s="86">
        <f>('3.ROIC'!B7+'3.ROIC'!B6)-('3.ROIC'!B4+'3.ROIC'!B5)</f>
        <v>35700</v>
      </c>
      <c r="C4" s="87">
        <f>('3.ROIC'!C7+'3.ROIC'!C6)-('3.ROIC'!C4+'3.ROIC'!C5)</f>
        <v>33133</v>
      </c>
      <c r="D4" s="87">
        <f>('3.ROIC'!D7+'3.ROIC'!D6)-('3.ROIC'!D4+'3.ROIC'!D5)</f>
        <v>32470</v>
      </c>
      <c r="E4" s="87">
        <f>('3.ROIC'!E7+'3.ROIC'!E6)-('3.ROIC'!E4+'3.ROIC'!E5)</f>
        <v>43327</v>
      </c>
      <c r="F4" s="87">
        <f>('3.ROIC'!F7+'3.ROIC'!F6)-('3.ROIC'!F4+'3.ROIC'!F5)</f>
        <v>40882</v>
      </c>
      <c r="G4" s="87">
        <f>('3.ROIC'!G7+'3.ROIC'!G6)-('3.ROIC'!G4+'3.ROIC'!G5)</f>
        <v>27186</v>
      </c>
      <c r="H4" s="87">
        <f>('3.ROIC'!H7+'3.ROIC'!H6)-('3.ROIC'!H4+'3.ROIC'!H5)</f>
        <v>24412</v>
      </c>
      <c r="I4" s="87">
        <f>('3.ROIC'!I7+'3.ROIC'!I6)-('3.ROIC'!I4+'3.ROIC'!I5)</f>
        <v>32699</v>
      </c>
      <c r="J4" s="87">
        <f>('3.ROIC'!J7+'3.ROIC'!J6)-('3.ROIC'!J4+'3.ROIC'!J5)</f>
        <v>32546</v>
      </c>
      <c r="K4" s="138">
        <f>('3.ROIC'!K7+'3.ROIC'!K6)-('3.ROIC'!K4+'3.ROIC'!K5)</f>
        <v>30030</v>
      </c>
      <c r="L4" s="137">
        <f>IFERROR(L5*'1.IS'!L5,"")</f>
        <v>36120</v>
      </c>
      <c r="M4" s="138">
        <f>IFERROR(M5*'1.IS'!M5,"")</f>
        <v>39200</v>
      </c>
      <c r="N4" s="138">
        <f>IFERROR(N5*'1.IS'!N5,"")</f>
        <v>42000</v>
      </c>
      <c r="O4" s="138">
        <f>IFERROR(O5*'1.IS'!O5,"")</f>
        <v>45200</v>
      </c>
      <c r="P4" s="139">
        <f>IFERROR(P5*'1.IS'!P5,"")</f>
        <v>48800</v>
      </c>
      <c r="Q4" s="21"/>
      <c r="R4" s="21"/>
      <c r="S4" s="21"/>
      <c r="T4" s="21"/>
      <c r="U4" s="21"/>
      <c r="V4" s="21"/>
      <c r="W4" s="21"/>
      <c r="X4" s="21"/>
      <c r="Y4" s="21"/>
      <c r="Z4" s="21"/>
    </row>
    <row r="5" ht="24.75" customHeight="1">
      <c r="A5" s="4" t="s">
        <v>89</v>
      </c>
      <c r="B5" s="173">
        <f>IFERROR('4.Valoración'!B4/'1.IS'!B5,"")</f>
        <v>1.063798087</v>
      </c>
      <c r="C5" s="174">
        <f>IFERROR('4.Valoración'!C4/'1.IS'!C5,"")</f>
        <v>1.008799172</v>
      </c>
      <c r="D5" s="174">
        <f>IFERROR('4.Valoración'!D4/'1.IS'!D5,"")</f>
        <v>1.031907456</v>
      </c>
      <c r="E5" s="174">
        <f>IFERROR('4.Valoración'!E4/'1.IS'!E5,"")</f>
        <v>1.327623717</v>
      </c>
      <c r="F5" s="174">
        <f>IFERROR('4.Valoración'!F4/'1.IS'!F5,"")</f>
        <v>1.259651826</v>
      </c>
      <c r="G5" s="174">
        <f>IFERROR('4.Valoración'!G4/'1.IS'!G5,"")</f>
        <v>0.8067062315</v>
      </c>
      <c r="H5" s="174">
        <f>IFERROR('4.Valoración'!H4/'1.IS'!H5,"")</f>
        <v>0.6669945355</v>
      </c>
      <c r="I5" s="174">
        <f>IFERROR('4.Valoración'!I4/'1.IS'!I5,"")</f>
        <v>0.9217996786</v>
      </c>
      <c r="J5" s="174">
        <f>IFERROR('4.Valoración'!J4/'1.IS'!J5,"")</f>
        <v>0.8374115528</v>
      </c>
      <c r="K5" s="174">
        <f>IFERROR('4.Valoración'!K4/'1.IS'!K5,"")</f>
        <v>0.7069708313</v>
      </c>
      <c r="L5" s="175">
        <v>0.8</v>
      </c>
      <c r="M5" s="176">
        <f t="shared" ref="M5:P5" si="1">L5</f>
        <v>0.8</v>
      </c>
      <c r="N5" s="176">
        <f t="shared" si="1"/>
        <v>0.8</v>
      </c>
      <c r="O5" s="176">
        <f t="shared" si="1"/>
        <v>0.8</v>
      </c>
      <c r="P5" s="177">
        <f t="shared" si="1"/>
        <v>0.8</v>
      </c>
      <c r="Q5" s="178" t="s">
        <v>29</v>
      </c>
      <c r="R5" s="21"/>
      <c r="S5" s="21"/>
      <c r="T5" s="21"/>
      <c r="U5" s="21"/>
      <c r="V5" s="21"/>
      <c r="W5" s="21"/>
      <c r="X5" s="21"/>
      <c r="Y5" s="21"/>
      <c r="Z5" s="21"/>
    </row>
    <row r="6" ht="24.75" customHeight="1">
      <c r="A6" s="179" t="s">
        <v>90</v>
      </c>
      <c r="B6" s="143"/>
      <c r="C6" s="144"/>
      <c r="D6" s="144"/>
      <c r="E6" s="144"/>
      <c r="F6" s="144"/>
      <c r="G6" s="144"/>
      <c r="H6" s="144"/>
      <c r="I6" s="144"/>
      <c r="J6" s="144"/>
      <c r="K6" s="144">
        <f>K3+K4</f>
        <v>796108.8</v>
      </c>
      <c r="L6" s="143">
        <f t="shared" ref="L6:P6" si="2">IFERROR((L3+L4),"")</f>
        <v>792239.7756</v>
      </c>
      <c r="M6" s="144">
        <f t="shared" si="2"/>
        <v>785490.2185</v>
      </c>
      <c r="N6" s="144">
        <f t="shared" si="2"/>
        <v>778588.4457</v>
      </c>
      <c r="O6" s="144">
        <f t="shared" si="2"/>
        <v>772212.7959</v>
      </c>
      <c r="P6" s="180">
        <f t="shared" si="2"/>
        <v>766361.6295</v>
      </c>
      <c r="Q6" s="21"/>
      <c r="R6" s="21"/>
      <c r="S6" s="21"/>
      <c r="T6" s="21"/>
      <c r="U6" s="21"/>
      <c r="V6" s="21"/>
      <c r="W6" s="21"/>
      <c r="X6" s="21"/>
      <c r="Y6" s="21"/>
      <c r="Z6" s="21"/>
    </row>
    <row r="7" ht="24.75" hidden="1" customHeight="1">
      <c r="A7" s="4" t="s">
        <v>20</v>
      </c>
      <c r="B7" s="87">
        <f>'1.IS'!B5</f>
        <v>33559</v>
      </c>
      <c r="C7" s="87">
        <f>'1.IS'!C5</f>
        <v>32844</v>
      </c>
      <c r="D7" s="87">
        <f>'1.IS'!D5</f>
        <v>31466</v>
      </c>
      <c r="E7" s="87">
        <f>'1.IS'!E5</f>
        <v>32635</v>
      </c>
      <c r="F7" s="87">
        <f>'1.IS'!F5</f>
        <v>32455</v>
      </c>
      <c r="G7" s="87">
        <f>'1.IS'!G5</f>
        <v>33700</v>
      </c>
      <c r="H7" s="138">
        <f>'1.IS'!H5</f>
        <v>36600</v>
      </c>
      <c r="I7" s="138">
        <f>'1.IS'!I5</f>
        <v>35473</v>
      </c>
      <c r="J7" s="138">
        <f>'1.IS'!J5</f>
        <v>38865</v>
      </c>
      <c r="K7" s="138">
        <f>'1.IS'!K5</f>
        <v>42477</v>
      </c>
      <c r="L7" s="181">
        <f>'1.IS'!L5</f>
        <v>45150</v>
      </c>
      <c r="M7" s="87">
        <f>'1.IS'!M5</f>
        <v>49000</v>
      </c>
      <c r="N7" s="87">
        <f>'1.IS'!N5</f>
        <v>52500</v>
      </c>
      <c r="O7" s="87">
        <f>'1.IS'!O5</f>
        <v>56500</v>
      </c>
      <c r="P7" s="87">
        <f>'1.IS'!P5</f>
        <v>61000</v>
      </c>
      <c r="Q7" s="71"/>
      <c r="R7" s="21"/>
      <c r="S7" s="21"/>
      <c r="T7" s="21"/>
      <c r="U7" s="21"/>
      <c r="V7" s="21"/>
      <c r="W7" s="21"/>
      <c r="X7" s="21"/>
      <c r="Y7" s="21"/>
      <c r="Z7" s="21"/>
    </row>
    <row r="8" ht="24.75" hidden="1" customHeight="1">
      <c r="A8" s="4" t="s">
        <v>91</v>
      </c>
      <c r="B8" s="87">
        <f>'1.IS'!B9</f>
        <v>24105</v>
      </c>
      <c r="C8" s="87">
        <f>'1.IS'!C9</f>
        <v>22764</v>
      </c>
      <c r="D8" s="87">
        <f>'1.IS'!D9</f>
        <v>20937</v>
      </c>
      <c r="E8" s="87">
        <f>'1.IS'!E9</f>
        <v>21957</v>
      </c>
      <c r="F8" s="87">
        <f>'1.IS'!F9</f>
        <v>21468</v>
      </c>
      <c r="G8" s="87">
        <f>'1.IS'!G9</f>
        <v>22548</v>
      </c>
      <c r="H8" s="138">
        <f>'1.IS'!H9</f>
        <v>25942</v>
      </c>
      <c r="I8" s="138">
        <f>'1.IS'!I9</f>
        <v>24528</v>
      </c>
      <c r="J8" s="138">
        <f>'1.IS'!J9</f>
        <v>27012</v>
      </c>
      <c r="K8" s="138">
        <f>'1.IS'!K9</f>
        <v>29504</v>
      </c>
      <c r="L8" s="181">
        <f>'1.IS'!L9</f>
        <v>34158.2076</v>
      </c>
      <c r="M8" s="87">
        <f>'1.IS'!M9</f>
        <v>35695.32694</v>
      </c>
      <c r="N8" s="87">
        <f>'1.IS'!N9</f>
        <v>37301.61665</v>
      </c>
      <c r="O8" s="87">
        <f>'1.IS'!O9</f>
        <v>38980.1894</v>
      </c>
      <c r="P8" s="87">
        <f>'1.IS'!P9</f>
        <v>40734.29793</v>
      </c>
      <c r="Q8" s="71"/>
      <c r="R8" s="21"/>
      <c r="S8" s="21"/>
      <c r="T8" s="21"/>
      <c r="U8" s="21"/>
      <c r="V8" s="21"/>
      <c r="W8" s="21"/>
      <c r="X8" s="21"/>
      <c r="Y8" s="21"/>
      <c r="Z8" s="21"/>
    </row>
    <row r="9" ht="24.75" hidden="1" customHeight="1">
      <c r="A9" s="4" t="s">
        <v>92</v>
      </c>
      <c r="B9" s="87">
        <f>'1.IS'!B20</f>
        <v>14694</v>
      </c>
      <c r="C9" s="87">
        <f>'1.IS'!C20</f>
        <v>13643</v>
      </c>
      <c r="D9" s="87">
        <f>'1.IS'!D20</f>
        <v>13498</v>
      </c>
      <c r="E9" s="87">
        <f>'1.IS'!E20</f>
        <v>15038</v>
      </c>
      <c r="F9" s="87">
        <f>'1.IS'!F20</f>
        <v>13823</v>
      </c>
      <c r="G9" s="87">
        <f>'1.IS'!G20</f>
        <v>13300</v>
      </c>
      <c r="H9" s="138">
        <f>'1.IS'!H20</f>
        <v>19083</v>
      </c>
      <c r="I9" s="138">
        <f>'1.IS'!I20</f>
        <v>17518</v>
      </c>
      <c r="J9" s="138">
        <f>'1.IS'!J20</f>
        <v>18538</v>
      </c>
      <c r="K9" s="138">
        <f>'1.IS'!K20</f>
        <v>20386</v>
      </c>
      <c r="L9" s="181">
        <f>'1.IS'!L20</f>
        <v>23059.41613</v>
      </c>
      <c r="M9" s="87">
        <f>'1.IS'!M20</f>
        <v>24022.6249</v>
      </c>
      <c r="N9" s="87">
        <f>'1.IS'!N20</f>
        <v>25050.60735</v>
      </c>
      <c r="O9" s="87">
        <f>'1.IS'!O20</f>
        <v>26110.8222</v>
      </c>
      <c r="P9" s="87">
        <f>'1.IS'!P20</f>
        <v>27205.64137</v>
      </c>
      <c r="Q9" s="71"/>
      <c r="R9" s="21"/>
      <c r="S9" s="21"/>
      <c r="T9" s="21"/>
      <c r="U9" s="21"/>
      <c r="V9" s="21"/>
      <c r="W9" s="21"/>
      <c r="X9" s="21"/>
      <c r="Y9" s="21"/>
      <c r="Z9" s="21"/>
    </row>
    <row r="10" ht="24.75" hidden="1" customHeight="1">
      <c r="A10" s="121" t="s">
        <v>93</v>
      </c>
      <c r="B10" s="146">
        <f>'2.FCF'!B14</f>
        <v>14694</v>
      </c>
      <c r="C10" s="146">
        <f>'2.FCF'!C14</f>
        <v>19657</v>
      </c>
      <c r="D10" s="146">
        <f>'2.FCF'!D14</f>
        <v>18658</v>
      </c>
      <c r="E10" s="146">
        <f>'2.FCF'!E14</f>
        <v>15619</v>
      </c>
      <c r="F10" s="146">
        <f>'2.FCF'!F14</f>
        <v>14230</v>
      </c>
      <c r="G10" s="146">
        <f>'2.FCF'!G14</f>
        <v>16145</v>
      </c>
      <c r="H10" s="146">
        <f>'2.FCF'!H14</f>
        <v>12126</v>
      </c>
      <c r="I10" s="146">
        <f>'2.FCF'!I14</f>
        <v>16210</v>
      </c>
      <c r="J10" s="146">
        <f>'2.FCF'!J14</f>
        <v>22605</v>
      </c>
      <c r="K10" s="146">
        <f>'2.FCF'!K14</f>
        <v>16854</v>
      </c>
      <c r="L10" s="145">
        <f>'2.FCF'!L14</f>
        <v>21033.63724</v>
      </c>
      <c r="M10" s="146">
        <f>'2.FCF'!M14</f>
        <v>23723.93597</v>
      </c>
      <c r="N10" s="146">
        <f>'2.FCF'!N14</f>
        <v>26033.47741</v>
      </c>
      <c r="O10" s="146">
        <f>'2.FCF'!O14</f>
        <v>28775.42141</v>
      </c>
      <c r="P10" s="146">
        <f>'2.FCF'!P14</f>
        <v>31947.64755</v>
      </c>
      <c r="Q10" s="71"/>
      <c r="R10" s="21"/>
      <c r="S10" s="21"/>
      <c r="T10" s="21"/>
      <c r="U10" s="21"/>
      <c r="V10" s="21"/>
      <c r="W10" s="21"/>
      <c r="X10" s="21"/>
      <c r="Y10" s="21"/>
      <c r="Z10" s="21"/>
    </row>
    <row r="11" ht="15.0" customHeight="1">
      <c r="A11" s="97"/>
      <c r="B11" s="138"/>
      <c r="C11" s="138"/>
      <c r="D11" s="138"/>
      <c r="E11" s="138"/>
      <c r="F11" s="138"/>
      <c r="G11" s="138"/>
      <c r="H11" s="138"/>
      <c r="I11" s="138"/>
      <c r="J11" s="138"/>
      <c r="K11" s="138"/>
      <c r="L11" s="138"/>
      <c r="M11" s="138"/>
      <c r="N11" s="138"/>
      <c r="O11" s="138"/>
      <c r="P11" s="138"/>
      <c r="Q11" s="71"/>
      <c r="R11" s="21"/>
      <c r="S11" s="21"/>
      <c r="T11" s="21"/>
      <c r="U11" s="21"/>
      <c r="V11" s="21"/>
      <c r="W11" s="21"/>
      <c r="X11" s="21"/>
      <c r="Y11" s="21"/>
      <c r="Z11" s="21"/>
    </row>
    <row r="12" ht="24.75" customHeight="1">
      <c r="A12" s="182" t="s">
        <v>94</v>
      </c>
      <c r="B12" s="183"/>
      <c r="C12" s="183"/>
      <c r="D12" s="184">
        <v>94.8</v>
      </c>
      <c r="E12" s="138"/>
      <c r="F12" s="21"/>
      <c r="G12" s="21"/>
      <c r="H12" s="21"/>
      <c r="I12" s="21"/>
      <c r="J12" s="21"/>
      <c r="K12" s="21"/>
      <c r="L12" s="185"/>
      <c r="M12" s="21"/>
      <c r="N12" s="138"/>
      <c r="O12" s="138"/>
      <c r="P12" s="138"/>
      <c r="Q12" s="71"/>
      <c r="R12" s="21"/>
      <c r="S12" s="21"/>
      <c r="T12" s="21"/>
      <c r="U12" s="21"/>
      <c r="V12" s="21"/>
      <c r="W12" s="21"/>
      <c r="X12" s="21"/>
      <c r="Y12" s="21"/>
      <c r="Z12" s="21"/>
    </row>
    <row r="13" ht="15.0" customHeight="1">
      <c r="A13" s="97"/>
      <c r="B13" s="140"/>
      <c r="C13" s="140"/>
      <c r="D13" s="138"/>
      <c r="E13" s="138"/>
      <c r="F13" s="138"/>
      <c r="G13" s="138"/>
      <c r="H13" s="138"/>
      <c r="I13" s="138"/>
      <c r="J13" s="138"/>
      <c r="K13" s="138"/>
      <c r="L13" s="138"/>
      <c r="M13" s="138"/>
      <c r="N13" s="140"/>
      <c r="O13" s="140"/>
      <c r="P13" s="140"/>
      <c r="Q13" s="21"/>
      <c r="R13" s="21"/>
      <c r="S13" s="21"/>
      <c r="T13" s="21"/>
      <c r="U13" s="21"/>
      <c r="V13" s="21"/>
      <c r="W13" s="21"/>
      <c r="X13" s="21"/>
      <c r="Y13" s="21"/>
      <c r="Z13" s="21"/>
    </row>
    <row r="14" ht="34.5" customHeight="1">
      <c r="A14" s="186" t="s">
        <v>95</v>
      </c>
      <c r="B14" s="187" t="s">
        <v>96</v>
      </c>
      <c r="C14" s="187" t="s">
        <v>97</v>
      </c>
      <c r="D14" s="114" t="s">
        <v>98</v>
      </c>
      <c r="E14" s="127"/>
      <c r="F14" s="21"/>
      <c r="G14" s="188"/>
      <c r="H14" s="189"/>
      <c r="I14" s="190"/>
      <c r="J14" s="191"/>
      <c r="K14" s="55"/>
      <c r="L14" s="55"/>
      <c r="M14" s="55"/>
      <c r="N14" s="55"/>
      <c r="O14" s="55"/>
      <c r="P14" s="55"/>
      <c r="Q14" s="21"/>
      <c r="R14" s="21"/>
      <c r="S14" s="21"/>
      <c r="T14" s="21"/>
      <c r="U14" s="21"/>
      <c r="V14" s="21"/>
      <c r="W14" s="21"/>
      <c r="X14" s="21"/>
      <c r="Y14" s="21"/>
      <c r="Z14" s="21"/>
    </row>
    <row r="15" ht="24.75" customHeight="1">
      <c r="A15" s="192" t="s">
        <v>99</v>
      </c>
      <c r="B15" s="193">
        <f>IF(D12&lt;&gt;"",IFERROR(D12/'1.IS'!K23,""),"")</f>
        <v>37.57867164</v>
      </c>
      <c r="C15" s="193">
        <f>IF(D12&lt;&gt;"",IFERROR(D12/'1.IS'!L23,""),"")</f>
        <v>32.79006595</v>
      </c>
      <c r="D15" s="194">
        <v>25.0</v>
      </c>
      <c r="E15" s="195"/>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100</v>
      </c>
      <c r="B16" s="196">
        <f>IF(D12&lt;&gt;"",IFERROR(K6/K10,""),"")</f>
        <v>47.23559986</v>
      </c>
      <c r="C16" s="196">
        <f>IF(D12&lt;&gt;"",IFERROR(L6/L10,""),"")</f>
        <v>37.6653722</v>
      </c>
      <c r="D16" s="197">
        <f>D15</f>
        <v>25</v>
      </c>
      <c r="E16" s="198"/>
      <c r="F16" s="21"/>
      <c r="G16" s="199" t="s">
        <v>29</v>
      </c>
      <c r="J16" s="55"/>
      <c r="K16" s="55"/>
      <c r="L16" s="55"/>
      <c r="M16" s="55"/>
      <c r="N16" s="55"/>
      <c r="O16" s="55"/>
      <c r="P16" s="55"/>
      <c r="Q16" s="21"/>
      <c r="R16" s="21"/>
      <c r="S16" s="21"/>
      <c r="T16" s="21"/>
      <c r="U16" s="21"/>
      <c r="V16" s="21"/>
      <c r="W16" s="21"/>
      <c r="X16" s="21"/>
      <c r="Y16" s="21"/>
      <c r="Z16" s="21"/>
    </row>
    <row r="17" ht="24.75" customHeight="1">
      <c r="A17" s="136" t="s">
        <v>101</v>
      </c>
      <c r="B17" s="174">
        <f>IF(D12&lt;&gt;"",IFERROR(K6/K7,""),"")</f>
        <v>18.74211456</v>
      </c>
      <c r="C17" s="200">
        <f>IF(D12&lt;&gt;"",IFERROR(L6/L7,""),"")</f>
        <v>17.54683888</v>
      </c>
      <c r="D17" s="197">
        <f t="shared" ref="D17:D18" si="3">C17</f>
        <v>17.54683888</v>
      </c>
      <c r="E17" s="195"/>
      <c r="F17" s="21"/>
      <c r="J17" s="55"/>
      <c r="K17" s="55"/>
      <c r="L17" s="55"/>
      <c r="M17" s="55"/>
      <c r="N17" s="55"/>
      <c r="O17" s="55"/>
      <c r="P17" s="55"/>
      <c r="Q17" s="21"/>
      <c r="R17" s="21"/>
      <c r="S17" s="21"/>
      <c r="T17" s="21"/>
      <c r="U17" s="21"/>
      <c r="V17" s="21"/>
      <c r="W17" s="21"/>
      <c r="X17" s="21"/>
      <c r="Y17" s="21"/>
      <c r="Z17" s="21"/>
    </row>
    <row r="18" ht="24.75" customHeight="1">
      <c r="A18" s="121" t="s">
        <v>102</v>
      </c>
      <c r="B18" s="201">
        <f>IF(D12&lt;&gt;"",IFERROR(K6/K8,""),"")</f>
        <v>26.98308026</v>
      </c>
      <c r="C18" s="202">
        <f>IF(D12&lt;&gt;"",IFERROR(L6/L8,""),"")</f>
        <v>23.19324787</v>
      </c>
      <c r="D18" s="203">
        <f t="shared" si="3"/>
        <v>23.19324787</v>
      </c>
      <c r="E18" s="195"/>
      <c r="F18" s="21"/>
      <c r="G18" s="55"/>
      <c r="H18" s="55"/>
      <c r="I18" s="55"/>
      <c r="J18" s="55"/>
      <c r="K18" s="55"/>
      <c r="L18" s="55"/>
      <c r="M18" s="55"/>
      <c r="N18" s="55"/>
      <c r="O18" s="55"/>
      <c r="P18" s="55"/>
      <c r="Q18" s="71"/>
      <c r="R18" s="21"/>
      <c r="S18" s="21"/>
      <c r="T18" s="21"/>
      <c r="U18" s="21"/>
      <c r="V18" s="21"/>
      <c r="W18" s="21"/>
      <c r="X18" s="21"/>
      <c r="Y18" s="21"/>
      <c r="Z18" s="21"/>
    </row>
    <row r="19">
      <c r="A19" s="97"/>
      <c r="B19" s="174"/>
      <c r="C19" s="200"/>
      <c r="D19" s="204"/>
      <c r="E19" s="195"/>
      <c r="F19" s="21"/>
      <c r="G19" s="55"/>
      <c r="H19" s="55"/>
      <c r="I19" s="55"/>
      <c r="J19" s="55"/>
      <c r="K19" s="55"/>
      <c r="L19" s="55"/>
      <c r="M19" s="55"/>
      <c r="N19" s="55"/>
      <c r="O19" s="55"/>
      <c r="P19" s="55"/>
      <c r="Q19" s="71"/>
      <c r="R19" s="21"/>
      <c r="S19" s="21"/>
      <c r="T19" s="21"/>
      <c r="U19" s="21"/>
      <c r="V19" s="21"/>
      <c r="W19" s="21"/>
      <c r="X19" s="21"/>
      <c r="Y19" s="21"/>
      <c r="Z19" s="21"/>
    </row>
    <row r="20" ht="34.5" customHeight="1">
      <c r="A20" s="186" t="s">
        <v>103</v>
      </c>
      <c r="B20" s="187" t="str">
        <f t="shared" ref="B20:F20" si="4">L2</f>
        <v>2026e</v>
      </c>
      <c r="C20" s="187" t="str">
        <f t="shared" si="4"/>
        <v>2027e</v>
      </c>
      <c r="D20" s="187" t="str">
        <f t="shared" si="4"/>
        <v>2028e</v>
      </c>
      <c r="E20" s="187" t="str">
        <f t="shared" si="4"/>
        <v>2029e</v>
      </c>
      <c r="F20" s="205" t="str">
        <f t="shared" si="4"/>
        <v>2030e</v>
      </c>
      <c r="G20" s="21"/>
      <c r="H20" s="206" t="str">
        <f>"Retorno Anualizado"&amp;CHAR(10)&amp;"valorando por..."</f>
        <v>Retorno Anualizado
valorando por...</v>
      </c>
      <c r="I20" s="207"/>
      <c r="J20" s="207"/>
      <c r="K20" s="187" t="str">
        <f>"CAGR"&amp;CHAR(10)&amp;"5 años"</f>
        <v>CAGR
5 años</v>
      </c>
      <c r="L20" s="21"/>
      <c r="M20" s="21"/>
      <c r="N20" s="21"/>
      <c r="O20" s="55"/>
      <c r="P20" s="55"/>
      <c r="Q20" s="21"/>
      <c r="R20" s="21"/>
      <c r="S20" s="21"/>
      <c r="T20" s="21"/>
      <c r="U20" s="21"/>
      <c r="V20" s="21"/>
      <c r="W20" s="21"/>
      <c r="X20" s="21"/>
      <c r="Y20" s="21"/>
      <c r="Z20" s="21"/>
    </row>
    <row r="21" ht="24.75" customHeight="1">
      <c r="A21" s="97" t="s">
        <v>104</v>
      </c>
      <c r="B21" s="105">
        <f>IF(D12&lt;&gt;"",IFERROR(IF(--L4&lt;0,(L9*$D$15-L4),IF(--L4&gt;0,L9*$D$15))/'1.IS'!L25,""),"")</f>
        <v>72.27798821</v>
      </c>
      <c r="C21" s="105">
        <f>IF(D12&lt;&gt;"",IFERROR(IF(--M4&lt;0,(M9*$D$15-M4),IF(--M4&gt;0,M9*$D$15))/'1.IS'!M25,""),"")</f>
        <v>76.28884797</v>
      </c>
      <c r="D21" s="105">
        <f>IF(D12&lt;&gt;"",IFERROR(IF(--N4&lt;0,(N9*$D$15-N4),IF(--N4&gt;0,N9*$D$15))/'1.IS'!N25,""),"")</f>
        <v>80.60123637</v>
      </c>
      <c r="E21" s="105">
        <f>IF(D12&lt;&gt;"",IFERROR(IF(--O4&lt;0,(O9*$D$15-O4),IF(--O4&gt;0,O9*$D$15))/'1.IS'!O25,""),"")</f>
        <v>85.11906387</v>
      </c>
      <c r="F21" s="208">
        <f>IF(D12&lt;&gt;"",IFERROR(IF(--P4&lt;0,(P9*$D$15-P4),IF(--P4&gt;0,P9*$D$15))/'1.IS'!P25,""),"")</f>
        <v>89.85621221</v>
      </c>
      <c r="G21" s="21"/>
      <c r="H21" s="97" t="s">
        <v>104</v>
      </c>
      <c r="I21" s="97"/>
      <c r="J21" s="97"/>
      <c r="K21" s="209">
        <f t="shared" ref="K21:K24" si="5">IFERROR((F21/$D$12)^(1/5)-1,"")</f>
        <v>-0.01065456543</v>
      </c>
      <c r="L21" s="21"/>
      <c r="M21" s="21"/>
      <c r="N21" s="21"/>
      <c r="O21" s="55"/>
      <c r="P21" s="55"/>
      <c r="Q21" s="21"/>
      <c r="R21" s="21"/>
      <c r="S21" s="21"/>
      <c r="T21" s="21"/>
      <c r="U21" s="21"/>
      <c r="V21" s="21"/>
      <c r="W21" s="21"/>
      <c r="X21" s="21"/>
      <c r="Y21" s="21"/>
      <c r="Z21" s="21"/>
    </row>
    <row r="22" ht="24.75" customHeight="1">
      <c r="A22" s="210" t="s">
        <v>105</v>
      </c>
      <c r="B22" s="211">
        <f>IF(D12&lt;&gt;"",IFERROR(((L10*$D$16)-L4)/'1.IS'!L25,""),"")</f>
        <v>61.39972233</v>
      </c>
      <c r="C22" s="211">
        <f>IF(D12&lt;&gt;"",IFERROR(((M10*$D$16)-M4)/'1.IS'!M25,""),"")</f>
        <v>70.36078853</v>
      </c>
      <c r="D22" s="211">
        <f>IF(D12&lt;&gt;"",IFERROR(((N10*$D$16)-N4)/'1.IS'!N25,""),"")</f>
        <v>78.35819555</v>
      </c>
      <c r="E22" s="211">
        <f>IF(D12&lt;&gt;"",IFERROR(((O10*$D$16)-O4)/'1.IS'!O25,""),"")</f>
        <v>87.9115046</v>
      </c>
      <c r="F22" s="212">
        <f>IF(D12&lt;&gt;"",IFERROR(((P10*$D$16)-P4)/'1.IS'!P25,""),"")</f>
        <v>99.07119023</v>
      </c>
      <c r="G22" s="21"/>
      <c r="H22" s="210" t="s">
        <v>100</v>
      </c>
      <c r="I22" s="213"/>
      <c r="J22" s="213"/>
      <c r="K22" s="214">
        <f t="shared" si="5"/>
        <v>0.008852811535</v>
      </c>
      <c r="L22" s="21"/>
      <c r="M22" s="21"/>
      <c r="N22" s="21"/>
      <c r="O22" s="55"/>
      <c r="P22" s="55"/>
      <c r="Q22" s="21"/>
      <c r="R22" s="21"/>
      <c r="S22" s="21"/>
      <c r="T22" s="21"/>
      <c r="U22" s="21"/>
      <c r="V22" s="21"/>
      <c r="W22" s="21"/>
      <c r="X22" s="21"/>
      <c r="Y22" s="21"/>
      <c r="Z22" s="21"/>
    </row>
    <row r="23" ht="24.75" customHeight="1">
      <c r="A23" s="4" t="s">
        <v>101</v>
      </c>
      <c r="B23" s="105">
        <f>IF(D12&lt;&gt;"",IFERROR(((L7*$D$17)-L4)/'1.IS'!L25,""),"")</f>
        <v>94.8</v>
      </c>
      <c r="C23" s="105">
        <f>IF(D12&lt;&gt;"",IFERROR(((M7*$D$17)-M4)/'1.IS'!M25,""),"")</f>
        <v>104.2388257</v>
      </c>
      <c r="D23" s="105">
        <f>IF(D12&lt;&gt;"",IFERROR(((N7*$D$17)-N4)/'1.IS'!N25,""),"")</f>
        <v>113.1554773</v>
      </c>
      <c r="E23" s="105">
        <f>IF(D12&lt;&gt;"",IFERROR(((O7*$D$17)-O4)/'1.IS'!O25,""),"")</f>
        <v>123.3807973</v>
      </c>
      <c r="F23" s="208">
        <f>IF(D12&lt;&gt;"",IFERROR(((P7*$D$17)-P4)/'1.IS'!P25,""),"")</f>
        <v>134.9620937</v>
      </c>
      <c r="G23" s="21"/>
      <c r="H23" s="4" t="s">
        <v>101</v>
      </c>
      <c r="I23" s="4"/>
      <c r="J23" s="4"/>
      <c r="K23" s="209">
        <f t="shared" si="5"/>
        <v>0.07320007398</v>
      </c>
      <c r="L23" s="21"/>
      <c r="M23" s="21"/>
      <c r="N23" s="21"/>
      <c r="O23" s="55"/>
      <c r="P23" s="55"/>
      <c r="Q23" s="21"/>
      <c r="R23" s="21"/>
      <c r="S23" s="21"/>
      <c r="T23" s="21"/>
      <c r="U23" s="21"/>
      <c r="V23" s="21"/>
      <c r="W23" s="21"/>
      <c r="X23" s="21"/>
      <c r="Y23" s="21"/>
      <c r="Z23" s="21"/>
    </row>
    <row r="24" ht="24.75" customHeight="1">
      <c r="A24" s="97" t="s">
        <v>102</v>
      </c>
      <c r="B24" s="105">
        <f>IF(D12&lt;&gt;"",IFERROR(((L8*$D$18)-L4)/'1.IS'!L25,""),"")</f>
        <v>94.8</v>
      </c>
      <c r="C24" s="105">
        <f>IF(D12&lt;&gt;"",IFERROR(((M8*$D$18)-M4)/'1.IS'!M25,""),"")</f>
        <v>100.1860453</v>
      </c>
      <c r="D24" s="105">
        <f>IF(D12&lt;&gt;"",IFERROR(((N8*$D$18)-N4)/'1.IS'!N25,""),"")</f>
        <v>105.9400364</v>
      </c>
      <c r="E24" s="105">
        <f>IF(D12&lt;&gt;"",IFERROR(((O8*$D$18)-O4)/'1.IS'!O25,""),"")</f>
        <v>111.9946699</v>
      </c>
      <c r="F24" s="208">
        <f>IF(D12&lt;&gt;"",IFERROR(((P8*$D$18)-P4)/'1.IS'!P25,""),"")</f>
        <v>118.3690263</v>
      </c>
      <c r="G24" s="21"/>
      <c r="H24" s="97" t="s">
        <v>102</v>
      </c>
      <c r="I24" s="97"/>
      <c r="J24" s="97"/>
      <c r="K24" s="209">
        <f t="shared" si="5"/>
        <v>0.04540830888</v>
      </c>
      <c r="L24" s="21"/>
      <c r="M24" s="21"/>
      <c r="N24" s="21"/>
      <c r="O24" s="55"/>
      <c r="P24" s="55"/>
      <c r="Q24" s="21"/>
      <c r="R24" s="21"/>
      <c r="S24" s="21"/>
      <c r="T24" s="21"/>
      <c r="U24" s="21"/>
      <c r="V24" s="21"/>
      <c r="W24" s="21"/>
      <c r="X24" s="21"/>
      <c r="Y24" s="21"/>
      <c r="Z24" s="21"/>
    </row>
    <row r="25" ht="24.75" customHeight="1">
      <c r="A25" s="215" t="s">
        <v>106</v>
      </c>
      <c r="B25" s="216">
        <f t="shared" ref="B25:F25" si="6">IFERROR(AVERAGE(B21:B24),"")</f>
        <v>80.81942763</v>
      </c>
      <c r="C25" s="216">
        <f t="shared" si="6"/>
        <v>87.76862685</v>
      </c>
      <c r="D25" s="216">
        <f t="shared" si="6"/>
        <v>94.5137364</v>
      </c>
      <c r="E25" s="216">
        <f t="shared" si="6"/>
        <v>102.1015089</v>
      </c>
      <c r="F25" s="217">
        <f t="shared" si="6"/>
        <v>110.5646306</v>
      </c>
      <c r="G25" s="21"/>
      <c r="H25" s="218" t="s">
        <v>106</v>
      </c>
      <c r="I25" s="218"/>
      <c r="J25" s="218"/>
      <c r="K25" s="219">
        <f>IFERROR(AVERAGE(K21:K24),"")</f>
        <v>0.02920165724</v>
      </c>
      <c r="L25" s="21"/>
      <c r="M25" s="21"/>
      <c r="N25" s="21"/>
      <c r="O25" s="55"/>
      <c r="P25" s="55"/>
      <c r="Q25" s="21"/>
      <c r="R25" s="21"/>
      <c r="S25" s="21"/>
      <c r="T25" s="21"/>
      <c r="U25" s="21"/>
      <c r="V25" s="21"/>
      <c r="W25" s="21"/>
      <c r="X25" s="21"/>
      <c r="Y25" s="21"/>
      <c r="Z25" s="21"/>
    </row>
    <row r="26" ht="24.75" customHeight="1">
      <c r="A26" s="218" t="s">
        <v>107</v>
      </c>
      <c r="B26" s="220">
        <f t="shared" ref="B26:F26" si="7">IFERROR((B22/$D$12)-1,"")</f>
        <v>-0.3523236041</v>
      </c>
      <c r="C26" s="220">
        <f t="shared" si="7"/>
        <v>-0.2577975894</v>
      </c>
      <c r="D26" s="220">
        <f t="shared" si="7"/>
        <v>-0.1734367558</v>
      </c>
      <c r="E26" s="220">
        <f t="shared" si="7"/>
        <v>-0.07266345357</v>
      </c>
      <c r="F26" s="221">
        <f t="shared" si="7"/>
        <v>0.04505474931</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7"/>
      <c r="B43" s="21"/>
      <c r="C43" s="187" t="s">
        <v>108</v>
      </c>
      <c r="D43" s="206" t="s">
        <v>109</v>
      </c>
      <c r="E43" s="207"/>
      <c r="F43" s="17"/>
      <c r="G43" s="59"/>
      <c r="H43" s="59"/>
      <c r="I43" s="59"/>
      <c r="J43" s="59"/>
      <c r="K43" s="59"/>
      <c r="L43" s="59"/>
      <c r="M43" s="59"/>
      <c r="N43" s="59"/>
      <c r="O43" s="59"/>
      <c r="P43" s="59"/>
      <c r="Q43" s="17"/>
      <c r="R43" s="17"/>
      <c r="S43" s="17"/>
      <c r="T43" s="17"/>
      <c r="U43" s="17"/>
      <c r="V43" s="17"/>
      <c r="W43" s="17"/>
      <c r="X43" s="17"/>
      <c r="Y43" s="17"/>
      <c r="Z43" s="17"/>
    </row>
    <row r="44" ht="24.75" customHeight="1">
      <c r="A44" s="222" t="s">
        <v>110</v>
      </c>
      <c r="B44" s="223">
        <v>0.15</v>
      </c>
      <c r="C44" s="224">
        <f>IFERROR(F22/((1+B44)^5),"")</f>
        <v>49.25589092</v>
      </c>
      <c r="D44" s="225">
        <f>IFERROR((C44-D12)/D12,"")</f>
        <v>-0.4804230915</v>
      </c>
      <c r="E44" s="226"/>
      <c r="F44" s="11"/>
      <c r="G44" s="227"/>
      <c r="H44" s="11"/>
      <c r="I44" s="11"/>
      <c r="J44" s="11"/>
      <c r="K44" s="11"/>
      <c r="L44" s="11"/>
      <c r="M44" s="11"/>
      <c r="N44" s="11"/>
      <c r="O44" s="11"/>
      <c r="P44" s="11"/>
    </row>
    <row r="45" ht="15.75" customHeight="1">
      <c r="A45" s="228"/>
      <c r="B45" s="11"/>
      <c r="C45" s="11"/>
      <c r="D45" s="11"/>
      <c r="E45" s="11"/>
      <c r="F45" s="11"/>
      <c r="G45" s="11"/>
      <c r="H45" s="11"/>
      <c r="I45" s="11"/>
      <c r="J45" s="11"/>
      <c r="K45" s="11"/>
      <c r="L45" s="11"/>
      <c r="M45" s="11"/>
      <c r="N45" s="11"/>
      <c r="O45" s="11"/>
      <c r="P45" s="11"/>
    </row>
    <row r="46" ht="15.75" customHeight="1">
      <c r="A46" s="228"/>
      <c r="B46" s="11"/>
      <c r="C46" s="11"/>
      <c r="D46" s="11"/>
      <c r="E46" s="11"/>
      <c r="F46" s="11"/>
      <c r="G46" s="11"/>
      <c r="H46" s="11"/>
      <c r="I46" s="11"/>
      <c r="J46" s="11"/>
      <c r="K46" s="11"/>
      <c r="L46" s="11"/>
      <c r="M46" s="11"/>
      <c r="N46" s="11"/>
      <c r="O46" s="11"/>
      <c r="P46" s="11"/>
    </row>
    <row r="47" ht="15.75" customHeight="1">
      <c r="A47" s="228"/>
      <c r="B47" s="11"/>
      <c r="C47" s="11"/>
      <c r="D47" s="11"/>
      <c r="E47" s="11"/>
      <c r="F47" s="11"/>
      <c r="G47" s="11"/>
      <c r="H47" s="11"/>
      <c r="I47" s="11"/>
      <c r="J47" s="11"/>
      <c r="K47" s="11"/>
      <c r="L47" s="11"/>
      <c r="M47" s="11"/>
      <c r="N47" s="11"/>
      <c r="O47" s="11"/>
      <c r="P47" s="11"/>
    </row>
    <row r="48" ht="15.75" customHeight="1">
      <c r="A48" s="228"/>
      <c r="B48" s="11"/>
      <c r="C48" s="11"/>
      <c r="D48" s="11"/>
      <c r="E48" s="11"/>
      <c r="F48" s="11"/>
      <c r="G48" s="11"/>
      <c r="H48" s="11"/>
      <c r="I48" s="11"/>
      <c r="J48" s="11"/>
      <c r="K48" s="11"/>
      <c r="L48" s="11"/>
      <c r="M48" s="11"/>
      <c r="N48" s="11"/>
      <c r="O48" s="11"/>
      <c r="P48" s="11"/>
    </row>
    <row r="49" ht="15.75" customHeight="1">
      <c r="A49" s="228"/>
      <c r="B49" s="11"/>
      <c r="C49" s="11"/>
      <c r="D49" s="11"/>
      <c r="E49" s="11"/>
      <c r="F49" s="11"/>
      <c r="G49" s="11"/>
      <c r="H49" s="11"/>
      <c r="I49" s="11"/>
      <c r="J49" s="11"/>
      <c r="K49" s="11"/>
      <c r="L49" s="11"/>
      <c r="M49" s="11"/>
      <c r="N49" s="11"/>
      <c r="O49" s="11"/>
      <c r="P49" s="11"/>
    </row>
    <row r="50" ht="15.75" customHeight="1">
      <c r="A50" s="228"/>
      <c r="B50" s="11"/>
      <c r="C50" s="11"/>
      <c r="D50" s="11"/>
      <c r="E50" s="11"/>
      <c r="F50" s="11"/>
      <c r="G50" s="11"/>
      <c r="H50" s="11"/>
      <c r="I50" s="11"/>
      <c r="J50" s="11"/>
      <c r="K50" s="11"/>
      <c r="L50" s="11"/>
      <c r="M50" s="11"/>
      <c r="N50" s="11"/>
      <c r="O50" s="11"/>
      <c r="P50" s="11"/>
    </row>
    <row r="51" ht="15.75" customHeight="1">
      <c r="A51" s="228"/>
      <c r="B51" s="11"/>
      <c r="C51" s="11"/>
      <c r="D51" s="11"/>
      <c r="E51" s="11"/>
      <c r="F51" s="11"/>
      <c r="G51" s="11"/>
      <c r="H51" s="11"/>
      <c r="I51" s="11"/>
      <c r="J51" s="11"/>
      <c r="K51" s="11"/>
      <c r="L51" s="11"/>
      <c r="M51" s="11"/>
      <c r="N51" s="11"/>
      <c r="O51" s="11"/>
      <c r="P51" s="11"/>
    </row>
    <row r="52" ht="15.75" customHeight="1">
      <c r="A52" s="228"/>
      <c r="B52" s="11"/>
      <c r="C52" s="11"/>
      <c r="D52" s="11"/>
      <c r="E52" s="11"/>
      <c r="F52" s="11"/>
      <c r="G52" s="11"/>
      <c r="H52" s="11"/>
      <c r="I52" s="11"/>
      <c r="J52" s="11"/>
      <c r="K52" s="11"/>
      <c r="L52" s="11"/>
      <c r="M52" s="11"/>
      <c r="N52" s="11"/>
      <c r="O52" s="11"/>
      <c r="P52" s="11"/>
    </row>
    <row r="53" ht="15.75" customHeight="1">
      <c r="A53" s="228"/>
      <c r="B53" s="11"/>
      <c r="C53" s="11"/>
      <c r="D53" s="11"/>
      <c r="E53" s="11"/>
      <c r="F53" s="11"/>
      <c r="G53" s="11"/>
      <c r="H53" s="11"/>
      <c r="I53" s="11"/>
      <c r="J53" s="11"/>
      <c r="K53" s="11"/>
      <c r="L53" s="11"/>
      <c r="M53" s="11"/>
      <c r="N53" s="11"/>
      <c r="O53" s="11"/>
      <c r="P53" s="11"/>
    </row>
    <row r="54" ht="15.75" customHeight="1">
      <c r="A54" s="228"/>
      <c r="B54" s="11"/>
      <c r="C54" s="11"/>
      <c r="D54" s="11"/>
      <c r="E54" s="11"/>
      <c r="F54" s="11"/>
      <c r="G54" s="11"/>
      <c r="H54" s="11"/>
      <c r="I54" s="11"/>
      <c r="J54" s="11"/>
      <c r="K54" s="11"/>
      <c r="L54" s="11"/>
      <c r="M54" s="11"/>
      <c r="N54" s="11"/>
      <c r="O54" s="11"/>
      <c r="P54" s="11"/>
    </row>
    <row r="55" ht="15.75" customHeight="1">
      <c r="A55" s="228"/>
      <c r="B55" s="11"/>
      <c r="C55" s="11"/>
      <c r="D55" s="11"/>
      <c r="E55" s="11"/>
      <c r="F55" s="11"/>
      <c r="G55" s="11"/>
      <c r="H55" s="11"/>
      <c r="I55" s="11"/>
      <c r="J55" s="11"/>
      <c r="K55" s="11"/>
      <c r="L55" s="11"/>
      <c r="M55" s="11"/>
      <c r="N55" s="11"/>
      <c r="O55" s="11"/>
      <c r="P55" s="11"/>
    </row>
    <row r="56" ht="15.75" customHeight="1">
      <c r="A56" s="228"/>
      <c r="B56" s="11"/>
      <c r="C56" s="11"/>
      <c r="D56" s="11"/>
      <c r="E56" s="11"/>
      <c r="F56" s="11"/>
      <c r="G56" s="11"/>
      <c r="H56" s="11"/>
      <c r="I56" s="11"/>
      <c r="J56" s="11"/>
      <c r="K56" s="11"/>
      <c r="L56" s="11"/>
      <c r="M56" s="11"/>
      <c r="N56" s="11"/>
      <c r="O56" s="11"/>
      <c r="P56" s="11"/>
    </row>
    <row r="57" ht="15.75" customHeight="1">
      <c r="A57" s="228"/>
      <c r="B57" s="11"/>
      <c r="C57" s="11"/>
      <c r="D57" s="11"/>
      <c r="E57" s="11"/>
      <c r="F57" s="11"/>
      <c r="G57" s="11"/>
      <c r="H57" s="11"/>
      <c r="I57" s="11"/>
      <c r="J57" s="11"/>
      <c r="K57" s="11"/>
      <c r="L57" s="11"/>
      <c r="M57" s="11"/>
      <c r="N57" s="11"/>
      <c r="O57" s="11"/>
      <c r="P57" s="11"/>
    </row>
    <row r="58" ht="15.75" customHeight="1">
      <c r="A58" s="228"/>
      <c r="B58" s="11"/>
      <c r="C58" s="11"/>
      <c r="D58" s="11"/>
      <c r="E58" s="11"/>
      <c r="F58" s="11"/>
      <c r="G58" s="11"/>
      <c r="H58" s="11"/>
      <c r="I58" s="11"/>
      <c r="J58" s="11"/>
      <c r="K58" s="11"/>
      <c r="L58" s="11"/>
      <c r="M58" s="11"/>
      <c r="N58" s="11"/>
      <c r="O58" s="11"/>
      <c r="P58" s="11"/>
    </row>
    <row r="59" ht="15.75" customHeight="1">
      <c r="A59" s="228"/>
      <c r="B59" s="11"/>
      <c r="C59" s="11"/>
      <c r="D59" s="11"/>
      <c r="E59" s="11"/>
      <c r="F59" s="11"/>
      <c r="G59" s="11"/>
      <c r="H59" s="11"/>
      <c r="I59" s="11"/>
      <c r="J59" s="11"/>
      <c r="K59" s="11"/>
      <c r="L59" s="11"/>
      <c r="M59" s="11"/>
      <c r="N59" s="11"/>
      <c r="O59" s="11"/>
      <c r="P59" s="11"/>
    </row>
    <row r="60" ht="15.75" customHeight="1">
      <c r="A60" s="228"/>
      <c r="B60" s="11"/>
      <c r="C60" s="11"/>
      <c r="D60" s="11"/>
      <c r="E60" s="11"/>
      <c r="F60" s="11"/>
      <c r="G60" s="11"/>
      <c r="H60" s="11"/>
      <c r="I60" s="11"/>
      <c r="J60" s="11"/>
      <c r="K60" s="11"/>
      <c r="L60" s="11"/>
      <c r="M60" s="11"/>
      <c r="N60" s="11"/>
      <c r="O60" s="11"/>
      <c r="P60" s="11"/>
    </row>
    <row r="61" ht="15.75" customHeight="1">
      <c r="A61" s="228"/>
      <c r="B61" s="11"/>
      <c r="C61" s="11"/>
      <c r="D61" s="11"/>
      <c r="E61" s="11"/>
      <c r="F61" s="11"/>
      <c r="G61" s="11"/>
      <c r="H61" s="11"/>
      <c r="I61" s="11"/>
      <c r="J61" s="11"/>
      <c r="K61" s="11"/>
      <c r="L61" s="11"/>
      <c r="M61" s="11"/>
      <c r="N61" s="11"/>
      <c r="O61" s="11"/>
      <c r="P61" s="11"/>
    </row>
    <row r="62" ht="15.75" customHeight="1">
      <c r="A62" s="228"/>
      <c r="B62" s="11"/>
      <c r="C62" s="11"/>
      <c r="D62" s="11"/>
      <c r="E62" s="11"/>
      <c r="F62" s="11"/>
      <c r="G62" s="11"/>
      <c r="H62" s="11"/>
      <c r="I62" s="11"/>
      <c r="J62" s="11"/>
      <c r="K62" s="11"/>
      <c r="L62" s="11"/>
      <c r="M62" s="11"/>
      <c r="N62" s="11"/>
      <c r="O62" s="11"/>
      <c r="P62" s="11"/>
    </row>
    <row r="63" ht="15.75" customHeight="1">
      <c r="A63" s="228"/>
      <c r="B63" s="11"/>
      <c r="C63" s="11"/>
      <c r="D63" s="11"/>
      <c r="E63" s="11"/>
      <c r="F63" s="11"/>
      <c r="G63" s="11"/>
      <c r="H63" s="11"/>
      <c r="I63" s="11"/>
      <c r="J63" s="11"/>
      <c r="K63" s="11"/>
      <c r="L63" s="11"/>
      <c r="M63" s="11"/>
      <c r="N63" s="11"/>
      <c r="O63" s="11"/>
      <c r="P63" s="11"/>
    </row>
    <row r="64" ht="15.75" customHeight="1">
      <c r="A64" s="228"/>
      <c r="B64" s="11"/>
      <c r="C64" s="11"/>
      <c r="D64" s="11"/>
      <c r="E64" s="11"/>
      <c r="F64" s="11"/>
      <c r="G64" s="11"/>
      <c r="H64" s="11"/>
      <c r="I64" s="11"/>
      <c r="J64" s="11"/>
      <c r="K64" s="11"/>
      <c r="L64" s="11"/>
      <c r="M64" s="11"/>
      <c r="N64" s="11"/>
      <c r="O64" s="11"/>
      <c r="P64" s="11"/>
    </row>
    <row r="65" ht="15.75" customHeight="1">
      <c r="A65" s="228"/>
      <c r="B65" s="11"/>
      <c r="C65" s="11"/>
      <c r="D65" s="11"/>
      <c r="E65" s="11"/>
      <c r="F65" s="11"/>
      <c r="G65" s="11"/>
      <c r="H65" s="11"/>
      <c r="I65" s="11"/>
      <c r="J65" s="11"/>
      <c r="K65" s="11"/>
      <c r="L65" s="11"/>
      <c r="M65" s="11"/>
      <c r="N65" s="11"/>
      <c r="O65" s="11"/>
      <c r="P65" s="11"/>
    </row>
    <row r="66" ht="15.75" customHeight="1">
      <c r="A66" s="228"/>
      <c r="B66" s="11"/>
      <c r="C66" s="11"/>
      <c r="D66" s="11"/>
      <c r="E66" s="11"/>
      <c r="F66" s="11"/>
      <c r="G66" s="11"/>
      <c r="H66" s="11"/>
      <c r="I66" s="11"/>
      <c r="J66" s="11"/>
      <c r="K66" s="11"/>
      <c r="L66" s="11"/>
      <c r="M66" s="11"/>
      <c r="N66" s="11"/>
      <c r="O66" s="11"/>
      <c r="P66" s="11"/>
    </row>
    <row r="67" ht="15.75" customHeight="1">
      <c r="A67" s="228"/>
      <c r="B67" s="11"/>
      <c r="C67" s="11"/>
      <c r="D67" s="11"/>
      <c r="E67" s="11"/>
      <c r="F67" s="11"/>
      <c r="G67" s="11"/>
      <c r="H67" s="11"/>
      <c r="I67" s="11"/>
      <c r="J67" s="11"/>
      <c r="K67" s="11"/>
      <c r="L67" s="11"/>
      <c r="M67" s="11"/>
      <c r="N67" s="11"/>
      <c r="O67" s="11"/>
      <c r="P67" s="11"/>
    </row>
    <row r="68" ht="15.75" customHeight="1">
      <c r="A68" s="228"/>
      <c r="B68" s="11"/>
      <c r="C68" s="11"/>
      <c r="D68" s="11"/>
      <c r="E68" s="11"/>
      <c r="F68" s="11"/>
      <c r="G68" s="11"/>
      <c r="H68" s="11"/>
      <c r="I68" s="11"/>
      <c r="J68" s="11"/>
      <c r="K68" s="11"/>
      <c r="L68" s="11"/>
      <c r="M68" s="11"/>
      <c r="N68" s="11"/>
      <c r="O68" s="11"/>
      <c r="P68" s="11"/>
    </row>
    <row r="69" ht="15.75" customHeight="1">
      <c r="A69" s="228"/>
      <c r="B69" s="11"/>
      <c r="C69" s="11"/>
      <c r="D69" s="11"/>
      <c r="E69" s="11"/>
      <c r="F69" s="11"/>
      <c r="G69" s="11"/>
      <c r="H69" s="11"/>
      <c r="I69" s="11"/>
      <c r="J69" s="11"/>
      <c r="K69" s="11"/>
      <c r="L69" s="11"/>
      <c r="M69" s="11"/>
      <c r="N69" s="11"/>
      <c r="O69" s="11"/>
      <c r="P69" s="11"/>
    </row>
    <row r="70" ht="15.75" customHeight="1">
      <c r="A70" s="228"/>
      <c r="B70" s="11"/>
      <c r="C70" s="11"/>
      <c r="D70" s="11"/>
      <c r="E70" s="11"/>
      <c r="F70" s="11"/>
      <c r="G70" s="11"/>
      <c r="H70" s="11"/>
      <c r="I70" s="11"/>
      <c r="J70" s="11"/>
      <c r="K70" s="11"/>
      <c r="L70" s="11"/>
      <c r="M70" s="11"/>
      <c r="N70" s="11"/>
      <c r="O70" s="11"/>
      <c r="P70" s="11"/>
    </row>
    <row r="71" ht="15.75" customHeight="1">
      <c r="A71" s="228"/>
      <c r="B71" s="11"/>
      <c r="C71" s="11"/>
      <c r="D71" s="11"/>
      <c r="E71" s="11"/>
      <c r="F71" s="11"/>
      <c r="G71" s="11"/>
      <c r="H71" s="11"/>
      <c r="I71" s="11"/>
      <c r="J71" s="11"/>
      <c r="K71" s="11"/>
      <c r="L71" s="11"/>
      <c r="M71" s="11"/>
      <c r="N71" s="11"/>
      <c r="O71" s="11"/>
      <c r="P71" s="11"/>
    </row>
    <row r="72" ht="15.75" customHeight="1">
      <c r="A72" s="228"/>
      <c r="B72" s="11"/>
      <c r="C72" s="11"/>
      <c r="D72" s="11"/>
      <c r="E72" s="11"/>
      <c r="F72" s="11"/>
      <c r="G72" s="11"/>
      <c r="H72" s="11"/>
      <c r="I72" s="11"/>
      <c r="J72" s="11"/>
      <c r="K72" s="11"/>
      <c r="L72" s="11"/>
      <c r="M72" s="11"/>
      <c r="N72" s="11"/>
      <c r="O72" s="11"/>
      <c r="P72" s="11"/>
    </row>
    <row r="73" ht="15.75" customHeight="1">
      <c r="A73" s="228"/>
      <c r="B73" s="11"/>
      <c r="C73" s="11"/>
      <c r="D73" s="11"/>
      <c r="E73" s="11"/>
      <c r="F73" s="11"/>
      <c r="G73" s="11"/>
      <c r="H73" s="11"/>
      <c r="I73" s="11"/>
      <c r="J73" s="11"/>
      <c r="K73" s="11"/>
      <c r="L73" s="11"/>
      <c r="M73" s="11"/>
      <c r="N73" s="11"/>
      <c r="O73" s="11"/>
      <c r="P73" s="11"/>
    </row>
    <row r="74" ht="15.75" customHeight="1">
      <c r="A74" s="228"/>
      <c r="B74" s="11"/>
      <c r="C74" s="11"/>
      <c r="D74" s="11"/>
      <c r="E74" s="11"/>
      <c r="F74" s="11"/>
      <c r="G74" s="11"/>
      <c r="H74" s="11"/>
      <c r="I74" s="11"/>
      <c r="J74" s="11"/>
      <c r="K74" s="11"/>
      <c r="L74" s="11"/>
      <c r="M74" s="11"/>
      <c r="N74" s="11"/>
      <c r="O74" s="11"/>
      <c r="P74" s="11"/>
    </row>
    <row r="75" ht="15.75" customHeight="1">
      <c r="A75" s="228"/>
      <c r="B75" s="11"/>
      <c r="C75" s="11"/>
      <c r="D75" s="11"/>
      <c r="E75" s="11"/>
      <c r="F75" s="11"/>
      <c r="G75" s="11"/>
      <c r="H75" s="11"/>
      <c r="I75" s="11"/>
      <c r="J75" s="11"/>
      <c r="K75" s="11"/>
      <c r="L75" s="11"/>
      <c r="M75" s="11"/>
      <c r="N75" s="11"/>
      <c r="O75" s="11"/>
      <c r="P75" s="11"/>
    </row>
    <row r="76" ht="15.75" customHeight="1">
      <c r="A76" s="228"/>
      <c r="B76" s="11"/>
      <c r="C76" s="11"/>
      <c r="D76" s="11"/>
      <c r="E76" s="11"/>
      <c r="F76" s="11"/>
      <c r="G76" s="11"/>
      <c r="H76" s="11"/>
      <c r="I76" s="11"/>
      <c r="J76" s="11"/>
      <c r="K76" s="11"/>
      <c r="L76" s="11"/>
      <c r="M76" s="11"/>
      <c r="N76" s="11"/>
      <c r="O76" s="11"/>
      <c r="P76" s="11"/>
    </row>
    <row r="77" ht="15.75" customHeight="1">
      <c r="A77" s="228"/>
      <c r="B77" s="11"/>
      <c r="C77" s="11"/>
      <c r="D77" s="11"/>
      <c r="E77" s="11"/>
      <c r="F77" s="11"/>
      <c r="G77" s="11"/>
      <c r="H77" s="11"/>
      <c r="I77" s="11"/>
      <c r="J77" s="11"/>
      <c r="K77" s="11"/>
      <c r="L77" s="11"/>
      <c r="M77" s="11"/>
      <c r="N77" s="11"/>
      <c r="O77" s="11"/>
      <c r="P77" s="11"/>
    </row>
    <row r="78" ht="15.75" customHeight="1">
      <c r="A78" s="228"/>
      <c r="B78" s="11"/>
      <c r="C78" s="11"/>
      <c r="D78" s="11"/>
      <c r="E78" s="11"/>
      <c r="F78" s="11"/>
      <c r="G78" s="11"/>
      <c r="H78" s="11"/>
      <c r="I78" s="11"/>
      <c r="J78" s="11"/>
      <c r="K78" s="11"/>
      <c r="L78" s="11"/>
      <c r="M78" s="11"/>
      <c r="N78" s="11"/>
      <c r="O78" s="11"/>
      <c r="P78" s="11"/>
    </row>
    <row r="79" ht="15.75" customHeight="1">
      <c r="A79" s="228"/>
      <c r="B79" s="11"/>
      <c r="C79" s="11"/>
      <c r="D79" s="11"/>
      <c r="E79" s="11"/>
      <c r="F79" s="11"/>
      <c r="G79" s="11"/>
      <c r="H79" s="11"/>
      <c r="I79" s="11"/>
      <c r="J79" s="11"/>
      <c r="K79" s="11"/>
      <c r="L79" s="11"/>
      <c r="M79" s="11"/>
      <c r="N79" s="11"/>
      <c r="O79" s="11"/>
      <c r="P79" s="11"/>
    </row>
    <row r="80" ht="15.75" customHeight="1">
      <c r="A80" s="228"/>
      <c r="B80" s="11"/>
      <c r="C80" s="11"/>
      <c r="D80" s="11"/>
      <c r="E80" s="11"/>
      <c r="F80" s="11"/>
      <c r="G80" s="11"/>
      <c r="H80" s="11"/>
      <c r="I80" s="11"/>
      <c r="J80" s="11"/>
      <c r="K80" s="11"/>
      <c r="L80" s="11"/>
      <c r="M80" s="11"/>
      <c r="N80" s="11"/>
      <c r="O80" s="11"/>
      <c r="P80" s="11"/>
    </row>
    <row r="81" ht="15.75" customHeight="1">
      <c r="A81" s="228"/>
      <c r="B81" s="11"/>
      <c r="C81" s="11"/>
      <c r="D81" s="11"/>
      <c r="E81" s="11"/>
      <c r="F81" s="11"/>
      <c r="G81" s="11"/>
      <c r="H81" s="11"/>
      <c r="I81" s="11"/>
      <c r="J81" s="11"/>
      <c r="K81" s="11"/>
      <c r="L81" s="11"/>
      <c r="M81" s="11"/>
      <c r="N81" s="11"/>
      <c r="O81" s="11"/>
      <c r="P81" s="11"/>
    </row>
    <row r="82" ht="15.75" customHeight="1">
      <c r="A82" s="228"/>
      <c r="B82" s="11"/>
      <c r="C82" s="11"/>
      <c r="D82" s="11"/>
      <c r="E82" s="11"/>
      <c r="F82" s="11"/>
      <c r="G82" s="11"/>
      <c r="H82" s="11"/>
      <c r="I82" s="11"/>
      <c r="J82" s="11"/>
      <c r="K82" s="11"/>
      <c r="L82" s="11"/>
      <c r="M82" s="11"/>
      <c r="N82" s="11"/>
      <c r="O82" s="11"/>
      <c r="P82" s="11"/>
    </row>
    <row r="83" ht="15.75" customHeight="1">
      <c r="A83" s="228"/>
      <c r="B83" s="11"/>
      <c r="C83" s="11"/>
      <c r="D83" s="11"/>
      <c r="E83" s="11"/>
      <c r="F83" s="11"/>
      <c r="G83" s="11"/>
      <c r="H83" s="11"/>
      <c r="I83" s="11"/>
      <c r="J83" s="11"/>
      <c r="K83" s="11"/>
      <c r="L83" s="11"/>
      <c r="M83" s="11"/>
      <c r="N83" s="11"/>
      <c r="O83" s="11"/>
      <c r="P83" s="11"/>
    </row>
    <row r="84" ht="15.75" customHeight="1">
      <c r="A84" s="228"/>
      <c r="B84" s="11"/>
      <c r="C84" s="11"/>
      <c r="D84" s="11"/>
      <c r="E84" s="11"/>
      <c r="F84" s="11"/>
      <c r="G84" s="11"/>
      <c r="H84" s="11"/>
      <c r="I84" s="11"/>
      <c r="J84" s="11"/>
      <c r="K84" s="11"/>
      <c r="L84" s="11"/>
      <c r="M84" s="11"/>
      <c r="N84" s="11"/>
      <c r="O84" s="11"/>
      <c r="P84" s="11"/>
    </row>
    <row r="85" ht="15.75" customHeight="1">
      <c r="A85" s="228"/>
      <c r="B85" s="11"/>
      <c r="C85" s="11"/>
      <c r="D85" s="11"/>
      <c r="E85" s="11"/>
      <c r="F85" s="11"/>
      <c r="G85" s="11"/>
      <c r="H85" s="11"/>
      <c r="I85" s="11"/>
      <c r="J85" s="11"/>
      <c r="K85" s="11"/>
      <c r="L85" s="11"/>
      <c r="M85" s="11"/>
      <c r="N85" s="11"/>
      <c r="O85" s="11"/>
      <c r="P85" s="11"/>
    </row>
    <row r="86" ht="15.75" customHeight="1">
      <c r="A86" s="228"/>
      <c r="B86" s="11"/>
      <c r="C86" s="11"/>
      <c r="D86" s="11"/>
      <c r="E86" s="11"/>
      <c r="F86" s="11"/>
      <c r="G86" s="11"/>
      <c r="H86" s="11"/>
      <c r="I86" s="11"/>
      <c r="J86" s="11"/>
      <c r="K86" s="11"/>
      <c r="L86" s="11"/>
      <c r="M86" s="11"/>
      <c r="N86" s="11"/>
      <c r="O86" s="11"/>
      <c r="P86" s="11"/>
    </row>
    <row r="87" ht="15.75" customHeight="1">
      <c r="A87" s="228"/>
      <c r="B87" s="11"/>
      <c r="C87" s="11"/>
      <c r="D87" s="11"/>
      <c r="E87" s="11"/>
      <c r="F87" s="11"/>
      <c r="G87" s="11"/>
      <c r="H87" s="11"/>
      <c r="I87" s="11"/>
      <c r="J87" s="11"/>
      <c r="K87" s="11"/>
      <c r="L87" s="11"/>
      <c r="M87" s="11"/>
      <c r="N87" s="11"/>
      <c r="O87" s="11"/>
      <c r="P87" s="11"/>
    </row>
    <row r="88" ht="15.75" customHeight="1">
      <c r="A88" s="228"/>
      <c r="B88" s="11"/>
      <c r="C88" s="11"/>
      <c r="D88" s="11"/>
      <c r="E88" s="11"/>
      <c r="F88" s="11"/>
      <c r="G88" s="11"/>
      <c r="H88" s="11"/>
      <c r="I88" s="11"/>
      <c r="J88" s="11"/>
      <c r="K88" s="11"/>
      <c r="L88" s="11"/>
      <c r="M88" s="11"/>
      <c r="N88" s="11"/>
      <c r="O88" s="11"/>
      <c r="P88" s="11"/>
    </row>
    <row r="89" ht="15.75" customHeight="1">
      <c r="A89" s="228"/>
      <c r="B89" s="11"/>
      <c r="C89" s="11"/>
      <c r="D89" s="11"/>
      <c r="E89" s="11"/>
      <c r="F89" s="11"/>
      <c r="G89" s="11"/>
      <c r="H89" s="11"/>
      <c r="I89" s="11"/>
      <c r="J89" s="11"/>
      <c r="K89" s="11"/>
      <c r="L89" s="11"/>
      <c r="M89" s="11"/>
      <c r="N89" s="11"/>
      <c r="O89" s="11"/>
      <c r="P89" s="11"/>
    </row>
    <row r="90" ht="15.75" customHeight="1">
      <c r="A90" s="228"/>
      <c r="B90" s="11"/>
      <c r="C90" s="11"/>
      <c r="D90" s="11"/>
      <c r="E90" s="11"/>
      <c r="F90" s="11"/>
      <c r="G90" s="11"/>
      <c r="H90" s="11"/>
      <c r="I90" s="11"/>
      <c r="J90" s="11"/>
      <c r="K90" s="11"/>
      <c r="L90" s="11"/>
      <c r="M90" s="11"/>
      <c r="N90" s="11"/>
      <c r="O90" s="11"/>
      <c r="P90" s="11"/>
    </row>
    <row r="91" ht="15.75" customHeight="1">
      <c r="A91" s="228"/>
      <c r="B91" s="11"/>
      <c r="C91" s="11"/>
      <c r="D91" s="11"/>
      <c r="E91" s="11"/>
      <c r="F91" s="11"/>
      <c r="G91" s="11"/>
      <c r="H91" s="11"/>
      <c r="I91" s="11"/>
      <c r="J91" s="11"/>
      <c r="K91" s="11"/>
      <c r="L91" s="11"/>
      <c r="M91" s="11"/>
      <c r="N91" s="11"/>
      <c r="O91" s="11"/>
      <c r="P91" s="11"/>
    </row>
    <row r="92" ht="15.75" customHeight="1">
      <c r="A92" s="228"/>
      <c r="B92" s="11"/>
      <c r="C92" s="11"/>
      <c r="D92" s="11"/>
      <c r="E92" s="11"/>
      <c r="F92" s="11"/>
      <c r="G92" s="11"/>
      <c r="H92" s="11"/>
      <c r="I92" s="11"/>
      <c r="J92" s="11"/>
      <c r="K92" s="11"/>
      <c r="L92" s="11"/>
      <c r="M92" s="11"/>
      <c r="N92" s="11"/>
      <c r="O92" s="11"/>
      <c r="P92" s="11"/>
    </row>
    <row r="93" ht="15.75" customHeight="1">
      <c r="A93" s="228"/>
      <c r="B93" s="11"/>
      <c r="C93" s="11"/>
      <c r="D93" s="11"/>
      <c r="E93" s="11"/>
      <c r="F93" s="11"/>
      <c r="G93" s="11"/>
      <c r="H93" s="11"/>
      <c r="I93" s="11"/>
      <c r="J93" s="11"/>
      <c r="K93" s="11"/>
      <c r="L93" s="11"/>
      <c r="M93" s="11"/>
      <c r="N93" s="11"/>
      <c r="O93" s="11"/>
      <c r="P93" s="11"/>
    </row>
    <row r="94" ht="15.75" customHeight="1">
      <c r="A94" s="228"/>
      <c r="B94" s="11"/>
      <c r="C94" s="11"/>
      <c r="D94" s="11"/>
      <c r="E94" s="11"/>
      <c r="F94" s="11"/>
      <c r="G94" s="11"/>
      <c r="H94" s="11"/>
      <c r="I94" s="11"/>
      <c r="J94" s="11"/>
      <c r="K94" s="11"/>
      <c r="L94" s="11"/>
      <c r="M94" s="11"/>
      <c r="N94" s="11"/>
      <c r="O94" s="11"/>
      <c r="P94" s="11"/>
    </row>
    <row r="95" ht="15.75" customHeight="1">
      <c r="A95" s="228"/>
      <c r="B95" s="11"/>
      <c r="C95" s="11"/>
      <c r="D95" s="11"/>
      <c r="E95" s="11"/>
      <c r="F95" s="11"/>
      <c r="G95" s="11"/>
      <c r="H95" s="11"/>
      <c r="I95" s="11"/>
      <c r="J95" s="11"/>
      <c r="K95" s="11"/>
      <c r="L95" s="11"/>
      <c r="M95" s="11"/>
      <c r="N95" s="11"/>
      <c r="O95" s="11"/>
      <c r="P95" s="11"/>
    </row>
    <row r="96" ht="15.75" customHeight="1">
      <c r="A96" s="228"/>
      <c r="B96" s="11"/>
      <c r="C96" s="11"/>
      <c r="D96" s="11"/>
      <c r="E96" s="11"/>
      <c r="F96" s="11"/>
      <c r="G96" s="11"/>
      <c r="H96" s="11"/>
      <c r="I96" s="11"/>
      <c r="J96" s="11"/>
      <c r="K96" s="11"/>
      <c r="L96" s="11"/>
      <c r="M96" s="11"/>
      <c r="N96" s="11"/>
      <c r="O96" s="11"/>
      <c r="P96" s="11"/>
    </row>
    <row r="97" ht="15.75" customHeight="1">
      <c r="A97" s="228"/>
      <c r="B97" s="11"/>
      <c r="C97" s="11"/>
      <c r="D97" s="11"/>
      <c r="E97" s="11"/>
      <c r="F97" s="11"/>
      <c r="G97" s="11"/>
      <c r="H97" s="11"/>
      <c r="I97" s="11"/>
      <c r="J97" s="11"/>
      <c r="K97" s="11"/>
      <c r="L97" s="11"/>
      <c r="M97" s="11"/>
      <c r="N97" s="11"/>
      <c r="O97" s="11"/>
      <c r="P97" s="11"/>
    </row>
    <row r="98" ht="15.75" customHeight="1">
      <c r="A98" s="228"/>
      <c r="B98" s="11"/>
      <c r="C98" s="11"/>
      <c r="D98" s="11"/>
      <c r="E98" s="11"/>
      <c r="F98" s="11"/>
      <c r="G98" s="11"/>
      <c r="H98" s="11"/>
      <c r="I98" s="11"/>
      <c r="J98" s="11"/>
      <c r="K98" s="11"/>
      <c r="L98" s="11"/>
      <c r="M98" s="11"/>
      <c r="N98" s="11"/>
      <c r="O98" s="11"/>
      <c r="P98" s="11"/>
    </row>
    <row r="99" ht="15.75" customHeight="1">
      <c r="A99" s="228"/>
      <c r="B99" s="11"/>
      <c r="C99" s="11"/>
      <c r="D99" s="11"/>
      <c r="E99" s="11"/>
      <c r="F99" s="11"/>
      <c r="G99" s="11"/>
      <c r="H99" s="11"/>
      <c r="I99" s="11"/>
      <c r="J99" s="11"/>
      <c r="K99" s="11"/>
      <c r="L99" s="11"/>
      <c r="M99" s="11"/>
      <c r="N99" s="11"/>
      <c r="O99" s="11"/>
      <c r="P99" s="11"/>
    </row>
    <row r="100" ht="15.75" customHeight="1">
      <c r="A100" s="228"/>
      <c r="B100" s="11"/>
      <c r="C100" s="11"/>
      <c r="D100" s="11"/>
      <c r="E100" s="11"/>
      <c r="F100" s="11"/>
      <c r="G100" s="11"/>
      <c r="H100" s="11"/>
      <c r="I100" s="11"/>
      <c r="J100" s="11"/>
      <c r="K100" s="11"/>
      <c r="L100" s="11"/>
      <c r="M100" s="11"/>
      <c r="N100" s="11"/>
      <c r="O100" s="11"/>
      <c r="P100" s="11"/>
    </row>
    <row r="101" ht="15.75" customHeight="1">
      <c r="A101" s="228"/>
      <c r="B101" s="11"/>
      <c r="C101" s="11"/>
      <c r="D101" s="11"/>
      <c r="E101" s="11"/>
      <c r="F101" s="11"/>
      <c r="G101" s="11"/>
      <c r="H101" s="11"/>
      <c r="I101" s="11"/>
      <c r="J101" s="11"/>
      <c r="K101" s="11"/>
      <c r="L101" s="11"/>
      <c r="M101" s="11"/>
      <c r="N101" s="11"/>
      <c r="O101" s="11"/>
      <c r="P101" s="11"/>
    </row>
    <row r="102" ht="15.75" customHeight="1">
      <c r="A102" s="228"/>
      <c r="B102" s="11"/>
      <c r="C102" s="11"/>
      <c r="D102" s="11"/>
      <c r="E102" s="11"/>
      <c r="F102" s="11"/>
      <c r="G102" s="11"/>
      <c r="H102" s="11"/>
      <c r="I102" s="11"/>
      <c r="J102" s="11"/>
      <c r="K102" s="11"/>
      <c r="L102" s="11"/>
      <c r="M102" s="11"/>
      <c r="N102" s="11"/>
      <c r="O102" s="11"/>
      <c r="P102" s="11"/>
    </row>
    <row r="103" ht="15.75" customHeight="1">
      <c r="A103" s="228"/>
      <c r="B103" s="11"/>
      <c r="C103" s="11"/>
      <c r="D103" s="11"/>
      <c r="E103" s="11"/>
      <c r="F103" s="11"/>
      <c r="G103" s="11"/>
      <c r="H103" s="11"/>
      <c r="I103" s="11"/>
      <c r="J103" s="11"/>
      <c r="K103" s="11"/>
      <c r="L103" s="11"/>
      <c r="M103" s="11"/>
      <c r="N103" s="11"/>
      <c r="O103" s="11"/>
      <c r="P103" s="11"/>
    </row>
    <row r="104" ht="15.75" customHeight="1">
      <c r="A104" s="228"/>
      <c r="B104" s="11"/>
      <c r="C104" s="11"/>
      <c r="D104" s="11"/>
      <c r="E104" s="11"/>
      <c r="F104" s="11"/>
      <c r="G104" s="11"/>
      <c r="H104" s="11"/>
      <c r="I104" s="11"/>
      <c r="J104" s="11"/>
      <c r="K104" s="11"/>
      <c r="L104" s="11"/>
      <c r="M104" s="11"/>
      <c r="N104" s="11"/>
      <c r="O104" s="11"/>
      <c r="P104" s="11"/>
    </row>
    <row r="105" ht="15.75" customHeight="1">
      <c r="A105" s="228"/>
      <c r="B105" s="11"/>
      <c r="C105" s="11"/>
      <c r="D105" s="11"/>
      <c r="E105" s="11"/>
      <c r="F105" s="11"/>
      <c r="G105" s="11"/>
      <c r="H105" s="11"/>
      <c r="I105" s="11"/>
      <c r="J105" s="11"/>
      <c r="K105" s="11"/>
      <c r="L105" s="11"/>
      <c r="M105" s="11"/>
      <c r="N105" s="11"/>
      <c r="O105" s="11"/>
      <c r="P105" s="11"/>
    </row>
    <row r="106" ht="15.75" customHeight="1">
      <c r="A106" s="228"/>
      <c r="B106" s="11"/>
      <c r="C106" s="11"/>
      <c r="D106" s="11"/>
      <c r="E106" s="11"/>
      <c r="F106" s="11"/>
      <c r="G106" s="11"/>
      <c r="H106" s="11"/>
      <c r="I106" s="11"/>
      <c r="J106" s="11"/>
      <c r="K106" s="11"/>
      <c r="L106" s="11"/>
      <c r="M106" s="11"/>
      <c r="N106" s="11"/>
      <c r="O106" s="11"/>
      <c r="P106" s="11"/>
    </row>
    <row r="107" ht="15.75" customHeight="1">
      <c r="A107" s="228"/>
      <c r="B107" s="11"/>
      <c r="C107" s="11"/>
      <c r="D107" s="11"/>
      <c r="E107" s="11"/>
      <c r="F107" s="11"/>
      <c r="G107" s="11"/>
      <c r="H107" s="11"/>
      <c r="I107" s="11"/>
      <c r="J107" s="11"/>
      <c r="K107" s="11"/>
      <c r="L107" s="11"/>
      <c r="M107" s="11"/>
      <c r="N107" s="11"/>
      <c r="O107" s="11"/>
      <c r="P107" s="11"/>
    </row>
    <row r="108" ht="15.75" customHeight="1">
      <c r="A108" s="228"/>
      <c r="B108" s="11"/>
      <c r="C108" s="11"/>
      <c r="D108" s="11"/>
      <c r="E108" s="11"/>
      <c r="F108" s="11"/>
      <c r="G108" s="11"/>
      <c r="H108" s="11"/>
      <c r="I108" s="11"/>
      <c r="J108" s="11"/>
      <c r="K108" s="11"/>
      <c r="L108" s="11"/>
      <c r="M108" s="11"/>
      <c r="N108" s="11"/>
      <c r="O108" s="11"/>
      <c r="P108" s="11"/>
    </row>
    <row r="109" ht="15.75" customHeight="1">
      <c r="A109" s="228"/>
      <c r="B109" s="11"/>
      <c r="C109" s="11"/>
      <c r="D109" s="11"/>
      <c r="E109" s="11"/>
      <c r="F109" s="11"/>
      <c r="G109" s="11"/>
      <c r="H109" s="11"/>
      <c r="I109" s="11"/>
      <c r="J109" s="11"/>
      <c r="K109" s="11"/>
      <c r="L109" s="11"/>
      <c r="M109" s="11"/>
      <c r="N109" s="11"/>
      <c r="O109" s="11"/>
      <c r="P109" s="11"/>
    </row>
    <row r="110" ht="15.75" customHeight="1">
      <c r="A110" s="228"/>
      <c r="B110" s="11"/>
      <c r="C110" s="11"/>
      <c r="D110" s="11"/>
      <c r="E110" s="11"/>
      <c r="F110" s="11"/>
      <c r="G110" s="11"/>
      <c r="H110" s="11"/>
      <c r="I110" s="11"/>
      <c r="J110" s="11"/>
      <c r="K110" s="11"/>
      <c r="L110" s="11"/>
      <c r="M110" s="11"/>
      <c r="N110" s="11"/>
      <c r="O110" s="11"/>
      <c r="P110" s="11"/>
    </row>
    <row r="111" ht="15.75" customHeight="1">
      <c r="A111" s="228"/>
      <c r="B111" s="11"/>
      <c r="C111" s="11"/>
      <c r="D111" s="11"/>
      <c r="E111" s="11"/>
      <c r="F111" s="11"/>
      <c r="G111" s="11"/>
      <c r="H111" s="11"/>
      <c r="I111" s="11"/>
      <c r="J111" s="11"/>
      <c r="K111" s="11"/>
      <c r="L111" s="11"/>
      <c r="M111" s="11"/>
      <c r="N111" s="11"/>
      <c r="O111" s="11"/>
      <c r="P111" s="11"/>
    </row>
    <row r="112" ht="15.75" customHeight="1">
      <c r="A112" s="228"/>
      <c r="B112" s="11"/>
      <c r="C112" s="11"/>
      <c r="D112" s="11"/>
      <c r="E112" s="11"/>
      <c r="F112" s="11"/>
      <c r="G112" s="11"/>
      <c r="H112" s="11"/>
      <c r="I112" s="11"/>
      <c r="J112" s="11"/>
      <c r="K112" s="11"/>
      <c r="L112" s="11"/>
      <c r="M112" s="11"/>
      <c r="N112" s="11"/>
      <c r="O112" s="11"/>
      <c r="P112" s="11"/>
    </row>
    <row r="113" ht="15.75" customHeight="1">
      <c r="A113" s="228"/>
      <c r="B113" s="11"/>
      <c r="C113" s="11"/>
      <c r="D113" s="11"/>
      <c r="E113" s="11"/>
      <c r="F113" s="11"/>
      <c r="G113" s="11"/>
      <c r="H113" s="11"/>
      <c r="I113" s="11"/>
      <c r="J113" s="11"/>
      <c r="K113" s="11"/>
      <c r="L113" s="11"/>
      <c r="M113" s="11"/>
      <c r="N113" s="11"/>
      <c r="O113" s="11"/>
      <c r="P113" s="11"/>
    </row>
    <row r="114" ht="15.75" customHeight="1">
      <c r="A114" s="228"/>
      <c r="B114" s="11"/>
      <c r="C114" s="11"/>
      <c r="D114" s="11"/>
      <c r="E114" s="11"/>
      <c r="F114" s="11"/>
      <c r="G114" s="11"/>
      <c r="H114" s="11"/>
      <c r="I114" s="11"/>
      <c r="J114" s="11"/>
      <c r="K114" s="11"/>
      <c r="L114" s="11"/>
      <c r="M114" s="11"/>
      <c r="N114" s="11"/>
      <c r="O114" s="11"/>
      <c r="P114" s="11"/>
    </row>
    <row r="115" ht="15.75" customHeight="1">
      <c r="A115" s="228"/>
      <c r="B115" s="11"/>
      <c r="C115" s="11"/>
      <c r="D115" s="11"/>
      <c r="E115" s="11"/>
      <c r="F115" s="11"/>
      <c r="G115" s="11"/>
      <c r="H115" s="11"/>
      <c r="I115" s="11"/>
      <c r="J115" s="11"/>
      <c r="K115" s="11"/>
      <c r="L115" s="11"/>
      <c r="M115" s="11"/>
      <c r="N115" s="11"/>
      <c r="O115" s="11"/>
      <c r="P115" s="11"/>
    </row>
    <row r="116" ht="15.75" customHeight="1">
      <c r="A116" s="228"/>
      <c r="B116" s="11"/>
      <c r="C116" s="11"/>
      <c r="D116" s="11"/>
      <c r="E116" s="11"/>
      <c r="F116" s="11"/>
      <c r="G116" s="11"/>
      <c r="H116" s="11"/>
      <c r="I116" s="11"/>
      <c r="J116" s="11"/>
      <c r="K116" s="11"/>
      <c r="L116" s="11"/>
      <c r="M116" s="11"/>
      <c r="N116" s="11"/>
      <c r="O116" s="11"/>
      <c r="P116" s="11"/>
    </row>
    <row r="117" ht="15.75" customHeight="1">
      <c r="A117" s="228"/>
      <c r="B117" s="11"/>
      <c r="C117" s="11"/>
      <c r="D117" s="11"/>
      <c r="E117" s="11"/>
      <c r="F117" s="11"/>
      <c r="G117" s="11"/>
      <c r="H117" s="11"/>
      <c r="I117" s="11"/>
      <c r="J117" s="11"/>
      <c r="K117" s="11"/>
      <c r="L117" s="11"/>
      <c r="M117" s="11"/>
      <c r="N117" s="11"/>
      <c r="O117" s="11"/>
      <c r="P117" s="11"/>
    </row>
    <row r="118" ht="15.75" customHeight="1">
      <c r="A118" s="228"/>
      <c r="B118" s="11"/>
      <c r="C118" s="11"/>
      <c r="D118" s="11"/>
      <c r="E118" s="11"/>
      <c r="F118" s="11"/>
      <c r="G118" s="11"/>
      <c r="H118" s="11"/>
      <c r="I118" s="11"/>
      <c r="J118" s="11"/>
      <c r="K118" s="11"/>
      <c r="L118" s="11"/>
      <c r="M118" s="11"/>
      <c r="N118" s="11"/>
      <c r="O118" s="11"/>
      <c r="P118" s="11"/>
    </row>
    <row r="119" ht="15.75" customHeight="1">
      <c r="A119" s="228"/>
      <c r="B119" s="11"/>
      <c r="C119" s="11"/>
      <c r="D119" s="11"/>
      <c r="E119" s="11"/>
      <c r="F119" s="11"/>
      <c r="G119" s="11"/>
      <c r="H119" s="11"/>
      <c r="I119" s="11"/>
      <c r="J119" s="11"/>
      <c r="K119" s="11"/>
      <c r="L119" s="11"/>
      <c r="M119" s="11"/>
      <c r="N119" s="11"/>
      <c r="O119" s="11"/>
      <c r="P119" s="11"/>
    </row>
    <row r="120" ht="15.75" customHeight="1">
      <c r="A120" s="228"/>
      <c r="B120" s="11"/>
      <c r="C120" s="11"/>
      <c r="D120" s="11"/>
      <c r="E120" s="11"/>
      <c r="F120" s="11"/>
      <c r="G120" s="11"/>
      <c r="H120" s="11"/>
      <c r="I120" s="11"/>
      <c r="J120" s="11"/>
      <c r="K120" s="11"/>
      <c r="L120" s="11"/>
      <c r="M120" s="11"/>
      <c r="N120" s="11"/>
      <c r="O120" s="11"/>
      <c r="P120" s="11"/>
    </row>
    <row r="121" ht="15.75" customHeight="1">
      <c r="A121" s="228"/>
      <c r="B121" s="11"/>
      <c r="C121" s="11"/>
      <c r="D121" s="11"/>
      <c r="E121" s="11"/>
      <c r="F121" s="11"/>
      <c r="G121" s="11"/>
      <c r="H121" s="11"/>
      <c r="I121" s="11"/>
      <c r="J121" s="11"/>
      <c r="K121" s="11"/>
      <c r="L121" s="11"/>
      <c r="M121" s="11"/>
      <c r="N121" s="11"/>
      <c r="O121" s="11"/>
      <c r="P121" s="11"/>
    </row>
    <row r="122" ht="15.75" customHeight="1">
      <c r="A122" s="228"/>
      <c r="B122" s="11"/>
      <c r="C122" s="11"/>
      <c r="D122" s="11"/>
      <c r="E122" s="11"/>
      <c r="F122" s="11"/>
      <c r="G122" s="11"/>
      <c r="H122" s="11"/>
      <c r="I122" s="11"/>
      <c r="J122" s="11"/>
      <c r="K122" s="11"/>
      <c r="L122" s="11"/>
      <c r="M122" s="11"/>
      <c r="N122" s="11"/>
      <c r="O122" s="11"/>
      <c r="P122" s="11"/>
    </row>
    <row r="123" ht="15.75" customHeight="1">
      <c r="A123" s="228"/>
      <c r="B123" s="11"/>
      <c r="C123" s="11"/>
      <c r="D123" s="11"/>
      <c r="E123" s="11"/>
      <c r="F123" s="11"/>
      <c r="G123" s="11"/>
      <c r="H123" s="11"/>
      <c r="I123" s="11"/>
      <c r="J123" s="11"/>
      <c r="K123" s="11"/>
      <c r="L123" s="11"/>
      <c r="M123" s="11"/>
      <c r="N123" s="11"/>
      <c r="O123" s="11"/>
      <c r="P123" s="11"/>
    </row>
    <row r="124" ht="15.75" customHeight="1">
      <c r="A124" s="228"/>
      <c r="B124" s="11"/>
      <c r="C124" s="11"/>
      <c r="D124" s="11"/>
      <c r="E124" s="11"/>
      <c r="F124" s="11"/>
      <c r="G124" s="11"/>
      <c r="H124" s="11"/>
      <c r="I124" s="11"/>
      <c r="J124" s="11"/>
      <c r="K124" s="11"/>
      <c r="L124" s="11"/>
      <c r="M124" s="11"/>
      <c r="N124" s="11"/>
      <c r="O124" s="11"/>
      <c r="P124" s="11"/>
    </row>
    <row r="125" ht="15.75" customHeight="1">
      <c r="A125" s="228"/>
      <c r="B125" s="11"/>
      <c r="C125" s="11"/>
      <c r="D125" s="11"/>
      <c r="E125" s="11"/>
      <c r="F125" s="11"/>
      <c r="G125" s="11"/>
      <c r="H125" s="11"/>
      <c r="I125" s="11"/>
      <c r="J125" s="11"/>
      <c r="K125" s="11"/>
      <c r="L125" s="11"/>
      <c r="M125" s="11"/>
      <c r="N125" s="11"/>
      <c r="O125" s="11"/>
      <c r="P125" s="11"/>
    </row>
    <row r="126" ht="15.75" customHeight="1">
      <c r="A126" s="228"/>
      <c r="B126" s="11"/>
      <c r="C126" s="11"/>
      <c r="D126" s="11"/>
      <c r="E126" s="11"/>
      <c r="F126" s="11"/>
      <c r="G126" s="11"/>
      <c r="H126" s="11"/>
      <c r="I126" s="11"/>
      <c r="J126" s="11"/>
      <c r="K126" s="11"/>
      <c r="L126" s="11"/>
      <c r="M126" s="11"/>
      <c r="N126" s="11"/>
      <c r="O126" s="11"/>
      <c r="P126" s="11"/>
    </row>
    <row r="127" ht="15.75" customHeight="1">
      <c r="A127" s="228"/>
      <c r="B127" s="11"/>
      <c r="C127" s="11"/>
      <c r="D127" s="11"/>
      <c r="E127" s="11"/>
      <c r="F127" s="11"/>
      <c r="G127" s="11"/>
      <c r="H127" s="11"/>
      <c r="I127" s="11"/>
      <c r="J127" s="11"/>
      <c r="K127" s="11"/>
      <c r="L127" s="11"/>
      <c r="M127" s="11"/>
      <c r="N127" s="11"/>
      <c r="O127" s="11"/>
      <c r="P127" s="11"/>
    </row>
    <row r="128" ht="15.75" customHeight="1">
      <c r="A128" s="228"/>
      <c r="B128" s="11"/>
      <c r="C128" s="11"/>
      <c r="D128" s="11"/>
      <c r="E128" s="11"/>
      <c r="F128" s="11"/>
      <c r="G128" s="11"/>
      <c r="H128" s="11"/>
      <c r="I128" s="11"/>
      <c r="J128" s="11"/>
      <c r="K128" s="11"/>
      <c r="L128" s="11"/>
      <c r="M128" s="11"/>
      <c r="N128" s="11"/>
      <c r="O128" s="11"/>
      <c r="P128" s="11"/>
    </row>
    <row r="129" ht="15.75" customHeight="1">
      <c r="A129" s="228"/>
      <c r="B129" s="11"/>
      <c r="C129" s="11"/>
      <c r="D129" s="11"/>
      <c r="E129" s="11"/>
      <c r="F129" s="11"/>
      <c r="G129" s="11"/>
      <c r="H129" s="11"/>
      <c r="I129" s="11"/>
      <c r="J129" s="11"/>
      <c r="K129" s="11"/>
      <c r="L129" s="11"/>
      <c r="M129" s="11"/>
      <c r="N129" s="11"/>
      <c r="O129" s="11"/>
      <c r="P129" s="11"/>
    </row>
    <row r="130" ht="15.75" customHeight="1">
      <c r="A130" s="228"/>
      <c r="B130" s="11"/>
      <c r="C130" s="11"/>
      <c r="D130" s="11"/>
      <c r="E130" s="11"/>
      <c r="F130" s="11"/>
      <c r="G130" s="11"/>
      <c r="H130" s="11"/>
      <c r="I130" s="11"/>
      <c r="J130" s="11"/>
      <c r="K130" s="11"/>
      <c r="L130" s="11"/>
      <c r="M130" s="11"/>
      <c r="N130" s="11"/>
      <c r="O130" s="11"/>
      <c r="P130" s="11"/>
    </row>
    <row r="131" ht="15.75" customHeight="1">
      <c r="A131" s="228"/>
      <c r="B131" s="11"/>
      <c r="C131" s="11"/>
      <c r="D131" s="11"/>
      <c r="E131" s="11"/>
      <c r="F131" s="11"/>
      <c r="G131" s="11"/>
      <c r="H131" s="11"/>
      <c r="I131" s="11"/>
      <c r="J131" s="11"/>
      <c r="K131" s="11"/>
      <c r="L131" s="11"/>
      <c r="M131" s="11"/>
      <c r="N131" s="11"/>
      <c r="O131" s="11"/>
      <c r="P131" s="11"/>
    </row>
    <row r="132" ht="15.75" customHeight="1">
      <c r="A132" s="228"/>
      <c r="B132" s="11"/>
      <c r="C132" s="11"/>
      <c r="D132" s="11"/>
      <c r="E132" s="11"/>
      <c r="F132" s="11"/>
      <c r="G132" s="11"/>
      <c r="H132" s="11"/>
      <c r="I132" s="11"/>
      <c r="J132" s="11"/>
      <c r="K132" s="11"/>
      <c r="L132" s="11"/>
      <c r="M132" s="11"/>
      <c r="N132" s="11"/>
      <c r="O132" s="11"/>
      <c r="P132" s="11"/>
    </row>
    <row r="133" ht="15.75" customHeight="1">
      <c r="A133" s="228"/>
      <c r="B133" s="11"/>
      <c r="C133" s="11"/>
      <c r="D133" s="11"/>
      <c r="E133" s="11"/>
      <c r="F133" s="11"/>
      <c r="G133" s="11"/>
      <c r="H133" s="11"/>
      <c r="I133" s="11"/>
      <c r="J133" s="11"/>
      <c r="K133" s="11"/>
      <c r="L133" s="11"/>
      <c r="M133" s="11"/>
      <c r="N133" s="11"/>
      <c r="O133" s="11"/>
      <c r="P133" s="11"/>
    </row>
    <row r="134" ht="15.75" customHeight="1">
      <c r="A134" s="228"/>
      <c r="B134" s="11"/>
      <c r="C134" s="11"/>
      <c r="D134" s="11"/>
      <c r="E134" s="11"/>
      <c r="F134" s="11"/>
      <c r="G134" s="11"/>
      <c r="H134" s="11"/>
      <c r="I134" s="11"/>
      <c r="J134" s="11"/>
      <c r="K134" s="11"/>
      <c r="L134" s="11"/>
      <c r="M134" s="11"/>
      <c r="N134" s="11"/>
      <c r="O134" s="11"/>
      <c r="P134" s="11"/>
    </row>
    <row r="135" ht="15.75" customHeight="1">
      <c r="A135" s="228"/>
      <c r="B135" s="11"/>
      <c r="C135" s="11"/>
      <c r="D135" s="11"/>
      <c r="E135" s="11"/>
      <c r="F135" s="11"/>
      <c r="G135" s="11"/>
      <c r="H135" s="11"/>
      <c r="I135" s="11"/>
      <c r="J135" s="11"/>
      <c r="K135" s="11"/>
      <c r="L135" s="11"/>
      <c r="M135" s="11"/>
      <c r="N135" s="11"/>
      <c r="O135" s="11"/>
      <c r="P135" s="11"/>
    </row>
    <row r="136" ht="15.75" customHeight="1">
      <c r="A136" s="228"/>
      <c r="B136" s="11"/>
      <c r="C136" s="11"/>
      <c r="D136" s="11"/>
      <c r="E136" s="11"/>
      <c r="F136" s="11"/>
      <c r="G136" s="11"/>
      <c r="H136" s="11"/>
      <c r="I136" s="11"/>
      <c r="J136" s="11"/>
      <c r="K136" s="11"/>
      <c r="L136" s="11"/>
      <c r="M136" s="11"/>
      <c r="N136" s="11"/>
      <c r="O136" s="11"/>
      <c r="P136" s="11"/>
    </row>
    <row r="137" ht="15.75" customHeight="1">
      <c r="A137" s="228"/>
      <c r="B137" s="11"/>
      <c r="C137" s="11"/>
      <c r="D137" s="11"/>
      <c r="E137" s="11"/>
      <c r="F137" s="11"/>
      <c r="G137" s="11"/>
      <c r="H137" s="11"/>
      <c r="I137" s="11"/>
      <c r="J137" s="11"/>
      <c r="K137" s="11"/>
      <c r="L137" s="11"/>
      <c r="M137" s="11"/>
      <c r="N137" s="11"/>
      <c r="O137" s="11"/>
      <c r="P137" s="11"/>
    </row>
    <row r="138" ht="15.75" customHeight="1">
      <c r="A138" s="228"/>
      <c r="B138" s="11"/>
      <c r="C138" s="11"/>
      <c r="D138" s="11"/>
      <c r="E138" s="11"/>
      <c r="F138" s="11"/>
      <c r="G138" s="11"/>
      <c r="H138" s="11"/>
      <c r="I138" s="11"/>
      <c r="J138" s="11"/>
      <c r="K138" s="11"/>
      <c r="L138" s="11"/>
      <c r="M138" s="11"/>
      <c r="N138" s="11"/>
      <c r="O138" s="11"/>
      <c r="P138" s="11"/>
    </row>
    <row r="139" ht="15.75" customHeight="1">
      <c r="A139" s="228"/>
      <c r="B139" s="11"/>
      <c r="C139" s="11"/>
      <c r="D139" s="11"/>
      <c r="E139" s="11"/>
      <c r="F139" s="11"/>
      <c r="G139" s="11"/>
      <c r="H139" s="11"/>
      <c r="I139" s="11"/>
      <c r="J139" s="11"/>
      <c r="K139" s="11"/>
      <c r="L139" s="11"/>
      <c r="M139" s="11"/>
      <c r="N139" s="11"/>
      <c r="O139" s="11"/>
      <c r="P139" s="11"/>
    </row>
    <row r="140" ht="15.75" customHeight="1">
      <c r="A140" s="228"/>
      <c r="B140" s="11"/>
      <c r="C140" s="11"/>
      <c r="D140" s="11"/>
      <c r="E140" s="11"/>
      <c r="F140" s="11"/>
      <c r="G140" s="11"/>
      <c r="H140" s="11"/>
      <c r="I140" s="11"/>
      <c r="J140" s="11"/>
      <c r="K140" s="11"/>
      <c r="L140" s="11"/>
      <c r="M140" s="11"/>
      <c r="N140" s="11"/>
      <c r="O140" s="11"/>
      <c r="P140" s="11"/>
    </row>
    <row r="141" ht="15.75" customHeight="1">
      <c r="A141" s="228"/>
      <c r="B141" s="11"/>
      <c r="C141" s="11"/>
      <c r="D141" s="11"/>
      <c r="E141" s="11"/>
      <c r="F141" s="11"/>
      <c r="G141" s="11"/>
      <c r="H141" s="11"/>
      <c r="I141" s="11"/>
      <c r="J141" s="11"/>
      <c r="K141" s="11"/>
      <c r="L141" s="11"/>
      <c r="M141" s="11"/>
      <c r="N141" s="11"/>
      <c r="O141" s="11"/>
      <c r="P141" s="11"/>
    </row>
    <row r="142" ht="15.75" customHeight="1">
      <c r="A142" s="228"/>
      <c r="B142" s="11"/>
      <c r="C142" s="11"/>
      <c r="D142" s="11"/>
      <c r="E142" s="11"/>
      <c r="F142" s="11"/>
      <c r="G142" s="11"/>
      <c r="H142" s="11"/>
      <c r="I142" s="11"/>
      <c r="J142" s="11"/>
      <c r="K142" s="11"/>
      <c r="L142" s="11"/>
      <c r="M142" s="11"/>
      <c r="N142" s="11"/>
      <c r="O142" s="11"/>
      <c r="P142" s="11"/>
    </row>
    <row r="143" ht="15.75" customHeight="1">
      <c r="A143" s="228"/>
      <c r="B143" s="11"/>
      <c r="C143" s="11"/>
      <c r="D143" s="11"/>
      <c r="E143" s="11"/>
      <c r="F143" s="11"/>
      <c r="G143" s="11"/>
      <c r="H143" s="11"/>
      <c r="I143" s="11"/>
      <c r="J143" s="11"/>
      <c r="K143" s="11"/>
      <c r="L143" s="11"/>
      <c r="M143" s="11"/>
      <c r="N143" s="11"/>
      <c r="O143" s="11"/>
      <c r="P143" s="11"/>
    </row>
    <row r="144" ht="15.75" customHeight="1">
      <c r="A144" s="228"/>
      <c r="B144" s="11"/>
      <c r="C144" s="11"/>
      <c r="D144" s="11"/>
      <c r="E144" s="11"/>
      <c r="F144" s="11"/>
      <c r="G144" s="11"/>
      <c r="H144" s="11"/>
      <c r="I144" s="11"/>
      <c r="J144" s="11"/>
      <c r="K144" s="11"/>
      <c r="L144" s="11"/>
      <c r="M144" s="11"/>
      <c r="N144" s="11"/>
      <c r="O144" s="11"/>
      <c r="P144" s="11"/>
    </row>
    <row r="145" ht="15.75" customHeight="1">
      <c r="A145" s="228"/>
      <c r="B145" s="11"/>
      <c r="C145" s="11"/>
      <c r="D145" s="11"/>
      <c r="E145" s="11"/>
      <c r="F145" s="11"/>
      <c r="G145" s="11"/>
      <c r="H145" s="11"/>
      <c r="I145" s="11"/>
      <c r="J145" s="11"/>
      <c r="K145" s="11"/>
      <c r="L145" s="11"/>
      <c r="M145" s="11"/>
      <c r="N145" s="11"/>
      <c r="O145" s="11"/>
      <c r="P145" s="11"/>
    </row>
    <row r="146" ht="15.75" customHeight="1">
      <c r="A146" s="228"/>
      <c r="B146" s="11"/>
      <c r="C146" s="11"/>
      <c r="D146" s="11"/>
      <c r="E146" s="11"/>
      <c r="F146" s="11"/>
      <c r="G146" s="11"/>
      <c r="H146" s="11"/>
      <c r="I146" s="11"/>
      <c r="J146" s="11"/>
      <c r="K146" s="11"/>
      <c r="L146" s="11"/>
      <c r="M146" s="11"/>
      <c r="N146" s="11"/>
      <c r="O146" s="11"/>
      <c r="P146" s="11"/>
    </row>
    <row r="147" ht="15.75" customHeight="1">
      <c r="A147" s="228"/>
      <c r="B147" s="11"/>
      <c r="C147" s="11"/>
      <c r="D147" s="11"/>
      <c r="E147" s="11"/>
      <c r="F147" s="11"/>
      <c r="G147" s="11"/>
      <c r="H147" s="11"/>
      <c r="I147" s="11"/>
      <c r="J147" s="11"/>
      <c r="K147" s="11"/>
      <c r="L147" s="11"/>
      <c r="M147" s="11"/>
      <c r="N147" s="11"/>
      <c r="O147" s="11"/>
      <c r="P147" s="11"/>
    </row>
    <row r="148" ht="15.75" customHeight="1">
      <c r="A148" s="228"/>
      <c r="B148" s="11"/>
      <c r="C148" s="11"/>
      <c r="D148" s="11"/>
      <c r="E148" s="11"/>
      <c r="F148" s="11"/>
      <c r="G148" s="11"/>
      <c r="H148" s="11"/>
      <c r="I148" s="11"/>
      <c r="J148" s="11"/>
      <c r="K148" s="11"/>
      <c r="L148" s="11"/>
      <c r="M148" s="11"/>
      <c r="N148" s="11"/>
      <c r="O148" s="11"/>
      <c r="P148" s="11"/>
    </row>
    <row r="149" ht="15.75" customHeight="1">
      <c r="A149" s="228"/>
      <c r="B149" s="11"/>
      <c r="C149" s="11"/>
      <c r="D149" s="11"/>
      <c r="E149" s="11"/>
      <c r="F149" s="11"/>
      <c r="G149" s="11"/>
      <c r="H149" s="11"/>
      <c r="I149" s="11"/>
      <c r="J149" s="11"/>
      <c r="K149" s="11"/>
      <c r="L149" s="11"/>
      <c r="M149" s="11"/>
      <c r="N149" s="11"/>
      <c r="O149" s="11"/>
      <c r="P149" s="11"/>
    </row>
    <row r="150" ht="15.75" customHeight="1">
      <c r="A150" s="228"/>
      <c r="B150" s="11"/>
      <c r="C150" s="11"/>
      <c r="D150" s="11"/>
      <c r="E150" s="11"/>
      <c r="F150" s="11"/>
      <c r="G150" s="11"/>
      <c r="H150" s="11"/>
      <c r="I150" s="11"/>
      <c r="J150" s="11"/>
      <c r="K150" s="11"/>
      <c r="L150" s="11"/>
      <c r="M150" s="11"/>
      <c r="N150" s="11"/>
      <c r="O150" s="11"/>
      <c r="P150" s="11"/>
    </row>
    <row r="151" ht="15.75" customHeight="1">
      <c r="A151" s="228"/>
      <c r="B151" s="11"/>
      <c r="C151" s="11"/>
      <c r="D151" s="11"/>
      <c r="E151" s="11"/>
      <c r="F151" s="11"/>
      <c r="G151" s="11"/>
      <c r="H151" s="11"/>
      <c r="I151" s="11"/>
      <c r="J151" s="11"/>
      <c r="K151" s="11"/>
      <c r="L151" s="11"/>
      <c r="M151" s="11"/>
      <c r="N151" s="11"/>
      <c r="O151" s="11"/>
      <c r="P151" s="11"/>
    </row>
    <row r="152" ht="15.75" customHeight="1">
      <c r="A152" s="228"/>
      <c r="B152" s="11"/>
      <c r="C152" s="11"/>
      <c r="D152" s="11"/>
      <c r="E152" s="11"/>
      <c r="F152" s="11"/>
      <c r="G152" s="11"/>
      <c r="H152" s="11"/>
      <c r="I152" s="11"/>
      <c r="J152" s="11"/>
      <c r="K152" s="11"/>
      <c r="L152" s="11"/>
      <c r="M152" s="11"/>
      <c r="N152" s="11"/>
      <c r="O152" s="11"/>
      <c r="P152" s="11"/>
    </row>
    <row r="153" ht="15.75" customHeight="1">
      <c r="A153" s="228"/>
      <c r="B153" s="11"/>
      <c r="C153" s="11"/>
      <c r="D153" s="11"/>
      <c r="E153" s="11"/>
      <c r="F153" s="11"/>
      <c r="G153" s="11"/>
      <c r="H153" s="11"/>
      <c r="I153" s="11"/>
      <c r="J153" s="11"/>
      <c r="K153" s="11"/>
      <c r="L153" s="11"/>
      <c r="M153" s="11"/>
      <c r="N153" s="11"/>
      <c r="O153" s="11"/>
      <c r="P153" s="11"/>
    </row>
    <row r="154" ht="15.75" customHeight="1">
      <c r="A154" s="228"/>
      <c r="B154" s="11"/>
      <c r="C154" s="11"/>
      <c r="D154" s="11"/>
      <c r="E154" s="11"/>
      <c r="F154" s="11"/>
      <c r="G154" s="11"/>
      <c r="H154" s="11"/>
      <c r="I154" s="11"/>
      <c r="J154" s="11"/>
      <c r="K154" s="11"/>
      <c r="L154" s="11"/>
      <c r="M154" s="11"/>
      <c r="N154" s="11"/>
      <c r="O154" s="11"/>
      <c r="P154" s="11"/>
    </row>
    <row r="155" ht="15.75" customHeight="1">
      <c r="A155" s="228"/>
      <c r="B155" s="11"/>
      <c r="C155" s="11"/>
      <c r="D155" s="11"/>
      <c r="E155" s="11"/>
      <c r="F155" s="11"/>
      <c r="G155" s="11"/>
      <c r="H155" s="11"/>
      <c r="I155" s="11"/>
      <c r="J155" s="11"/>
      <c r="K155" s="11"/>
      <c r="L155" s="11"/>
      <c r="M155" s="11"/>
      <c r="N155" s="11"/>
      <c r="O155" s="11"/>
      <c r="P155" s="11"/>
    </row>
    <row r="156" ht="15.75" customHeight="1">
      <c r="A156" s="228"/>
      <c r="B156" s="11"/>
      <c r="C156" s="11"/>
      <c r="D156" s="11"/>
      <c r="E156" s="11"/>
      <c r="F156" s="11"/>
      <c r="G156" s="11"/>
      <c r="H156" s="11"/>
      <c r="I156" s="11"/>
      <c r="J156" s="11"/>
      <c r="K156" s="11"/>
      <c r="L156" s="11"/>
      <c r="M156" s="11"/>
      <c r="N156" s="11"/>
      <c r="O156" s="11"/>
      <c r="P156" s="11"/>
    </row>
    <row r="157" ht="15.75" customHeight="1">
      <c r="A157" s="228"/>
      <c r="B157" s="11"/>
      <c r="C157" s="11"/>
      <c r="D157" s="11"/>
      <c r="E157" s="11"/>
      <c r="F157" s="11"/>
      <c r="G157" s="11"/>
      <c r="H157" s="11"/>
      <c r="I157" s="11"/>
      <c r="J157" s="11"/>
      <c r="K157" s="11"/>
      <c r="L157" s="11"/>
      <c r="M157" s="11"/>
      <c r="N157" s="11"/>
      <c r="O157" s="11"/>
      <c r="P157" s="11"/>
    </row>
    <row r="158" ht="15.75" customHeight="1">
      <c r="A158" s="228"/>
      <c r="B158" s="11"/>
      <c r="C158" s="11"/>
      <c r="D158" s="11"/>
      <c r="E158" s="11"/>
      <c r="F158" s="11"/>
      <c r="G158" s="11"/>
      <c r="H158" s="11"/>
      <c r="I158" s="11"/>
      <c r="J158" s="11"/>
      <c r="K158" s="11"/>
      <c r="L158" s="11"/>
      <c r="M158" s="11"/>
      <c r="N158" s="11"/>
      <c r="O158" s="11"/>
      <c r="P158" s="11"/>
    </row>
    <row r="159" ht="15.75" customHeight="1">
      <c r="A159" s="228"/>
      <c r="B159" s="11"/>
      <c r="C159" s="11"/>
      <c r="D159" s="11"/>
      <c r="E159" s="11"/>
      <c r="F159" s="11"/>
      <c r="G159" s="11"/>
      <c r="H159" s="11"/>
      <c r="I159" s="11"/>
      <c r="J159" s="11"/>
      <c r="K159" s="11"/>
      <c r="L159" s="11"/>
      <c r="M159" s="11"/>
      <c r="N159" s="11"/>
      <c r="O159" s="11"/>
      <c r="P159" s="11"/>
    </row>
    <row r="160" ht="15.75" customHeight="1">
      <c r="A160" s="228"/>
      <c r="B160" s="11"/>
      <c r="C160" s="11"/>
      <c r="D160" s="11"/>
      <c r="E160" s="11"/>
      <c r="F160" s="11"/>
      <c r="G160" s="11"/>
      <c r="H160" s="11"/>
      <c r="I160" s="11"/>
      <c r="J160" s="11"/>
      <c r="K160" s="11"/>
      <c r="L160" s="11"/>
      <c r="M160" s="11"/>
      <c r="N160" s="11"/>
      <c r="O160" s="11"/>
      <c r="P160" s="11"/>
    </row>
    <row r="161" ht="15.75" customHeight="1">
      <c r="A161" s="228"/>
      <c r="B161" s="11"/>
      <c r="C161" s="11"/>
      <c r="D161" s="11"/>
      <c r="E161" s="11"/>
      <c r="F161" s="11"/>
      <c r="G161" s="11"/>
      <c r="H161" s="11"/>
      <c r="I161" s="11"/>
      <c r="J161" s="11"/>
      <c r="K161" s="11"/>
      <c r="L161" s="11"/>
      <c r="M161" s="11"/>
      <c r="N161" s="11"/>
      <c r="O161" s="11"/>
      <c r="P161" s="11"/>
    </row>
    <row r="162" ht="15.75" customHeight="1">
      <c r="A162" s="228"/>
      <c r="B162" s="11"/>
      <c r="C162" s="11"/>
      <c r="D162" s="11"/>
      <c r="E162" s="11"/>
      <c r="F162" s="11"/>
      <c r="G162" s="11"/>
      <c r="H162" s="11"/>
      <c r="I162" s="11"/>
      <c r="J162" s="11"/>
      <c r="K162" s="11"/>
      <c r="L162" s="11"/>
      <c r="M162" s="11"/>
      <c r="N162" s="11"/>
      <c r="O162" s="11"/>
      <c r="P162" s="11"/>
    </row>
    <row r="163" ht="15.75" customHeight="1">
      <c r="A163" s="228"/>
      <c r="B163" s="11"/>
      <c r="C163" s="11"/>
      <c r="D163" s="11"/>
      <c r="E163" s="11"/>
      <c r="F163" s="11"/>
      <c r="G163" s="11"/>
      <c r="H163" s="11"/>
      <c r="I163" s="11"/>
      <c r="J163" s="11"/>
      <c r="K163" s="11"/>
      <c r="L163" s="11"/>
      <c r="M163" s="11"/>
      <c r="N163" s="11"/>
      <c r="O163" s="11"/>
      <c r="P163" s="11"/>
    </row>
    <row r="164" ht="15.75" customHeight="1">
      <c r="A164" s="228"/>
      <c r="B164" s="11"/>
      <c r="C164" s="11"/>
      <c r="D164" s="11"/>
      <c r="E164" s="11"/>
      <c r="F164" s="11"/>
      <c r="G164" s="11"/>
      <c r="H164" s="11"/>
      <c r="I164" s="11"/>
      <c r="J164" s="11"/>
      <c r="K164" s="11"/>
      <c r="L164" s="11"/>
      <c r="M164" s="11"/>
      <c r="N164" s="11"/>
      <c r="O164" s="11"/>
      <c r="P164" s="11"/>
    </row>
    <row r="165" ht="15.75" customHeight="1">
      <c r="A165" s="228"/>
      <c r="B165" s="11"/>
      <c r="C165" s="11"/>
      <c r="D165" s="11"/>
      <c r="E165" s="11"/>
      <c r="F165" s="11"/>
      <c r="G165" s="11"/>
      <c r="H165" s="11"/>
      <c r="I165" s="11"/>
      <c r="J165" s="11"/>
      <c r="K165" s="11"/>
      <c r="L165" s="11"/>
      <c r="M165" s="11"/>
      <c r="N165" s="11"/>
      <c r="O165" s="11"/>
      <c r="P165" s="11"/>
    </row>
    <row r="166" ht="15.75" customHeight="1">
      <c r="A166" s="228"/>
      <c r="B166" s="11"/>
      <c r="C166" s="11"/>
      <c r="D166" s="11"/>
      <c r="E166" s="11"/>
      <c r="F166" s="11"/>
      <c r="G166" s="11"/>
      <c r="H166" s="11"/>
      <c r="I166" s="11"/>
      <c r="J166" s="11"/>
      <c r="K166" s="11"/>
      <c r="L166" s="11"/>
      <c r="M166" s="11"/>
      <c r="N166" s="11"/>
      <c r="O166" s="11"/>
      <c r="P166" s="11"/>
    </row>
    <row r="167" ht="15.75" customHeight="1">
      <c r="A167" s="228"/>
      <c r="B167" s="11"/>
      <c r="C167" s="11"/>
      <c r="D167" s="11"/>
      <c r="E167" s="11"/>
      <c r="F167" s="11"/>
      <c r="G167" s="11"/>
      <c r="H167" s="11"/>
      <c r="I167" s="11"/>
      <c r="J167" s="11"/>
      <c r="K167" s="11"/>
      <c r="L167" s="11"/>
      <c r="M167" s="11"/>
      <c r="N167" s="11"/>
      <c r="O167" s="11"/>
      <c r="P167" s="11"/>
    </row>
    <row r="168" ht="15.75" customHeight="1">
      <c r="A168" s="228"/>
      <c r="B168" s="11"/>
      <c r="C168" s="11"/>
      <c r="D168" s="11"/>
      <c r="E168" s="11"/>
      <c r="F168" s="11"/>
      <c r="G168" s="11"/>
      <c r="H168" s="11"/>
      <c r="I168" s="11"/>
      <c r="J168" s="11"/>
      <c r="K168" s="11"/>
      <c r="L168" s="11"/>
      <c r="M168" s="11"/>
      <c r="N168" s="11"/>
      <c r="O168" s="11"/>
      <c r="P168" s="11"/>
    </row>
    <row r="169" ht="15.75" customHeight="1">
      <c r="A169" s="228"/>
      <c r="B169" s="11"/>
      <c r="C169" s="11"/>
      <c r="D169" s="11"/>
      <c r="E169" s="11"/>
      <c r="F169" s="11"/>
      <c r="G169" s="11"/>
      <c r="H169" s="11"/>
      <c r="I169" s="11"/>
      <c r="J169" s="11"/>
      <c r="K169" s="11"/>
      <c r="L169" s="11"/>
      <c r="M169" s="11"/>
      <c r="N169" s="11"/>
      <c r="O169" s="11"/>
      <c r="P169" s="11"/>
    </row>
    <row r="170" ht="15.75" customHeight="1">
      <c r="A170" s="228"/>
      <c r="B170" s="11"/>
      <c r="C170" s="11"/>
      <c r="D170" s="11"/>
      <c r="E170" s="11"/>
      <c r="F170" s="11"/>
      <c r="G170" s="11"/>
      <c r="H170" s="11"/>
      <c r="I170" s="11"/>
      <c r="J170" s="11"/>
      <c r="K170" s="11"/>
      <c r="L170" s="11"/>
      <c r="M170" s="11"/>
      <c r="N170" s="11"/>
      <c r="O170" s="11"/>
      <c r="P170" s="11"/>
    </row>
    <row r="171" ht="15.75" customHeight="1">
      <c r="A171" s="228"/>
      <c r="B171" s="11"/>
      <c r="C171" s="11"/>
      <c r="D171" s="11"/>
      <c r="E171" s="11"/>
      <c r="F171" s="11"/>
      <c r="G171" s="11"/>
      <c r="H171" s="11"/>
      <c r="I171" s="11"/>
      <c r="J171" s="11"/>
      <c r="K171" s="11"/>
      <c r="L171" s="11"/>
      <c r="M171" s="11"/>
      <c r="N171" s="11"/>
      <c r="O171" s="11"/>
      <c r="P171" s="11"/>
    </row>
    <row r="172" ht="15.75" customHeight="1">
      <c r="A172" s="228"/>
      <c r="B172" s="11"/>
      <c r="C172" s="11"/>
      <c r="D172" s="11"/>
      <c r="E172" s="11"/>
      <c r="F172" s="11"/>
      <c r="G172" s="11"/>
      <c r="H172" s="11"/>
      <c r="I172" s="11"/>
      <c r="J172" s="11"/>
      <c r="K172" s="11"/>
      <c r="L172" s="11"/>
      <c r="M172" s="11"/>
      <c r="N172" s="11"/>
      <c r="O172" s="11"/>
      <c r="P172" s="11"/>
    </row>
    <row r="173" ht="15.75" customHeight="1">
      <c r="A173" s="228"/>
      <c r="B173" s="11"/>
      <c r="C173" s="11"/>
      <c r="D173" s="11"/>
      <c r="E173" s="11"/>
      <c r="F173" s="11"/>
      <c r="G173" s="11"/>
      <c r="H173" s="11"/>
      <c r="I173" s="11"/>
      <c r="J173" s="11"/>
      <c r="K173" s="11"/>
      <c r="L173" s="11"/>
      <c r="M173" s="11"/>
      <c r="N173" s="11"/>
      <c r="O173" s="11"/>
      <c r="P173" s="11"/>
    </row>
    <row r="174" ht="15.75" customHeight="1">
      <c r="A174" s="228"/>
      <c r="B174" s="11"/>
      <c r="C174" s="11"/>
      <c r="D174" s="11"/>
      <c r="E174" s="11"/>
      <c r="F174" s="11"/>
      <c r="G174" s="11"/>
      <c r="H174" s="11"/>
      <c r="I174" s="11"/>
      <c r="J174" s="11"/>
      <c r="K174" s="11"/>
      <c r="L174" s="11"/>
      <c r="M174" s="11"/>
      <c r="N174" s="11"/>
      <c r="O174" s="11"/>
      <c r="P174" s="11"/>
    </row>
    <row r="175" ht="15.75" customHeight="1">
      <c r="A175" s="228"/>
      <c r="B175" s="11"/>
      <c r="C175" s="11"/>
      <c r="D175" s="11"/>
      <c r="E175" s="11"/>
      <c r="F175" s="11"/>
      <c r="G175" s="11"/>
      <c r="H175" s="11"/>
      <c r="I175" s="11"/>
      <c r="J175" s="11"/>
      <c r="K175" s="11"/>
      <c r="L175" s="11"/>
      <c r="M175" s="11"/>
      <c r="N175" s="11"/>
      <c r="O175" s="11"/>
      <c r="P175" s="11"/>
    </row>
    <row r="176" ht="15.75" customHeight="1">
      <c r="A176" s="228"/>
      <c r="B176" s="11"/>
      <c r="C176" s="11"/>
      <c r="D176" s="11"/>
      <c r="E176" s="11"/>
      <c r="F176" s="11"/>
      <c r="G176" s="11"/>
      <c r="H176" s="11"/>
      <c r="I176" s="11"/>
      <c r="J176" s="11"/>
      <c r="K176" s="11"/>
      <c r="L176" s="11"/>
      <c r="M176" s="11"/>
      <c r="N176" s="11"/>
      <c r="O176" s="11"/>
      <c r="P176" s="11"/>
    </row>
    <row r="177" ht="15.75" customHeight="1">
      <c r="A177" s="228"/>
      <c r="B177" s="11"/>
      <c r="C177" s="11"/>
      <c r="D177" s="11"/>
      <c r="E177" s="11"/>
      <c r="F177" s="11"/>
      <c r="G177" s="11"/>
      <c r="H177" s="11"/>
      <c r="I177" s="11"/>
      <c r="J177" s="11"/>
      <c r="K177" s="11"/>
      <c r="L177" s="11"/>
      <c r="M177" s="11"/>
      <c r="N177" s="11"/>
      <c r="O177" s="11"/>
      <c r="P177" s="11"/>
    </row>
    <row r="178" ht="15.75" customHeight="1">
      <c r="A178" s="228"/>
      <c r="B178" s="11"/>
      <c r="C178" s="11"/>
      <c r="D178" s="11"/>
      <c r="E178" s="11"/>
      <c r="F178" s="11"/>
      <c r="G178" s="11"/>
      <c r="H178" s="11"/>
      <c r="I178" s="11"/>
      <c r="J178" s="11"/>
      <c r="K178" s="11"/>
      <c r="L178" s="11"/>
      <c r="M178" s="11"/>
      <c r="N178" s="11"/>
      <c r="O178" s="11"/>
      <c r="P178" s="11"/>
    </row>
    <row r="179" ht="15.75" customHeight="1">
      <c r="A179" s="228"/>
      <c r="B179" s="11"/>
      <c r="C179" s="11"/>
      <c r="D179" s="11"/>
      <c r="E179" s="11"/>
      <c r="F179" s="11"/>
      <c r="G179" s="11"/>
      <c r="H179" s="11"/>
      <c r="I179" s="11"/>
      <c r="J179" s="11"/>
      <c r="K179" s="11"/>
      <c r="L179" s="11"/>
      <c r="M179" s="11"/>
      <c r="N179" s="11"/>
      <c r="O179" s="11"/>
      <c r="P179" s="11"/>
    </row>
    <row r="180" ht="15.75" customHeight="1">
      <c r="A180" s="228"/>
      <c r="B180" s="11"/>
      <c r="C180" s="11"/>
      <c r="D180" s="11"/>
      <c r="E180" s="11"/>
      <c r="F180" s="11"/>
      <c r="G180" s="11"/>
      <c r="H180" s="11"/>
      <c r="I180" s="11"/>
      <c r="J180" s="11"/>
      <c r="K180" s="11"/>
      <c r="L180" s="11"/>
      <c r="M180" s="11"/>
      <c r="N180" s="11"/>
      <c r="O180" s="11"/>
      <c r="P180" s="11"/>
    </row>
    <row r="181" ht="15.75" customHeight="1">
      <c r="A181" s="228"/>
      <c r="B181" s="11"/>
      <c r="C181" s="11"/>
      <c r="D181" s="11"/>
      <c r="E181" s="11"/>
      <c r="F181" s="11"/>
      <c r="G181" s="11"/>
      <c r="H181" s="11"/>
      <c r="I181" s="11"/>
      <c r="J181" s="11"/>
      <c r="K181" s="11"/>
      <c r="L181" s="11"/>
      <c r="M181" s="11"/>
      <c r="N181" s="11"/>
      <c r="O181" s="11"/>
      <c r="P181" s="11"/>
    </row>
    <row r="182" ht="15.75" customHeight="1">
      <c r="A182" s="228"/>
      <c r="B182" s="11"/>
      <c r="C182" s="11"/>
      <c r="D182" s="11"/>
      <c r="E182" s="11"/>
      <c r="F182" s="11"/>
      <c r="G182" s="11"/>
      <c r="H182" s="11"/>
      <c r="I182" s="11"/>
      <c r="J182" s="11"/>
      <c r="K182" s="11"/>
      <c r="L182" s="11"/>
      <c r="M182" s="11"/>
      <c r="N182" s="11"/>
      <c r="O182" s="11"/>
      <c r="P182" s="11"/>
    </row>
    <row r="183" ht="15.75" customHeight="1">
      <c r="A183" s="228"/>
      <c r="B183" s="11"/>
      <c r="C183" s="11"/>
      <c r="D183" s="11"/>
      <c r="E183" s="11"/>
      <c r="F183" s="11"/>
      <c r="G183" s="11"/>
      <c r="H183" s="11"/>
      <c r="I183" s="11"/>
      <c r="J183" s="11"/>
      <c r="K183" s="11"/>
      <c r="L183" s="11"/>
      <c r="M183" s="11"/>
      <c r="N183" s="11"/>
      <c r="O183" s="11"/>
      <c r="P183" s="11"/>
    </row>
    <row r="184" ht="15.75" customHeight="1">
      <c r="A184" s="228"/>
      <c r="B184" s="11"/>
      <c r="C184" s="11"/>
      <c r="D184" s="11"/>
      <c r="E184" s="11"/>
      <c r="F184" s="11"/>
      <c r="G184" s="11"/>
      <c r="H184" s="11"/>
      <c r="I184" s="11"/>
      <c r="J184" s="11"/>
      <c r="K184" s="11"/>
      <c r="L184" s="11"/>
      <c r="M184" s="11"/>
      <c r="N184" s="11"/>
      <c r="O184" s="11"/>
      <c r="P184" s="11"/>
    </row>
    <row r="185" ht="15.75" customHeight="1">
      <c r="A185" s="228"/>
      <c r="B185" s="11"/>
      <c r="C185" s="11"/>
      <c r="D185" s="11"/>
      <c r="E185" s="11"/>
      <c r="F185" s="11"/>
      <c r="G185" s="11"/>
      <c r="H185" s="11"/>
      <c r="I185" s="11"/>
      <c r="J185" s="11"/>
      <c r="K185" s="11"/>
      <c r="L185" s="11"/>
      <c r="M185" s="11"/>
      <c r="N185" s="11"/>
      <c r="O185" s="11"/>
      <c r="P185" s="11"/>
    </row>
    <row r="186" ht="15.75" customHeight="1">
      <c r="A186" s="228"/>
      <c r="B186" s="11"/>
      <c r="C186" s="11"/>
      <c r="D186" s="11"/>
      <c r="E186" s="11"/>
      <c r="F186" s="11"/>
      <c r="G186" s="11"/>
      <c r="H186" s="11"/>
      <c r="I186" s="11"/>
      <c r="J186" s="11"/>
      <c r="K186" s="11"/>
      <c r="L186" s="11"/>
      <c r="M186" s="11"/>
      <c r="N186" s="11"/>
      <c r="O186" s="11"/>
      <c r="P186" s="11"/>
    </row>
    <row r="187" ht="15.75" customHeight="1">
      <c r="A187" s="228"/>
      <c r="B187" s="11"/>
      <c r="C187" s="11"/>
      <c r="D187" s="11"/>
      <c r="E187" s="11"/>
      <c r="F187" s="11"/>
      <c r="G187" s="11"/>
      <c r="H187" s="11"/>
      <c r="I187" s="11"/>
      <c r="J187" s="11"/>
      <c r="K187" s="11"/>
      <c r="L187" s="11"/>
      <c r="M187" s="11"/>
      <c r="N187" s="11"/>
      <c r="O187" s="11"/>
      <c r="P187" s="11"/>
    </row>
    <row r="188" ht="15.75" customHeight="1">
      <c r="A188" s="228"/>
      <c r="B188" s="11"/>
      <c r="C188" s="11"/>
      <c r="D188" s="11"/>
      <c r="E188" s="11"/>
      <c r="F188" s="11"/>
      <c r="G188" s="11"/>
      <c r="H188" s="11"/>
      <c r="I188" s="11"/>
      <c r="J188" s="11"/>
      <c r="K188" s="11"/>
      <c r="L188" s="11"/>
      <c r="M188" s="11"/>
      <c r="N188" s="11"/>
      <c r="O188" s="11"/>
      <c r="P188" s="11"/>
    </row>
    <row r="189" ht="15.75" customHeight="1">
      <c r="A189" s="228"/>
      <c r="B189" s="11"/>
      <c r="C189" s="11"/>
      <c r="D189" s="11"/>
      <c r="E189" s="11"/>
      <c r="F189" s="11"/>
      <c r="G189" s="11"/>
      <c r="H189" s="11"/>
      <c r="I189" s="11"/>
      <c r="J189" s="11"/>
      <c r="K189" s="11"/>
      <c r="L189" s="11"/>
      <c r="M189" s="11"/>
      <c r="N189" s="11"/>
      <c r="O189" s="11"/>
      <c r="P189" s="11"/>
    </row>
    <row r="190" ht="15.75" customHeight="1">
      <c r="A190" s="228"/>
      <c r="B190" s="11"/>
      <c r="C190" s="11"/>
      <c r="D190" s="11"/>
      <c r="E190" s="11"/>
      <c r="F190" s="11"/>
      <c r="G190" s="11"/>
      <c r="H190" s="11"/>
      <c r="I190" s="11"/>
      <c r="J190" s="11"/>
      <c r="K190" s="11"/>
      <c r="L190" s="11"/>
      <c r="M190" s="11"/>
      <c r="N190" s="11"/>
      <c r="O190" s="11"/>
      <c r="P190" s="11"/>
    </row>
    <row r="191" ht="15.75" customHeight="1">
      <c r="A191" s="228"/>
      <c r="B191" s="11"/>
      <c r="C191" s="11"/>
      <c r="D191" s="11"/>
      <c r="E191" s="11"/>
      <c r="F191" s="11"/>
      <c r="G191" s="11"/>
      <c r="H191" s="11"/>
      <c r="I191" s="11"/>
      <c r="J191" s="11"/>
      <c r="K191" s="11"/>
      <c r="L191" s="11"/>
      <c r="M191" s="11"/>
      <c r="N191" s="11"/>
      <c r="O191" s="11"/>
      <c r="P191" s="11"/>
    </row>
    <row r="192" ht="15.75" customHeight="1">
      <c r="A192" s="228"/>
      <c r="B192" s="11"/>
      <c r="C192" s="11"/>
      <c r="D192" s="11"/>
      <c r="E192" s="11"/>
      <c r="F192" s="11"/>
      <c r="G192" s="11"/>
      <c r="H192" s="11"/>
      <c r="I192" s="11"/>
      <c r="J192" s="11"/>
      <c r="K192" s="11"/>
      <c r="L192" s="11"/>
      <c r="M192" s="11"/>
      <c r="N192" s="11"/>
      <c r="O192" s="11"/>
      <c r="P192" s="11"/>
    </row>
    <row r="193" ht="15.75" customHeight="1">
      <c r="A193" s="228"/>
      <c r="B193" s="11"/>
      <c r="C193" s="11"/>
      <c r="D193" s="11"/>
      <c r="E193" s="11"/>
      <c r="F193" s="11"/>
      <c r="G193" s="11"/>
      <c r="H193" s="11"/>
      <c r="I193" s="11"/>
      <c r="J193" s="11"/>
      <c r="K193" s="11"/>
      <c r="L193" s="11"/>
      <c r="M193" s="11"/>
      <c r="N193" s="11"/>
      <c r="O193" s="11"/>
      <c r="P193" s="11"/>
    </row>
    <row r="194" ht="15.75" customHeight="1">
      <c r="A194" s="228"/>
      <c r="B194" s="11"/>
      <c r="C194" s="11"/>
      <c r="D194" s="11"/>
      <c r="E194" s="11"/>
      <c r="F194" s="11"/>
      <c r="G194" s="11"/>
      <c r="H194" s="11"/>
      <c r="I194" s="11"/>
      <c r="J194" s="11"/>
      <c r="K194" s="11"/>
      <c r="L194" s="11"/>
      <c r="M194" s="11"/>
      <c r="N194" s="11"/>
      <c r="O194" s="11"/>
      <c r="P194" s="11"/>
    </row>
    <row r="195" ht="15.75" customHeight="1">
      <c r="A195" s="228"/>
      <c r="B195" s="11"/>
      <c r="C195" s="11"/>
      <c r="D195" s="11"/>
      <c r="E195" s="11"/>
      <c r="F195" s="11"/>
      <c r="G195" s="11"/>
      <c r="H195" s="11"/>
      <c r="I195" s="11"/>
      <c r="J195" s="11"/>
      <c r="K195" s="11"/>
      <c r="L195" s="11"/>
      <c r="M195" s="11"/>
      <c r="N195" s="11"/>
      <c r="O195" s="11"/>
      <c r="P195" s="11"/>
    </row>
    <row r="196" ht="15.75" customHeight="1">
      <c r="A196" s="228"/>
      <c r="B196" s="11"/>
      <c r="C196" s="11"/>
      <c r="D196" s="11"/>
      <c r="E196" s="11"/>
      <c r="F196" s="11"/>
      <c r="G196" s="11"/>
      <c r="H196" s="11"/>
      <c r="I196" s="11"/>
      <c r="J196" s="11"/>
      <c r="K196" s="11"/>
      <c r="L196" s="11"/>
      <c r="M196" s="11"/>
      <c r="N196" s="11"/>
      <c r="O196" s="11"/>
      <c r="P196" s="11"/>
    </row>
    <row r="197" ht="15.75" customHeight="1">
      <c r="A197" s="228"/>
      <c r="B197" s="11"/>
      <c r="C197" s="11"/>
      <c r="D197" s="11"/>
      <c r="E197" s="11"/>
      <c r="F197" s="11"/>
      <c r="G197" s="11"/>
      <c r="H197" s="11"/>
      <c r="I197" s="11"/>
      <c r="J197" s="11"/>
      <c r="K197" s="11"/>
      <c r="L197" s="11"/>
      <c r="M197" s="11"/>
      <c r="N197" s="11"/>
      <c r="O197" s="11"/>
      <c r="P197" s="11"/>
    </row>
    <row r="198" ht="15.75" customHeight="1">
      <c r="A198" s="228"/>
      <c r="B198" s="11"/>
      <c r="C198" s="11"/>
      <c r="D198" s="11"/>
      <c r="E198" s="11"/>
      <c r="F198" s="11"/>
      <c r="G198" s="11"/>
      <c r="H198" s="11"/>
      <c r="I198" s="11"/>
      <c r="J198" s="11"/>
      <c r="K198" s="11"/>
      <c r="L198" s="11"/>
      <c r="M198" s="11"/>
      <c r="N198" s="11"/>
      <c r="O198" s="11"/>
      <c r="P198" s="11"/>
    </row>
    <row r="199" ht="15.75" customHeight="1">
      <c r="A199" s="228"/>
      <c r="B199" s="11"/>
      <c r="C199" s="11"/>
      <c r="D199" s="11"/>
      <c r="E199" s="11"/>
      <c r="F199" s="11"/>
      <c r="G199" s="11"/>
      <c r="H199" s="11"/>
      <c r="I199" s="11"/>
      <c r="J199" s="11"/>
      <c r="K199" s="11"/>
      <c r="L199" s="11"/>
      <c r="M199" s="11"/>
      <c r="N199" s="11"/>
      <c r="O199" s="11"/>
      <c r="P199" s="11"/>
    </row>
    <row r="200" ht="15.75" customHeight="1">
      <c r="A200" s="228"/>
      <c r="B200" s="11"/>
      <c r="C200" s="11"/>
      <c r="D200" s="11"/>
      <c r="E200" s="11"/>
      <c r="F200" s="11"/>
      <c r="G200" s="11"/>
      <c r="H200" s="11"/>
      <c r="I200" s="11"/>
      <c r="J200" s="11"/>
      <c r="K200" s="11"/>
      <c r="L200" s="11"/>
      <c r="M200" s="11"/>
      <c r="N200" s="11"/>
      <c r="O200" s="11"/>
      <c r="P200" s="11"/>
    </row>
    <row r="201" ht="15.75" customHeight="1">
      <c r="A201" s="228"/>
      <c r="B201" s="11"/>
      <c r="C201" s="11"/>
      <c r="D201" s="11"/>
      <c r="E201" s="11"/>
      <c r="F201" s="11"/>
      <c r="G201" s="11"/>
      <c r="H201" s="11"/>
      <c r="I201" s="11"/>
      <c r="J201" s="11"/>
      <c r="K201" s="11"/>
      <c r="L201" s="11"/>
      <c r="M201" s="11"/>
      <c r="N201" s="11"/>
      <c r="O201" s="11"/>
      <c r="P201" s="11"/>
    </row>
    <row r="202" ht="15.75" customHeight="1">
      <c r="A202" s="228"/>
      <c r="B202" s="11"/>
      <c r="C202" s="11"/>
      <c r="D202" s="11"/>
      <c r="E202" s="11"/>
      <c r="F202" s="11"/>
      <c r="G202" s="11"/>
      <c r="H202" s="11"/>
      <c r="I202" s="11"/>
      <c r="J202" s="11"/>
      <c r="K202" s="11"/>
      <c r="L202" s="11"/>
      <c r="M202" s="11"/>
      <c r="N202" s="11"/>
      <c r="O202" s="11"/>
      <c r="P202" s="11"/>
    </row>
    <row r="203" ht="15.75" customHeight="1">
      <c r="A203" s="228"/>
      <c r="B203" s="11"/>
      <c r="C203" s="11"/>
      <c r="D203" s="11"/>
      <c r="E203" s="11"/>
      <c r="F203" s="11"/>
      <c r="G203" s="11"/>
      <c r="H203" s="11"/>
      <c r="I203" s="11"/>
      <c r="J203" s="11"/>
      <c r="K203" s="11"/>
      <c r="L203" s="11"/>
      <c r="M203" s="11"/>
      <c r="N203" s="11"/>
      <c r="O203" s="11"/>
      <c r="P203" s="11"/>
    </row>
    <row r="204" ht="15.75" customHeight="1">
      <c r="A204" s="228"/>
      <c r="B204" s="11"/>
      <c r="C204" s="11"/>
      <c r="D204" s="11"/>
      <c r="E204" s="11"/>
      <c r="F204" s="11"/>
      <c r="G204" s="11"/>
      <c r="H204" s="11"/>
      <c r="I204" s="11"/>
      <c r="J204" s="11"/>
      <c r="K204" s="11"/>
      <c r="L204" s="11"/>
      <c r="M204" s="11"/>
      <c r="N204" s="11"/>
      <c r="O204" s="11"/>
      <c r="P204" s="11"/>
    </row>
    <row r="205" ht="15.75" customHeight="1">
      <c r="A205" s="228"/>
      <c r="B205" s="11"/>
      <c r="C205" s="11"/>
      <c r="D205" s="11"/>
      <c r="E205" s="11"/>
      <c r="F205" s="11"/>
      <c r="G205" s="11"/>
      <c r="H205" s="11"/>
      <c r="I205" s="11"/>
      <c r="J205" s="11"/>
      <c r="K205" s="11"/>
      <c r="L205" s="11"/>
      <c r="M205" s="11"/>
      <c r="N205" s="11"/>
      <c r="O205" s="11"/>
      <c r="P205" s="11"/>
    </row>
    <row r="206" ht="15.75" customHeight="1">
      <c r="A206" s="228"/>
      <c r="B206" s="11"/>
      <c r="C206" s="11"/>
      <c r="D206" s="11"/>
      <c r="E206" s="11"/>
      <c r="F206" s="11"/>
      <c r="G206" s="11"/>
      <c r="H206" s="11"/>
      <c r="I206" s="11"/>
      <c r="J206" s="11"/>
      <c r="K206" s="11"/>
      <c r="L206" s="11"/>
      <c r="M206" s="11"/>
      <c r="N206" s="11"/>
      <c r="O206" s="11"/>
      <c r="P206" s="11"/>
    </row>
    <row r="207" ht="15.75" customHeight="1">
      <c r="A207" s="228"/>
      <c r="B207" s="11"/>
      <c r="C207" s="11"/>
      <c r="D207" s="11"/>
      <c r="E207" s="11"/>
      <c r="F207" s="11"/>
      <c r="G207" s="11"/>
      <c r="H207" s="11"/>
      <c r="I207" s="11"/>
      <c r="J207" s="11"/>
      <c r="K207" s="11"/>
      <c r="L207" s="11"/>
      <c r="M207" s="11"/>
      <c r="N207" s="11"/>
      <c r="O207" s="11"/>
      <c r="P207" s="11"/>
    </row>
    <row r="208" ht="15.75" customHeight="1">
      <c r="A208" s="228"/>
      <c r="B208" s="11"/>
      <c r="C208" s="11"/>
      <c r="D208" s="11"/>
      <c r="E208" s="11"/>
      <c r="F208" s="11"/>
      <c r="G208" s="11"/>
      <c r="H208" s="11"/>
      <c r="I208" s="11"/>
      <c r="J208" s="11"/>
      <c r="K208" s="11"/>
      <c r="L208" s="11"/>
      <c r="M208" s="11"/>
      <c r="N208" s="11"/>
      <c r="O208" s="11"/>
      <c r="P208" s="11"/>
    </row>
    <row r="209" ht="15.75" customHeight="1">
      <c r="A209" s="228"/>
      <c r="B209" s="11"/>
      <c r="C209" s="11"/>
      <c r="D209" s="11"/>
      <c r="E209" s="11"/>
      <c r="F209" s="11"/>
      <c r="G209" s="11"/>
      <c r="H209" s="11"/>
      <c r="I209" s="11"/>
      <c r="J209" s="11"/>
      <c r="K209" s="11"/>
      <c r="L209" s="11"/>
      <c r="M209" s="11"/>
      <c r="N209" s="11"/>
      <c r="O209" s="11"/>
      <c r="P209" s="11"/>
    </row>
    <row r="210" ht="15.75" customHeight="1">
      <c r="A210" s="228"/>
      <c r="B210" s="11"/>
      <c r="C210" s="11"/>
      <c r="D210" s="11"/>
      <c r="E210" s="11"/>
      <c r="F210" s="11"/>
      <c r="G210" s="11"/>
      <c r="H210" s="11"/>
      <c r="I210" s="11"/>
      <c r="J210" s="11"/>
      <c r="K210" s="11"/>
      <c r="L210" s="11"/>
      <c r="M210" s="11"/>
      <c r="N210" s="11"/>
      <c r="O210" s="11"/>
      <c r="P210" s="11"/>
    </row>
    <row r="211" ht="15.75" customHeight="1">
      <c r="A211" s="228"/>
      <c r="B211" s="11"/>
      <c r="C211" s="11"/>
      <c r="D211" s="11"/>
      <c r="E211" s="11"/>
      <c r="F211" s="11"/>
      <c r="G211" s="11"/>
      <c r="H211" s="11"/>
      <c r="I211" s="11"/>
      <c r="J211" s="11"/>
      <c r="K211" s="11"/>
      <c r="L211" s="11"/>
      <c r="M211" s="11"/>
      <c r="N211" s="11"/>
      <c r="O211" s="11"/>
      <c r="P211" s="11"/>
    </row>
    <row r="212" ht="15.75" customHeight="1">
      <c r="A212" s="228"/>
      <c r="B212" s="11"/>
      <c r="C212" s="11"/>
      <c r="D212" s="11"/>
      <c r="E212" s="11"/>
      <c r="F212" s="11"/>
      <c r="G212" s="11"/>
      <c r="H212" s="11"/>
      <c r="I212" s="11"/>
      <c r="J212" s="11"/>
      <c r="K212" s="11"/>
      <c r="L212" s="11"/>
      <c r="M212" s="11"/>
      <c r="N212" s="11"/>
      <c r="O212" s="11"/>
      <c r="P212" s="11"/>
    </row>
    <row r="213" ht="15.75" customHeight="1">
      <c r="A213" s="228"/>
      <c r="B213" s="11"/>
      <c r="C213" s="11"/>
      <c r="D213" s="11"/>
      <c r="E213" s="11"/>
      <c r="F213" s="11"/>
      <c r="G213" s="11"/>
      <c r="H213" s="11"/>
      <c r="I213" s="11"/>
      <c r="J213" s="11"/>
      <c r="K213" s="11"/>
      <c r="L213" s="11"/>
      <c r="M213" s="11"/>
      <c r="N213" s="11"/>
      <c r="O213" s="11"/>
      <c r="P213" s="11"/>
    </row>
    <row r="214" ht="15.75" customHeight="1">
      <c r="A214" s="228"/>
      <c r="B214" s="11"/>
      <c r="C214" s="11"/>
      <c r="D214" s="11"/>
      <c r="E214" s="11"/>
      <c r="F214" s="11"/>
      <c r="G214" s="11"/>
      <c r="H214" s="11"/>
      <c r="I214" s="11"/>
      <c r="J214" s="11"/>
      <c r="K214" s="11"/>
      <c r="L214" s="11"/>
      <c r="M214" s="11"/>
      <c r="N214" s="11"/>
      <c r="O214" s="11"/>
      <c r="P214" s="11"/>
    </row>
    <row r="215" ht="15.75" customHeight="1">
      <c r="A215" s="228"/>
      <c r="B215" s="11"/>
      <c r="C215" s="11"/>
      <c r="D215" s="11"/>
      <c r="E215" s="11"/>
      <c r="F215" s="11"/>
      <c r="G215" s="11"/>
      <c r="H215" s="11"/>
      <c r="I215" s="11"/>
      <c r="J215" s="11"/>
      <c r="K215" s="11"/>
      <c r="L215" s="11"/>
      <c r="M215" s="11"/>
      <c r="N215" s="11"/>
      <c r="O215" s="11"/>
      <c r="P215" s="11"/>
    </row>
    <row r="216" ht="15.75" customHeight="1">
      <c r="A216" s="228"/>
      <c r="B216" s="11"/>
      <c r="C216" s="11"/>
      <c r="D216" s="11"/>
      <c r="E216" s="11"/>
      <c r="F216" s="11"/>
      <c r="G216" s="11"/>
      <c r="H216" s="11"/>
      <c r="I216" s="11"/>
      <c r="J216" s="11"/>
      <c r="K216" s="11"/>
      <c r="L216" s="11"/>
      <c r="M216" s="11"/>
      <c r="N216" s="11"/>
      <c r="O216" s="11"/>
      <c r="P216" s="11"/>
    </row>
    <row r="217" ht="15.75" customHeight="1">
      <c r="A217" s="228"/>
      <c r="B217" s="11"/>
      <c r="C217" s="11"/>
      <c r="D217" s="11"/>
      <c r="E217" s="11"/>
      <c r="F217" s="11"/>
      <c r="G217" s="11"/>
      <c r="H217" s="11"/>
      <c r="I217" s="11"/>
      <c r="J217" s="11"/>
      <c r="K217" s="11"/>
      <c r="L217" s="11"/>
      <c r="M217" s="11"/>
      <c r="N217" s="11"/>
      <c r="O217" s="11"/>
      <c r="P217" s="11"/>
    </row>
    <row r="218" ht="15.75" customHeight="1">
      <c r="A218" s="228"/>
      <c r="B218" s="11"/>
      <c r="C218" s="11"/>
      <c r="D218" s="11"/>
      <c r="E218" s="11"/>
      <c r="F218" s="11"/>
      <c r="G218" s="11"/>
      <c r="H218" s="11"/>
      <c r="I218" s="11"/>
      <c r="J218" s="11"/>
      <c r="K218" s="11"/>
      <c r="L218" s="11"/>
      <c r="M218" s="11"/>
      <c r="N218" s="11"/>
      <c r="O218" s="11"/>
      <c r="P218" s="11"/>
    </row>
    <row r="219" ht="15.75" customHeight="1">
      <c r="A219" s="228"/>
      <c r="B219" s="11"/>
      <c r="C219" s="11"/>
      <c r="D219" s="11"/>
      <c r="E219" s="11"/>
      <c r="F219" s="11"/>
      <c r="G219" s="11"/>
      <c r="H219" s="11"/>
      <c r="I219" s="11"/>
      <c r="J219" s="11"/>
      <c r="K219" s="11"/>
      <c r="L219" s="11"/>
      <c r="M219" s="11"/>
      <c r="N219" s="11"/>
      <c r="O219" s="11"/>
      <c r="P219" s="11"/>
    </row>
    <row r="220" ht="15.75" customHeight="1">
      <c r="A220" s="228"/>
      <c r="B220" s="11"/>
      <c r="C220" s="11"/>
      <c r="D220" s="11"/>
      <c r="E220" s="11"/>
      <c r="F220" s="11"/>
      <c r="G220" s="11"/>
      <c r="H220" s="11"/>
      <c r="I220" s="11"/>
      <c r="J220" s="11"/>
      <c r="K220" s="11"/>
      <c r="L220" s="11"/>
      <c r="M220" s="11"/>
      <c r="N220" s="11"/>
      <c r="O220" s="11"/>
      <c r="P220" s="11"/>
    </row>
    <row r="221" ht="15.75" customHeight="1">
      <c r="A221" s="228"/>
      <c r="B221" s="11"/>
      <c r="C221" s="11"/>
      <c r="D221" s="11"/>
      <c r="E221" s="11"/>
      <c r="F221" s="11"/>
      <c r="G221" s="11"/>
      <c r="H221" s="11"/>
      <c r="I221" s="11"/>
      <c r="J221" s="11"/>
      <c r="K221" s="11"/>
      <c r="L221" s="11"/>
      <c r="M221" s="11"/>
      <c r="N221" s="11"/>
      <c r="O221" s="11"/>
      <c r="P221" s="11"/>
    </row>
    <row r="222" ht="15.75" customHeight="1">
      <c r="A222" s="228"/>
      <c r="B222" s="11"/>
      <c r="C222" s="11"/>
      <c r="D222" s="11"/>
      <c r="E222" s="11"/>
      <c r="F222" s="11"/>
      <c r="G222" s="11"/>
      <c r="H222" s="11"/>
      <c r="I222" s="11"/>
      <c r="J222" s="11"/>
      <c r="K222" s="11"/>
      <c r="L222" s="11"/>
      <c r="M222" s="11"/>
      <c r="N222" s="11"/>
      <c r="O222" s="11"/>
      <c r="P222" s="11"/>
    </row>
    <row r="223" ht="15.75" customHeight="1">
      <c r="A223" s="228"/>
      <c r="B223" s="11"/>
      <c r="C223" s="11"/>
      <c r="D223" s="11"/>
      <c r="E223" s="11"/>
      <c r="F223" s="11"/>
      <c r="G223" s="11"/>
      <c r="H223" s="11"/>
      <c r="I223" s="11"/>
      <c r="J223" s="11"/>
      <c r="K223" s="11"/>
      <c r="L223" s="11"/>
      <c r="M223" s="11"/>
      <c r="N223" s="11"/>
      <c r="O223" s="11"/>
      <c r="P223" s="11"/>
    </row>
    <row r="224" ht="15.75" customHeight="1">
      <c r="A224" s="228"/>
      <c r="B224" s="11"/>
      <c r="C224" s="11"/>
      <c r="D224" s="11"/>
      <c r="E224" s="11"/>
      <c r="F224" s="11"/>
      <c r="G224" s="11"/>
      <c r="H224" s="11"/>
      <c r="I224" s="11"/>
      <c r="J224" s="11"/>
      <c r="K224" s="11"/>
      <c r="L224" s="11"/>
      <c r="M224" s="11"/>
      <c r="N224" s="11"/>
      <c r="O224" s="11"/>
      <c r="P224" s="11"/>
    </row>
    <row r="225" ht="15.75" customHeight="1">
      <c r="A225" s="228"/>
      <c r="B225" s="11"/>
      <c r="C225" s="11"/>
      <c r="D225" s="11"/>
      <c r="E225" s="11"/>
      <c r="F225" s="11"/>
      <c r="G225" s="11"/>
      <c r="H225" s="11"/>
      <c r="I225" s="11"/>
      <c r="J225" s="11"/>
      <c r="K225" s="11"/>
      <c r="L225" s="11"/>
      <c r="M225" s="11"/>
      <c r="N225" s="11"/>
      <c r="O225" s="11"/>
      <c r="P225" s="11"/>
    </row>
    <row r="226" ht="15.75" customHeight="1">
      <c r="A226" s="228"/>
      <c r="B226" s="11"/>
      <c r="C226" s="11"/>
      <c r="D226" s="11"/>
      <c r="E226" s="11"/>
      <c r="F226" s="11"/>
      <c r="G226" s="11"/>
      <c r="H226" s="11"/>
      <c r="I226" s="11"/>
      <c r="J226" s="11"/>
      <c r="K226" s="11"/>
      <c r="L226" s="11"/>
      <c r="M226" s="11"/>
      <c r="N226" s="11"/>
      <c r="O226" s="11"/>
      <c r="P226" s="11"/>
    </row>
    <row r="227" ht="15.75" customHeight="1">
      <c r="A227" s="228"/>
      <c r="B227" s="11"/>
      <c r="C227" s="11"/>
      <c r="D227" s="11"/>
      <c r="E227" s="11"/>
      <c r="F227" s="11"/>
      <c r="G227" s="11"/>
      <c r="H227" s="11"/>
      <c r="I227" s="11"/>
      <c r="J227" s="11"/>
      <c r="K227" s="11"/>
      <c r="L227" s="11"/>
      <c r="M227" s="11"/>
      <c r="N227" s="11"/>
      <c r="O227" s="11"/>
      <c r="P227" s="11"/>
    </row>
    <row r="228" ht="15.75" customHeight="1">
      <c r="A228" s="228"/>
      <c r="B228" s="11"/>
      <c r="C228" s="11"/>
      <c r="D228" s="11"/>
      <c r="E228" s="11"/>
      <c r="F228" s="11"/>
      <c r="G228" s="11"/>
      <c r="H228" s="11"/>
      <c r="I228" s="11"/>
      <c r="J228" s="11"/>
      <c r="K228" s="11"/>
      <c r="L228" s="11"/>
      <c r="M228" s="11"/>
      <c r="N228" s="11"/>
      <c r="O228" s="11"/>
      <c r="P228" s="11"/>
    </row>
    <row r="229" ht="15.75" customHeight="1">
      <c r="A229" s="228"/>
      <c r="B229" s="11"/>
      <c r="C229" s="11"/>
      <c r="D229" s="11"/>
      <c r="E229" s="11"/>
      <c r="F229" s="11"/>
      <c r="G229" s="11"/>
      <c r="H229" s="11"/>
      <c r="I229" s="11"/>
      <c r="J229" s="11"/>
      <c r="K229" s="11"/>
      <c r="L229" s="11"/>
      <c r="M229" s="11"/>
      <c r="N229" s="11"/>
      <c r="O229" s="11"/>
      <c r="P229" s="11"/>
    </row>
    <row r="230" ht="15.75" customHeight="1">
      <c r="A230" s="228"/>
      <c r="B230" s="11"/>
      <c r="C230" s="11"/>
      <c r="D230" s="11"/>
      <c r="E230" s="11"/>
      <c r="F230" s="11"/>
      <c r="G230" s="11"/>
      <c r="H230" s="11"/>
      <c r="I230" s="11"/>
      <c r="J230" s="11"/>
      <c r="K230" s="11"/>
      <c r="L230" s="11"/>
      <c r="M230" s="11"/>
      <c r="N230" s="11"/>
      <c r="O230" s="11"/>
      <c r="P230" s="11"/>
    </row>
    <row r="231" ht="15.75" customHeight="1">
      <c r="A231" s="228"/>
      <c r="B231" s="11"/>
      <c r="C231" s="11"/>
      <c r="D231" s="11"/>
      <c r="E231" s="11"/>
      <c r="F231" s="11"/>
      <c r="G231" s="11"/>
      <c r="H231" s="11"/>
      <c r="I231" s="11"/>
      <c r="J231" s="11"/>
      <c r="K231" s="11"/>
      <c r="L231" s="11"/>
      <c r="M231" s="11"/>
      <c r="N231" s="11"/>
      <c r="O231" s="11"/>
      <c r="P231" s="11"/>
    </row>
    <row r="232" ht="15.75" customHeight="1">
      <c r="A232" s="228"/>
      <c r="B232" s="11"/>
      <c r="C232" s="11"/>
      <c r="D232" s="11"/>
      <c r="E232" s="11"/>
      <c r="F232" s="11"/>
      <c r="G232" s="11"/>
      <c r="H232" s="11"/>
      <c r="I232" s="11"/>
      <c r="J232" s="11"/>
      <c r="K232" s="11"/>
      <c r="L232" s="11"/>
      <c r="M232" s="11"/>
      <c r="N232" s="11"/>
      <c r="O232" s="11"/>
      <c r="P232" s="11"/>
    </row>
    <row r="233" ht="15.75" customHeight="1">
      <c r="A233" s="228"/>
      <c r="B233" s="11"/>
      <c r="C233" s="11"/>
      <c r="D233" s="11"/>
      <c r="E233" s="11"/>
      <c r="F233" s="11"/>
      <c r="G233" s="11"/>
      <c r="H233" s="11"/>
      <c r="I233" s="11"/>
      <c r="J233" s="11"/>
      <c r="K233" s="11"/>
      <c r="L233" s="11"/>
      <c r="M233" s="11"/>
      <c r="N233" s="11"/>
      <c r="O233" s="11"/>
      <c r="P233" s="11"/>
    </row>
    <row r="234" ht="15.75" customHeight="1">
      <c r="A234" s="228"/>
      <c r="B234" s="11"/>
      <c r="C234" s="11"/>
      <c r="D234" s="11"/>
      <c r="E234" s="11"/>
      <c r="F234" s="11"/>
      <c r="G234" s="11"/>
      <c r="H234" s="11"/>
      <c r="I234" s="11"/>
      <c r="J234" s="11"/>
      <c r="K234" s="11"/>
      <c r="L234" s="11"/>
      <c r="M234" s="11"/>
      <c r="N234" s="11"/>
      <c r="O234" s="11"/>
      <c r="P234" s="11"/>
    </row>
    <row r="235" ht="15.75" customHeight="1">
      <c r="A235" s="228"/>
      <c r="B235" s="11"/>
      <c r="C235" s="11"/>
      <c r="D235" s="11"/>
      <c r="E235" s="11"/>
      <c r="F235" s="11"/>
      <c r="G235" s="11"/>
      <c r="H235" s="11"/>
      <c r="I235" s="11"/>
      <c r="J235" s="11"/>
      <c r="K235" s="11"/>
      <c r="L235" s="11"/>
      <c r="M235" s="11"/>
      <c r="N235" s="11"/>
      <c r="O235" s="11"/>
      <c r="P235" s="11"/>
    </row>
    <row r="236" ht="15.75" customHeight="1">
      <c r="A236" s="228"/>
      <c r="B236" s="11"/>
      <c r="C236" s="11"/>
      <c r="D236" s="11"/>
      <c r="E236" s="11"/>
      <c r="F236" s="11"/>
      <c r="G236" s="11"/>
      <c r="H236" s="11"/>
      <c r="I236" s="11"/>
      <c r="J236" s="11"/>
      <c r="K236" s="11"/>
      <c r="L236" s="11"/>
      <c r="M236" s="11"/>
      <c r="N236" s="11"/>
      <c r="O236" s="11"/>
      <c r="P236" s="11"/>
    </row>
    <row r="237" ht="15.75" customHeight="1">
      <c r="A237" s="228"/>
      <c r="B237" s="11"/>
      <c r="C237" s="11"/>
      <c r="D237" s="11"/>
      <c r="E237" s="11"/>
      <c r="F237" s="11"/>
      <c r="G237" s="11"/>
      <c r="H237" s="11"/>
      <c r="I237" s="11"/>
      <c r="J237" s="11"/>
      <c r="K237" s="11"/>
      <c r="L237" s="11"/>
      <c r="M237" s="11"/>
      <c r="N237" s="11"/>
      <c r="O237" s="11"/>
      <c r="P237" s="11"/>
    </row>
    <row r="238" ht="15.75" customHeight="1">
      <c r="A238" s="228"/>
      <c r="B238" s="11"/>
      <c r="C238" s="11"/>
      <c r="D238" s="11"/>
      <c r="E238" s="11"/>
      <c r="F238" s="11"/>
      <c r="G238" s="11"/>
      <c r="H238" s="11"/>
      <c r="I238" s="11"/>
      <c r="J238" s="11"/>
      <c r="K238" s="11"/>
      <c r="L238" s="11"/>
      <c r="M238" s="11"/>
      <c r="N238" s="11"/>
      <c r="O238" s="11"/>
      <c r="P238" s="11"/>
    </row>
    <row r="239" ht="15.75" customHeight="1">
      <c r="A239" s="228"/>
      <c r="B239" s="11"/>
      <c r="C239" s="11"/>
      <c r="D239" s="11"/>
      <c r="E239" s="11"/>
      <c r="F239" s="11"/>
      <c r="G239" s="11"/>
      <c r="H239" s="11"/>
      <c r="I239" s="11"/>
      <c r="J239" s="11"/>
      <c r="K239" s="11"/>
      <c r="L239" s="11"/>
      <c r="M239" s="11"/>
      <c r="N239" s="11"/>
      <c r="O239" s="11"/>
      <c r="P239" s="11"/>
    </row>
    <row r="240" ht="15.75" customHeight="1">
      <c r="A240" s="228"/>
      <c r="B240" s="11"/>
      <c r="C240" s="11"/>
      <c r="D240" s="11"/>
      <c r="E240" s="11"/>
      <c r="F240" s="11"/>
      <c r="G240" s="11"/>
      <c r="H240" s="11"/>
      <c r="I240" s="11"/>
      <c r="J240" s="11"/>
      <c r="K240" s="11"/>
      <c r="L240" s="11"/>
      <c r="M240" s="11"/>
      <c r="N240" s="11"/>
      <c r="O240" s="11"/>
      <c r="P240" s="11"/>
    </row>
    <row r="241" ht="15.75" customHeight="1">
      <c r="A241" s="228"/>
      <c r="B241" s="11"/>
      <c r="C241" s="11"/>
      <c r="D241" s="11"/>
      <c r="E241" s="11"/>
      <c r="F241" s="11"/>
      <c r="G241" s="11"/>
      <c r="H241" s="11"/>
      <c r="I241" s="11"/>
      <c r="J241" s="11"/>
      <c r="K241" s="11"/>
      <c r="L241" s="11"/>
      <c r="M241" s="11"/>
      <c r="N241" s="11"/>
      <c r="O241" s="11"/>
      <c r="P241" s="11"/>
    </row>
    <row r="242" ht="15.75" customHeight="1">
      <c r="A242" s="228"/>
      <c r="B242" s="11"/>
      <c r="C242" s="11"/>
      <c r="D242" s="11"/>
      <c r="E242" s="11"/>
      <c r="F242" s="11"/>
      <c r="G242" s="11"/>
      <c r="H242" s="11"/>
      <c r="I242" s="11"/>
      <c r="J242" s="11"/>
      <c r="K242" s="11"/>
      <c r="L242" s="11"/>
      <c r="M242" s="11"/>
      <c r="N242" s="11"/>
      <c r="O242" s="11"/>
      <c r="P242" s="11"/>
    </row>
    <row r="243" ht="15.75" customHeight="1">
      <c r="A243" s="228"/>
      <c r="B243" s="11"/>
      <c r="C243" s="11"/>
      <c r="D243" s="11"/>
      <c r="E243" s="11"/>
      <c r="F243" s="11"/>
      <c r="G243" s="11"/>
      <c r="H243" s="11"/>
      <c r="I243" s="11"/>
      <c r="J243" s="11"/>
      <c r="K243" s="11"/>
      <c r="L243" s="11"/>
      <c r="M243" s="11"/>
      <c r="N243" s="11"/>
      <c r="O243" s="11"/>
      <c r="P243" s="11"/>
    </row>
    <row r="244" ht="15.75" customHeight="1">
      <c r="A244" s="228"/>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J14 K21:K25">
    <cfRule type="cellIs" dxfId="6" priority="3" operator="greaterThan">
      <formula>0.15</formula>
    </cfRule>
  </conditionalFormatting>
  <conditionalFormatting sqref="I14:J14 K21:K25">
    <cfRule type="cellIs" dxfId="7" priority="4" operator="between">
      <formula>0</formula>
      <formula>0.15</formula>
    </cfRule>
  </conditionalFormatting>
  <conditionalFormatting sqref="I14:J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112</v>
      </c>
      <c r="B2" s="75">
        <f>'1.IS'!B$2</f>
        <v>2016</v>
      </c>
      <c r="C2" s="75">
        <f>'1.IS'!C$2</f>
        <v>2017</v>
      </c>
      <c r="D2" s="75">
        <f>'1.IS'!D$2</f>
        <v>2018</v>
      </c>
      <c r="E2" s="75">
        <f>'1.IS'!E$2</f>
        <v>2019</v>
      </c>
      <c r="F2" s="75">
        <f>'1.IS'!F$2</f>
        <v>2020</v>
      </c>
      <c r="G2" s="75">
        <f>'1.IS'!G$2</f>
        <v>2021</v>
      </c>
      <c r="H2" s="75">
        <f>'1.IS'!H$2</f>
        <v>2022</v>
      </c>
      <c r="I2" s="75">
        <f>'1.IS'!I$2</f>
        <v>2023</v>
      </c>
      <c r="J2" s="75">
        <f>'1.IS'!J$2</f>
        <v>2024</v>
      </c>
      <c r="K2" s="75">
        <f>'1.IS'!K$2</f>
        <v>2025</v>
      </c>
      <c r="L2" s="17"/>
      <c r="M2" s="17"/>
      <c r="N2" s="107"/>
      <c r="O2" s="107"/>
      <c r="P2" s="107"/>
      <c r="Q2" s="125"/>
      <c r="R2" s="17"/>
      <c r="S2" s="17"/>
      <c r="T2" s="17"/>
      <c r="U2" s="17"/>
      <c r="V2" s="17"/>
      <c r="W2" s="17"/>
      <c r="X2" s="17"/>
      <c r="Y2" s="17"/>
      <c r="Z2" s="17"/>
    </row>
    <row r="3" ht="24.75" customHeight="1">
      <c r="A3" s="229" t="s">
        <v>113</v>
      </c>
      <c r="B3" s="230"/>
      <c r="C3" s="155"/>
      <c r="D3" s="155"/>
      <c r="E3" s="155"/>
      <c r="F3" s="155"/>
      <c r="G3" s="155"/>
      <c r="H3" s="155"/>
      <c r="I3" s="155"/>
      <c r="J3" s="155"/>
      <c r="K3" s="156"/>
      <c r="L3" s="17"/>
      <c r="M3" s="17"/>
      <c r="N3" s="107"/>
      <c r="O3" s="107"/>
      <c r="P3" s="107"/>
      <c r="Q3" s="125"/>
      <c r="R3" s="17"/>
      <c r="S3" s="17"/>
      <c r="T3" s="17"/>
      <c r="U3" s="17"/>
      <c r="V3" s="17"/>
      <c r="W3" s="17"/>
      <c r="X3" s="17"/>
      <c r="Y3" s="17"/>
      <c r="Z3" s="17"/>
    </row>
    <row r="4" ht="24.75" customHeight="1">
      <c r="A4" s="231" t="s">
        <v>114</v>
      </c>
      <c r="B4" s="98">
        <f>IFERROR(ABS(VLOOKUP("Asset Writedown*",'7.TIKR_IS'!$A:$K,COLUMN('2.FCF'!B7),FALSE)/'1.IS'!B3),0%)+IFERROR(ABS(VLOOKUP("Impairment of Goodwill*",'7.TIKR_IS'!$A:$K,COLUMN('2.FCF'!B7),FALSE)/'1.IS'!B3),0%)</f>
        <v>0</v>
      </c>
      <c r="C4" s="99">
        <f>IFERROR(ABS(VLOOKUP("Asset Writedown*",'7.TIKR_IS'!$A:$K,COLUMN('2.FCF'!C7),FALSE)/'1.IS'!C3),0%)+IFERROR(ABS(VLOOKUP("Impairment of Goodwill*",'7.TIKR_IS'!$A:$K,COLUMN('2.FCF'!C7),FALSE)/'1.IS'!C3),0%)</f>
        <v>0</v>
      </c>
      <c r="D4" s="99">
        <f>IFERROR(ABS(VLOOKUP("Asset Writedown*",'7.TIKR_IS'!$A:$K,COLUMN('2.FCF'!D7),FALSE)/'1.IS'!D3),0%)+IFERROR(ABS(VLOOKUP("Impairment of Goodwill*",'7.TIKR_IS'!$A:$K,COLUMN('2.FCF'!D7),FALSE)/'1.IS'!D3),0%)</f>
        <v>0</v>
      </c>
      <c r="E4" s="99">
        <f>IFERROR(ABS(VLOOKUP("Asset Writedown*",'7.TIKR_IS'!$A:$K,COLUMN('2.FCF'!E7),FALSE)/'1.IS'!E3),0%)+IFERROR(ABS(VLOOKUP("Impairment of Goodwill*",'7.TIKR_IS'!$A:$K,COLUMN('2.FCF'!E7),FALSE)/'1.IS'!E3),0%)</f>
        <v>0</v>
      </c>
      <c r="F4" s="99">
        <f>IFERROR(ABS(VLOOKUP("Asset Writedown*",'7.TIKR_IS'!$A:$K,COLUMN('2.FCF'!F7),FALSE)/'1.IS'!F3),0%)+IFERROR(ABS(VLOOKUP("Impairment of Goodwill*",'7.TIKR_IS'!$A:$K,COLUMN('2.FCF'!F7),FALSE)/'1.IS'!F3),0%)</f>
        <v>0</v>
      </c>
      <c r="G4" s="99">
        <f>IFERROR(ABS(VLOOKUP("Asset Writedown*",'7.TIKR_IS'!$A:$K,COLUMN('2.FCF'!G7),FALSE)/'1.IS'!G3),0%)+IFERROR(ABS(VLOOKUP("Impairment of Goodwill*",'7.TIKR_IS'!$A:$K,COLUMN('2.FCF'!G7),FALSE)/'1.IS'!G3),0%)</f>
        <v>0</v>
      </c>
      <c r="H4" s="99">
        <f>IFERROR(ABS(VLOOKUP("Asset Writedown*",'7.TIKR_IS'!$A:$K,COLUMN('2.FCF'!H7),FALSE)/'1.IS'!H3),0%)+IFERROR(ABS(VLOOKUP("Impairment of Goodwill*",'7.TIKR_IS'!$A:$K,COLUMN('2.FCF'!H7),FALSE)/'1.IS'!H3),0%)</f>
        <v>0</v>
      </c>
      <c r="I4" s="99">
        <f>IFERROR(ABS(VLOOKUP("Asset Writedown*",'7.TIKR_IS'!$A:$K,COLUMN('2.FCF'!I7),FALSE)/'1.IS'!I3),0%)+IFERROR(ABS(VLOOKUP("Impairment of Goodwill*",'7.TIKR_IS'!$A:$K,COLUMN('2.FCF'!I7),FALSE)/'1.IS'!I3),0%)</f>
        <v>0</v>
      </c>
      <c r="J4" s="99">
        <f>IFERROR(ABS(VLOOKUP("Asset Writedown*",'7.TIKR_IS'!$A:$K,COLUMN('2.FCF'!J7),FALSE)/'1.IS'!J3),0%)+IFERROR(ABS(VLOOKUP("Impairment of Goodwill*",'7.TIKR_IS'!$A:$K,COLUMN('2.FCF'!J7),FALSE)/'1.IS'!J3),0%)</f>
        <v>0</v>
      </c>
      <c r="K4" s="100">
        <f>IFERROR(ABS(VLOOKUP("Asset Writedown*",'7.TIKR_IS'!$A:$K,COLUMN('2.FCF'!K7),FALSE)/'1.IS'!K3),0%)+IFERROR(ABS(VLOOKUP("Impairment of Goodwill*",'7.TIKR_IS'!$A:$K,COLUMN('2.FCF'!K7),FALSE)/'1.IS'!K3),0%)</f>
        <v>0</v>
      </c>
      <c r="L4" s="17"/>
      <c r="M4" s="17"/>
      <c r="N4" s="21"/>
      <c r="O4" s="107"/>
      <c r="P4" s="107"/>
      <c r="Q4" s="125"/>
      <c r="R4" s="17"/>
      <c r="S4" s="17"/>
      <c r="T4" s="17"/>
      <c r="U4" s="17"/>
      <c r="V4" s="17"/>
      <c r="W4" s="17"/>
      <c r="X4" s="17"/>
      <c r="Y4" s="17"/>
      <c r="Z4" s="17"/>
    </row>
    <row r="5" ht="24.75" customHeight="1">
      <c r="A5" s="231" t="s">
        <v>115</v>
      </c>
      <c r="B5" s="98">
        <f>IFERROR(VLOOKUP("Divestitures*",'9.TIKR_CF'!$A:$K,COLUMN('2.FCF'!B2),FALSE)/'1.IS'!B3,0%)</f>
        <v>0.0005102358285</v>
      </c>
      <c r="C5" s="99">
        <f>IFERROR(VLOOKUP("Divestitures*",'9.TIKR_CF'!$A:$K,COLUMN('2.FCF'!C2),FALSE)/'1.IS'!C3,0%)</f>
        <v>0.001362495961</v>
      </c>
      <c r="D5" s="99">
        <f>IFERROR(VLOOKUP("Divestitures*",'9.TIKR_CF'!$A:$K,COLUMN('2.FCF'!D2),FALSE)/'1.IS'!D3,0%)</f>
        <v>0.002090565872</v>
      </c>
      <c r="E5" s="99">
        <f>IFERROR(VLOOKUP("Divestitures*",'9.TIKR_CF'!$A:$K,COLUMN('2.FCF'!E2),FALSE)/'1.IS'!E3,0%)</f>
        <v>0.001702938346</v>
      </c>
      <c r="F5" s="99">
        <f>IFERROR(VLOOKUP("Divestitures*",'9.TIKR_CF'!$A:$K,COLUMN('2.FCF'!F2),FALSE)/'1.IS'!F3,0%)</f>
        <v>0.00158980388</v>
      </c>
      <c r="G5" s="99">
        <f>IFERROR(VLOOKUP("Divestitures*",'9.TIKR_CF'!$A:$K,COLUMN('2.FCF'!G2),FALSE)/'1.IS'!G3,0%)</f>
        <v>0.0001001518373</v>
      </c>
      <c r="H5" s="99">
        <f>IFERROR(VLOOKUP("Divestitures*",'9.TIKR_CF'!$A:$K,COLUMN('2.FCF'!H2),FALSE)/'1.IS'!H3,0%)</f>
        <v>0.01385411538</v>
      </c>
      <c r="I5" s="99">
        <f>IFERROR(VLOOKUP("Divestitures*",'9.TIKR_CF'!$A:$K,COLUMN('2.FCF'!I2),FALSE)/'1.IS'!I3,0%)</f>
        <v>0</v>
      </c>
      <c r="J5" s="99">
        <f>IFERROR(VLOOKUP("Divestitures*",'9.TIKR_CF'!$A:$K,COLUMN('2.FCF'!J2),FALSE)/'1.IS'!J3,0%)</f>
        <v>0.0002082931533</v>
      </c>
      <c r="K5" s="100">
        <f>IFERROR(VLOOKUP("Divestitures*",'9.TIKR_CF'!$A:$K,COLUMN('2.FCF'!K2),FALSE)/'1.IS'!K3,0%)</f>
        <v>0</v>
      </c>
      <c r="L5" s="17"/>
      <c r="M5" s="17"/>
      <c r="N5" s="21"/>
      <c r="O5" s="107"/>
      <c r="P5" s="107"/>
      <c r="Q5" s="125"/>
      <c r="R5" s="17"/>
      <c r="S5" s="17"/>
      <c r="T5" s="17"/>
      <c r="U5" s="17"/>
      <c r="V5" s="17"/>
      <c r="W5" s="17"/>
      <c r="X5" s="17"/>
      <c r="Y5" s="17"/>
      <c r="Z5" s="17"/>
    </row>
    <row r="6" ht="24.75" customHeight="1">
      <c r="A6" s="231" t="s">
        <v>116</v>
      </c>
      <c r="B6" s="98">
        <f>IFERROR(VLOOKUP("Stock-Based Compensation*",'9.TIKR_CF'!$A:$K,COLUMN('2.FCF'!B2),FALSE)/'1.IS'!B3,0%)</f>
        <v>0</v>
      </c>
      <c r="C6" s="99">
        <f>IFERROR(VLOOKUP("Stock-Based Compensation*",'9.TIKR_CF'!$A:$K,COLUMN('2.FCF'!C2),FALSE)/'1.IS'!C3,0%)</f>
        <v>0</v>
      </c>
      <c r="D6" s="99">
        <f>IFERROR(VLOOKUP("Stock-Based Compensation*",'9.TIKR_CF'!$A:$K,COLUMN('2.FCF'!D2),FALSE)/'1.IS'!D3,0%)</f>
        <v>0</v>
      </c>
      <c r="E6" s="99">
        <f>IFERROR(VLOOKUP("Stock-Based Compensation*",'9.TIKR_CF'!$A:$K,COLUMN('2.FCF'!E2),FALSE)/'1.IS'!E3,0%)</f>
        <v>0</v>
      </c>
      <c r="F6" s="99">
        <f>IFERROR(VLOOKUP("Stock-Based Compensation*",'9.TIKR_CF'!$A:$K,COLUMN('2.FCF'!F2),FALSE)/'1.IS'!F3,0%)</f>
        <v>0</v>
      </c>
      <c r="G6" s="99">
        <f>IFERROR(VLOOKUP("Stock-Based Compensation*",'9.TIKR_CF'!$A:$K,COLUMN('2.FCF'!G2),FALSE)/'1.IS'!G3,0%)</f>
        <v>0</v>
      </c>
      <c r="H6" s="99">
        <f>IFERROR(VLOOKUP("Stock-Based Compensation*",'9.TIKR_CF'!$A:$K,COLUMN('2.FCF'!H2),FALSE)/'1.IS'!H3,0%)</f>
        <v>0</v>
      </c>
      <c r="I6" s="99">
        <f>IFERROR(VLOOKUP("Stock-Based Compensation*",'9.TIKR_CF'!$A:$K,COLUMN('2.FCF'!I2),FALSE)/'1.IS'!I3,0%)</f>
        <v>0</v>
      </c>
      <c r="J6" s="99">
        <f>IFERROR(VLOOKUP("Stock-Based Compensation*",'9.TIKR_CF'!$A:$K,COLUMN('2.FCF'!J2),FALSE)/'1.IS'!J3,0%)</f>
        <v>0</v>
      </c>
      <c r="K6" s="100">
        <f>IFERROR(VLOOKUP("Stock-Based Compensation*",'9.TIKR_CF'!$A:$K,COLUMN('2.FCF'!K2),FALSE)/'1.IS'!K3,0%)</f>
        <v>0</v>
      </c>
      <c r="L6" s="17"/>
      <c r="M6" s="17"/>
      <c r="N6" s="21"/>
      <c r="O6" s="107"/>
      <c r="P6" s="107"/>
      <c r="Q6" s="125"/>
      <c r="R6" s="17"/>
      <c r="S6" s="17"/>
      <c r="T6" s="17"/>
      <c r="U6" s="17"/>
      <c r="V6" s="17"/>
      <c r="W6" s="17"/>
      <c r="X6" s="17"/>
      <c r="Y6" s="17"/>
      <c r="Z6" s="17"/>
    </row>
    <row r="7" ht="24.75" customHeight="1">
      <c r="A7" s="232" t="s">
        <v>117</v>
      </c>
      <c r="B7" s="132">
        <f>IFERROR(VLOOKUP("Issuance of Common Stock*",'9.TIKR_CF'!$A:$K,COLUMN('2.FCF'!B2),FALSE)/'1.IS'!B3,0%)</f>
        <v>0</v>
      </c>
      <c r="C7" s="133">
        <f>IFERROR(VLOOKUP("Issuance of Common Stock*",'9.TIKR_CF'!$A:$K,COLUMN('2.FCF'!C2),FALSE)/'1.IS'!C3,0%)</f>
        <v>0</v>
      </c>
      <c r="D7" s="133">
        <f>IFERROR(VLOOKUP("Issuance of Common Stock*",'9.TIKR_CF'!$A:$K,COLUMN('2.FCF'!D2),FALSE)/'1.IS'!D3,0%)</f>
        <v>0</v>
      </c>
      <c r="E7" s="133">
        <f>IFERROR(VLOOKUP("Issuance of Common Stock*",'9.TIKR_CF'!$A:$K,COLUMN('2.FCF'!E2),FALSE)/'1.IS'!E3,0%)</f>
        <v>0</v>
      </c>
      <c r="F7" s="133">
        <f>IFERROR(VLOOKUP("Issuance of Common Stock*",'9.TIKR_CF'!$A:$K,COLUMN('2.FCF'!F2),FALSE)/'1.IS'!F3,0%)</f>
        <v>0</v>
      </c>
      <c r="G7" s="133">
        <f>IFERROR(VLOOKUP("Issuance of Common Stock*",'9.TIKR_CF'!$A:$K,COLUMN('2.FCF'!G2),FALSE)/'1.IS'!G3,0%)</f>
        <v>0</v>
      </c>
      <c r="H7" s="133">
        <f>IFERROR(VLOOKUP("Issuance of Common Stock*",'9.TIKR_CF'!$A:$K,COLUMN('2.FCF'!H2),FALSE)/'1.IS'!H3,0%)</f>
        <v>0</v>
      </c>
      <c r="I7" s="133">
        <f>IFERROR(VLOOKUP("Issuance of Common Stock*",'9.TIKR_CF'!$A:$K,COLUMN('2.FCF'!I2),FALSE)/'1.IS'!I3,0%)</f>
        <v>0</v>
      </c>
      <c r="J7" s="133">
        <f>IFERROR(VLOOKUP("Issuance of Common Stock*",'9.TIKR_CF'!$A:$K,COLUMN('2.FCF'!J2),FALSE)/'1.IS'!J3,0%)</f>
        <v>0</v>
      </c>
      <c r="K7" s="161">
        <f>IFERROR(VLOOKUP("Issuance of Common Stock*",'9.TIKR_CF'!$A:$K,COLUMN('2.FCF'!K2),FALSE)/'1.IS'!K3,0%)</f>
        <v>0</v>
      </c>
      <c r="L7" s="17"/>
      <c r="M7" s="17"/>
      <c r="N7" s="21"/>
      <c r="O7" s="59"/>
      <c r="P7" s="59"/>
      <c r="Q7" s="59"/>
      <c r="R7" s="17"/>
      <c r="S7" s="17"/>
      <c r="T7" s="17"/>
      <c r="U7" s="17"/>
      <c r="V7" s="17"/>
      <c r="W7" s="17"/>
      <c r="X7" s="17"/>
      <c r="Y7" s="17"/>
      <c r="Z7" s="17"/>
    </row>
    <row r="8" ht="24.75" customHeight="1">
      <c r="A8" s="78"/>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4" t="s">
        <v>118</v>
      </c>
      <c r="B9" s="75" t="s">
        <v>68</v>
      </c>
      <c r="C9" s="233"/>
      <c r="D9" s="233"/>
      <c r="E9" s="233"/>
      <c r="F9" s="233"/>
      <c r="G9" s="233"/>
      <c r="H9" s="233"/>
      <c r="I9" s="233"/>
      <c r="J9" s="233"/>
      <c r="K9" s="233"/>
      <c r="L9" s="17"/>
      <c r="M9" s="17"/>
      <c r="N9" s="107"/>
      <c r="O9" s="107"/>
      <c r="P9" s="107"/>
      <c r="Q9" s="125"/>
      <c r="R9" s="17"/>
      <c r="S9" s="17"/>
      <c r="T9" s="17"/>
      <c r="U9" s="17"/>
      <c r="V9" s="17"/>
      <c r="W9" s="17"/>
      <c r="X9" s="17"/>
      <c r="Y9" s="17"/>
      <c r="Z9" s="17"/>
    </row>
    <row r="10" ht="24.75" customHeight="1">
      <c r="A10" s="229" t="s">
        <v>119</v>
      </c>
      <c r="B10" s="234"/>
      <c r="C10" s="99"/>
      <c r="D10" s="99"/>
      <c r="E10" s="99"/>
      <c r="F10" s="99"/>
      <c r="G10" s="99"/>
      <c r="H10" s="99"/>
      <c r="I10" s="99"/>
      <c r="J10" s="99"/>
      <c r="K10" s="99"/>
      <c r="L10" s="134"/>
      <c r="M10" s="125"/>
      <c r="N10" s="21"/>
      <c r="O10" s="59"/>
      <c r="P10" s="59"/>
      <c r="Q10" s="59"/>
      <c r="R10" s="17"/>
      <c r="S10" s="17"/>
      <c r="T10" s="17"/>
      <c r="U10" s="17"/>
      <c r="V10" s="17"/>
      <c r="W10" s="17"/>
      <c r="X10" s="17"/>
      <c r="Y10" s="17"/>
      <c r="Z10" s="17"/>
    </row>
    <row r="11" ht="24.75" customHeight="1">
      <c r="A11" s="231" t="s">
        <v>120</v>
      </c>
      <c r="B11" s="235">
        <f>'TIKR_Cálculos'!L72</f>
        <v>0</v>
      </c>
      <c r="C11" s="99"/>
      <c r="D11" s="99"/>
      <c r="E11" s="99"/>
      <c r="F11" s="99"/>
      <c r="G11" s="99"/>
      <c r="H11" s="99"/>
      <c r="I11" s="99"/>
      <c r="J11" s="99"/>
      <c r="K11" s="99"/>
      <c r="L11" s="134"/>
      <c r="M11" s="125"/>
      <c r="N11" s="21"/>
      <c r="O11" s="59"/>
      <c r="P11" s="59"/>
      <c r="Q11" s="59"/>
      <c r="R11" s="17"/>
      <c r="S11" s="17"/>
      <c r="T11" s="17"/>
      <c r="U11" s="17"/>
      <c r="V11" s="17"/>
      <c r="W11" s="17"/>
      <c r="X11" s="17"/>
      <c r="Y11" s="17"/>
      <c r="Z11" s="17"/>
    </row>
    <row r="12" ht="24.75" customHeight="1">
      <c r="A12" s="231" t="s">
        <v>121</v>
      </c>
      <c r="B12" s="235">
        <f>'TIKR_Cálculos'!L73</f>
        <v>5</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31" t="s">
        <v>122</v>
      </c>
      <c r="B13" s="235">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31" t="s">
        <v>123</v>
      </c>
      <c r="B14" s="235">
        <f>'TIKR_Cálculos'!L75</f>
        <v>1</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32" t="s">
        <v>124</v>
      </c>
      <c r="B15" s="236">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3"/>
      <c r="C17" s="163"/>
      <c r="D17" s="163"/>
      <c r="E17" s="163"/>
      <c r="F17" s="163"/>
      <c r="G17" s="163"/>
      <c r="H17" s="163"/>
      <c r="I17" s="163"/>
      <c r="J17" s="163"/>
      <c r="K17" s="163"/>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7"/>
      <c r="C52" s="237"/>
      <c r="D52" s="237"/>
      <c r="E52" s="237"/>
      <c r="F52" s="237"/>
      <c r="G52" s="237"/>
      <c r="H52" s="237"/>
      <c r="I52" s="55"/>
      <c r="J52" s="21"/>
      <c r="K52" s="21"/>
      <c r="L52" s="21"/>
      <c r="M52" s="21"/>
      <c r="N52" s="21"/>
      <c r="O52" s="21"/>
      <c r="P52" s="21"/>
      <c r="Q52" s="21"/>
      <c r="R52" s="21"/>
      <c r="S52" s="21"/>
      <c r="T52" s="21"/>
      <c r="U52" s="21"/>
      <c r="V52" s="21"/>
      <c r="W52" s="21"/>
      <c r="X52" s="21"/>
      <c r="Y52" s="21"/>
      <c r="Z52" s="21"/>
    </row>
    <row r="53" ht="17.25" customHeight="1">
      <c r="A53" s="21"/>
      <c r="B53" s="237"/>
      <c r="C53" s="237"/>
      <c r="D53" s="237"/>
      <c r="E53" s="237"/>
      <c r="F53" s="237"/>
      <c r="G53" s="237"/>
      <c r="H53" s="237"/>
      <c r="I53" s="55"/>
      <c r="J53" s="21"/>
      <c r="K53" s="21"/>
      <c r="L53" s="21"/>
      <c r="M53" s="21"/>
      <c r="N53" s="21"/>
      <c r="O53" s="21"/>
      <c r="P53" s="21"/>
      <c r="Q53" s="21"/>
      <c r="R53" s="21"/>
      <c r="S53" s="21"/>
      <c r="T53" s="21"/>
      <c r="U53" s="21"/>
      <c r="V53" s="21"/>
      <c r="W53" s="21"/>
      <c r="X53" s="21"/>
      <c r="Y53" s="21"/>
      <c r="Z53" s="21"/>
    </row>
    <row r="54" ht="17.25" customHeight="1">
      <c r="A54" s="21"/>
      <c r="B54" s="237"/>
      <c r="C54" s="237"/>
      <c r="D54" s="237"/>
      <c r="E54" s="237"/>
      <c r="F54" s="237"/>
      <c r="G54" s="237"/>
      <c r="H54" s="237"/>
      <c r="I54" s="55"/>
      <c r="J54" s="21"/>
      <c r="K54" s="21"/>
      <c r="L54" s="21"/>
      <c r="M54" s="21"/>
      <c r="N54" s="21"/>
      <c r="O54" s="21"/>
      <c r="P54" s="21"/>
      <c r="Q54" s="21"/>
      <c r="R54" s="21"/>
      <c r="S54" s="21"/>
      <c r="T54" s="21"/>
      <c r="U54" s="21"/>
      <c r="V54" s="21"/>
      <c r="W54" s="21"/>
      <c r="X54" s="21"/>
      <c r="Y54" s="21"/>
      <c r="Z54" s="21"/>
    </row>
    <row r="55" ht="17.25" customHeight="1">
      <c r="A55" s="21"/>
      <c r="B55" s="237"/>
      <c r="C55" s="237"/>
      <c r="D55" s="237"/>
      <c r="E55" s="237"/>
      <c r="F55" s="237"/>
      <c r="G55" s="237"/>
      <c r="H55" s="237"/>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38" t="s">
        <v>126</v>
      </c>
      <c r="B1" s="239">
        <v>42400.0</v>
      </c>
      <c r="C1" s="239">
        <v>42766.0</v>
      </c>
      <c r="D1" s="239">
        <v>43131.0</v>
      </c>
      <c r="E1" s="239">
        <v>43496.0</v>
      </c>
      <c r="F1" s="239">
        <v>43861.0</v>
      </c>
      <c r="G1" s="239">
        <v>44227.0</v>
      </c>
      <c r="H1" s="239">
        <v>44592.0</v>
      </c>
      <c r="I1" s="239">
        <v>44957.0</v>
      </c>
      <c r="J1" s="239">
        <v>45322.0</v>
      </c>
      <c r="K1" s="239">
        <v>45688.0</v>
      </c>
      <c r="L1" s="240" t="s">
        <v>96</v>
      </c>
    </row>
    <row r="2">
      <c r="A2" s="241"/>
      <c r="B2" s="242"/>
      <c r="C2" s="242"/>
      <c r="D2" s="242"/>
      <c r="E2" s="242"/>
      <c r="F2" s="242"/>
      <c r="G2" s="242"/>
      <c r="H2" s="242"/>
      <c r="I2" s="242"/>
      <c r="J2" s="242"/>
      <c r="K2" s="242"/>
      <c r="L2" s="242"/>
      <c r="M2" s="241"/>
      <c r="N2" s="241"/>
      <c r="O2" s="241"/>
      <c r="P2" s="241"/>
      <c r="Q2" s="241"/>
      <c r="R2" s="241"/>
      <c r="S2" s="241"/>
      <c r="T2" s="241"/>
      <c r="U2" s="241"/>
      <c r="V2" s="241"/>
      <c r="W2" s="241"/>
      <c r="X2" s="241"/>
      <c r="Y2" s="241"/>
      <c r="Z2" s="241"/>
    </row>
    <row r="3">
      <c r="A3" s="243" t="s">
        <v>127</v>
      </c>
      <c r="B3" s="244">
        <v>482130.0</v>
      </c>
      <c r="C3" s="244">
        <v>485873.0</v>
      </c>
      <c r="D3" s="244">
        <v>500343.0</v>
      </c>
      <c r="E3" s="244">
        <v>514405.0</v>
      </c>
      <c r="F3" s="244">
        <v>523964.0</v>
      </c>
      <c r="G3" s="244">
        <v>559151.0</v>
      </c>
      <c r="H3" s="244">
        <v>572754.0</v>
      </c>
      <c r="I3" s="244">
        <v>611289.0</v>
      </c>
      <c r="J3" s="244">
        <v>648125.0</v>
      </c>
      <c r="K3" s="244">
        <v>680985.0</v>
      </c>
      <c r="L3" s="244">
        <v>680985.0</v>
      </c>
    </row>
    <row r="4">
      <c r="A4" s="243" t="s">
        <v>128</v>
      </c>
      <c r="B4" s="245"/>
      <c r="C4" s="245"/>
      <c r="D4" s="245"/>
      <c r="E4" s="245"/>
      <c r="F4" s="245"/>
      <c r="G4" s="245"/>
      <c r="H4" s="245"/>
      <c r="I4" s="245"/>
      <c r="J4" s="245"/>
      <c r="K4" s="245"/>
      <c r="L4" s="245"/>
    </row>
    <row r="5">
      <c r="A5" s="246" t="s">
        <v>129</v>
      </c>
      <c r="B5" s="247">
        <v>482130.0</v>
      </c>
      <c r="C5" s="247">
        <v>485873.0</v>
      </c>
      <c r="D5" s="247">
        <v>500343.0</v>
      </c>
      <c r="E5" s="247">
        <v>514405.0</v>
      </c>
      <c r="F5" s="247">
        <v>523964.0</v>
      </c>
      <c r="G5" s="247">
        <v>559151.0</v>
      </c>
      <c r="H5" s="247">
        <v>572754.0</v>
      </c>
      <c r="I5" s="247">
        <v>611289.0</v>
      </c>
      <c r="J5" s="247">
        <v>648125.0</v>
      </c>
      <c r="K5" s="247">
        <v>680985.0</v>
      </c>
      <c r="L5" s="247">
        <v>680985.0</v>
      </c>
    </row>
    <row r="6">
      <c r="A6" s="248" t="s">
        <v>130</v>
      </c>
      <c r="B6" s="249"/>
      <c r="C6" s="250" t="s">
        <v>131</v>
      </c>
      <c r="D6" s="250" t="s">
        <v>132</v>
      </c>
      <c r="E6" s="250" t="s">
        <v>133</v>
      </c>
      <c r="F6" s="250" t="s">
        <v>134</v>
      </c>
      <c r="G6" s="250" t="s">
        <v>135</v>
      </c>
      <c r="H6" s="250" t="s">
        <v>136</v>
      </c>
      <c r="I6" s="250" t="s">
        <v>135</v>
      </c>
      <c r="J6" s="250" t="s">
        <v>137</v>
      </c>
      <c r="K6" s="250" t="s">
        <v>138</v>
      </c>
      <c r="L6" s="251"/>
    </row>
    <row r="7">
      <c r="A7" s="243" t="s">
        <v>139</v>
      </c>
      <c r="B7" s="252">
        <v>-360984.0</v>
      </c>
      <c r="C7" s="252">
        <v>-361256.0</v>
      </c>
      <c r="D7" s="252">
        <v>-373396.0</v>
      </c>
      <c r="E7" s="252">
        <v>-385301.0</v>
      </c>
      <c r="F7" s="252">
        <v>-394605.0</v>
      </c>
      <c r="G7" s="252">
        <v>-420315.0</v>
      </c>
      <c r="H7" s="252">
        <v>-429000.0</v>
      </c>
      <c r="I7" s="252">
        <v>-463721.0</v>
      </c>
      <c r="J7" s="252">
        <v>-490142.0</v>
      </c>
      <c r="K7" s="252">
        <v>-511753.0</v>
      </c>
      <c r="L7" s="252">
        <v>-511753.0</v>
      </c>
    </row>
    <row r="8">
      <c r="A8" s="253" t="s">
        <v>140</v>
      </c>
      <c r="B8" s="254">
        <v>121146.0</v>
      </c>
      <c r="C8" s="254">
        <v>124617.0</v>
      </c>
      <c r="D8" s="254">
        <v>126947.0</v>
      </c>
      <c r="E8" s="254">
        <v>129104.0</v>
      </c>
      <c r="F8" s="254">
        <v>129359.0</v>
      </c>
      <c r="G8" s="254">
        <v>138836.0</v>
      </c>
      <c r="H8" s="254">
        <v>143754.0</v>
      </c>
      <c r="I8" s="254">
        <v>147568.0</v>
      </c>
      <c r="J8" s="254">
        <v>157983.0</v>
      </c>
      <c r="K8" s="254">
        <v>169232.0</v>
      </c>
      <c r="L8" s="254">
        <v>169232.0</v>
      </c>
    </row>
    <row r="9">
      <c r="A9" s="248" t="s">
        <v>130</v>
      </c>
      <c r="B9" s="249"/>
      <c r="C9" s="250" t="s">
        <v>141</v>
      </c>
      <c r="D9" s="250" t="s">
        <v>134</v>
      </c>
      <c r="E9" s="250" t="s">
        <v>142</v>
      </c>
      <c r="F9" s="250" t="s">
        <v>143</v>
      </c>
      <c r="G9" s="250" t="s">
        <v>144</v>
      </c>
      <c r="H9" s="250" t="s">
        <v>145</v>
      </c>
      <c r="I9" s="250" t="s">
        <v>146</v>
      </c>
      <c r="J9" s="250" t="s">
        <v>147</v>
      </c>
      <c r="K9" s="250" t="s">
        <v>147</v>
      </c>
      <c r="L9" s="251"/>
    </row>
    <row r="10">
      <c r="A10" s="248" t="s">
        <v>148</v>
      </c>
      <c r="B10" s="250" t="s">
        <v>149</v>
      </c>
      <c r="C10" s="250" t="s">
        <v>150</v>
      </c>
      <c r="D10" s="250" t="s">
        <v>151</v>
      </c>
      <c r="E10" s="250" t="s">
        <v>149</v>
      </c>
      <c r="F10" s="250" t="s">
        <v>152</v>
      </c>
      <c r="G10" s="250" t="s">
        <v>153</v>
      </c>
      <c r="H10" s="250" t="s">
        <v>149</v>
      </c>
      <c r="I10" s="250" t="s">
        <v>154</v>
      </c>
      <c r="J10" s="250" t="s">
        <v>155</v>
      </c>
      <c r="K10" s="250" t="s">
        <v>156</v>
      </c>
      <c r="L10" s="250" t="s">
        <v>156</v>
      </c>
    </row>
    <row r="11">
      <c r="A11" s="243" t="s">
        <v>157</v>
      </c>
      <c r="B11" s="252">
        <v>-97041.0</v>
      </c>
      <c r="C11" s="252">
        <v>-101853.0</v>
      </c>
      <c r="D11" s="252">
        <v>-106010.0</v>
      </c>
      <c r="E11" s="252">
        <v>-107147.0</v>
      </c>
      <c r="F11" s="252">
        <v>-107891.0</v>
      </c>
      <c r="G11" s="252">
        <v>-116288.0</v>
      </c>
      <c r="H11" s="252">
        <v>-117812.0</v>
      </c>
      <c r="I11" s="252">
        <v>-123040.0</v>
      </c>
      <c r="J11" s="252">
        <v>-130971.0</v>
      </c>
      <c r="K11" s="252">
        <v>-139728.0</v>
      </c>
      <c r="L11" s="252">
        <v>-139728.0</v>
      </c>
    </row>
    <row r="12">
      <c r="A12" s="253" t="s">
        <v>158</v>
      </c>
      <c r="B12" s="255">
        <v>-97041.0</v>
      </c>
      <c r="C12" s="255">
        <v>-101853.0</v>
      </c>
      <c r="D12" s="255">
        <v>-106010.0</v>
      </c>
      <c r="E12" s="255">
        <v>-107147.0</v>
      </c>
      <c r="F12" s="255">
        <v>-107891.0</v>
      </c>
      <c r="G12" s="255">
        <v>-116288.0</v>
      </c>
      <c r="H12" s="255">
        <v>-117812.0</v>
      </c>
      <c r="I12" s="255">
        <v>-123040.0</v>
      </c>
      <c r="J12" s="255">
        <v>-130971.0</v>
      </c>
      <c r="K12" s="255">
        <v>-139728.0</v>
      </c>
      <c r="L12" s="255">
        <v>-139728.0</v>
      </c>
    </row>
    <row r="13">
      <c r="A13" s="246" t="s">
        <v>159</v>
      </c>
      <c r="B13" s="247">
        <v>24105.0</v>
      </c>
      <c r="C13" s="247">
        <v>22764.0</v>
      </c>
      <c r="D13" s="247">
        <v>20937.0</v>
      </c>
      <c r="E13" s="247">
        <v>21957.0</v>
      </c>
      <c r="F13" s="247">
        <v>21468.0</v>
      </c>
      <c r="G13" s="247">
        <v>22548.0</v>
      </c>
      <c r="H13" s="247">
        <v>25942.0</v>
      </c>
      <c r="I13" s="247">
        <v>24528.0</v>
      </c>
      <c r="J13" s="247">
        <v>27012.0</v>
      </c>
      <c r="K13" s="247">
        <v>29504.0</v>
      </c>
      <c r="L13" s="247">
        <v>29504.0</v>
      </c>
    </row>
    <row r="14">
      <c r="A14" s="248" t="s">
        <v>130</v>
      </c>
      <c r="B14" s="249"/>
      <c r="C14" s="256" t="s">
        <v>160</v>
      </c>
      <c r="D14" s="256" t="s">
        <v>161</v>
      </c>
      <c r="E14" s="250" t="s">
        <v>162</v>
      </c>
      <c r="F14" s="256" t="s">
        <v>163</v>
      </c>
      <c r="G14" s="250" t="s">
        <v>164</v>
      </c>
      <c r="H14" s="250" t="s">
        <v>165</v>
      </c>
      <c r="I14" s="256" t="s">
        <v>166</v>
      </c>
      <c r="J14" s="250" t="s">
        <v>167</v>
      </c>
      <c r="K14" s="250" t="s">
        <v>168</v>
      </c>
      <c r="L14" s="251"/>
    </row>
    <row r="15">
      <c r="A15" s="248" t="s">
        <v>169</v>
      </c>
      <c r="B15" s="250" t="s">
        <v>164</v>
      </c>
      <c r="C15" s="250" t="s">
        <v>170</v>
      </c>
      <c r="D15" s="250" t="s">
        <v>171</v>
      </c>
      <c r="E15" s="250" t="s">
        <v>172</v>
      </c>
      <c r="F15" s="250" t="s">
        <v>173</v>
      </c>
      <c r="G15" s="250" t="s">
        <v>174</v>
      </c>
      <c r="H15" s="250" t="s">
        <v>175</v>
      </c>
      <c r="I15" s="250" t="s">
        <v>174</v>
      </c>
      <c r="J15" s="250" t="s">
        <v>171</v>
      </c>
      <c r="K15" s="250" t="s">
        <v>172</v>
      </c>
      <c r="L15" s="250" t="s">
        <v>172</v>
      </c>
    </row>
    <row r="16">
      <c r="A16" s="243" t="s">
        <v>27</v>
      </c>
      <c r="B16" s="252">
        <v>-2548.0</v>
      </c>
      <c r="C16" s="252">
        <v>-2367.0</v>
      </c>
      <c r="D16" s="252">
        <v>-2330.0</v>
      </c>
      <c r="E16" s="252">
        <v>-2346.0</v>
      </c>
      <c r="F16" s="252">
        <v>-2599.0</v>
      </c>
      <c r="G16" s="252">
        <v>-2315.0</v>
      </c>
      <c r="H16" s="252">
        <v>-1994.0</v>
      </c>
      <c r="I16" s="252">
        <v>-2128.0</v>
      </c>
      <c r="J16" s="252">
        <v>-2683.0</v>
      </c>
      <c r="K16" s="252">
        <v>-2728.0</v>
      </c>
      <c r="L16" s="252">
        <v>-2728.0</v>
      </c>
    </row>
    <row r="17">
      <c r="A17" s="243" t="s">
        <v>176</v>
      </c>
      <c r="B17" s="244">
        <v>81.0</v>
      </c>
      <c r="C17" s="244">
        <v>100.0</v>
      </c>
      <c r="D17" s="244">
        <v>152.0</v>
      </c>
      <c r="E17" s="244">
        <v>217.0</v>
      </c>
      <c r="F17" s="244">
        <v>189.0</v>
      </c>
      <c r="G17" s="244">
        <v>121.0</v>
      </c>
      <c r="H17" s="244">
        <v>158.0</v>
      </c>
      <c r="I17" s="244">
        <v>454.0</v>
      </c>
      <c r="J17" s="244">
        <v>546.0</v>
      </c>
      <c r="K17" s="244">
        <v>483.0</v>
      </c>
      <c r="L17" s="244">
        <v>483.0</v>
      </c>
    </row>
    <row r="18">
      <c r="A18" s="243" t="s">
        <v>177</v>
      </c>
      <c r="B18" s="245"/>
      <c r="C18" s="245"/>
      <c r="D18" s="245"/>
      <c r="E18" s="252">
        <v>-2.0</v>
      </c>
      <c r="F18" s="244">
        <v>87.0</v>
      </c>
      <c r="G18" s="244">
        <v>22.0</v>
      </c>
      <c r="H18" s="252">
        <v>-127.0</v>
      </c>
      <c r="I18" s="252">
        <v>-455.0</v>
      </c>
      <c r="J18" s="244">
        <v>166.0</v>
      </c>
      <c r="K18" s="252">
        <v>-794.0</v>
      </c>
      <c r="L18" s="252">
        <v>-794.0</v>
      </c>
    </row>
    <row r="19">
      <c r="A19" s="253" t="s">
        <v>178</v>
      </c>
      <c r="B19" s="254">
        <v>21638.0</v>
      </c>
      <c r="C19" s="254">
        <v>20497.0</v>
      </c>
      <c r="D19" s="254">
        <v>18759.0</v>
      </c>
      <c r="E19" s="254">
        <v>19826.0</v>
      </c>
      <c r="F19" s="254">
        <v>19145.0</v>
      </c>
      <c r="G19" s="254">
        <v>20376.0</v>
      </c>
      <c r="H19" s="254">
        <v>23979.0</v>
      </c>
      <c r="I19" s="254">
        <v>22399.0</v>
      </c>
      <c r="J19" s="254">
        <v>25041.0</v>
      </c>
      <c r="K19" s="254">
        <v>26465.0</v>
      </c>
      <c r="L19" s="254">
        <v>26465.0</v>
      </c>
    </row>
    <row r="20">
      <c r="A20" s="243" t="s">
        <v>179</v>
      </c>
      <c r="B20" s="245"/>
      <c r="C20" s="245"/>
      <c r="D20" s="252">
        <v>-500.0</v>
      </c>
      <c r="E20" s="245"/>
      <c r="F20" s="252">
        <v>-900.0</v>
      </c>
      <c r="G20" s="245"/>
      <c r="H20" s="245"/>
      <c r="I20" s="252">
        <v>-800.0</v>
      </c>
      <c r="J20" s="245"/>
      <c r="K20" s="252">
        <v>-255.0</v>
      </c>
      <c r="L20" s="252">
        <v>-255.0</v>
      </c>
    </row>
    <row r="21" ht="15.75" customHeight="1">
      <c r="A21" s="243" t="s">
        <v>180</v>
      </c>
      <c r="B21" s="245"/>
      <c r="C21" s="245"/>
      <c r="D21" s="245"/>
      <c r="E21" s="252">
        <v>-3516.0</v>
      </c>
      <c r="F21" s="244">
        <v>1886.0</v>
      </c>
      <c r="G21" s="244">
        <v>8589.0</v>
      </c>
      <c r="H21" s="252">
        <v>-2440.0</v>
      </c>
      <c r="I21" s="252">
        <v>-1283.0</v>
      </c>
      <c r="J21" s="252">
        <v>-3193.0</v>
      </c>
      <c r="K21" s="245"/>
      <c r="L21" s="245"/>
    </row>
    <row r="22" ht="15.75" customHeight="1">
      <c r="A22" s="243" t="s">
        <v>181</v>
      </c>
      <c r="B22" s="245"/>
      <c r="C22" s="245"/>
      <c r="D22" s="245"/>
      <c r="E22" s="252">
        <v>-4850.0</v>
      </c>
      <c r="F22" s="252">
        <v>-15.0</v>
      </c>
      <c r="G22" s="252">
        <v>-8401.0</v>
      </c>
      <c r="H22" s="252">
        <v>-433.0</v>
      </c>
      <c r="I22" s="245"/>
      <c r="J22" s="245"/>
      <c r="K22" s="245"/>
      <c r="L22" s="245"/>
    </row>
    <row r="23" ht="15.75" customHeight="1">
      <c r="A23" s="243" t="s">
        <v>182</v>
      </c>
      <c r="B23" s="245"/>
      <c r="C23" s="245"/>
      <c r="D23" s="245"/>
      <c r="E23" s="245"/>
      <c r="F23" s="245"/>
      <c r="G23" s="245"/>
      <c r="H23" s="245"/>
      <c r="I23" s="245"/>
      <c r="J23" s="245"/>
      <c r="K23" s="245"/>
      <c r="L23" s="245"/>
    </row>
    <row r="24" ht="15.75" customHeight="1">
      <c r="A24" s="243" t="s">
        <v>183</v>
      </c>
      <c r="B24" s="245"/>
      <c r="C24" s="245"/>
      <c r="D24" s="245"/>
      <c r="E24" s="245"/>
      <c r="F24" s="245"/>
      <c r="G24" s="245"/>
      <c r="H24" s="245"/>
      <c r="I24" s="252">
        <v>-3300.0</v>
      </c>
      <c r="J24" s="245"/>
      <c r="K24" s="244">
        <v>99.0</v>
      </c>
      <c r="L24" s="244">
        <v>99.0</v>
      </c>
    </row>
    <row r="25" ht="15.75" customHeight="1">
      <c r="A25" s="243" t="s">
        <v>184</v>
      </c>
      <c r="B25" s="245"/>
      <c r="C25" s="245"/>
      <c r="D25" s="252">
        <v>-3136.0</v>
      </c>
      <c r="E25" s="245"/>
      <c r="F25" s="245"/>
      <c r="G25" s="245"/>
      <c r="H25" s="252">
        <v>-2410.0</v>
      </c>
      <c r="I25" s="245"/>
      <c r="J25" s="245"/>
      <c r="K25" s="245"/>
      <c r="L25" s="245"/>
    </row>
    <row r="26" ht="15.75" customHeight="1">
      <c r="A26" s="253" t="s">
        <v>185</v>
      </c>
      <c r="B26" s="254">
        <v>21638.0</v>
      </c>
      <c r="C26" s="254">
        <v>20497.0</v>
      </c>
      <c r="D26" s="254">
        <v>15123.0</v>
      </c>
      <c r="E26" s="254">
        <v>11460.0</v>
      </c>
      <c r="F26" s="254">
        <v>20116.0</v>
      </c>
      <c r="G26" s="254">
        <v>20564.0</v>
      </c>
      <c r="H26" s="254">
        <v>18696.0</v>
      </c>
      <c r="I26" s="254">
        <v>17016.0</v>
      </c>
      <c r="J26" s="254">
        <v>21848.0</v>
      </c>
      <c r="K26" s="254">
        <v>26309.0</v>
      </c>
      <c r="L26" s="254">
        <v>26309.0</v>
      </c>
    </row>
    <row r="27" ht="15.75" customHeight="1">
      <c r="A27" s="243" t="s">
        <v>186</v>
      </c>
      <c r="B27" s="252">
        <v>-6558.0</v>
      </c>
      <c r="C27" s="252">
        <v>-6204.0</v>
      </c>
      <c r="D27" s="252">
        <v>-4600.0</v>
      </c>
      <c r="E27" s="252">
        <v>-4281.0</v>
      </c>
      <c r="F27" s="252">
        <v>-4915.0</v>
      </c>
      <c r="G27" s="252">
        <v>-6858.0</v>
      </c>
      <c r="H27" s="252">
        <v>-4756.0</v>
      </c>
      <c r="I27" s="252">
        <v>-5724.0</v>
      </c>
      <c r="J27" s="252">
        <v>-5578.0</v>
      </c>
      <c r="K27" s="252">
        <v>-6152.0</v>
      </c>
      <c r="L27" s="252">
        <v>-6152.0</v>
      </c>
    </row>
    <row r="28" ht="15.75" customHeight="1">
      <c r="A28" s="253" t="s">
        <v>187</v>
      </c>
      <c r="B28" s="254">
        <v>15080.0</v>
      </c>
      <c r="C28" s="254">
        <v>14293.0</v>
      </c>
      <c r="D28" s="254">
        <v>10523.0</v>
      </c>
      <c r="E28" s="254">
        <v>7179.0</v>
      </c>
      <c r="F28" s="254">
        <v>15201.0</v>
      </c>
      <c r="G28" s="254">
        <v>13706.0</v>
      </c>
      <c r="H28" s="254">
        <v>13940.0</v>
      </c>
      <c r="I28" s="254">
        <v>11292.0</v>
      </c>
      <c r="J28" s="254">
        <v>16270.0</v>
      </c>
      <c r="K28" s="254">
        <v>20157.0</v>
      </c>
      <c r="L28" s="254">
        <v>20157.0</v>
      </c>
    </row>
    <row r="29" ht="15.75" customHeight="1">
      <c r="A29" s="243" t="s">
        <v>188</v>
      </c>
      <c r="B29" s="245"/>
      <c r="C29" s="245"/>
      <c r="D29" s="245"/>
      <c r="E29" s="245"/>
      <c r="F29" s="245"/>
      <c r="G29" s="245"/>
      <c r="H29" s="245"/>
      <c r="I29" s="245"/>
      <c r="J29" s="245"/>
      <c r="K29" s="245"/>
      <c r="L29" s="245"/>
    </row>
    <row r="30" ht="15.75" customHeight="1">
      <c r="A30" s="253" t="s">
        <v>189</v>
      </c>
      <c r="B30" s="254">
        <v>15080.0</v>
      </c>
      <c r="C30" s="254">
        <v>14293.0</v>
      </c>
      <c r="D30" s="254">
        <v>10523.0</v>
      </c>
      <c r="E30" s="254">
        <v>7179.0</v>
      </c>
      <c r="F30" s="254">
        <v>15201.0</v>
      </c>
      <c r="G30" s="254">
        <v>13706.0</v>
      </c>
      <c r="H30" s="254">
        <v>13940.0</v>
      </c>
      <c r="I30" s="254">
        <v>11292.0</v>
      </c>
      <c r="J30" s="254">
        <v>16270.0</v>
      </c>
      <c r="K30" s="254">
        <v>20157.0</v>
      </c>
      <c r="L30" s="254">
        <v>20157.0</v>
      </c>
    </row>
    <row r="31" ht="15.75" customHeight="1">
      <c r="A31" s="243" t="s">
        <v>190</v>
      </c>
      <c r="B31" s="252">
        <v>-386.0</v>
      </c>
      <c r="C31" s="252">
        <v>-650.0</v>
      </c>
      <c r="D31" s="252">
        <v>-661.0</v>
      </c>
      <c r="E31" s="252">
        <v>-509.0</v>
      </c>
      <c r="F31" s="252">
        <v>-320.0</v>
      </c>
      <c r="G31" s="252">
        <v>-196.0</v>
      </c>
      <c r="H31" s="252">
        <v>-267.0</v>
      </c>
      <c r="I31" s="244">
        <v>388.0</v>
      </c>
      <c r="J31" s="252">
        <v>-759.0</v>
      </c>
      <c r="K31" s="252">
        <v>-721.0</v>
      </c>
      <c r="L31" s="252">
        <v>-721.0</v>
      </c>
    </row>
    <row r="32" ht="15.75" customHeight="1">
      <c r="A32" s="246" t="s">
        <v>36</v>
      </c>
      <c r="B32" s="247">
        <v>14694.0</v>
      </c>
      <c r="C32" s="247">
        <v>13643.0</v>
      </c>
      <c r="D32" s="247">
        <v>9862.0</v>
      </c>
      <c r="E32" s="247">
        <v>6670.0</v>
      </c>
      <c r="F32" s="247">
        <v>14881.0</v>
      </c>
      <c r="G32" s="247">
        <v>13510.0</v>
      </c>
      <c r="H32" s="247">
        <v>13673.0</v>
      </c>
      <c r="I32" s="247">
        <v>11680.0</v>
      </c>
      <c r="J32" s="247">
        <v>15511.0</v>
      </c>
      <c r="K32" s="247">
        <v>19436.0</v>
      </c>
      <c r="L32" s="247">
        <v>19436.0</v>
      </c>
    </row>
    <row r="33" ht="15.75" customHeight="1">
      <c r="A33" s="246" t="s">
        <v>191</v>
      </c>
      <c r="B33" s="247">
        <v>14694.0</v>
      </c>
      <c r="C33" s="247">
        <v>13643.0</v>
      </c>
      <c r="D33" s="247">
        <v>9862.0</v>
      </c>
      <c r="E33" s="247">
        <v>6670.0</v>
      </c>
      <c r="F33" s="247">
        <v>14881.0</v>
      </c>
      <c r="G33" s="247">
        <v>13510.0</v>
      </c>
      <c r="H33" s="247">
        <v>13673.0</v>
      </c>
      <c r="I33" s="247">
        <v>11680.0</v>
      </c>
      <c r="J33" s="247">
        <v>15511.0</v>
      </c>
      <c r="K33" s="247">
        <v>19436.0</v>
      </c>
      <c r="L33" s="247">
        <v>19436.0</v>
      </c>
    </row>
    <row r="34" ht="15.75" customHeight="1">
      <c r="A34" s="248" t="s">
        <v>192</v>
      </c>
      <c r="B34" s="250" t="s">
        <v>132</v>
      </c>
      <c r="C34" s="250" t="s">
        <v>133</v>
      </c>
      <c r="D34" s="250" t="s">
        <v>193</v>
      </c>
      <c r="E34" s="250" t="s">
        <v>194</v>
      </c>
      <c r="F34" s="250" t="s">
        <v>133</v>
      </c>
      <c r="G34" s="250" t="s">
        <v>136</v>
      </c>
      <c r="H34" s="250" t="s">
        <v>136</v>
      </c>
      <c r="I34" s="250" t="s">
        <v>134</v>
      </c>
      <c r="J34" s="250" t="s">
        <v>136</v>
      </c>
      <c r="K34" s="250" t="s">
        <v>141</v>
      </c>
      <c r="L34" s="250" t="s">
        <v>141</v>
      </c>
    </row>
    <row r="35" ht="15.75" customHeight="1">
      <c r="A35" s="246" t="s">
        <v>195</v>
      </c>
      <c r="B35" s="247">
        <v>14694.0</v>
      </c>
      <c r="C35" s="247">
        <v>13643.0</v>
      </c>
      <c r="D35" s="247">
        <v>9862.0</v>
      </c>
      <c r="E35" s="247">
        <v>6670.0</v>
      </c>
      <c r="F35" s="247">
        <v>14881.0</v>
      </c>
      <c r="G35" s="247">
        <v>13510.0</v>
      </c>
      <c r="H35" s="247">
        <v>13673.0</v>
      </c>
      <c r="I35" s="247">
        <v>11680.0</v>
      </c>
      <c r="J35" s="247">
        <v>15511.0</v>
      </c>
      <c r="K35" s="247">
        <v>19436.0</v>
      </c>
      <c r="L35" s="247">
        <v>19436.0</v>
      </c>
    </row>
    <row r="36" ht="15.75" customHeight="1">
      <c r="A36" s="257" t="s">
        <v>196</v>
      </c>
      <c r="B36" s="258" t="s">
        <v>132</v>
      </c>
      <c r="C36" s="258" t="s">
        <v>133</v>
      </c>
      <c r="D36" s="258" t="s">
        <v>193</v>
      </c>
      <c r="E36" s="258" t="s">
        <v>194</v>
      </c>
      <c r="F36" s="258" t="s">
        <v>133</v>
      </c>
      <c r="G36" s="258" t="s">
        <v>136</v>
      </c>
      <c r="H36" s="258" t="s">
        <v>136</v>
      </c>
      <c r="I36" s="258" t="s">
        <v>134</v>
      </c>
      <c r="J36" s="258" t="s">
        <v>136</v>
      </c>
      <c r="K36" s="258" t="s">
        <v>141</v>
      </c>
      <c r="L36" s="258" t="s">
        <v>141</v>
      </c>
    </row>
    <row r="37" ht="15.75" customHeight="1">
      <c r="A37" s="248" t="s">
        <v>197</v>
      </c>
      <c r="B37" s="11"/>
      <c r="C37" s="259"/>
      <c r="D37" s="11"/>
      <c r="E37" s="11"/>
      <c r="F37" s="259"/>
      <c r="G37" s="11"/>
      <c r="H37" s="259"/>
      <c r="I37" s="11"/>
      <c r="J37" s="259"/>
      <c r="K37" s="259"/>
      <c r="L37" s="259"/>
    </row>
    <row r="38" ht="15.75" customHeight="1">
      <c r="A38" s="243" t="s">
        <v>198</v>
      </c>
      <c r="B38" s="244">
        <v>1.52</v>
      </c>
      <c r="C38" s="244">
        <v>1.46</v>
      </c>
      <c r="D38" s="244">
        <v>1.09</v>
      </c>
      <c r="E38" s="244">
        <v>0.75</v>
      </c>
      <c r="F38" s="244">
        <v>1.73</v>
      </c>
      <c r="G38" s="244">
        <v>1.58</v>
      </c>
      <c r="H38" s="244">
        <v>1.62</v>
      </c>
      <c r="I38" s="244">
        <v>1.42</v>
      </c>
      <c r="J38" s="244">
        <v>1.91</v>
      </c>
      <c r="K38" s="244">
        <v>2.41</v>
      </c>
      <c r="L38" s="244">
        <v>2.41</v>
      </c>
    </row>
    <row r="39" ht="15.75" customHeight="1">
      <c r="A39" s="260" t="s">
        <v>130</v>
      </c>
      <c r="B39" s="261"/>
      <c r="C39" s="262" t="s">
        <v>199</v>
      </c>
      <c r="D39" s="262" t="s">
        <v>200</v>
      </c>
      <c r="E39" s="262" t="s">
        <v>201</v>
      </c>
      <c r="F39" s="263" t="s">
        <v>202</v>
      </c>
      <c r="G39" s="262" t="s">
        <v>203</v>
      </c>
      <c r="H39" s="263" t="s">
        <v>204</v>
      </c>
      <c r="I39" s="262" t="s">
        <v>205</v>
      </c>
      <c r="J39" s="263" t="s">
        <v>206</v>
      </c>
      <c r="K39" s="263" t="s">
        <v>207</v>
      </c>
      <c r="L39" s="264"/>
    </row>
    <row r="40" ht="15.75" customHeight="1">
      <c r="A40" s="243" t="s">
        <v>208</v>
      </c>
      <c r="B40" s="244">
        <v>9651.0</v>
      </c>
      <c r="C40" s="244">
        <v>9336.0</v>
      </c>
      <c r="D40" s="244">
        <v>9030.0</v>
      </c>
      <c r="E40" s="244">
        <v>8835.0</v>
      </c>
      <c r="F40" s="244">
        <v>8604.0</v>
      </c>
      <c r="G40" s="244">
        <v>8541.0</v>
      </c>
      <c r="H40" s="244">
        <v>8415.0</v>
      </c>
      <c r="I40" s="244">
        <v>8202.0</v>
      </c>
      <c r="J40" s="244">
        <v>8108.0</v>
      </c>
      <c r="K40" s="244">
        <v>8081.0</v>
      </c>
      <c r="L40" s="244">
        <v>8081.0</v>
      </c>
    </row>
    <row r="41" ht="15.75" customHeight="1">
      <c r="A41" s="260" t="s">
        <v>130</v>
      </c>
      <c r="B41" s="261"/>
      <c r="C41" s="262" t="s">
        <v>209</v>
      </c>
      <c r="D41" s="262" t="s">
        <v>209</v>
      </c>
      <c r="E41" s="262" t="s">
        <v>163</v>
      </c>
      <c r="F41" s="262" t="s">
        <v>210</v>
      </c>
      <c r="G41" s="262" t="s">
        <v>211</v>
      </c>
      <c r="H41" s="262" t="s">
        <v>212</v>
      </c>
      <c r="I41" s="262" t="s">
        <v>213</v>
      </c>
      <c r="J41" s="262" t="s">
        <v>214</v>
      </c>
      <c r="K41" s="262" t="s">
        <v>215</v>
      </c>
      <c r="L41" s="264"/>
    </row>
    <row r="42" ht="15.75" customHeight="1">
      <c r="A42" s="243" t="s">
        <v>216</v>
      </c>
      <c r="B42" s="244">
        <v>9621.0</v>
      </c>
      <c r="C42" s="244">
        <v>9303.0</v>
      </c>
      <c r="D42" s="244">
        <v>8985.0</v>
      </c>
      <c r="E42" s="244">
        <v>8787.0</v>
      </c>
      <c r="F42" s="244">
        <v>8550.0</v>
      </c>
      <c r="G42" s="244">
        <v>8493.0</v>
      </c>
      <c r="H42" s="244">
        <v>8376.0</v>
      </c>
      <c r="I42" s="244">
        <v>8171.0</v>
      </c>
      <c r="J42" s="244">
        <v>8077.0</v>
      </c>
      <c r="K42" s="244">
        <v>8041.0</v>
      </c>
      <c r="L42" s="244">
        <v>8041.0</v>
      </c>
    </row>
    <row r="43" ht="15.75" customHeight="1">
      <c r="A43" s="260" t="s">
        <v>130</v>
      </c>
      <c r="B43" s="261"/>
      <c r="C43" s="262" t="s">
        <v>209</v>
      </c>
      <c r="D43" s="262" t="s">
        <v>217</v>
      </c>
      <c r="E43" s="262" t="s">
        <v>163</v>
      </c>
      <c r="F43" s="262" t="s">
        <v>218</v>
      </c>
      <c r="G43" s="262" t="s">
        <v>211</v>
      </c>
      <c r="H43" s="262" t="s">
        <v>219</v>
      </c>
      <c r="I43" s="262" t="s">
        <v>220</v>
      </c>
      <c r="J43" s="262" t="s">
        <v>221</v>
      </c>
      <c r="K43" s="262" t="s">
        <v>222</v>
      </c>
      <c r="L43" s="264"/>
    </row>
    <row r="44" ht="15.75" customHeight="1">
      <c r="A44" s="243" t="s">
        <v>223</v>
      </c>
      <c r="B44" s="244">
        <v>0.65</v>
      </c>
      <c r="C44" s="244">
        <v>0.67</v>
      </c>
      <c r="D44" s="244">
        <v>0.68</v>
      </c>
      <c r="E44" s="244">
        <v>0.69</v>
      </c>
      <c r="F44" s="244">
        <v>0.71</v>
      </c>
      <c r="G44" s="244">
        <v>0.72</v>
      </c>
      <c r="H44" s="244">
        <v>0.73</v>
      </c>
      <c r="I44" s="244">
        <v>0.75</v>
      </c>
      <c r="J44" s="244">
        <v>0.76</v>
      </c>
      <c r="K44" s="244">
        <v>0.83</v>
      </c>
      <c r="L44" s="244">
        <v>0.83</v>
      </c>
    </row>
    <row r="45" ht="15.75" customHeight="1">
      <c r="A45" s="260" t="s">
        <v>130</v>
      </c>
      <c r="B45" s="261"/>
      <c r="C45" s="263" t="s">
        <v>224</v>
      </c>
      <c r="D45" s="263" t="s">
        <v>193</v>
      </c>
      <c r="E45" s="263" t="s">
        <v>193</v>
      </c>
      <c r="F45" s="263" t="s">
        <v>134</v>
      </c>
      <c r="G45" s="263" t="s">
        <v>134</v>
      </c>
      <c r="H45" s="263" t="s">
        <v>225</v>
      </c>
      <c r="I45" s="263" t="s">
        <v>225</v>
      </c>
      <c r="J45" s="263" t="s">
        <v>225</v>
      </c>
      <c r="K45" s="263" t="s">
        <v>168</v>
      </c>
      <c r="L45" s="264"/>
    </row>
    <row r="46" ht="15.75" customHeight="1">
      <c r="A46" s="243" t="s">
        <v>226</v>
      </c>
      <c r="B46" s="244" t="s">
        <v>227</v>
      </c>
      <c r="C46" s="244" t="s">
        <v>228</v>
      </c>
      <c r="D46" s="244" t="s">
        <v>229</v>
      </c>
      <c r="E46" s="244" t="s">
        <v>230</v>
      </c>
      <c r="F46" s="244" t="s">
        <v>231</v>
      </c>
      <c r="G46" s="244" t="s">
        <v>232</v>
      </c>
      <c r="H46" s="244" t="s">
        <v>233</v>
      </c>
      <c r="I46" s="244" t="s">
        <v>234</v>
      </c>
      <c r="J46" s="244" t="s">
        <v>235</v>
      </c>
      <c r="K46" s="244" t="s">
        <v>236</v>
      </c>
      <c r="L46" s="244" t="s">
        <v>236</v>
      </c>
    </row>
    <row r="47" ht="15.75" customHeight="1">
      <c r="A47" s="243" t="s">
        <v>237</v>
      </c>
      <c r="B47" s="244">
        <v>1.53</v>
      </c>
      <c r="C47" s="244">
        <v>1.47</v>
      </c>
      <c r="D47" s="244">
        <v>1.1</v>
      </c>
      <c r="E47" s="244">
        <v>0.76</v>
      </c>
      <c r="F47" s="244">
        <v>1.74</v>
      </c>
      <c r="G47" s="244">
        <v>1.59</v>
      </c>
      <c r="H47" s="244">
        <v>1.63</v>
      </c>
      <c r="I47" s="244">
        <v>1.43</v>
      </c>
      <c r="J47" s="244">
        <v>1.92</v>
      </c>
      <c r="K47" s="244">
        <v>2.42</v>
      </c>
      <c r="L47" s="244">
        <v>2.42</v>
      </c>
    </row>
    <row r="48" ht="15.75" customHeight="1">
      <c r="A48" s="243" t="s">
        <v>20</v>
      </c>
      <c r="B48" s="244">
        <v>33559.0</v>
      </c>
      <c r="C48" s="244">
        <v>32844.0</v>
      </c>
      <c r="D48" s="244">
        <v>31466.0</v>
      </c>
      <c r="E48" s="244">
        <v>32635.0</v>
      </c>
      <c r="F48" s="244">
        <v>32455.0</v>
      </c>
      <c r="G48" s="244">
        <v>33700.0</v>
      </c>
      <c r="H48" s="244">
        <v>36600.0</v>
      </c>
      <c r="I48" s="244">
        <v>35473.0</v>
      </c>
      <c r="J48" s="244">
        <v>38865.0</v>
      </c>
      <c r="K48" s="244">
        <v>42477.0</v>
      </c>
      <c r="L48" s="244">
        <v>42477.0</v>
      </c>
    </row>
    <row r="49" ht="15.75" customHeight="1">
      <c r="A49" s="260" t="s">
        <v>130</v>
      </c>
      <c r="B49" s="261"/>
      <c r="C49" s="262" t="s">
        <v>238</v>
      </c>
      <c r="D49" s="262" t="s">
        <v>199</v>
      </c>
      <c r="E49" s="263" t="s">
        <v>239</v>
      </c>
      <c r="F49" s="262" t="s">
        <v>240</v>
      </c>
      <c r="G49" s="263" t="s">
        <v>241</v>
      </c>
      <c r="H49" s="263" t="s">
        <v>242</v>
      </c>
      <c r="I49" s="262" t="s">
        <v>243</v>
      </c>
      <c r="J49" s="263" t="s">
        <v>244</v>
      </c>
      <c r="K49" s="263" t="s">
        <v>245</v>
      </c>
      <c r="L49" s="264"/>
    </row>
    <row r="50" ht="15.75" customHeight="1">
      <c r="A50" s="243" t="s">
        <v>246</v>
      </c>
      <c r="B50" s="244">
        <v>36059.0</v>
      </c>
      <c r="C50" s="244">
        <v>35444.0</v>
      </c>
      <c r="D50" s="244">
        <v>34366.0</v>
      </c>
      <c r="E50" s="244">
        <v>35635.0</v>
      </c>
      <c r="F50" s="244">
        <v>35816.0</v>
      </c>
      <c r="G50" s="244">
        <v>37103.0</v>
      </c>
      <c r="H50" s="244">
        <v>39697.0</v>
      </c>
      <c r="I50" s="244">
        <v>38678.0</v>
      </c>
      <c r="J50" s="244">
        <v>42224.0</v>
      </c>
      <c r="K50" s="245"/>
      <c r="L50" s="245"/>
    </row>
    <row r="51" ht="15.75" customHeight="1">
      <c r="A51" s="243" t="s">
        <v>247</v>
      </c>
      <c r="B51" s="244">
        <v>2500.0</v>
      </c>
      <c r="C51" s="244">
        <v>2900.0</v>
      </c>
      <c r="D51" s="244">
        <v>3100.0</v>
      </c>
      <c r="E51" s="244">
        <v>3500.0</v>
      </c>
      <c r="F51" s="244">
        <v>3700.0</v>
      </c>
      <c r="G51" s="244">
        <v>3200.0</v>
      </c>
      <c r="H51" s="244">
        <v>3900.0</v>
      </c>
      <c r="I51" s="244">
        <v>4100.0</v>
      </c>
      <c r="J51" s="244">
        <v>4400.0</v>
      </c>
      <c r="K51" s="245"/>
      <c r="L51" s="245"/>
    </row>
    <row r="52" ht="15.75" customHeight="1">
      <c r="A52" s="243" t="s">
        <v>248</v>
      </c>
      <c r="B52" s="244" t="s">
        <v>249</v>
      </c>
      <c r="C52" s="244" t="s">
        <v>249</v>
      </c>
      <c r="D52" s="244" t="s">
        <v>250</v>
      </c>
      <c r="E52" s="244" t="s">
        <v>251</v>
      </c>
      <c r="F52" s="244" t="s">
        <v>155</v>
      </c>
      <c r="G52" s="244" t="s">
        <v>252</v>
      </c>
      <c r="H52" s="244" t="s">
        <v>151</v>
      </c>
      <c r="I52" s="244" t="s">
        <v>253</v>
      </c>
      <c r="J52" s="244" t="s">
        <v>254</v>
      </c>
      <c r="K52" s="244" t="s">
        <v>255</v>
      </c>
      <c r="L52" s="244" t="s">
        <v>255</v>
      </c>
    </row>
    <row r="53" ht="15.75" customHeight="1">
      <c r="A53" s="248" t="s">
        <v>256</v>
      </c>
      <c r="B53" s="259"/>
      <c r="C53" s="259"/>
      <c r="D53" s="259"/>
      <c r="E53" s="259"/>
      <c r="F53" s="259"/>
      <c r="G53" s="259"/>
      <c r="H53" s="259"/>
      <c r="I53" s="259"/>
      <c r="J53" s="259"/>
      <c r="K53" s="259"/>
      <c r="L53" s="259"/>
    </row>
    <row r="54" ht="15.75" customHeight="1">
      <c r="A54" s="243" t="s">
        <v>257</v>
      </c>
      <c r="B54" s="244">
        <v>183508.11</v>
      </c>
      <c r="C54" s="244">
        <v>216590.07</v>
      </c>
      <c r="D54" s="244">
        <v>260812.57</v>
      </c>
      <c r="E54" s="244">
        <v>293693.5</v>
      </c>
      <c r="F54" s="244">
        <v>333520.75</v>
      </c>
      <c r="G54" s="244">
        <v>393183.22</v>
      </c>
      <c r="H54" s="244">
        <v>416657.34</v>
      </c>
      <c r="I54" s="244">
        <v>386317.48</v>
      </c>
      <c r="J54" s="244">
        <v>439828.45</v>
      </c>
      <c r="K54" s="244">
        <v>658734.68</v>
      </c>
      <c r="L54" s="244">
        <v>658734.68</v>
      </c>
    </row>
    <row r="55" ht="15.75" customHeight="1">
      <c r="A55" s="243" t="s">
        <v>258</v>
      </c>
      <c r="B55" s="244" t="s">
        <v>259</v>
      </c>
      <c r="C55" s="244" t="s">
        <v>260</v>
      </c>
      <c r="D55" s="244" t="s">
        <v>261</v>
      </c>
      <c r="E55" s="244" t="s">
        <v>262</v>
      </c>
      <c r="F55" s="244" t="s">
        <v>263</v>
      </c>
      <c r="G55" s="244" t="s">
        <v>264</v>
      </c>
      <c r="H55" s="244" t="s">
        <v>265</v>
      </c>
      <c r="I55" s="244" t="s">
        <v>266</v>
      </c>
      <c r="J55" s="244" t="s">
        <v>267</v>
      </c>
      <c r="K55" s="244" t="s">
        <v>268</v>
      </c>
      <c r="L55" s="244" t="s">
        <v>268</v>
      </c>
    </row>
    <row r="56" ht="15.75" customHeight="1">
      <c r="A56" s="243" t="s">
        <v>269</v>
      </c>
      <c r="B56" s="244">
        <v>230701.11</v>
      </c>
      <c r="C56" s="244">
        <v>259641.07</v>
      </c>
      <c r="D56" s="244">
        <v>304994.57</v>
      </c>
      <c r="E56" s="244">
        <v>334644.5</v>
      </c>
      <c r="F56" s="244">
        <v>406370.75</v>
      </c>
      <c r="G56" s="244">
        <v>452406.22</v>
      </c>
      <c r="H56" s="244">
        <v>461919.34</v>
      </c>
      <c r="I56" s="244">
        <v>447880.48</v>
      </c>
      <c r="J56" s="244">
        <v>498804.45</v>
      </c>
      <c r="K56" s="244">
        <v>719418.68</v>
      </c>
      <c r="L56" s="244">
        <v>719418.68</v>
      </c>
    </row>
    <row r="57" ht="15.75" customHeight="1">
      <c r="A57" s="265" t="s">
        <v>270</v>
      </c>
      <c r="B57" s="259"/>
      <c r="C57" s="259"/>
      <c r="D57" s="259"/>
      <c r="E57" s="259"/>
      <c r="F57" s="259"/>
      <c r="G57" s="259"/>
      <c r="H57" s="259"/>
      <c r="I57" s="259"/>
      <c r="J57" s="259"/>
      <c r="K57" s="259"/>
      <c r="L57" s="259"/>
    </row>
    <row r="58" ht="15.75" customHeight="1">
      <c r="A58" s="265" t="s">
        <v>271</v>
      </c>
      <c r="B58" s="259"/>
      <c r="C58" s="259"/>
      <c r="D58" s="259"/>
      <c r="E58" s="259"/>
      <c r="F58" s="259"/>
      <c r="G58" s="259"/>
      <c r="H58" s="259"/>
      <c r="I58" s="259"/>
      <c r="J58" s="259"/>
      <c r="K58" s="259"/>
      <c r="L58" s="259"/>
    </row>
    <row r="59" ht="15.75" customHeight="1">
      <c r="A59" s="266" t="s">
        <v>272</v>
      </c>
      <c r="B59" s="259"/>
      <c r="C59" s="259"/>
      <c r="D59" s="259"/>
      <c r="E59" s="259"/>
      <c r="F59" s="259"/>
      <c r="G59" s="259"/>
      <c r="H59" s="259"/>
      <c r="I59" s="259"/>
      <c r="J59" s="259"/>
      <c r="K59" s="259"/>
      <c r="L59" s="259"/>
    </row>
    <row r="60" ht="15.75" customHeight="1">
      <c r="A60" s="266" t="s">
        <v>273</v>
      </c>
      <c r="B60" s="259"/>
      <c r="C60" s="259"/>
      <c r="D60" s="259"/>
      <c r="E60" s="259"/>
      <c r="F60" s="259"/>
      <c r="G60" s="259"/>
      <c r="H60" s="259"/>
      <c r="I60" s="259"/>
      <c r="J60" s="259"/>
      <c r="K60" s="259"/>
      <c r="L60" s="259"/>
    </row>
    <row r="61" ht="15.75" customHeight="1">
      <c r="B61" s="259"/>
      <c r="C61" s="259"/>
      <c r="D61" s="259"/>
      <c r="E61" s="259"/>
      <c r="F61" s="259"/>
      <c r="G61" s="259"/>
      <c r="H61" s="259"/>
      <c r="I61" s="259"/>
      <c r="J61" s="259"/>
      <c r="K61" s="259"/>
      <c r="L61" s="259"/>
    </row>
    <row r="62" ht="15.75" customHeight="1">
      <c r="B62" s="259"/>
      <c r="C62" s="259"/>
      <c r="D62" s="259"/>
      <c r="E62" s="259"/>
      <c r="F62" s="259"/>
      <c r="G62" s="259"/>
      <c r="H62" s="259"/>
      <c r="I62" s="259"/>
      <c r="J62" s="259"/>
      <c r="K62" s="259"/>
      <c r="L62" s="259"/>
    </row>
    <row r="63" ht="15.75" customHeight="1">
      <c r="B63" s="259"/>
      <c r="C63" s="259"/>
      <c r="D63" s="259"/>
      <c r="E63" s="259"/>
      <c r="F63" s="259"/>
      <c r="G63" s="259"/>
      <c r="H63" s="259"/>
      <c r="I63" s="259"/>
      <c r="J63" s="259"/>
      <c r="K63" s="259"/>
      <c r="L63" s="259"/>
    </row>
    <row r="64" ht="15.75" customHeight="1">
      <c r="B64" s="259"/>
      <c r="C64" s="259"/>
      <c r="D64" s="259"/>
      <c r="E64" s="259"/>
      <c r="F64" s="259"/>
      <c r="G64" s="259"/>
      <c r="H64" s="259"/>
      <c r="I64" s="259"/>
      <c r="J64" s="259"/>
      <c r="K64" s="259"/>
      <c r="L64" s="259"/>
    </row>
    <row r="65" ht="15.75" customHeight="1">
      <c r="B65" s="11"/>
      <c r="C65" s="11"/>
      <c r="D65" s="11"/>
      <c r="E65" s="11"/>
      <c r="F65" s="11"/>
      <c r="G65" s="11"/>
      <c r="H65" s="11"/>
      <c r="I65" s="11"/>
      <c r="J65" s="11"/>
      <c r="K65" s="11"/>
      <c r="L65" s="11"/>
    </row>
    <row r="66" ht="15.75" customHeight="1">
      <c r="B66" s="259"/>
      <c r="C66" s="259"/>
      <c r="D66" s="259"/>
      <c r="E66" s="259"/>
      <c r="F66" s="259"/>
      <c r="G66" s="259"/>
      <c r="H66" s="259"/>
      <c r="I66" s="259"/>
      <c r="J66" s="259"/>
      <c r="K66" s="259"/>
      <c r="L66" s="259"/>
    </row>
    <row r="67" ht="15.75" customHeight="1">
      <c r="B67" s="259"/>
      <c r="C67" s="259"/>
      <c r="D67" s="259"/>
      <c r="E67" s="259"/>
      <c r="F67" s="259"/>
      <c r="G67" s="259"/>
      <c r="H67" s="259"/>
      <c r="I67" s="259"/>
      <c r="J67" s="259"/>
      <c r="K67" s="259"/>
      <c r="L67" s="259"/>
    </row>
    <row r="68" ht="15.75" customHeight="1">
      <c r="B68" s="259"/>
      <c r="C68" s="259"/>
      <c r="D68" s="259"/>
      <c r="E68" s="259"/>
      <c r="F68" s="259"/>
      <c r="G68" s="259"/>
      <c r="H68" s="259"/>
      <c r="I68" s="259"/>
      <c r="J68" s="259"/>
      <c r="K68" s="259"/>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 r:id="rId2" ref="B9"/>
    <hyperlink r:id="rId3" ref="B14"/>
    <hyperlink r:id="rId4" ref="B39"/>
    <hyperlink r:id="rId5" ref="B41"/>
    <hyperlink r:id="rId6" ref="B43"/>
    <hyperlink r:id="rId7" ref="B45"/>
    <hyperlink r:id="rId8" ref="B49"/>
    <hyperlink r:id="rId9" ref="A59"/>
    <hyperlink r:id="rId10" ref="A60"/>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8" t="s">
        <v>274</v>
      </c>
      <c r="B1" s="239">
        <v>42400.0</v>
      </c>
      <c r="C1" s="239">
        <v>42766.0</v>
      </c>
      <c r="D1" s="239">
        <v>43131.0</v>
      </c>
      <c r="E1" s="239">
        <v>43496.0</v>
      </c>
      <c r="F1" s="239">
        <v>43861.0</v>
      </c>
      <c r="G1" s="239">
        <v>44227.0</v>
      </c>
      <c r="H1" s="239">
        <v>44592.0</v>
      </c>
      <c r="I1" s="239">
        <v>44957.0</v>
      </c>
      <c r="J1" s="239">
        <v>45322.0</v>
      </c>
      <c r="K1" s="239">
        <v>45688.0</v>
      </c>
      <c r="L1" s="240" t="s">
        <v>96</v>
      </c>
    </row>
    <row r="2">
      <c r="A2" s="241"/>
      <c r="B2" s="242"/>
      <c r="C2" s="242"/>
      <c r="D2" s="242"/>
      <c r="E2" s="242"/>
      <c r="F2" s="242"/>
      <c r="G2" s="242"/>
      <c r="H2" s="242"/>
      <c r="I2" s="242"/>
      <c r="J2" s="242"/>
      <c r="K2" s="242"/>
      <c r="L2" s="242"/>
    </row>
    <row r="3">
      <c r="A3" s="243" t="s">
        <v>275</v>
      </c>
      <c r="B3" s="267">
        <v>8705.0</v>
      </c>
      <c r="C3" s="267">
        <v>6867.0</v>
      </c>
      <c r="D3" s="267">
        <v>6756.0</v>
      </c>
      <c r="E3" s="267">
        <v>7722.0</v>
      </c>
      <c r="F3" s="267">
        <v>9465.0</v>
      </c>
      <c r="G3" s="244">
        <v>17741.0</v>
      </c>
      <c r="H3" s="244">
        <v>14760.0</v>
      </c>
      <c r="I3" s="267">
        <v>8625.0</v>
      </c>
      <c r="J3" s="267">
        <v>9867.0</v>
      </c>
      <c r="K3" s="267">
        <v>9037.0</v>
      </c>
      <c r="L3" s="267">
        <v>9037.0</v>
      </c>
    </row>
    <row r="4">
      <c r="A4" s="243" t="s">
        <v>276</v>
      </c>
      <c r="B4" s="245"/>
      <c r="C4" s="245"/>
      <c r="D4" s="245"/>
      <c r="E4" s="245"/>
      <c r="F4" s="245"/>
      <c r="G4" s="245"/>
      <c r="H4" s="245"/>
      <c r="I4" s="245"/>
      <c r="J4" s="245"/>
      <c r="K4" s="245"/>
      <c r="L4" s="245"/>
    </row>
    <row r="5">
      <c r="A5" s="246" t="s">
        <v>277</v>
      </c>
      <c r="B5" s="247">
        <v>8705.0</v>
      </c>
      <c r="C5" s="247">
        <v>6867.0</v>
      </c>
      <c r="D5" s="247">
        <v>6756.0</v>
      </c>
      <c r="E5" s="247">
        <v>7722.0</v>
      </c>
      <c r="F5" s="247">
        <v>9465.0</v>
      </c>
      <c r="G5" s="247">
        <v>17741.0</v>
      </c>
      <c r="H5" s="247">
        <v>14760.0</v>
      </c>
      <c r="I5" s="247">
        <v>8625.0</v>
      </c>
      <c r="J5" s="247">
        <v>9867.0</v>
      </c>
      <c r="K5" s="247">
        <v>9037.0</v>
      </c>
      <c r="L5" s="247">
        <v>9037.0</v>
      </c>
    </row>
    <row r="6">
      <c r="A6" s="243" t="s">
        <v>278</v>
      </c>
      <c r="B6" s="244">
        <v>5624.0</v>
      </c>
      <c r="C6" s="244">
        <v>5835.0</v>
      </c>
      <c r="D6" s="244">
        <v>5614.0</v>
      </c>
      <c r="E6" s="244">
        <v>6283.0</v>
      </c>
      <c r="F6" s="244">
        <v>6284.0</v>
      </c>
      <c r="G6" s="244">
        <v>6516.0</v>
      </c>
      <c r="H6" s="244">
        <v>8280.0</v>
      </c>
      <c r="I6" s="244">
        <v>7933.0</v>
      </c>
      <c r="J6" s="244">
        <v>8796.0</v>
      </c>
      <c r="K6" s="244">
        <v>9975.0</v>
      </c>
      <c r="L6" s="244">
        <v>9975.0</v>
      </c>
    </row>
    <row r="7">
      <c r="A7" s="246" t="s">
        <v>279</v>
      </c>
      <c r="B7" s="247">
        <v>5624.0</v>
      </c>
      <c r="C7" s="247">
        <v>5835.0</v>
      </c>
      <c r="D7" s="247">
        <v>5614.0</v>
      </c>
      <c r="E7" s="247">
        <v>6283.0</v>
      </c>
      <c r="F7" s="247">
        <v>6284.0</v>
      </c>
      <c r="G7" s="247">
        <v>6516.0</v>
      </c>
      <c r="H7" s="247">
        <v>8280.0</v>
      </c>
      <c r="I7" s="247">
        <v>7933.0</v>
      </c>
      <c r="J7" s="247">
        <v>8796.0</v>
      </c>
      <c r="K7" s="247">
        <v>9975.0</v>
      </c>
      <c r="L7" s="247">
        <v>9975.0</v>
      </c>
    </row>
    <row r="8">
      <c r="A8" s="243" t="s">
        <v>280</v>
      </c>
      <c r="B8" s="244">
        <v>44469.0</v>
      </c>
      <c r="C8" s="244">
        <v>43046.0</v>
      </c>
      <c r="D8" s="244">
        <v>43783.0</v>
      </c>
      <c r="E8" s="244">
        <v>44269.0</v>
      </c>
      <c r="F8" s="244">
        <v>44435.0</v>
      </c>
      <c r="G8" s="244">
        <v>44949.0</v>
      </c>
      <c r="H8" s="244">
        <v>56511.0</v>
      </c>
      <c r="I8" s="244">
        <v>56576.0</v>
      </c>
      <c r="J8" s="244">
        <v>54892.0</v>
      </c>
      <c r="K8" s="244">
        <v>56435.0</v>
      </c>
      <c r="L8" s="244">
        <v>56435.0</v>
      </c>
    </row>
    <row r="9">
      <c r="A9" s="243" t="s">
        <v>281</v>
      </c>
      <c r="B9" s="244">
        <v>1441.0</v>
      </c>
      <c r="C9" s="244">
        <v>1941.0</v>
      </c>
      <c r="D9" s="244">
        <v>3511.0</v>
      </c>
      <c r="E9" s="244">
        <v>3623.0</v>
      </c>
      <c r="F9" s="244">
        <v>1622.0</v>
      </c>
      <c r="G9" s="244">
        <v>1661.0</v>
      </c>
      <c r="H9" s="244">
        <v>1519.0</v>
      </c>
      <c r="I9" s="244">
        <v>2521.0</v>
      </c>
      <c r="J9" s="244">
        <v>3322.0</v>
      </c>
      <c r="K9" s="244">
        <v>4011.0</v>
      </c>
      <c r="L9" s="244">
        <v>4011.0</v>
      </c>
    </row>
    <row r="10">
      <c r="A10" s="243" t="s">
        <v>282</v>
      </c>
      <c r="B10" s="245"/>
      <c r="C10" s="245"/>
      <c r="D10" s="245"/>
      <c r="E10" s="245"/>
      <c r="F10" s="245"/>
      <c r="G10" s="245"/>
      <c r="H10" s="245"/>
      <c r="I10" s="245"/>
      <c r="J10" s="245"/>
      <c r="K10" s="245"/>
      <c r="L10" s="245"/>
    </row>
    <row r="11">
      <c r="A11" s="243" t="s">
        <v>283</v>
      </c>
      <c r="B11" s="245"/>
      <c r="C11" s="245"/>
      <c r="D11" s="245"/>
      <c r="E11" s="245"/>
      <c r="F11" s="245"/>
      <c r="G11" s="244">
        <v>19200.0</v>
      </c>
      <c r="H11" s="245"/>
      <c r="I11" s="245"/>
      <c r="J11" s="245"/>
      <c r="K11" s="245"/>
      <c r="L11" s="245"/>
    </row>
    <row r="12">
      <c r="A12" s="246" t="s">
        <v>284</v>
      </c>
      <c r="B12" s="247">
        <v>60239.0</v>
      </c>
      <c r="C12" s="247">
        <v>57689.0</v>
      </c>
      <c r="D12" s="247">
        <v>59664.0</v>
      </c>
      <c r="E12" s="247">
        <v>61897.0</v>
      </c>
      <c r="F12" s="247">
        <v>61806.0</v>
      </c>
      <c r="G12" s="247">
        <v>90067.0</v>
      </c>
      <c r="H12" s="247">
        <v>81070.0</v>
      </c>
      <c r="I12" s="247">
        <v>75655.0</v>
      </c>
      <c r="J12" s="247">
        <v>76877.0</v>
      </c>
      <c r="K12" s="247">
        <v>79458.0</v>
      </c>
      <c r="L12" s="247">
        <v>79458.0</v>
      </c>
    </row>
    <row r="13">
      <c r="A13" s="243" t="s">
        <v>285</v>
      </c>
      <c r="B13" s="244">
        <v>188054.0</v>
      </c>
      <c r="C13" s="244">
        <v>191129.0</v>
      </c>
      <c r="D13" s="244">
        <v>197857.0</v>
      </c>
      <c r="E13" s="244">
        <v>198570.0</v>
      </c>
      <c r="F13" s="244">
        <v>217349.0</v>
      </c>
      <c r="G13" s="244">
        <v>198218.0</v>
      </c>
      <c r="H13" s="244">
        <v>207433.0</v>
      </c>
      <c r="I13" s="244">
        <v>220844.0</v>
      </c>
      <c r="J13" s="244">
        <v>239387.0</v>
      </c>
      <c r="K13" s="244">
        <v>263350.0</v>
      </c>
      <c r="L13" s="244">
        <v>263350.0</v>
      </c>
    </row>
    <row r="14">
      <c r="A14" s="243" t="s">
        <v>286</v>
      </c>
      <c r="B14" s="252">
        <v>-71538.0</v>
      </c>
      <c r="C14" s="252">
        <v>-76951.0</v>
      </c>
      <c r="D14" s="252">
        <v>-83039.0</v>
      </c>
      <c r="E14" s="252">
        <v>-87175.0</v>
      </c>
      <c r="F14" s="252">
        <v>-90300.0</v>
      </c>
      <c r="G14" s="252">
        <v>-88370.0</v>
      </c>
      <c r="H14" s="252">
        <v>-94809.0</v>
      </c>
      <c r="I14" s="252">
        <v>-101610.0</v>
      </c>
      <c r="J14" s="252">
        <v>-109049.0</v>
      </c>
      <c r="K14" s="252">
        <v>-123646.0</v>
      </c>
      <c r="L14" s="252">
        <v>-123646.0</v>
      </c>
    </row>
    <row r="15">
      <c r="A15" s="246" t="s">
        <v>287</v>
      </c>
      <c r="B15" s="247">
        <v>116516.0</v>
      </c>
      <c r="C15" s="247">
        <v>114178.0</v>
      </c>
      <c r="D15" s="247">
        <v>114818.0</v>
      </c>
      <c r="E15" s="247">
        <v>111395.0</v>
      </c>
      <c r="F15" s="247">
        <v>127049.0</v>
      </c>
      <c r="G15" s="247">
        <v>109848.0</v>
      </c>
      <c r="H15" s="247">
        <v>112624.0</v>
      </c>
      <c r="I15" s="247">
        <v>119234.0</v>
      </c>
      <c r="J15" s="247">
        <v>130338.0</v>
      </c>
      <c r="K15" s="247">
        <v>139704.0</v>
      </c>
      <c r="L15" s="247">
        <v>139704.0</v>
      </c>
    </row>
    <row r="16">
      <c r="A16" s="243" t="s">
        <v>288</v>
      </c>
      <c r="B16" s="244">
        <v>621.0</v>
      </c>
      <c r="C16" s="244">
        <v>479.0</v>
      </c>
      <c r="D16" s="244">
        <v>7614.0</v>
      </c>
      <c r="E16" s="244">
        <v>3995.0</v>
      </c>
      <c r="F16" s="244">
        <v>5990.0</v>
      </c>
      <c r="G16" s="244">
        <v>14899.0</v>
      </c>
      <c r="H16" s="244">
        <v>12888.0</v>
      </c>
      <c r="I16" s="244">
        <v>11169.0</v>
      </c>
      <c r="J16" s="244">
        <v>8449.0</v>
      </c>
      <c r="K16" s="245"/>
      <c r="L16" s="245"/>
    </row>
    <row r="17">
      <c r="A17" s="243" t="s">
        <v>289</v>
      </c>
      <c r="B17" s="244">
        <v>16695.0</v>
      </c>
      <c r="C17" s="244">
        <v>17037.0</v>
      </c>
      <c r="D17" s="244">
        <v>18242.0</v>
      </c>
      <c r="E17" s="244">
        <v>31181.0</v>
      </c>
      <c r="F17" s="244">
        <v>31073.0</v>
      </c>
      <c r="G17" s="244">
        <v>28983.0</v>
      </c>
      <c r="H17" s="244">
        <v>29014.0</v>
      </c>
      <c r="I17" s="244">
        <v>28174.0</v>
      </c>
      <c r="J17" s="244">
        <v>28113.0</v>
      </c>
      <c r="K17" s="244">
        <v>28792.0</v>
      </c>
      <c r="L17" s="244">
        <v>28792.0</v>
      </c>
    </row>
    <row r="18">
      <c r="A18" s="243" t="s">
        <v>290</v>
      </c>
      <c r="B18" s="245"/>
      <c r="C18" s="245"/>
      <c r="D18" s="245"/>
      <c r="E18" s="244">
        <v>5800.0</v>
      </c>
      <c r="F18" s="244">
        <v>5200.0</v>
      </c>
      <c r="G18" s="244">
        <v>4900.0</v>
      </c>
      <c r="H18" s="244">
        <v>4800.0</v>
      </c>
      <c r="I18" s="244">
        <v>4300.0</v>
      </c>
      <c r="J18" s="244">
        <v>4100.0</v>
      </c>
      <c r="K18" s="245"/>
      <c r="L18" s="245"/>
    </row>
    <row r="19">
      <c r="A19" s="243" t="s">
        <v>291</v>
      </c>
      <c r="B19" s="244">
        <v>1504.0</v>
      </c>
      <c r="C19" s="244">
        <v>1565.0</v>
      </c>
      <c r="D19" s="244">
        <v>1879.0</v>
      </c>
      <c r="E19" s="244">
        <v>1796.0</v>
      </c>
      <c r="F19" s="244">
        <v>1914.0</v>
      </c>
      <c r="G19" s="244">
        <v>1836.0</v>
      </c>
      <c r="H19" s="244">
        <v>1473.0</v>
      </c>
      <c r="I19" s="244">
        <v>1503.0</v>
      </c>
      <c r="J19" s="244">
        <v>1663.0</v>
      </c>
      <c r="K19" s="245"/>
      <c r="L19" s="245"/>
    </row>
    <row r="20">
      <c r="A20" s="243" t="s">
        <v>292</v>
      </c>
      <c r="B20" s="244">
        <v>4006.0</v>
      </c>
      <c r="C20" s="244">
        <v>7877.0</v>
      </c>
      <c r="D20" s="244">
        <v>2305.0</v>
      </c>
      <c r="E20" s="244">
        <v>3231.0</v>
      </c>
      <c r="F20" s="244">
        <v>3463.0</v>
      </c>
      <c r="G20" s="244">
        <v>1963.0</v>
      </c>
      <c r="H20" s="244">
        <v>2991.0</v>
      </c>
      <c r="I20" s="244">
        <v>3162.0</v>
      </c>
      <c r="J20" s="244">
        <v>2859.0</v>
      </c>
      <c r="K20" s="244">
        <v>12869.0</v>
      </c>
      <c r="L20" s="244">
        <v>12869.0</v>
      </c>
    </row>
    <row r="21" ht="15.75" customHeight="1">
      <c r="A21" s="253" t="s">
        <v>293</v>
      </c>
      <c r="B21" s="254">
        <v>199581.0</v>
      </c>
      <c r="C21" s="254">
        <v>198825.0</v>
      </c>
      <c r="D21" s="254">
        <v>204522.0</v>
      </c>
      <c r="E21" s="254">
        <v>219295.0</v>
      </c>
      <c r="F21" s="254">
        <v>236495.0</v>
      </c>
      <c r="G21" s="254">
        <v>252496.0</v>
      </c>
      <c r="H21" s="254">
        <v>244860.0</v>
      </c>
      <c r="I21" s="254">
        <v>243197.0</v>
      </c>
      <c r="J21" s="254">
        <v>252399.0</v>
      </c>
      <c r="K21" s="254">
        <v>260823.0</v>
      </c>
      <c r="L21" s="254">
        <v>260823.0</v>
      </c>
    </row>
    <row r="22" ht="15.75" customHeight="1">
      <c r="A22" s="243" t="s">
        <v>294</v>
      </c>
      <c r="B22" s="244">
        <v>38487.0</v>
      </c>
      <c r="C22" s="244">
        <v>41433.0</v>
      </c>
      <c r="D22" s="244">
        <v>46092.0</v>
      </c>
      <c r="E22" s="244">
        <v>47060.0</v>
      </c>
      <c r="F22" s="244">
        <v>46973.0</v>
      </c>
      <c r="G22" s="244">
        <v>49141.0</v>
      </c>
      <c r="H22" s="244">
        <v>55261.0</v>
      </c>
      <c r="I22" s="244">
        <v>53742.0</v>
      </c>
      <c r="J22" s="244">
        <v>56812.0</v>
      </c>
      <c r="K22" s="244">
        <v>58666.0</v>
      </c>
      <c r="L22" s="244">
        <v>58666.0</v>
      </c>
    </row>
    <row r="23" ht="15.75" customHeight="1">
      <c r="A23" s="243" t="s">
        <v>295</v>
      </c>
      <c r="B23" s="244">
        <v>19607.0</v>
      </c>
      <c r="C23" s="244">
        <v>18798.0</v>
      </c>
      <c r="D23" s="244">
        <v>20105.0</v>
      </c>
      <c r="E23" s="244">
        <v>20227.0</v>
      </c>
      <c r="F23" s="244">
        <v>13601.0</v>
      </c>
      <c r="G23" s="244">
        <v>22922.0</v>
      </c>
      <c r="H23" s="244">
        <v>23501.0</v>
      </c>
      <c r="I23" s="244">
        <v>25689.0</v>
      </c>
      <c r="J23" s="244">
        <v>26095.0</v>
      </c>
      <c r="K23" s="244">
        <v>29345.0</v>
      </c>
      <c r="L23" s="244">
        <v>29345.0</v>
      </c>
    </row>
    <row r="24" ht="15.75" customHeight="1">
      <c r="A24" s="243" t="s">
        <v>296</v>
      </c>
      <c r="B24" s="244">
        <v>2708.0</v>
      </c>
      <c r="C24" s="244">
        <v>1099.0</v>
      </c>
      <c r="D24" s="244">
        <v>5257.0</v>
      </c>
      <c r="E24" s="244">
        <v>5225.0</v>
      </c>
      <c r="F24" s="244">
        <v>575.0</v>
      </c>
      <c r="G24" s="244">
        <v>224.0</v>
      </c>
      <c r="H24" s="244">
        <v>410.0</v>
      </c>
      <c r="I24" s="244">
        <v>372.0</v>
      </c>
      <c r="J24" s="244">
        <v>878.0</v>
      </c>
      <c r="K24" s="244">
        <v>3068.0</v>
      </c>
      <c r="L24" s="244">
        <v>3068.0</v>
      </c>
    </row>
    <row r="25" ht="15.75" customHeight="1">
      <c r="A25" s="243" t="s">
        <v>297</v>
      </c>
      <c r="B25" s="244">
        <v>2745.0</v>
      </c>
      <c r="C25" s="244">
        <v>2256.0</v>
      </c>
      <c r="D25" s="244">
        <v>3738.0</v>
      </c>
      <c r="E25" s="244">
        <v>1876.0</v>
      </c>
      <c r="F25" s="244">
        <v>5362.0</v>
      </c>
      <c r="G25" s="244">
        <v>3115.0</v>
      </c>
      <c r="H25" s="244">
        <v>2803.0</v>
      </c>
      <c r="I25" s="244">
        <v>4191.0</v>
      </c>
      <c r="J25" s="244">
        <v>3447.0</v>
      </c>
      <c r="K25" s="244">
        <v>2598.0</v>
      </c>
      <c r="L25" s="244">
        <v>2598.0</v>
      </c>
    </row>
    <row r="26" ht="15.75" customHeight="1">
      <c r="A26" s="243" t="s">
        <v>298</v>
      </c>
      <c r="B26" s="244">
        <v>551.0</v>
      </c>
      <c r="C26" s="244">
        <v>565.0</v>
      </c>
      <c r="D26" s="244">
        <v>667.0</v>
      </c>
      <c r="E26" s="244">
        <v>729.0</v>
      </c>
      <c r="F26" s="244">
        <v>2304.0</v>
      </c>
      <c r="G26" s="244">
        <v>1957.0</v>
      </c>
      <c r="H26" s="244">
        <v>1994.0</v>
      </c>
      <c r="I26" s="244">
        <v>2040.0</v>
      </c>
      <c r="J26" s="244">
        <v>2212.0</v>
      </c>
      <c r="K26" s="244">
        <v>2299.0</v>
      </c>
      <c r="L26" s="244">
        <v>2299.0</v>
      </c>
    </row>
    <row r="27" ht="15.75" customHeight="1">
      <c r="A27" s="243" t="s">
        <v>299</v>
      </c>
      <c r="B27" s="244">
        <v>521.0</v>
      </c>
      <c r="C27" s="244">
        <v>921.0</v>
      </c>
      <c r="D27" s="244">
        <v>645.0</v>
      </c>
      <c r="E27" s="244">
        <v>428.0</v>
      </c>
      <c r="F27" s="244">
        <v>280.0</v>
      </c>
      <c r="G27" s="244">
        <v>242.0</v>
      </c>
      <c r="H27" s="244">
        <v>851.0</v>
      </c>
      <c r="I27" s="244">
        <v>727.0</v>
      </c>
      <c r="J27" s="244">
        <v>307.0</v>
      </c>
      <c r="K27" s="244">
        <v>608.0</v>
      </c>
      <c r="L27" s="244">
        <v>608.0</v>
      </c>
    </row>
    <row r="28" ht="15.75" customHeight="1">
      <c r="A28" s="243" t="s">
        <v>300</v>
      </c>
      <c r="B28" s="245"/>
      <c r="C28" s="244">
        <v>1856.0</v>
      </c>
      <c r="D28" s="244">
        <v>2017.0</v>
      </c>
      <c r="E28" s="244">
        <v>1932.0</v>
      </c>
      <c r="F28" s="244">
        <v>1990.0</v>
      </c>
      <c r="G28" s="244">
        <v>2310.0</v>
      </c>
      <c r="H28" s="244">
        <v>2559.0</v>
      </c>
      <c r="I28" s="244">
        <v>2488.0</v>
      </c>
      <c r="J28" s="244">
        <v>2664.0</v>
      </c>
      <c r="K28" s="245"/>
      <c r="L28" s="245"/>
    </row>
    <row r="29" ht="15.75" customHeight="1">
      <c r="A29" s="243" t="s">
        <v>301</v>
      </c>
      <c r="B29" s="245"/>
      <c r="C29" s="245"/>
      <c r="D29" s="245"/>
      <c r="E29" s="245"/>
      <c r="F29" s="244">
        <v>6705.0</v>
      </c>
      <c r="G29" s="244">
        <v>12734.0</v>
      </c>
      <c r="H29" s="245"/>
      <c r="I29" s="244">
        <v>2949.0</v>
      </c>
      <c r="J29" s="245"/>
      <c r="K29" s="245"/>
      <c r="L29" s="245"/>
    </row>
    <row r="30" ht="15.75" customHeight="1">
      <c r="A30" s="246" t="s">
        <v>302</v>
      </c>
      <c r="B30" s="247">
        <v>64619.0</v>
      </c>
      <c r="C30" s="247">
        <v>66928.0</v>
      </c>
      <c r="D30" s="247">
        <v>78521.0</v>
      </c>
      <c r="E30" s="247">
        <v>77477.0</v>
      </c>
      <c r="F30" s="247">
        <v>77790.0</v>
      </c>
      <c r="G30" s="247">
        <v>92645.0</v>
      </c>
      <c r="H30" s="247">
        <v>87379.0</v>
      </c>
      <c r="I30" s="247">
        <v>92198.0</v>
      </c>
      <c r="J30" s="247">
        <v>92415.0</v>
      </c>
      <c r="K30" s="247">
        <v>96584.0</v>
      </c>
      <c r="L30" s="247">
        <v>96584.0</v>
      </c>
    </row>
    <row r="31" ht="15.75" customHeight="1">
      <c r="A31" s="243" t="s">
        <v>303</v>
      </c>
      <c r="B31" s="244">
        <v>38952.0</v>
      </c>
      <c r="C31" s="244">
        <v>36645.0</v>
      </c>
      <c r="D31" s="244">
        <v>30231.0</v>
      </c>
      <c r="E31" s="244">
        <v>43948.0</v>
      </c>
      <c r="F31" s="244">
        <v>44410.0</v>
      </c>
      <c r="G31" s="244">
        <v>41588.0</v>
      </c>
      <c r="H31" s="244">
        <v>35959.0</v>
      </c>
      <c r="I31" s="244">
        <v>36761.0</v>
      </c>
      <c r="J31" s="244">
        <v>38088.0</v>
      </c>
      <c r="K31" s="244">
        <v>33401.0</v>
      </c>
      <c r="L31" s="244">
        <v>33401.0</v>
      </c>
    </row>
    <row r="32" ht="15.75" customHeight="1">
      <c r="A32" s="243" t="s">
        <v>304</v>
      </c>
      <c r="B32" s="244">
        <v>5816.0</v>
      </c>
      <c r="C32" s="244">
        <v>6003.0</v>
      </c>
      <c r="D32" s="244">
        <v>6780.0</v>
      </c>
      <c r="E32" s="244">
        <v>6683.0</v>
      </c>
      <c r="F32" s="244">
        <v>20478.0</v>
      </c>
      <c r="G32" s="244">
        <v>16756.0</v>
      </c>
      <c r="H32" s="244">
        <v>17252.0</v>
      </c>
      <c r="I32" s="244">
        <v>17671.0</v>
      </c>
      <c r="J32" s="244">
        <v>18652.0</v>
      </c>
      <c r="K32" s="244">
        <v>18748.0</v>
      </c>
      <c r="L32" s="244">
        <v>18748.0</v>
      </c>
    </row>
    <row r="33" ht="15.75" customHeight="1">
      <c r="A33" s="243" t="s">
        <v>305</v>
      </c>
      <c r="B33" s="244">
        <v>205.0</v>
      </c>
      <c r="C33" s="244">
        <v>332.0</v>
      </c>
      <c r="D33" s="244">
        <v>281.0</v>
      </c>
      <c r="E33" s="244">
        <v>175.0</v>
      </c>
      <c r="F33" s="245"/>
      <c r="G33" s="245"/>
      <c r="H33" s="245"/>
      <c r="I33" s="245"/>
      <c r="J33" s="245"/>
      <c r="K33" s="245"/>
      <c r="L33" s="245"/>
    </row>
    <row r="34" ht="15.75" customHeight="1">
      <c r="A34" s="243" t="s">
        <v>306</v>
      </c>
      <c r="B34" s="244">
        <v>3357.0</v>
      </c>
      <c r="C34" s="244">
        <v>4333.0</v>
      </c>
      <c r="D34" s="244">
        <v>3831.0</v>
      </c>
      <c r="E34" s="244">
        <v>6296.0</v>
      </c>
      <c r="F34" s="244">
        <v>6204.0</v>
      </c>
      <c r="G34" s="244">
        <v>8445.0</v>
      </c>
      <c r="H34" s="244">
        <v>6917.0</v>
      </c>
      <c r="I34" s="244">
        <v>11976.0</v>
      </c>
      <c r="J34" s="244">
        <v>11973.0</v>
      </c>
      <c r="K34" s="244">
        <v>14398.0</v>
      </c>
      <c r="L34" s="244">
        <v>14398.0</v>
      </c>
    </row>
    <row r="35" ht="15.75" customHeight="1">
      <c r="A35" s="243" t="s">
        <v>307</v>
      </c>
      <c r="B35" s="244">
        <v>3021.0</v>
      </c>
      <c r="C35" s="244">
        <v>4049.0</v>
      </c>
      <c r="D35" s="244">
        <v>4056.0</v>
      </c>
      <c r="E35" s="244">
        <v>5082.0</v>
      </c>
      <c r="F35" s="244">
        <v>6061.0</v>
      </c>
      <c r="G35" s="244">
        <v>5531.0</v>
      </c>
      <c r="H35" s="244">
        <v>5462.0</v>
      </c>
      <c r="I35" s="244">
        <v>600.0</v>
      </c>
      <c r="J35" s="244">
        <v>700.0</v>
      </c>
      <c r="K35" s="245"/>
      <c r="L35" s="245"/>
    </row>
    <row r="36" ht="15.75" customHeight="1">
      <c r="A36" s="253" t="s">
        <v>308</v>
      </c>
      <c r="B36" s="254">
        <v>115970.0</v>
      </c>
      <c r="C36" s="254">
        <v>118290.0</v>
      </c>
      <c r="D36" s="254">
        <v>123700.0</v>
      </c>
      <c r="E36" s="254">
        <v>139661.0</v>
      </c>
      <c r="F36" s="254">
        <v>154943.0</v>
      </c>
      <c r="G36" s="254">
        <v>164965.0</v>
      </c>
      <c r="H36" s="254">
        <v>152969.0</v>
      </c>
      <c r="I36" s="254">
        <v>159206.0</v>
      </c>
      <c r="J36" s="254">
        <v>161828.0</v>
      </c>
      <c r="K36" s="254">
        <v>163131.0</v>
      </c>
      <c r="L36" s="254">
        <v>163131.0</v>
      </c>
    </row>
    <row r="37" ht="15.75" customHeight="1">
      <c r="A37" s="243" t="s">
        <v>309</v>
      </c>
      <c r="B37" s="244">
        <v>317.0</v>
      </c>
      <c r="C37" s="244">
        <v>305.0</v>
      </c>
      <c r="D37" s="244">
        <v>295.0</v>
      </c>
      <c r="E37" s="244">
        <v>288.0</v>
      </c>
      <c r="F37" s="244">
        <v>284.0</v>
      </c>
      <c r="G37" s="244">
        <v>282.0</v>
      </c>
      <c r="H37" s="244">
        <v>276.0</v>
      </c>
      <c r="I37" s="244">
        <v>808.0</v>
      </c>
      <c r="J37" s="244">
        <v>805.0</v>
      </c>
      <c r="K37" s="244">
        <v>802.0</v>
      </c>
      <c r="L37" s="244">
        <v>802.0</v>
      </c>
    </row>
    <row r="38" ht="15.75" customHeight="1">
      <c r="A38" s="243" t="s">
        <v>310</v>
      </c>
      <c r="B38" s="244">
        <v>1805.0</v>
      </c>
      <c r="C38" s="244">
        <v>2371.0</v>
      </c>
      <c r="D38" s="244">
        <v>2648.0</v>
      </c>
      <c r="E38" s="244">
        <v>2965.0</v>
      </c>
      <c r="F38" s="244">
        <v>3247.0</v>
      </c>
      <c r="G38" s="244">
        <v>3646.0</v>
      </c>
      <c r="H38" s="244">
        <v>4839.0</v>
      </c>
      <c r="I38" s="244">
        <v>4430.0</v>
      </c>
      <c r="J38" s="244">
        <v>4544.0</v>
      </c>
      <c r="K38" s="244">
        <v>5503.0</v>
      </c>
      <c r="L38" s="244">
        <v>5503.0</v>
      </c>
    </row>
    <row r="39" ht="15.75" customHeight="1">
      <c r="A39" s="243" t="s">
        <v>311</v>
      </c>
      <c r="B39" s="244">
        <v>90021.0</v>
      </c>
      <c r="C39" s="244">
        <v>89354.0</v>
      </c>
      <c r="D39" s="244">
        <v>85107.0</v>
      </c>
      <c r="E39" s="244">
        <v>80785.0</v>
      </c>
      <c r="F39" s="244">
        <v>83943.0</v>
      </c>
      <c r="G39" s="244">
        <v>88763.0</v>
      </c>
      <c r="H39" s="244">
        <v>86904.0</v>
      </c>
      <c r="I39" s="244">
        <v>83135.0</v>
      </c>
      <c r="J39" s="244">
        <v>89814.0</v>
      </c>
      <c r="K39" s="244">
        <v>98313.0</v>
      </c>
      <c r="L39" s="244">
        <v>98313.0</v>
      </c>
    </row>
    <row r="40" ht="15.75" customHeight="1">
      <c r="A40" s="243" t="s">
        <v>312</v>
      </c>
      <c r="B40" s="252">
        <v>-11597.0</v>
      </c>
      <c r="C40" s="252">
        <v>-14232.0</v>
      </c>
      <c r="D40" s="252">
        <v>-10181.0</v>
      </c>
      <c r="E40" s="252">
        <v>-11542.0</v>
      </c>
      <c r="F40" s="252">
        <v>-12805.0</v>
      </c>
      <c r="G40" s="252">
        <v>-11766.0</v>
      </c>
      <c r="H40" s="252">
        <v>-8766.0</v>
      </c>
      <c r="I40" s="252">
        <v>-11680.0</v>
      </c>
      <c r="J40" s="252">
        <v>-11302.0</v>
      </c>
      <c r="K40" s="252">
        <v>-13605.0</v>
      </c>
      <c r="L40" s="252">
        <v>-13605.0</v>
      </c>
    </row>
    <row r="41" ht="15.75" customHeight="1">
      <c r="A41" s="246" t="s">
        <v>313</v>
      </c>
      <c r="B41" s="247">
        <v>80546.0</v>
      </c>
      <c r="C41" s="247">
        <v>77798.0</v>
      </c>
      <c r="D41" s="247">
        <v>77869.0</v>
      </c>
      <c r="E41" s="247">
        <v>72496.0</v>
      </c>
      <c r="F41" s="247">
        <v>74669.0</v>
      </c>
      <c r="G41" s="247">
        <v>80925.0</v>
      </c>
      <c r="H41" s="247">
        <v>83253.0</v>
      </c>
      <c r="I41" s="247">
        <v>76693.0</v>
      </c>
      <c r="J41" s="247">
        <v>83861.0</v>
      </c>
      <c r="K41" s="247">
        <v>91013.0</v>
      </c>
      <c r="L41" s="247">
        <v>91013.0</v>
      </c>
    </row>
    <row r="42" ht="15.75" customHeight="1">
      <c r="A42" s="243" t="s">
        <v>190</v>
      </c>
      <c r="B42" s="244">
        <v>3065.0</v>
      </c>
      <c r="C42" s="244">
        <v>2737.0</v>
      </c>
      <c r="D42" s="244">
        <v>2953.0</v>
      </c>
      <c r="E42" s="244">
        <v>7138.0</v>
      </c>
      <c r="F42" s="244">
        <v>6883.0</v>
      </c>
      <c r="G42" s="244">
        <v>6606.0</v>
      </c>
      <c r="H42" s="244">
        <v>8638.0</v>
      </c>
      <c r="I42" s="244">
        <v>7298.0</v>
      </c>
      <c r="J42" s="244">
        <v>6710.0</v>
      </c>
      <c r="K42" s="244">
        <v>6679.0</v>
      </c>
      <c r="L42" s="244">
        <v>6679.0</v>
      </c>
    </row>
    <row r="43" ht="15.75" customHeight="1">
      <c r="A43" s="253" t="s">
        <v>314</v>
      </c>
      <c r="B43" s="254">
        <v>83611.0</v>
      </c>
      <c r="C43" s="254">
        <v>80535.0</v>
      </c>
      <c r="D43" s="254">
        <v>80822.0</v>
      </c>
      <c r="E43" s="254">
        <v>79634.0</v>
      </c>
      <c r="F43" s="254">
        <v>81552.0</v>
      </c>
      <c r="G43" s="254">
        <v>87531.0</v>
      </c>
      <c r="H43" s="254">
        <v>91891.0</v>
      </c>
      <c r="I43" s="254">
        <v>83991.0</v>
      </c>
      <c r="J43" s="254">
        <v>90571.0</v>
      </c>
      <c r="K43" s="254">
        <v>97692.0</v>
      </c>
      <c r="L43" s="254">
        <v>97692.0</v>
      </c>
    </row>
    <row r="44" ht="15.75" customHeight="1">
      <c r="A44" s="253" t="s">
        <v>315</v>
      </c>
      <c r="B44" s="254">
        <v>199581.0</v>
      </c>
      <c r="C44" s="254">
        <v>198825.0</v>
      </c>
      <c r="D44" s="254">
        <v>204522.0</v>
      </c>
      <c r="E44" s="254">
        <v>219295.0</v>
      </c>
      <c r="F44" s="254">
        <v>236495.0</v>
      </c>
      <c r="G44" s="254">
        <v>252496.0</v>
      </c>
      <c r="H44" s="254">
        <v>244860.0</v>
      </c>
      <c r="I44" s="254">
        <v>243197.0</v>
      </c>
      <c r="J44" s="254">
        <v>252399.0</v>
      </c>
      <c r="K44" s="254">
        <v>260823.0</v>
      </c>
      <c r="L44" s="254">
        <v>260823.0</v>
      </c>
    </row>
    <row r="45" ht="15.75" customHeight="1">
      <c r="A45" s="248" t="s">
        <v>197</v>
      </c>
      <c r="B45" s="259"/>
      <c r="C45" s="259"/>
      <c r="D45" s="259"/>
      <c r="E45" s="259"/>
      <c r="F45" s="259"/>
      <c r="G45" s="259"/>
      <c r="H45" s="259"/>
      <c r="I45" s="259"/>
      <c r="J45" s="259"/>
      <c r="K45" s="259"/>
      <c r="L45" s="259"/>
    </row>
    <row r="46" ht="15.75" customHeight="1">
      <c r="A46" s="243" t="s">
        <v>316</v>
      </c>
      <c r="B46" s="244">
        <v>9433.01</v>
      </c>
      <c r="C46" s="244">
        <v>9099.03</v>
      </c>
      <c r="D46" s="244">
        <v>8852.09</v>
      </c>
      <c r="E46" s="244">
        <v>8609.05</v>
      </c>
      <c r="F46" s="244">
        <v>8496.83</v>
      </c>
      <c r="G46" s="244">
        <v>8451.22</v>
      </c>
      <c r="H46" s="244">
        <v>8255.34</v>
      </c>
      <c r="I46" s="244">
        <v>8086.97</v>
      </c>
      <c r="J46" s="244">
        <v>8058.05</v>
      </c>
      <c r="K46" s="245"/>
      <c r="L46" s="244">
        <v>8029.0</v>
      </c>
    </row>
    <row r="47" ht="15.75" customHeight="1">
      <c r="A47" s="243" t="s">
        <v>317</v>
      </c>
      <c r="B47" s="244">
        <v>8.49</v>
      </c>
      <c r="C47" s="244">
        <v>8.51</v>
      </c>
      <c r="D47" s="244">
        <v>8.79</v>
      </c>
      <c r="E47" s="244">
        <v>8.4</v>
      </c>
      <c r="F47" s="244">
        <v>8.79</v>
      </c>
      <c r="G47" s="244">
        <v>9.56</v>
      </c>
      <c r="H47" s="244">
        <v>10.05</v>
      </c>
      <c r="I47" s="244">
        <v>9.49</v>
      </c>
      <c r="J47" s="244">
        <v>10.41</v>
      </c>
      <c r="K47" s="244">
        <v>11.34</v>
      </c>
      <c r="L47" s="244">
        <v>11.34</v>
      </c>
    </row>
    <row r="48" ht="15.75" customHeight="1">
      <c r="A48" s="243" t="s">
        <v>318</v>
      </c>
      <c r="B48" s="244">
        <v>63851.0</v>
      </c>
      <c r="C48" s="244">
        <v>60761.0</v>
      </c>
      <c r="D48" s="244">
        <v>59627.0</v>
      </c>
      <c r="E48" s="244">
        <v>35515.0</v>
      </c>
      <c r="F48" s="244">
        <v>38396.0</v>
      </c>
      <c r="G48" s="244">
        <v>47042.0</v>
      </c>
      <c r="H48" s="244">
        <v>49439.0</v>
      </c>
      <c r="I48" s="244">
        <v>44219.0</v>
      </c>
      <c r="J48" s="244">
        <v>51648.0</v>
      </c>
      <c r="K48" s="244">
        <v>62221.0</v>
      </c>
      <c r="L48" s="244">
        <v>62221.0</v>
      </c>
    </row>
    <row r="49" ht="15.75" customHeight="1">
      <c r="A49" s="243" t="s">
        <v>319</v>
      </c>
      <c r="B49" s="244">
        <v>6.73</v>
      </c>
      <c r="C49" s="244">
        <v>6.64</v>
      </c>
      <c r="D49" s="244">
        <v>6.73</v>
      </c>
      <c r="E49" s="244">
        <v>4.11</v>
      </c>
      <c r="F49" s="244">
        <v>4.52</v>
      </c>
      <c r="G49" s="244">
        <v>5.56</v>
      </c>
      <c r="H49" s="244">
        <v>5.97</v>
      </c>
      <c r="I49" s="244">
        <v>5.47</v>
      </c>
      <c r="J49" s="244">
        <v>6.41</v>
      </c>
      <c r="K49" s="244">
        <v>7.75</v>
      </c>
      <c r="L49" s="244">
        <v>7.75</v>
      </c>
    </row>
    <row r="50" ht="15.75" customHeight="1">
      <c r="A50" s="243" t="s">
        <v>320</v>
      </c>
      <c r="B50" s="244">
        <v>50772.0</v>
      </c>
      <c r="C50" s="244">
        <v>46568.0</v>
      </c>
      <c r="D50" s="244">
        <v>46673.0</v>
      </c>
      <c r="E50" s="244">
        <v>58461.0</v>
      </c>
      <c r="F50" s="244">
        <v>73129.0</v>
      </c>
      <c r="G50" s="244">
        <v>63640.0</v>
      </c>
      <c r="H50" s="244">
        <v>58418.0</v>
      </c>
      <c r="I50" s="244">
        <v>61035.0</v>
      </c>
      <c r="J50" s="244">
        <v>63277.0</v>
      </c>
      <c r="K50" s="244">
        <v>60114.0</v>
      </c>
      <c r="L50" s="244">
        <v>60114.0</v>
      </c>
    </row>
    <row r="51" ht="15.75" customHeight="1">
      <c r="A51" s="243" t="s">
        <v>321</v>
      </c>
      <c r="B51" s="244">
        <v>42067.0</v>
      </c>
      <c r="C51" s="244">
        <v>39701.0</v>
      </c>
      <c r="D51" s="244">
        <v>39917.0</v>
      </c>
      <c r="E51" s="244">
        <v>50739.0</v>
      </c>
      <c r="F51" s="244">
        <v>63664.0</v>
      </c>
      <c r="G51" s="244">
        <v>45899.0</v>
      </c>
      <c r="H51" s="244">
        <v>43658.0</v>
      </c>
      <c r="I51" s="244">
        <v>52410.0</v>
      </c>
      <c r="J51" s="244">
        <v>53410.0</v>
      </c>
      <c r="K51" s="244">
        <v>51077.0</v>
      </c>
      <c r="L51" s="244">
        <v>51077.0</v>
      </c>
    </row>
    <row r="52" ht="15.75" customHeight="1">
      <c r="A52" s="243" t="s">
        <v>322</v>
      </c>
      <c r="B52" s="268"/>
      <c r="C52" s="268"/>
      <c r="D52" s="268"/>
      <c r="E52" s="268"/>
      <c r="F52" s="268"/>
      <c r="G52" s="268"/>
      <c r="H52" s="268"/>
      <c r="I52" s="268"/>
      <c r="J52" s="268"/>
      <c r="K52" s="268"/>
      <c r="L52" s="268"/>
    </row>
    <row r="53" ht="15.75" customHeight="1">
      <c r="A53" s="243" t="s">
        <v>323</v>
      </c>
      <c r="B53" s="268"/>
      <c r="C53" s="268"/>
      <c r="D53" s="268"/>
      <c r="E53" s="268"/>
      <c r="F53" s="268"/>
      <c r="G53" s="268"/>
      <c r="H53" s="268"/>
      <c r="I53" s="268"/>
      <c r="J53" s="268"/>
      <c r="K53" s="245"/>
      <c r="L53" s="245"/>
    </row>
    <row r="54" ht="15.75" customHeight="1">
      <c r="A54" s="243" t="s">
        <v>324</v>
      </c>
      <c r="B54" s="268"/>
      <c r="C54" s="268"/>
      <c r="D54" s="268"/>
      <c r="E54" s="268"/>
      <c r="F54" s="268"/>
      <c r="G54" s="268"/>
      <c r="H54" s="268"/>
      <c r="I54" s="268"/>
      <c r="J54" s="268"/>
      <c r="K54" s="245"/>
      <c r="L54" s="245"/>
    </row>
    <row r="55" ht="15.75" customHeight="1">
      <c r="A55" s="243" t="s">
        <v>325</v>
      </c>
      <c r="B55" s="268"/>
      <c r="C55" s="268"/>
      <c r="D55" s="268"/>
      <c r="E55" s="268"/>
      <c r="F55" s="268"/>
      <c r="G55" s="268"/>
      <c r="H55" s="268"/>
      <c r="I55" s="268"/>
      <c r="J55" s="268"/>
      <c r="K55" s="245"/>
      <c r="L55" s="245"/>
    </row>
    <row r="56" ht="15.75" customHeight="1">
      <c r="A56" s="243" t="s">
        <v>326</v>
      </c>
      <c r="B56" s="268"/>
      <c r="C56" s="268"/>
      <c r="D56" s="268"/>
      <c r="E56" s="268"/>
      <c r="F56" s="268"/>
      <c r="G56" s="268"/>
      <c r="H56" s="268"/>
      <c r="I56" s="268"/>
      <c r="J56" s="268"/>
      <c r="K56" s="268"/>
      <c r="L56" s="268"/>
    </row>
    <row r="57" ht="15.75" customHeight="1">
      <c r="A57" s="265" t="s">
        <v>270</v>
      </c>
      <c r="B57" s="259"/>
      <c r="C57" s="259"/>
      <c r="D57" s="259"/>
      <c r="E57" s="259"/>
      <c r="F57" s="259"/>
      <c r="G57" s="259"/>
      <c r="H57" s="259"/>
      <c r="I57" s="259"/>
      <c r="J57" s="259"/>
      <c r="K57" s="259"/>
      <c r="L57" s="259"/>
    </row>
    <row r="58" ht="15.75" customHeight="1">
      <c r="A58" s="265" t="s">
        <v>271</v>
      </c>
      <c r="B58" s="259"/>
      <c r="C58" s="259"/>
      <c r="D58" s="259"/>
      <c r="E58" s="259"/>
      <c r="F58" s="259"/>
      <c r="G58" s="259"/>
      <c r="H58" s="259"/>
      <c r="I58" s="259"/>
      <c r="J58" s="259"/>
      <c r="K58" s="259"/>
      <c r="L58" s="259"/>
    </row>
    <row r="59" ht="15.75" customHeight="1">
      <c r="A59" s="266" t="s">
        <v>327</v>
      </c>
      <c r="B59" s="259"/>
      <c r="C59" s="259"/>
      <c r="D59" s="259"/>
      <c r="E59" s="259"/>
      <c r="F59" s="259"/>
      <c r="G59" s="259"/>
      <c r="H59" s="259"/>
      <c r="I59" s="259"/>
      <c r="J59" s="259"/>
      <c r="K59" s="259"/>
      <c r="L59" s="259"/>
    </row>
    <row r="60" ht="15.75" customHeight="1">
      <c r="A60" s="266" t="s">
        <v>328</v>
      </c>
      <c r="B60" s="259"/>
      <c r="C60" s="259"/>
      <c r="D60" s="259"/>
      <c r="E60" s="259"/>
      <c r="F60" s="259"/>
      <c r="G60" s="259"/>
      <c r="H60" s="259"/>
      <c r="I60" s="259"/>
      <c r="J60" s="259"/>
      <c r="K60" s="259"/>
      <c r="L60" s="259"/>
    </row>
    <row r="61" ht="15.75" customHeight="1">
      <c r="B61" s="259"/>
      <c r="C61" s="259"/>
      <c r="D61" s="259"/>
      <c r="E61" s="259"/>
      <c r="F61" s="259"/>
      <c r="G61" s="259"/>
      <c r="H61" s="259"/>
      <c r="I61" s="259"/>
      <c r="J61" s="259"/>
      <c r="K61" s="259"/>
      <c r="L61" s="259"/>
    </row>
    <row r="62" ht="15.75" customHeight="1">
      <c r="B62" s="259"/>
      <c r="C62" s="259"/>
      <c r="D62" s="259"/>
      <c r="E62" s="259"/>
      <c r="F62" s="259"/>
      <c r="G62" s="259"/>
      <c r="H62" s="259"/>
      <c r="I62" s="259"/>
      <c r="J62" s="259"/>
      <c r="K62" s="259"/>
      <c r="L62" s="259"/>
    </row>
    <row r="63" ht="15.75" customHeight="1">
      <c r="B63" s="259"/>
      <c r="C63" s="259"/>
      <c r="D63" s="259"/>
      <c r="E63" s="259"/>
      <c r="F63" s="259"/>
      <c r="G63" s="259"/>
      <c r="H63" s="259"/>
      <c r="I63" s="259"/>
      <c r="J63" s="259"/>
      <c r="K63" s="259"/>
      <c r="L63" s="259"/>
    </row>
    <row r="64" ht="15.75" customHeight="1">
      <c r="B64" s="259"/>
      <c r="C64" s="259"/>
      <c r="D64" s="259"/>
      <c r="E64" s="259"/>
      <c r="F64" s="259"/>
      <c r="G64" s="259"/>
      <c r="H64" s="259"/>
      <c r="I64" s="259"/>
      <c r="J64" s="259"/>
      <c r="K64" s="259"/>
      <c r="L64" s="259"/>
    </row>
    <row r="65" ht="15.75" customHeight="1">
      <c r="B65" s="259"/>
      <c r="C65" s="259"/>
      <c r="D65" s="259"/>
      <c r="E65" s="259"/>
      <c r="F65" s="259"/>
      <c r="G65" s="259"/>
      <c r="H65" s="259"/>
      <c r="I65" s="259"/>
      <c r="J65" s="259"/>
      <c r="K65" s="259"/>
      <c r="L65" s="259"/>
    </row>
    <row r="66" ht="15.75" customHeight="1">
      <c r="B66" s="11"/>
      <c r="C66" s="11"/>
      <c r="D66" s="11"/>
      <c r="E66" s="11"/>
      <c r="F66" s="11"/>
      <c r="G66" s="11"/>
      <c r="H66" s="11"/>
      <c r="I66" s="11"/>
      <c r="J66" s="259"/>
      <c r="K66" s="259"/>
      <c r="L66" s="259"/>
    </row>
    <row r="67" ht="15.75" customHeight="1">
      <c r="B67" s="11"/>
      <c r="C67" s="259"/>
      <c r="D67" s="11"/>
      <c r="E67" s="11"/>
      <c r="F67" s="11"/>
      <c r="G67" s="11"/>
      <c r="H67" s="259"/>
      <c r="I67" s="259"/>
      <c r="J67" s="259"/>
      <c r="K67" s="259"/>
      <c r="L67" s="11"/>
    </row>
    <row r="68" ht="15.75" customHeight="1">
      <c r="B68" s="259"/>
      <c r="C68" s="259"/>
      <c r="D68" s="259"/>
      <c r="E68" s="259"/>
      <c r="F68" s="259"/>
      <c r="G68" s="259"/>
      <c r="H68" s="259"/>
      <c r="I68" s="259"/>
      <c r="J68" s="259"/>
      <c r="K68" s="259"/>
      <c r="L68" s="11"/>
    </row>
    <row r="69" ht="15.75" customHeight="1">
      <c r="B69" s="259"/>
      <c r="C69" s="259"/>
      <c r="D69" s="259"/>
      <c r="E69" s="259"/>
      <c r="F69" s="259"/>
      <c r="G69" s="259"/>
      <c r="H69" s="259"/>
      <c r="I69" s="259"/>
      <c r="J69" s="259"/>
      <c r="K69" s="259"/>
      <c r="L69" s="259"/>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2"/>
    <hyperlink r:id="rId2" ref="C52"/>
    <hyperlink r:id="rId3" ref="D52"/>
    <hyperlink r:id="rId4" ref="E52"/>
    <hyperlink r:id="rId5" ref="F52"/>
    <hyperlink r:id="rId6" ref="G52"/>
    <hyperlink r:id="rId7" ref="H52"/>
    <hyperlink r:id="rId8" ref="I52"/>
    <hyperlink r:id="rId9" ref="J52"/>
    <hyperlink r:id="rId10" ref="K52"/>
    <hyperlink r:id="rId11" ref="L52"/>
    <hyperlink r:id="rId12" ref="B53"/>
    <hyperlink r:id="rId13" ref="C53"/>
    <hyperlink r:id="rId14" ref="D53"/>
    <hyperlink r:id="rId15" ref="E53"/>
    <hyperlink r:id="rId16" ref="F53"/>
    <hyperlink r:id="rId17" ref="G53"/>
    <hyperlink r:id="rId18" ref="H53"/>
    <hyperlink r:id="rId19" ref="I53"/>
    <hyperlink r:id="rId20" ref="J53"/>
    <hyperlink r:id="rId21" ref="B54"/>
    <hyperlink r:id="rId22" ref="C54"/>
    <hyperlink r:id="rId23" ref="D54"/>
    <hyperlink r:id="rId24" ref="E54"/>
    <hyperlink r:id="rId25" ref="F54"/>
    <hyperlink r:id="rId26" ref="G54"/>
    <hyperlink r:id="rId27" ref="H54"/>
    <hyperlink r:id="rId28" ref="I54"/>
    <hyperlink r:id="rId29" ref="J54"/>
    <hyperlink r:id="rId30" ref="B55"/>
    <hyperlink r:id="rId31" ref="C55"/>
    <hyperlink r:id="rId32" ref="D55"/>
    <hyperlink r:id="rId33" ref="E55"/>
    <hyperlink r:id="rId34" ref="F55"/>
    <hyperlink r:id="rId35" ref="G55"/>
    <hyperlink r:id="rId36" ref="H55"/>
    <hyperlink r:id="rId37" ref="I55"/>
    <hyperlink r:id="rId38" ref="J55"/>
    <hyperlink r:id="rId39" ref="B56"/>
    <hyperlink r:id="rId40" ref="C56"/>
    <hyperlink r:id="rId41" ref="D56"/>
    <hyperlink r:id="rId42" ref="E56"/>
    <hyperlink r:id="rId43" ref="F56"/>
    <hyperlink r:id="rId44" ref="G56"/>
    <hyperlink r:id="rId45" ref="H56"/>
    <hyperlink r:id="rId46" ref="I56"/>
    <hyperlink r:id="rId47" ref="J56"/>
    <hyperlink r:id="rId48" ref="K56"/>
    <hyperlink r:id="rId49" ref="L56"/>
    <hyperlink r:id="rId50" ref="A59"/>
    <hyperlink r:id="rId51" ref="A60"/>
  </hyperlinks>
  <printOptions/>
  <pageMargins bottom="0.75" footer="0.0" header="0.0" left="0.7" right="0.7" top="0.75"/>
  <pageSetup paperSize="9" orientation="portrait"/>
  <drawing r:id="rId52"/>
</worksheet>
</file>