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extLst>
    <ext uri="GoogleSheetsCustomDataVersion2">
      <go:sheetsCustomData xmlns:go="http://customooxmlschemas.google.com/" r:id="rId16" roundtripDataChecksum="ogSw6sLZDrcekMrQmegW4EEH+oFADHjY4Xy05W2y4w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0">
      <text>
        <t xml:space="preserve">======
ID#AAABm9VcM2Q
    (2025-07-05 10:15:57)
Net Income = Net Income to the company = Net income to common shareholders = Profit after taxes = Beneficio neto = beneficio después de impuestos = resultado neto</t>
      </text>
    </comment>
    <comment authorId="0" ref="A13">
      <text>
        <t xml:space="preserve">======
ID#AAABm9VcM2M
Autor    (2025-07-05 10:15:57)
En positivo, es un ingreso</t>
      </text>
    </comment>
    <comment authorId="0" ref="A8">
      <text>
        <t xml:space="preserve">======
ID#AAABm9VcM18
    (2025-07-05 10:15:57)
La obtenemos de los flujos de caja operativos (Cash flows from operations)
Se introduce en negativo, es un gasto contable</t>
      </text>
    </comment>
    <comment authorId="0" ref="A12">
      <text>
        <t xml:space="preserve">======
ID#AAABm9VcM1w
Autor    (2025-07-05 10:15:57)
Se introduce en negativo, es un gasto</t>
      </text>
    </comment>
    <comment authorId="0" ref="A15">
      <text>
        <t xml:space="preserve">======
ID#AAABm9VcM1Y
    (2025-07-05 10:15:57)
Earnings Before Taxes = Pretax Income = Bneficio antes de impuestos (BAI)</t>
      </text>
    </comment>
    <comment authorId="0" ref="A3">
      <text>
        <t xml:space="preserve">======
ID#AAABm9VcM1M
    (2025-07-05 10:15:57)
Sales = Revenue = Net Revenue = Ventas =  Ventas Netas = Cifra de negocio</t>
      </text>
    </comment>
    <comment authorId="0" ref="A21">
      <text>
        <t xml:space="preserve">======
ID#AAABm9VcM1A
Autor    (2025-07-05 10:15:57)
Margen de beneficio neto</t>
      </text>
    </comment>
    <comment authorId="0" ref="A5">
      <text>
        <t xml:space="preserve">======
ID#AAABm9VcM08
    (2025-07-05 10:15:57)
Earnings Before Interests, Taxes, Depreciation &amp; Amortization
Forma rápida de calcularlo: EBIT + D&amp;A* 
* La D&amp;A debemos obtenerla en los Cash Flows from Operations</t>
      </text>
    </comment>
    <comment authorId="0" ref="A16">
      <text>
        <t xml:space="preserve">======
ID#AAABm9VcM0o
    (2025-07-05 10:15:57)
Introducir en negativo si es un ingreso (devolución de impuestos)
Taxes Paid = Tax Expense = Impuesto sobre beneficio</t>
      </text>
    </comment>
    <comment authorId="0" ref="A25">
      <text>
        <t xml:space="preserve">======
ID#AAABm9VcM0k
    (2025-07-05 10:15:57)
Número total de acciones diluidas</t>
      </text>
    </comment>
    <comment authorId="0" ref="A14">
      <text>
        <t xml:space="preserve">======
ID#AAABm9VcM0Q
IDC    (2025-07-05 10:15:57)
Total Interest Expense = Interest Expense + Interest Income
Número Negativo = gasto // Positivo = ingreso</t>
      </text>
    </comment>
    <comment authorId="0" ref="A18">
      <text>
        <t xml:space="preserve">======
ID#AAABm9VcM0I
Autor    (2025-07-05 10:15:57)
Consolidated Net Income = Beneficio Neto Consolidado (antes de descontar intereses minoritarios)</t>
      </text>
    </comment>
    <comment authorId="0" ref="A17">
      <text>
        <t xml:space="preserve">======
ID#AAABm9VcMzg
    (2025-07-05 10:15:57)
Effective Tax Rate = Tasa impositiva efectiva = Impuesto sobre beneficio = Impuesto de sociedades</t>
      </text>
    </comment>
    <comment authorId="0" ref="R6">
      <text>
        <t xml:space="preserve">======
ID#AAABm9VcMzY
Autor    (2025-07-05 10:15:57)
Si es negativo, implica que la empresa ha recomprado más acciones de las que emite</t>
      </text>
    </comment>
    <comment authorId="0" ref="A9">
      <text>
        <t xml:space="preserve">======
ID#AAABm9VcMzI
    (2025-07-05 10:15:57)
Earnings Before Interests and Taxes
Puede aparecer como: Beneficio operativo, operating income, operating profit, income from operations...</t>
      </text>
    </comment>
    <comment authorId="0" ref="A23">
      <text>
        <t xml:space="preserve">======
ID#AAABm9VcMyw
    (2025-07-05 10:15:57)
EPS = Earnings Per Share = Net income per share = Beneficio por acción = Beneficio neto por acción</t>
      </text>
    </comment>
  </commentList>
  <extLst>
    <ext uri="GoogleSheetsCustomDataVersion2">
      <go:sheetsCustomData xmlns:go="http://customooxmlschemas.google.com/" r:id="rId1" roundtripDataSignature="AMtx7mjbe7N1ocroR5Kzk/xc2tukHD6e/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0">
      <text>
        <t xml:space="preserve">======
ID#AAABm9VcM2E
IDC    (2025-07-05 10:15:57)
Equivale al Payout ratio, pero en lugar de dividir los dividendos entre el Net Income, lo dividimos entre el FCF, que es MUCHO más exacto</t>
      </text>
    </comment>
    <comment authorId="0" ref="A33">
      <text>
        <t xml:space="preserve">======
ID#AAABm9VcM10
Autor    (2025-07-05 10:15:57)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 authorId="0" ref="A7">
      <text>
        <t xml:space="preserve">======
ID#AAABm9VcM14
    (2025-07-05 10:15:57)
Inventarios</t>
      </text>
    </comment>
    <comment authorId="0" ref="A8">
      <text>
        <t xml:space="preserve">======
ID#AAABm9VcM1s
    (2025-07-05 10:15:57)
Receivables, customer accounts, cuentas a cobrar</t>
      </text>
    </comment>
    <comment authorId="0" ref="A28">
      <text>
        <t xml:space="preserve">======
ID#AAABm9VcM1o
IDC    (2025-07-05 10:15:57)
Crecimiento orgánico</t>
      </text>
    </comment>
    <comment authorId="0" ref="A19">
      <text>
        <t xml:space="preserve">======
ID#AAABm9VcM1U
IDC    (2025-07-05 10:15:57)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t>
      </text>
    </comment>
    <comment authorId="0" ref="B12">
      <text>
        <t xml:space="preserve">======
ID#AAABm9VcM1I
    (2025-07-05 10:15:57)
No se pueden calcular las variaciones de WC ya que no hay datos del año fiscal anterior</t>
      </text>
    </comment>
    <comment authorId="0" ref="A10">
      <text>
        <t xml:space="preserve">======
ID#AAABm9VcM1E
Autor    (2025-07-05 10:15:57)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A25">
      <text>
        <t xml:space="preserve">======
ID#AAABm9VcM04
IDC    (2025-07-05 10:15:57)
"Cash conversion"</t>
      </text>
    </comment>
    <comment authorId="0" ref="A13">
      <text>
        <t xml:space="preserve">======
ID#AAABm9VcMz8
    (2025-07-05 10:15:57)
Por defecto obtiene los valores de "Minority Interests" desde la hoja "1. Income Statement". 
SE PUEDE CAMBIAR
Si es un ingreso, va en POSITIVO</t>
      </text>
    </comment>
    <comment authorId="0" ref="A29">
      <text>
        <t xml:space="preserve">======
ID#AAABm9VcMz0
IDC    (2025-07-05 10:15:57)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14">
      <text>
        <t xml:space="preserve">======
ID#AAABm9VcMzc
IDC    (2025-07-05 10:15:57)
FCF = EBITDA - Intereses - Impuestos - CapEx Mantenimiento - Cambios en Working Capital</t>
      </text>
    </comment>
    <comment authorId="0" ref="A9">
      <text>
        <t xml:space="preserve">======
ID#AAABm9VcMzQ
    (2025-07-05 10:15:57)
Payables, supplier accounts, cuentas a pagar</t>
      </text>
    </comment>
    <comment authorId="0" ref="A4">
      <text>
        <t xml:space="preserve">======
ID#AAABm9VcMzM
Si la compañlía no detalla cuando gasta en capex mantenimiento podemos    (2025-07-05 10:15:57)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List>
  <extLst>
    <ext uri="GoogleSheetsCustomDataVersion2">
      <go:sheetsCustomData xmlns:go="http://customooxmlschemas.google.com/" r:id="rId1" roundtripDataSignature="AMtx7mjSOChkBKgb6ECcC17qRAvqqSayd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
ID#AAABm9VcM1c
    (2025-07-05 10:15:57)
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4">
      <text>
        <t xml:space="preserve">======
ID#AAABm9VcM1Q
    (2025-07-05 10:15:57)
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16">
      <text>
        <t xml:space="preserve">======
ID#AAABm9VcM00
IDC    (2025-07-05 10:15:57)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 authorId="0" ref="A10">
      <text>
        <t xml:space="preserve">======
ID#AAABm9VcM0w
    (2025-07-05 10:15:57)
Shareholder's Equity = Shareholder's Investment = Equity attributable to the owners of the company = Patrimonio Neto = Fondos Propios = Valor Contable</t>
      </text>
    </comment>
    <comment authorId="0" ref="A5">
      <text>
        <t xml:space="preserve">======
ID#AAABm9VcM0M
    (2025-07-05 10:15:57)
Solo los incluimos si aparecen dentro de "Current Assets", también pueden aparecer como "Short-term investments" o similar</t>
      </text>
    </comment>
    <comment authorId="0" ref="A7">
      <text>
        <t xml:space="preserve">======
ID#AAABm9VcM0A
    (2025-07-05 10:15:57)
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11">
      <text>
        <t xml:space="preserve">======
ID#AAABm9VcMzw
Incluye    (2025-07-05 10:15:57)
(-) Marketable securities
(+) Deuda financiera total
(+) Operating Leases
(+) Equity</t>
      </text>
    </comment>
    <comment authorId="0" ref="A9">
      <text>
        <t xml:space="preserve">======
ID#AAABm9VcMzU
    (2025-07-05 10:15:57)
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6">
      <text>
        <t xml:space="preserve">======
ID#AAABm9VcMy0
    (2025-07-05 10:15:57)
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List>
  <extLst>
    <ext uri="GoogleSheetsCustomDataVersion2">
      <go:sheetsCustomData xmlns:go="http://customooxmlschemas.google.com/" r:id="rId1" roundtripDataSignature="AMtx7mjfS6CIdUwAVa7xWaOHOvSjBrr/xA=="/>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4">
      <text>
        <t xml:space="preserve">======
ID#AAABm9VcM2U
    (2025-07-05 10:15:57)
Se calculan con las estimaciones del primer año disponible</t>
      </text>
    </comment>
    <comment authorId="0" ref="B14">
      <text>
        <t xml:space="preserve">======
ID#AAABm9VcM1k
    (2025-07-05 10:15:57)
Last Twelve Months - Últimos 12 meses
Estos múltiplos se calculan con los datos financieros del último año fiscal disponible</t>
      </text>
    </comment>
    <comment authorId="0" ref="A4">
      <text>
        <t xml:space="preserve">======
ID#AAABm9VcMzo
Autor    (2025-07-05 10:15:57)
Si es caja neta, va en NEGATIVO</t>
      </text>
    </comment>
    <comment authorId="0" ref="H20">
      <text>
        <t xml:space="preserve">======
ID#AAABm9VcMzE
IDC    (2025-07-05 10:15:57)
CAGR = Compounded Annual Growth Rate
Es decir, el porcentaje de retorno anualizado esperado para la inversión</t>
      </text>
    </comment>
  </commentList>
  <extLst>
    <ext uri="GoogleSheetsCustomDataVersion2">
      <go:sheetsCustomData xmlns:go="http://customooxmlschemas.google.com/" r:id="rId1" roundtripDataSignature="AMtx7miKwNYBwSrJktQoYYf52SsQQiVROg=="/>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
      <text>
        <t xml:space="preserve">======
ID#AAABm9VcM2A
IDC    (2025-07-05 10:15:57)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2">
      <text>
        <t xml:space="preserve">======
ID#AAABm9VcM0U
IDC    (2025-07-05 10:15:57)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
ID#AAABm9VcM0Y
Autor    (2025-07-05 10:15:57)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7">
      <text>
        <t xml:space="preserve">======
ID#AAABm9VcM0E
Autor    (2025-07-05 10:15:57)
Corresponde a pagos en acciones Y amplilaciones de capital</t>
      </text>
    </comment>
    <comment authorId="0" ref="A15">
      <text>
        <t xml:space="preserve">======
ID#AAABm9VcMy8
IDC    (2025-07-05 10:15:57)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 authorId="0" ref="A5">
      <text>
        <t xml:space="preserve">======
ID#AAABm9VcMy4
Autor    (2025-07-05 10:15:57)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List>
  <extLst>
    <ext uri="GoogleSheetsCustomDataVersion2">
      <go:sheetsCustomData xmlns:go="http://customooxmlschemas.google.com/" r:id="rId1" roundtripDataSignature="AMtx7mh9N4kz6Auxg1RqJF+om5je1tLESg=="/>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5">
      <text>
        <t xml:space="preserve">======
ID#AAABm9VcM2I
    (2025-07-05 10:15:57)
Deuda financiera total = Short Term Debt + Long Term Debt
Los operating leases también incluimos tanto a Corto Plazo como a Largo Plazo, en los casos que aparezcan detallados en el balance</t>
      </text>
    </comment>
    <comment authorId="0" ref="C10">
      <text>
        <t xml:space="preserve">======
ID#AAABm9VcM1g
    (2025-07-05 10:15:57)
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25">
      <text>
        <t xml:space="preserve">======
ID#AAABm9VcM0s
    (2025-07-05 10:15:57)
T = Tax Rate = Effective Tax Rate</t>
      </text>
    </comment>
    <comment authorId="0" ref="D12">
      <text>
        <t xml:space="preserve">======
ID#AAABm9VcM0g
    (2025-07-05 10:15:57)
Solo para empresas con posición de caja neta (Caja &gt; Deuda financiera neta)
La caja neta REDUCE el EV de la empresa</t>
      </text>
    </comment>
    <comment authorId="0" ref="C12">
      <text>
        <t xml:space="preserve">======
ID#AAABm9VcMz4
    (2025-07-05 10:15:57)
En caso de existir acciones preferentes y/o intereses minoritarios, también hay que incluir la valoración a mercado de estas partidas y sumárselas al EV</t>
      </text>
    </comment>
    <comment authorId="0" ref="B10">
      <text>
        <t xml:space="preserve">======
ID#AAABm9VcMzs
    (2025-07-05 10:15:57)
Si el resultado es negativo, implica que la compañía tiene caja neta (más caja que deuda)</t>
      </text>
    </comment>
    <comment authorId="0" ref="D3">
      <text>
        <t xml:space="preserve">======
ID#AAABm9VcMzk
Ojo, hay que incluir TODOS los gastos de ventas y operativos del negocio    (2025-07-05 10:15:57)
- Costes de ventas (Cost of sales o Costs of goods sold)
- Operating Costs (incluyendo SG&amp;A, R&amp;D y todos los gastos operativos que correspondan)</t>
      </text>
    </comment>
  </commentList>
  <extLst>
    <ext uri="GoogleSheetsCustomDataVersion2">
      <go:sheetsCustomData xmlns:go="http://customooxmlschemas.google.com/" r:id="rId1" roundtripDataSignature="AMtx7mh5x0RhnKY83r/0mIcRXMgIg+la6Q=="/>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
ID#AAABm9VcM0c
Autor    (2025-07-05 10:15:57)
Sumatorio de TODA la deuda financiera: Corto Plazo + Largo Plazo</t>
      </text>
    </comment>
    <comment authorId="0" ref="A44">
      <text>
        <t xml:space="preserve">======
ID#AAABm9VcMzA
Autor    (2025-07-05 10:15:57)
Número positivo = repago neto de deuda
Número negativo = emisión neta de deuda</t>
      </text>
    </comment>
  </commentList>
  <extLst>
    <ext uri="GoogleSheetsCustomDataVersion2">
      <go:sheetsCustomData xmlns:go="http://customooxmlschemas.google.com/" r:id="rId1" roundtripDataSignature="AMtx7mixpJ85X0GgJbT4BVeT74te4XlV6A=="/>
    </ext>
  </extLst>
</comments>
</file>

<file path=xl/sharedStrings.xml><?xml version="1.0" encoding="utf-8"?>
<sst xmlns="http://schemas.openxmlformats.org/spreadsheetml/2006/main" count="630" uniqueCount="500">
  <si>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</si>
  <si>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</si>
  <si>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</si>
  <si>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</si>
  <si>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</si>
  <si>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</si>
  <si>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</si>
  <si>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</si>
  <si>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</si>
  <si>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</si>
  <si>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</si>
  <si>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</si>
  <si>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</si>
  <si>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</si>
  <si>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</si>
  <si>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</si>
  <si>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</si>
  <si>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</si>
  <si>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</si>
  <si>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</si>
  <si>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</si>
  <si>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</si>
  <si>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</si>
  <si>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</si>
  <si>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</si>
  <si>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</si>
  <si>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</si>
  <si>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</si>
  <si>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</si>
  <si>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</si>
  <si>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</si>
  <si>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</si>
  <si>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</si>
  <si>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</si>
  <si>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</si>
  <si>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</si>
  <si>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</si>
  <si>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</si>
  <si>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</si>
  <si>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</si>
  <si>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</si>
  <si>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</si>
  <si>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</si>
  <si>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</si>
  <si>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</si>
  <si>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</si>
  <si>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</si>
  <si>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</si>
  <si>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</si>
  <si>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</si>
  <si>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</si>
  <si>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</si>
  <si>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</si>
  <si>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</si>
  <si>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</si>
  <si>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</si>
  <si>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</si>
  <si>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</si>
  <si>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</si>
  <si>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</si>
  <si>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</si>
  <si>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</si>
  <si>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</si>
  <si>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</si>
  <si>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</si>
  <si>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</si>
  <si>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</si>
  <si>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</si>
  <si>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</si>
  <si>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</si>
  <si>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</si>
  <si>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</si>
  <si>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</si>
  <si>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</si>
  <si>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</si>
  <si>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</si>
  <si>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</si>
  <si>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</si>
  <si>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</si>
  <si>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</si>
  <si>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</si>
  <si>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</si>
  <si>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</si>
  <si>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</si>
  <si>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</si>
  <si>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</si>
  <si>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</si>
  <si>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</si>
  <si>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</si>
  <si>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</si>
  <si>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</si>
  <si>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</si>
  <si>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</si>
  <si>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</si>
  <si>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</si>
  <si>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</si>
  <si>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</si>
  <si>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</si>
  <si>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</si>
  <si>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</si>
  <si>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</si>
  <si>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</si>
  <si>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</si>
  <si>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</si>
  <si>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</si>
  <si>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</si>
  <si>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</si>
  <si>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</si>
  <si>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</si>
  <si>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</si>
  <si>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</si>
  <si>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</si>
  <si>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</si>
  <si>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</si>
  <si>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</si>
  <si>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</si>
  <si>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</si>
  <si>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</si>
  <si>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</si>
  <si>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</si>
  <si>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</si>
  <si>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</si>
  <si>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</si>
  <si>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</si>
  <si>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</si>
  <si>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</si>
  <si>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</si>
  <si>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</si>
  <si>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</si>
  <si>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</si>
  <si>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20,4 %</t>
  </si>
  <si>
    <t>22,8 %</t>
  </si>
  <si>
    <t>23,4 %</t>
  </si>
  <si>
    <t>18,3 %</t>
  </si>
  <si>
    <t>12,8 %</t>
  </si>
  <si>
    <t>41,2 %</t>
  </si>
  <si>
    <t>9,8 %</t>
  </si>
  <si>
    <t>8,7 %</t>
  </si>
  <si>
    <t>13,9 %</t>
  </si>
  <si>
    <t>Cost of Goods Sold</t>
  </si>
  <si>
    <t>Gross Profit</t>
  </si>
  <si>
    <t>17,7 %</t>
  </si>
  <si>
    <t>18,4 %</t>
  </si>
  <si>
    <t>16,4 %</t>
  </si>
  <si>
    <t>50,0 %</t>
  </si>
  <si>
    <t>6,8 %</t>
  </si>
  <si>
    <t>11,1 %</t>
  </si>
  <si>
    <t>17,0 %</t>
  </si>
  <si>
    <t>% Gross Margins</t>
  </si>
  <si>
    <t>62,4 %</t>
  </si>
  <si>
    <t>61,1 %</t>
  </si>
  <si>
    <t>58,9 %</t>
  </si>
  <si>
    <t>56,5 %</t>
  </si>
  <si>
    <t>55,6 %</t>
  </si>
  <si>
    <t>53,6 %</t>
  </si>
  <si>
    <t>56,9 %</t>
  </si>
  <si>
    <t>55,4 %</t>
  </si>
  <si>
    <t>56,6 %</t>
  </si>
  <si>
    <t>58,2 %</t>
  </si>
  <si>
    <t>Selling General &amp; Admin Expenses</t>
  </si>
  <si>
    <t>R&amp;D Expenses</t>
  </si>
  <si>
    <t>Total Operating Expenses</t>
  </si>
  <si>
    <t>Operating Income</t>
  </si>
  <si>
    <t>22,5 %</t>
  </si>
  <si>
    <t>21,9 %</t>
  </si>
  <si>
    <t>12,7 %</t>
  </si>
  <si>
    <t>10,2 %</t>
  </si>
  <si>
    <t>14,7 %</t>
  </si>
  <si>
    <t>90,9 %</t>
  </si>
  <si>
    <t>(4,9 %)</t>
  </si>
  <si>
    <t>12,6 %</t>
  </si>
  <si>
    <t>35,5 %</t>
  </si>
  <si>
    <t>% Operating Margins</t>
  </si>
  <si>
    <t>25,8 %</t>
  </si>
  <si>
    <t>26,3 %</t>
  </si>
  <si>
    <t>26,1 %</t>
  </si>
  <si>
    <t>23,8 %</t>
  </si>
  <si>
    <t>22,2 %</t>
  </si>
  <si>
    <t>22,6 %</t>
  </si>
  <si>
    <t>30,6 %</t>
  </si>
  <si>
    <t>26,5 %</t>
  </si>
  <si>
    <t>27,4 %</t>
  </si>
  <si>
    <t>32,6 %</t>
  </si>
  <si>
    <t>Interest And Investment Income</t>
  </si>
  <si>
    <t>Income (Loss) On Equity Invest.</t>
  </si>
  <si>
    <t>Currency Exchange Gains (Loss)</t>
  </si>
  <si>
    <t>Other Non Operating Income (Expenses)</t>
  </si>
  <si>
    <t>EBT Excl. Unusual Items</t>
  </si>
  <si>
    <t>Merger &amp; Restructuring Charges</t>
  </si>
  <si>
    <t>Gain (Loss) On Sale Of Investments</t>
  </si>
  <si>
    <t>Gain (Loss) On Sale Of Assets</t>
  </si>
  <si>
    <t>Asset Writedown</t>
  </si>
  <si>
    <t>In Process R&amp;D Expenses</t>
  </si>
  <si>
    <t>Legal Settlements</t>
  </si>
  <si>
    <t>Other Unusual Items</t>
  </si>
  <si>
    <t>EBT Incl. Unusual Items</t>
  </si>
  <si>
    <t>Income Tax Expense</t>
  </si>
  <si>
    <t>Earnings From Continuing Operations</t>
  </si>
  <si>
    <t>Earnings Of Discontinued Operations</t>
  </si>
  <si>
    <t>Net Income to Company</t>
  </si>
  <si>
    <t>Net Income to Common Incl Extra Items</t>
  </si>
  <si>
    <t>% Net Income to Common Incl Extra Items Margins</t>
  </si>
  <si>
    <t>21,8 %</t>
  </si>
  <si>
    <t>21,6 %</t>
  </si>
  <si>
    <t>11,4 %</t>
  </si>
  <si>
    <t>21,2 %</t>
  </si>
  <si>
    <t>22,1 %</t>
  </si>
  <si>
    <t>29,5 %</t>
  </si>
  <si>
    <t>24,0 %</t>
  </si>
  <si>
    <t>28,6 %</t>
  </si>
  <si>
    <t>Net Income to Common Excl. Extra Items</t>
  </si>
  <si>
    <t>% Net Income to Common Excl. Extra Items Margins</t>
  </si>
  <si>
    <t>Supplementary Data:</t>
  </si>
  <si>
    <t>Diluted EPS Excl Extra Items</t>
  </si>
  <si>
    <t>18,2 %</t>
  </si>
  <si>
    <t>(35,4 %)</t>
  </si>
  <si>
    <t>142,8 %</t>
  </si>
  <si>
    <t>12,5 %</t>
  </si>
  <si>
    <t>19,2 %</t>
  </si>
  <si>
    <t>91,4 %</t>
  </si>
  <si>
    <t>(18,8 %)</t>
  </si>
  <si>
    <t>27,3 %</t>
  </si>
  <si>
    <t>38,7 %</t>
  </si>
  <si>
    <t>Weighted Average Diluted Shares Outstanding</t>
  </si>
  <si>
    <t>0,8 %</t>
  </si>
  <si>
    <t>0,7 %</t>
  </si>
  <si>
    <t>(0,0 %)</t>
  </si>
  <si>
    <t>(0,7 %)</t>
  </si>
  <si>
    <t>(1,6 %)</t>
  </si>
  <si>
    <t>(1,4 %)</t>
  </si>
  <si>
    <t>(2,9 %)</t>
  </si>
  <si>
    <t>(3,3 %)</t>
  </si>
  <si>
    <t>(2,2 %)</t>
  </si>
  <si>
    <t>Weighted Average Basic Shares Outstanding</t>
  </si>
  <si>
    <t>0,5 %</t>
  </si>
  <si>
    <t>0,3 %</t>
  </si>
  <si>
    <t>(0,4 %)</t>
  </si>
  <si>
    <t>(1,7 %)</t>
  </si>
  <si>
    <t>(1,9 %)</t>
  </si>
  <si>
    <t>(2,5 %)</t>
  </si>
  <si>
    <t>Dividends Per Share</t>
  </si>
  <si>
    <t>Payout Ratio %</t>
  </si>
  <si>
    <t>7,4 %</t>
  </si>
  <si>
    <t>Basic EPS</t>
  </si>
  <si>
    <t>22,3 %</t>
  </si>
  <si>
    <t>20,1 %</t>
  </si>
  <si>
    <t>16,2 %</t>
  </si>
  <si>
    <t>14,3 %</t>
  </si>
  <si>
    <t>15,4 %</t>
  </si>
  <si>
    <t>62,1 %</t>
  </si>
  <si>
    <t>(0,8 %)</t>
  </si>
  <si>
    <t>9,0 %</t>
  </si>
  <si>
    <t>34,6 %</t>
  </si>
  <si>
    <t>EBITDAR</t>
  </si>
  <si>
    <t>R&amp;D Expense</t>
  </si>
  <si>
    <t>Selling and Marketing Expense</t>
  </si>
  <si>
    <t>General and Administrative Expense</t>
  </si>
  <si>
    <t>Effective Tax Rate %</t>
  </si>
  <si>
    <t>16,8 %</t>
  </si>
  <si>
    <t>19,3 %</t>
  </si>
  <si>
    <t>53,4 %</t>
  </si>
  <si>
    <t>12,0 %</t>
  </si>
  <si>
    <t>13,3 %</t>
  </si>
  <si>
    <t>15,9 %</t>
  </si>
  <si>
    <t>Price Factors:</t>
  </si>
  <si>
    <t>Market Cap</t>
  </si>
  <si>
    <t>Price Close</t>
  </si>
  <si>
    <t>38,90 US$</t>
  </si>
  <si>
    <t>39,62 US$</t>
  </si>
  <si>
    <t>52,67 US$</t>
  </si>
  <si>
    <t>52,25 US$</t>
  </si>
  <si>
    <t>66,97 US$</t>
  </si>
  <si>
    <t>87,63 US$</t>
  </si>
  <si>
    <t>144,85 US$</t>
  </si>
  <si>
    <t>88,23 US$</t>
  </si>
  <si>
    <t>139,69 US$</t>
  </si>
  <si>
    <t>189,30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</si>
  <si>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</si>
  <si>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</si>
  <si>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</si>
  <si>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</si>
  <si>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</si>
  <si>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</si>
  <si>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</si>
  <si>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</si>
  <si>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</si>
  <si>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</si>
  <si>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Other Receivables</t>
  </si>
  <si>
    <t>Notes Receivable</t>
  </si>
  <si>
    <t>Total Receivables</t>
  </si>
  <si>
    <t>Inventory</t>
  </si>
  <si>
    <t>Prepaid Expenses</t>
  </si>
  <si>
    <t>Deferred Tax Assets Current</t>
  </si>
  <si>
    <t>Restricted Cash</t>
  </si>
  <si>
    <t>Other Current Assets</t>
  </si>
  <si>
    <t>Total Current Assets</t>
  </si>
  <si>
    <t>Gross Property Plant And Equipment</t>
  </si>
  <si>
    <t>Accumulated Depreciation</t>
  </si>
  <si>
    <t>Net Property Plant And Equipment</t>
  </si>
  <si>
    <t>Long-term Investments</t>
  </si>
  <si>
    <t>Goodwill</t>
  </si>
  <si>
    <t>Other Intangibles</t>
  </si>
  <si>
    <t>Loans Receivable Long-Term</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</si>
  <si>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</si>
  <si>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</si>
  <si>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</si>
  <si>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</si>
  <si>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</si>
  <si>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</si>
  <si>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</si>
  <si>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</si>
  <si>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</si>
  <si>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</si>
  <si>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</si>
  <si>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</si>
  <si>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</si>
  <si>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</si>
  <si>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</si>
  <si>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Deferred Tax Liability Non Current</t>
  </si>
  <si>
    <t>Other Non Current Liabilities</t>
  </si>
  <si>
    <t>Total Liabilities</t>
  </si>
  <si>
    <t>Preferred Stock Convertible</t>
  </si>
  <si>
    <t>Preferred Stock - Others</t>
  </si>
  <si>
    <t>Total Preferred Equity</t>
  </si>
  <si>
    <t>Common Stock</t>
  </si>
  <si>
    <t>Additional Paid In Capital</t>
  </si>
  <si>
    <t>Retained Earnings</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</si>
  <si>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</si>
  <si>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</si>
  <si>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</si>
  <si>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</si>
  <si>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</si>
  <si>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</si>
  <si>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</si>
  <si>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</si>
  <si>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</si>
  <si>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</si>
  <si>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Equity Method Investments</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</si>
  <si>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</si>
  <si>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</si>
  <si>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</si>
  <si>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</si>
  <si>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</si>
  <si>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</si>
  <si>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</si>
  <si>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</si>
  <si>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</si>
  <si>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(Gain) Loss From Sale Of Asset</t>
  </si>
  <si>
    <t>(Gain) Loss on Sale of Investments</t>
  </si>
  <si>
    <t>Asset Writedown &amp; Restructuring Costs</t>
  </si>
  <si>
    <t>Stock-Based Compensation</t>
  </si>
  <si>
    <t>Tax Benefit from Stock Options</t>
  </si>
  <si>
    <t>Net Cash From Discontinued Operations</t>
  </si>
  <si>
    <t>Other Operating Activities</t>
  </si>
  <si>
    <t>Change In Accounts Receivable</t>
  </si>
  <si>
    <t>Change In Inventories</t>
  </si>
  <si>
    <t>Change In Accounts Payable</t>
  </si>
  <si>
    <t>Change in Unearned Revenues</t>
  </si>
  <si>
    <t>Change In Income Taxes</t>
  </si>
  <si>
    <t>Change in Other Net Operating Assets</t>
  </si>
  <si>
    <t>Cash from Operations</t>
  </si>
  <si>
    <t>Memo: Change in Net Working Capital</t>
  </si>
  <si>
    <t>Capital Expenditure</t>
  </si>
  <si>
    <t>Sale of Property, Plant, and Equipment</t>
  </si>
  <si>
    <t>Cash Acquisitions</t>
  </si>
  <si>
    <t>Divestitures</t>
  </si>
  <si>
    <t>Sale (Purchase) of Intangible assets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</si>
  <si>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</si>
  <si>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</si>
  <si>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</si>
  <si>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</si>
  <si>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</si>
  <si>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</si>
  <si>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</si>
  <si>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</si>
  <si>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</si>
  <si>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</si>
  <si>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</si>
  <si>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</si>
  <si>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Free Cash Flow</t>
  </si>
  <si>
    <t>(7,4 %)</t>
  </si>
  <si>
    <t>(4,5 %)</t>
  </si>
  <si>
    <t>35,7 %</t>
  </si>
  <si>
    <t>38,3 %</t>
  </si>
  <si>
    <t>56,4 %</t>
  </si>
  <si>
    <t>(10,4 %)</t>
  </si>
  <si>
    <t>15,8 %</t>
  </si>
  <si>
    <t>4,7 %</t>
  </si>
  <si>
    <t>% Free Cash Flow Margins</t>
  </si>
  <si>
    <t>16,7 %</t>
  </si>
  <si>
    <t>19,1 %</t>
  </si>
  <si>
    <t>23,5 %</t>
  </si>
  <si>
    <t>26,0 %</t>
  </si>
  <si>
    <t>20,8 %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</si>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</sst>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sz val="12.0"/>
      <color rgb="FF366092"/>
      <name val="Arial"/>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000000"/>
      <name val="Roboto"/>
    </font>
    <font>
      <sz val="11.0"/>
      <color rgb="FFF44336"/>
      <name val="Roboto"/>
    </font>
    <font>
      <b/>
      <sz val="11.0"/>
      <color rgb="FFF44336"/>
      <name val="Roboto"/>
    </font>
    <font>
      <b/>
      <i/>
      <sz val="11.0"/>
      <color rgb="FFF44336"/>
      <name val="Roboto"/>
    </font>
    <font>
      <sz val="11.0"/>
      <color rgb="FF000000"/>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b/>
      <sz val="11.0"/>
      <color rgb="FF000000"/>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18">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6" fillId="3" fontId="12"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3"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9" fillId="3" fontId="10" numFmtId="164" xfId="0" applyAlignment="1" applyBorder="1" applyFont="1" applyNumberFormat="1">
      <alignment horizontal="center" vertical="center"/>
    </xf>
    <xf borderId="10" fillId="3" fontId="10"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8" fillId="3" fontId="11" numFmtId="164"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1"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8" fillId="5" fontId="10"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5"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6" numFmtId="0" xfId="0" applyAlignment="1" applyBorder="1" applyFill="1" applyFont="1">
      <alignment horizontal="left" vertical="center"/>
    </xf>
    <xf borderId="2" fillId="7" fontId="16" numFmtId="4" xfId="0" applyAlignment="1" applyBorder="1" applyFont="1" applyNumberFormat="1">
      <alignment horizontal="center" vertical="center"/>
    </xf>
    <xf borderId="49" fillId="7" fontId="17" numFmtId="4" xfId="0" applyAlignment="1" applyBorder="1" applyFont="1" applyNumberFormat="1">
      <alignment horizontal="center" vertical="center"/>
    </xf>
    <xf borderId="15" fillId="7" fontId="16" numFmtId="0" xfId="0" applyAlignment="1" applyBorder="1" applyFont="1">
      <alignment horizontal="left" vertical="center"/>
    </xf>
    <xf borderId="34" fillId="0" fontId="16" numFmtId="9" xfId="0" applyAlignment="1" applyBorder="1" applyFont="1" applyNumberFormat="1">
      <alignment horizontal="center" vertical="center"/>
    </xf>
    <xf borderId="15" fillId="7" fontId="16" numFmtId="9" xfId="0" applyAlignment="1" applyBorder="1" applyFont="1" applyNumberFormat="1">
      <alignment horizontal="center" vertical="center"/>
    </xf>
    <xf borderId="55" fillId="7" fontId="17"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6"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8" numFmtId="0" xfId="0" applyAlignment="1" applyFill="1" applyFont="1">
      <alignment horizontal="left" shrinkToFit="0" wrapText="0"/>
    </xf>
    <xf borderId="0" fillId="9" fontId="18" numFmtId="171" xfId="0" applyAlignment="1" applyFont="1" applyNumberFormat="1">
      <alignment horizontal="right" shrinkToFit="0" wrapText="0"/>
    </xf>
    <xf borderId="0" fillId="9" fontId="18" numFmtId="0" xfId="0" applyAlignment="1" applyFont="1">
      <alignment horizontal="right" shrinkToFit="0" wrapText="0"/>
    </xf>
    <xf borderId="0" fillId="0" fontId="19" numFmtId="0" xfId="0" applyFont="1"/>
    <xf borderId="0" fillId="0" fontId="19" numFmtId="172" xfId="0" applyAlignment="1" applyFont="1" applyNumberFormat="1">
      <alignment horizontal="center"/>
    </xf>
    <xf borderId="0" fillId="10" fontId="20" numFmtId="0" xfId="0" applyAlignment="1" applyFill="1" applyFont="1">
      <alignment horizontal="left" shrinkToFit="0" wrapText="0"/>
    </xf>
    <xf borderId="0" fillId="10" fontId="21" numFmtId="4" xfId="0" applyAlignment="1" applyFont="1" applyNumberFormat="1">
      <alignment horizontal="right" shrinkToFit="0" wrapText="0"/>
    </xf>
    <xf borderId="0" fillId="10" fontId="18" numFmtId="0" xfId="0" applyAlignment="1" applyFont="1">
      <alignment horizontal="left" shrinkToFit="0" wrapText="0"/>
    </xf>
    <xf borderId="0" fillId="10" fontId="22" numFmtId="4" xfId="0" applyAlignment="1" applyFont="1" applyNumberFormat="1">
      <alignment horizontal="right" shrinkToFit="0" wrapText="0"/>
    </xf>
    <xf borderId="0" fillId="10" fontId="23" numFmtId="0" xfId="0" applyAlignment="1" applyFont="1">
      <alignment horizontal="left" shrinkToFit="0" wrapText="0"/>
    </xf>
    <xf borderId="0" fillId="0" fontId="24" numFmtId="4" xfId="0" applyAlignment="1" applyFont="1" applyNumberFormat="1">
      <alignment horizontal="right" shrinkToFit="0" wrapText="0"/>
    </xf>
    <xf borderId="0" fillId="1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61" fillId="10" fontId="18" numFmtId="0" xfId="0" applyAlignment="1" applyBorder="1" applyFont="1">
      <alignment horizontal="left" shrinkToFit="0" wrapText="0"/>
    </xf>
    <xf borderId="61" fillId="10" fontId="22" numFmtId="4" xfId="0" applyAlignment="1" applyBorder="1" applyFont="1" applyNumberFormat="1">
      <alignment horizontal="right" shrinkToFit="0" wrapText="0"/>
    </xf>
    <xf borderId="61" fillId="10" fontId="28" numFmtId="4" xfId="0" applyAlignment="1" applyBorder="1" applyFont="1" applyNumberFormat="1">
      <alignment horizontal="right" shrinkToFit="0" wrapText="0"/>
    </xf>
    <xf borderId="0" fillId="10" fontId="29" numFmtId="4" xfId="0" applyAlignment="1" applyFont="1" applyNumberFormat="1">
      <alignment horizontal="right" shrinkToFit="0" wrapText="0"/>
    </xf>
    <xf borderId="0" fillId="10" fontId="30" numFmtId="4" xfId="0" applyAlignment="1" applyFont="1" applyNumberFormat="1">
      <alignment horizontal="right" shrinkToFit="0" wrapText="0"/>
    </xf>
    <xf borderId="0" fillId="0" fontId="6" numFmtId="4" xfId="0" applyAlignment="1" applyFont="1" applyNumberFormat="1">
      <alignment horizontal="center"/>
    </xf>
    <xf borderId="0" fillId="10" fontId="31" numFmtId="0" xfId="0" applyAlignment="1" applyFont="1">
      <alignment horizontal="left" shrinkToFit="0" wrapText="0"/>
    </xf>
    <xf borderId="0" fillId="0" fontId="32" numFmtId="4" xfId="0" applyAlignment="1" applyFont="1" applyNumberFormat="1">
      <alignment horizontal="right" shrinkToFit="0" wrapText="0"/>
    </xf>
    <xf borderId="0" fillId="1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1" fontId="20" numFmtId="0" xfId="0" applyAlignment="1" applyFill="1" applyFont="1">
      <alignment horizontal="left" shrinkToFit="0" wrapText="0"/>
    </xf>
    <xf borderId="0" fillId="0" fontId="30" numFmtId="4" xfId="0" applyAlignment="1" applyFont="1" applyNumberFormat="1">
      <alignment horizontal="right" shrinkToFit="0" wrapText="0"/>
    </xf>
    <xf borderId="0" fillId="0" fontId="21" numFmtId="4" xfId="0" applyAlignment="1" applyFont="1" applyNumberFormat="1">
      <alignment horizontal="right" shrinkToFit="0" wrapText="0"/>
    </xf>
    <xf borderId="0" fillId="12" fontId="36" numFmtId="0" xfId="0" applyAlignment="1" applyFill="1" applyFont="1">
      <alignment shrinkToFit="0" wrapText="1"/>
    </xf>
    <xf borderId="0" fillId="12" fontId="37" numFmtId="0" xfId="0" applyAlignment="1" applyFont="1">
      <alignment shrinkToFit="0" wrapText="1"/>
    </xf>
    <xf borderId="0" fillId="10" fontId="38" numFmtId="4" xfId="0" applyAlignment="1" applyFont="1" applyNumberFormat="1">
      <alignment horizontal="right" shrinkToFit="0" wrapText="0"/>
    </xf>
    <xf borderId="0" fillId="0" fontId="39" numFmtId="4" xfId="0" applyAlignment="1" applyFont="1" applyNumberFormat="1">
      <alignment horizontal="right" shrinkToFit="0" wrapText="0"/>
    </xf>
    <xf borderId="0" fillId="10" fontId="21" numFmtId="0" xfId="0" applyAlignment="1" applyFont="1">
      <alignment horizontal="right" shrinkToFit="0" wrapText="0"/>
    </xf>
    <xf borderId="0" fillId="10" fontId="27" numFmtId="0" xfId="0" applyAlignment="1" applyFont="1">
      <alignment horizontal="right" shrinkToFit="0" wrapText="0"/>
    </xf>
    <xf borderId="0" fillId="0" fontId="6" numFmtId="0" xfId="0" applyFont="1"/>
    <xf borderId="2" fillId="3" fontId="15"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5"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5"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5" numFmtId="2" xfId="0" applyAlignment="1" applyBorder="1" applyFont="1" applyNumberFormat="1">
      <alignment horizontal="center" shrinkToFit="0" vertical="center" wrapText="1"/>
    </xf>
    <xf borderId="2" fillId="3" fontId="15" numFmtId="0" xfId="0" applyAlignment="1" applyBorder="1" applyFont="1">
      <alignment horizontal="left" vertical="center"/>
    </xf>
    <xf borderId="2" fillId="3" fontId="15"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5"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9" numFmtId="0" xfId="0" applyBorder="1" applyFont="1"/>
    <xf borderId="2" fillId="7" fontId="19"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19" numFmtId="3" xfId="0" applyAlignment="1" applyFont="1" applyNumberFormat="1">
      <alignment horizontal="right"/>
    </xf>
    <xf borderId="62" fillId="0" fontId="6" numFmtId="1" xfId="0" applyAlignment="1" applyBorder="1" applyFont="1" applyNumberFormat="1">
      <alignment horizontal="right"/>
    </xf>
    <xf borderId="0" fillId="0" fontId="19" numFmtId="1" xfId="0" applyAlignment="1" applyFont="1" applyNumberFormat="1">
      <alignment horizontal="right"/>
    </xf>
    <xf borderId="0" fillId="0" fontId="6" numFmtId="4" xfId="0" applyAlignment="1" applyFont="1" applyNumberFormat="1">
      <alignment horizontal="right"/>
    </xf>
    <xf borderId="2" fillId="7" fontId="19" numFmtId="0" xfId="0" applyAlignment="1" applyBorder="1" applyFont="1">
      <alignment horizontal="right"/>
    </xf>
    <xf borderId="0" fillId="0" fontId="6" numFmtId="9" xfId="0" applyAlignment="1" applyFont="1" applyNumberFormat="1">
      <alignment horizontal="right"/>
    </xf>
    <xf borderId="2" fillId="13" fontId="19" numFmtId="1" xfId="0" applyAlignment="1" applyBorder="1" applyFill="1" applyFont="1" applyNumberFormat="1">
      <alignment horizontal="right"/>
    </xf>
    <xf borderId="2" fillId="13" fontId="6" numFmtId="3" xfId="0" applyAlignment="1" applyBorder="1" applyFont="1" applyNumberFormat="1">
      <alignment horizontal="right"/>
    </xf>
    <xf borderId="2" fillId="13" fontId="19"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9"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987532234"/>
        <c:axId val="1781332405"/>
      </c:lineChart>
      <c:catAx>
        <c:axId val="9875322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81332405"/>
      </c:catAx>
      <c:valAx>
        <c:axId val="17813324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87532234"/>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1584397995"/>
        <c:axId val="1474607249"/>
      </c:lineChart>
      <c:catAx>
        <c:axId val="15843979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74607249"/>
      </c:catAx>
      <c:valAx>
        <c:axId val="1474607249"/>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84397995"/>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961157317"/>
        <c:axId val="26376025"/>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961157317"/>
        <c:axId val="26376025"/>
      </c:lineChart>
      <c:catAx>
        <c:axId val="961157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6376025"/>
      </c:catAx>
      <c:valAx>
        <c:axId val="263760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61157317"/>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1711284538"/>
        <c:axId val="647176870"/>
      </c:barChart>
      <c:catAx>
        <c:axId val="17112845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47176870"/>
      </c:catAx>
      <c:valAx>
        <c:axId val="64717687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11284538"/>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5366375"/>
        <c:axId val="1962640148"/>
      </c:barChart>
      <c:catAx>
        <c:axId val="53663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2640148"/>
      </c:catAx>
      <c:valAx>
        <c:axId val="1962640148"/>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366375"/>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8813" y="3222788"/>
                <a:chExt cx="714375" cy="1114425"/>
              </a:xfrm>
            </xdr:grpSpPr>
            <xdr:sp>
              <xdr:nvSpPr>
                <xdr:cNvPr id="8" name="Shape 8"/>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 name="Shape 9"/>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10" name="Shape 10"/>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1" name="Shape 11"/>
            <xdr:cNvGrpSpPr/>
          </xdr:nvGrpSpPr>
          <xdr:grpSpPr>
            <a:xfrm>
              <a:off x="4984050" y="2270288"/>
              <a:ext cx="723900" cy="3019425"/>
              <a:chOff x="4984050" y="2270288"/>
              <a:chExt cx="723900" cy="3019425"/>
            </a:xfrm>
          </xdr:grpSpPr>
          <xdr:sp>
            <xdr:nvSpPr>
              <xdr:cNvPr id="12" name="Shape 1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2270288"/>
                <a:ext cx="723900" cy="3019425"/>
                <a:chOff x="4984050" y="2275050"/>
                <a:chExt cx="723900" cy="3009900"/>
              </a:xfrm>
            </xdr:grpSpPr>
            <xdr:sp>
              <xdr:nvSpPr>
                <xdr:cNvPr id="14" name="Shape 1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16" name="Shape 16"/>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4050" y="2013113"/>
              <a:ext cx="723900" cy="3533775"/>
              <a:chOff x="4984050" y="2013113"/>
              <a:chExt cx="723900" cy="3533775"/>
            </a:xfrm>
          </xdr:grpSpPr>
          <xdr:sp>
            <xdr:nvSpPr>
              <xdr:cNvPr id="18" name="Shape 1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4984050" y="2013113"/>
                <a:ext cx="723900" cy="3533775"/>
                <a:chOff x="4984050" y="2017875"/>
                <a:chExt cx="723900" cy="3524250"/>
              </a:xfrm>
            </xdr:grpSpPr>
            <xdr:sp>
              <xdr:nvSpPr>
                <xdr:cNvPr id="20" name="Shape 20"/>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1" name="Shape 21"/>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22" name="Shape 22"/>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3" name="Shape 23"/>
            <xdr:cNvGrpSpPr/>
          </xdr:nvGrpSpPr>
          <xdr:grpSpPr>
            <a:xfrm>
              <a:off x="4984050" y="3403763"/>
              <a:ext cx="723900" cy="752475"/>
              <a:chOff x="4984050" y="3403763"/>
              <a:chExt cx="723900" cy="752475"/>
            </a:xfrm>
          </xdr:grpSpPr>
          <xdr:sp>
            <xdr:nvSpPr>
              <xdr:cNvPr id="24" name="Shape 2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3403763"/>
                <a:ext cx="723900" cy="752475"/>
                <a:chOff x="4988813" y="3408525"/>
                <a:chExt cx="714375" cy="742950"/>
              </a:xfrm>
            </xdr:grpSpPr>
            <xdr:sp>
              <xdr:nvSpPr>
                <xdr:cNvPr id="26" name="Shape 26"/>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28" name="Shape 28"/>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9" name="Shape 29"/>
            <xdr:cNvGrpSpPr/>
          </xdr:nvGrpSpPr>
          <xdr:grpSpPr>
            <a:xfrm>
              <a:off x="4817363" y="2265525"/>
              <a:ext cx="1057275" cy="3028950"/>
              <a:chOff x="4817363" y="2265525"/>
              <a:chExt cx="1057275" cy="3028950"/>
            </a:xfrm>
          </xdr:grpSpPr>
          <xdr:sp>
            <xdr:nvSpPr>
              <xdr:cNvPr id="30" name="Shape 3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4817363" y="2265525"/>
                <a:ext cx="1057275" cy="3028950"/>
                <a:chOff x="4822125" y="2270288"/>
                <a:chExt cx="1047750" cy="3019425"/>
              </a:xfrm>
            </xdr:grpSpPr>
            <xdr:sp>
              <xdr:nvSpPr>
                <xdr:cNvPr id="32" name="Shape 3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3" name="Shape 3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34" name="Shape 3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5" name="Shape 35"/>
            <xdr:cNvGrpSpPr/>
          </xdr:nvGrpSpPr>
          <xdr:grpSpPr>
            <a:xfrm>
              <a:off x="4569713" y="3075150"/>
              <a:ext cx="1552575" cy="1409700"/>
              <a:chOff x="4569713" y="3075150"/>
              <a:chExt cx="1552575" cy="1409700"/>
            </a:xfrm>
          </xdr:grpSpPr>
          <xdr:sp>
            <xdr:nvSpPr>
              <xdr:cNvPr id="36" name="Shape 3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569713" y="3075150"/>
                <a:ext cx="1552575" cy="1409700"/>
                <a:chOff x="4574475" y="3079913"/>
                <a:chExt cx="1543050" cy="1400175"/>
              </a:xfrm>
            </xdr:grpSpPr>
            <xdr:sp>
              <xdr:nvSpPr>
                <xdr:cNvPr id="38" name="Shape 38"/>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9" name="Shape 39"/>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40" name="Shape 40"/>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1" name="Shape 41"/>
            <xdr:cNvGrpSpPr/>
          </xdr:nvGrpSpPr>
          <xdr:grpSpPr>
            <a:xfrm>
              <a:off x="4569713" y="3760950"/>
              <a:ext cx="1552575" cy="38100"/>
              <a:chOff x="4569713" y="3760950"/>
              <a:chExt cx="1552575" cy="38100"/>
            </a:xfrm>
          </xdr:grpSpPr>
          <xdr:sp>
            <xdr:nvSpPr>
              <xdr:cNvPr id="42" name="Shape 4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569713" y="3760950"/>
                <a:ext cx="1552575" cy="38100"/>
                <a:chOff x="4569713" y="3775238"/>
                <a:chExt cx="1552575" cy="9525"/>
              </a:xfrm>
            </xdr:grpSpPr>
            <xdr:sp>
              <xdr:nvSpPr>
                <xdr:cNvPr id="44" name="Shape 4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45" name="Shape 45"/>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86715926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1937204423"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941851121"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711369618"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61870922"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0" Type="http://schemas.openxmlformats.org/officeDocument/2006/relationships/drawing" Target="../drawings/drawing8.xml"/><Relationship Id="rId9" Type="http://schemas.openxmlformats.org/officeDocument/2006/relationships/hyperlink" Target="https://app.tikr.com/privacypolicy"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terms"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privacypolicy" TargetMode="External"/><Relationship Id="rId20" Type="http://schemas.openxmlformats.org/officeDocument/2006/relationships/hyperlink" Target="https://app.tikr.com/account/subs?ref=4v1it1" TargetMode="External"/><Relationship Id="rId41" Type="http://schemas.openxmlformats.org/officeDocument/2006/relationships/drawing" Target="../drawings/drawing9.xm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terms"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2" t="s">
        <v>344</v>
      </c>
      <c r="B1" s="233">
        <v>42369.0</v>
      </c>
      <c r="C1" s="233">
        <v>42735.0</v>
      </c>
      <c r="D1" s="233">
        <v>43100.0</v>
      </c>
      <c r="E1" s="233">
        <v>43465.0</v>
      </c>
      <c r="F1" s="233">
        <v>43830.0</v>
      </c>
      <c r="G1" s="233">
        <v>44196.0</v>
      </c>
      <c r="H1" s="233">
        <v>44561.0</v>
      </c>
      <c r="I1" s="233">
        <v>44926.0</v>
      </c>
      <c r="J1" s="233">
        <v>45291.0</v>
      </c>
      <c r="K1" s="233">
        <v>45657.0</v>
      </c>
      <c r="L1" s="234" t="s">
        <v>96</v>
      </c>
    </row>
    <row r="2">
      <c r="A2" s="235"/>
      <c r="B2" s="236"/>
      <c r="C2" s="236"/>
      <c r="D2" s="236"/>
      <c r="E2" s="236"/>
      <c r="F2" s="236"/>
      <c r="G2" s="236"/>
      <c r="H2" s="236"/>
      <c r="I2" s="236"/>
      <c r="J2" s="236"/>
      <c r="K2" s="236"/>
      <c r="L2" s="236"/>
    </row>
    <row r="3">
      <c r="A3" s="239" t="s">
        <v>36</v>
      </c>
      <c r="B3" s="240">
        <v>16348.0</v>
      </c>
      <c r="C3" s="240">
        <v>19478.0</v>
      </c>
      <c r="D3" s="240">
        <v>12662.0</v>
      </c>
      <c r="E3" s="240">
        <v>30736.0</v>
      </c>
      <c r="F3" s="240">
        <v>34343.0</v>
      </c>
      <c r="G3" s="240">
        <v>40269.0</v>
      </c>
      <c r="H3" s="240">
        <v>76033.0</v>
      </c>
      <c r="I3" s="240">
        <v>59972.0</v>
      </c>
      <c r="J3" s="240">
        <v>73795.0</v>
      </c>
      <c r="K3" s="240">
        <v>100118.0</v>
      </c>
      <c r="L3" s="240">
        <v>100118.0</v>
      </c>
    </row>
    <row r="4">
      <c r="A4" s="237" t="s">
        <v>24</v>
      </c>
      <c r="B4" s="238">
        <v>4132.0</v>
      </c>
      <c r="C4" s="238">
        <v>5267.0</v>
      </c>
      <c r="D4" s="238">
        <v>6103.0</v>
      </c>
      <c r="E4" s="238">
        <v>8164.0</v>
      </c>
      <c r="F4" s="238">
        <v>10856.0</v>
      </c>
      <c r="G4" s="238">
        <v>12905.0</v>
      </c>
      <c r="H4" s="238">
        <v>10273.0</v>
      </c>
      <c r="I4" s="238">
        <v>13475.0</v>
      </c>
      <c r="J4" s="238">
        <v>11946.0</v>
      </c>
      <c r="K4" s="238">
        <v>15311.0</v>
      </c>
      <c r="L4" s="238">
        <v>15311.0</v>
      </c>
    </row>
    <row r="5">
      <c r="A5" s="237" t="s">
        <v>345</v>
      </c>
      <c r="B5" s="238">
        <v>892.0</v>
      </c>
      <c r="C5" s="238">
        <v>833.0</v>
      </c>
      <c r="D5" s="238">
        <v>796.0</v>
      </c>
      <c r="E5" s="238">
        <v>865.0</v>
      </c>
      <c r="F5" s="238">
        <v>795.0</v>
      </c>
      <c r="G5" s="238">
        <v>774.0</v>
      </c>
      <c r="H5" s="250"/>
      <c r="I5" s="250"/>
      <c r="J5" s="250"/>
      <c r="K5" s="250"/>
      <c r="L5" s="250"/>
    </row>
    <row r="6">
      <c r="A6" s="239" t="s">
        <v>346</v>
      </c>
      <c r="B6" s="240">
        <v>5024.0</v>
      </c>
      <c r="C6" s="240">
        <v>6100.0</v>
      </c>
      <c r="D6" s="240">
        <v>6899.0</v>
      </c>
      <c r="E6" s="240">
        <v>9029.0</v>
      </c>
      <c r="F6" s="240">
        <v>11651.0</v>
      </c>
      <c r="G6" s="240">
        <v>13679.0</v>
      </c>
      <c r="H6" s="240">
        <v>10273.0</v>
      </c>
      <c r="I6" s="240">
        <v>13475.0</v>
      </c>
      <c r="J6" s="240">
        <v>11946.0</v>
      </c>
      <c r="K6" s="240">
        <v>15311.0</v>
      </c>
      <c r="L6" s="240">
        <v>15311.0</v>
      </c>
    </row>
    <row r="7">
      <c r="A7" s="237" t="s">
        <v>347</v>
      </c>
      <c r="B7" s="250"/>
      <c r="C7" s="250"/>
      <c r="D7" s="250"/>
      <c r="E7" s="250"/>
      <c r="F7" s="250"/>
      <c r="G7" s="250"/>
      <c r="H7" s="250"/>
      <c r="I7" s="250"/>
      <c r="J7" s="250"/>
      <c r="K7" s="250"/>
      <c r="L7" s="250"/>
    </row>
    <row r="8">
      <c r="A8" s="237" t="s">
        <v>348</v>
      </c>
      <c r="B8" s="238">
        <v>334.0</v>
      </c>
      <c r="C8" s="238">
        <v>73.0</v>
      </c>
      <c r="D8" s="238">
        <v>37.0</v>
      </c>
      <c r="E8" s="245">
        <v>-6650.0</v>
      </c>
      <c r="F8" s="245">
        <v>-2798.0</v>
      </c>
      <c r="G8" s="245">
        <v>-6317.0</v>
      </c>
      <c r="H8" s="245">
        <v>-12270.0</v>
      </c>
      <c r="I8" s="238">
        <v>5519.0</v>
      </c>
      <c r="J8" s="238">
        <v>823.0</v>
      </c>
      <c r="K8" s="245">
        <v>-2671.0</v>
      </c>
      <c r="L8" s="245">
        <v>-2671.0</v>
      </c>
    </row>
    <row r="9">
      <c r="A9" s="237" t="s">
        <v>349</v>
      </c>
      <c r="B9" s="238">
        <v>39.0</v>
      </c>
      <c r="C9" s="238">
        <v>44.0</v>
      </c>
      <c r="D9" s="238">
        <v>16.0</v>
      </c>
      <c r="E9" s="238">
        <v>6.0</v>
      </c>
      <c r="F9" s="238">
        <v>130.0</v>
      </c>
      <c r="G9" s="238">
        <v>18.0</v>
      </c>
      <c r="H9" s="250"/>
      <c r="I9" s="250"/>
      <c r="J9" s="250"/>
      <c r="K9" s="250"/>
      <c r="L9" s="250"/>
    </row>
    <row r="10">
      <c r="A10" s="237" t="s">
        <v>350</v>
      </c>
      <c r="B10" s="238">
        <v>5203.0</v>
      </c>
      <c r="C10" s="238">
        <v>6703.0</v>
      </c>
      <c r="D10" s="238">
        <v>7679.0</v>
      </c>
      <c r="E10" s="238">
        <v>9353.0</v>
      </c>
      <c r="F10" s="238">
        <v>10794.0</v>
      </c>
      <c r="G10" s="238">
        <v>12991.0</v>
      </c>
      <c r="H10" s="238">
        <v>15376.0</v>
      </c>
      <c r="I10" s="238">
        <v>19362.0</v>
      </c>
      <c r="J10" s="238">
        <v>22460.0</v>
      </c>
      <c r="K10" s="238">
        <v>22785.0</v>
      </c>
      <c r="L10" s="238">
        <v>22785.0</v>
      </c>
    </row>
    <row r="11">
      <c r="A11" s="237" t="s">
        <v>351</v>
      </c>
      <c r="B11" s="250"/>
      <c r="C11" s="250"/>
      <c r="D11" s="250"/>
      <c r="E11" s="250"/>
      <c r="F11" s="250"/>
      <c r="G11" s="250"/>
      <c r="H11" s="250"/>
      <c r="I11" s="250"/>
      <c r="J11" s="250"/>
      <c r="K11" s="250"/>
      <c r="L11" s="250"/>
    </row>
    <row r="12">
      <c r="A12" s="237" t="s">
        <v>352</v>
      </c>
      <c r="B12" s="250"/>
      <c r="C12" s="250"/>
      <c r="D12" s="250"/>
      <c r="E12" s="250"/>
      <c r="F12" s="250"/>
      <c r="G12" s="250"/>
      <c r="H12" s="250"/>
      <c r="I12" s="250"/>
      <c r="J12" s="250"/>
      <c r="K12" s="250"/>
      <c r="L12" s="250"/>
    </row>
    <row r="13">
      <c r="A13" s="237" t="s">
        <v>353</v>
      </c>
      <c r="B13" s="264">
        <v>33.0</v>
      </c>
      <c r="C13" s="238">
        <v>338.0</v>
      </c>
      <c r="D13" s="264">
        <v>552.0</v>
      </c>
      <c r="E13" s="264">
        <v>589.0</v>
      </c>
      <c r="F13" s="245">
        <v>-419.0</v>
      </c>
      <c r="G13" s="264">
        <v>2657.0</v>
      </c>
      <c r="H13" s="238">
        <v>3763.0</v>
      </c>
      <c r="I13" s="245">
        <v>-4598.0</v>
      </c>
      <c r="J13" s="245">
        <v>-3433.0</v>
      </c>
      <c r="K13" s="245">
        <v>-1838.0</v>
      </c>
      <c r="L13" s="245">
        <v>-1838.0</v>
      </c>
    </row>
    <row r="14">
      <c r="A14" s="237" t="s">
        <v>354</v>
      </c>
      <c r="B14" s="265">
        <v>-2094.0</v>
      </c>
      <c r="C14" s="245">
        <v>-2578.0</v>
      </c>
      <c r="D14" s="265">
        <v>-3768.0</v>
      </c>
      <c r="E14" s="265">
        <v>-2169.0</v>
      </c>
      <c r="F14" s="245">
        <v>-4340.0</v>
      </c>
      <c r="G14" s="265">
        <v>-6524.0</v>
      </c>
      <c r="H14" s="245">
        <v>-9095.0</v>
      </c>
      <c r="I14" s="245">
        <v>-2317.0</v>
      </c>
      <c r="J14" s="245">
        <v>-7833.0</v>
      </c>
      <c r="K14" s="245">
        <v>-5891.0</v>
      </c>
      <c r="L14" s="245">
        <v>-5891.0</v>
      </c>
    </row>
    <row r="15">
      <c r="A15" s="237" t="s">
        <v>355</v>
      </c>
      <c r="B15" s="250"/>
      <c r="C15" s="250"/>
      <c r="D15" s="250"/>
      <c r="E15" s="250"/>
      <c r="F15" s="250"/>
      <c r="G15" s="250"/>
      <c r="H15" s="250"/>
      <c r="I15" s="250"/>
      <c r="J15" s="250"/>
      <c r="K15" s="250"/>
      <c r="L15" s="250"/>
    </row>
    <row r="16">
      <c r="A16" s="237" t="s">
        <v>356</v>
      </c>
      <c r="B16" s="238">
        <v>203.0</v>
      </c>
      <c r="C16" s="238">
        <v>110.0</v>
      </c>
      <c r="D16" s="238">
        <v>731.0</v>
      </c>
      <c r="E16" s="238">
        <v>1067.0</v>
      </c>
      <c r="F16" s="238">
        <v>428.0</v>
      </c>
      <c r="G16" s="238">
        <v>694.0</v>
      </c>
      <c r="H16" s="238">
        <v>283.0</v>
      </c>
      <c r="I16" s="238">
        <v>707.0</v>
      </c>
      <c r="J16" s="238">
        <v>664.0</v>
      </c>
      <c r="K16" s="238">
        <v>359.0</v>
      </c>
      <c r="L16" s="238">
        <v>359.0</v>
      </c>
    </row>
    <row r="17">
      <c r="A17" s="237" t="s">
        <v>357</v>
      </c>
      <c r="B17" s="238">
        <v>43.0</v>
      </c>
      <c r="C17" s="238">
        <v>223.0</v>
      </c>
      <c r="D17" s="238">
        <v>390.0</v>
      </c>
      <c r="E17" s="238">
        <v>371.0</v>
      </c>
      <c r="F17" s="238">
        <v>37.0</v>
      </c>
      <c r="G17" s="238">
        <v>635.0</v>
      </c>
      <c r="H17" s="238">
        <v>774.0</v>
      </c>
      <c r="I17" s="238">
        <v>367.0</v>
      </c>
      <c r="J17" s="238">
        <v>525.0</v>
      </c>
      <c r="K17" s="238">
        <v>1043.0</v>
      </c>
      <c r="L17" s="238">
        <v>1043.0</v>
      </c>
    </row>
    <row r="18">
      <c r="A18" s="237" t="s">
        <v>358</v>
      </c>
      <c r="B18" s="245">
        <v>-179.0</v>
      </c>
      <c r="C18" s="238">
        <v>3125.0</v>
      </c>
      <c r="D18" s="238">
        <v>8211.0</v>
      </c>
      <c r="E18" s="245">
        <v>-2251.0</v>
      </c>
      <c r="F18" s="245">
        <v>-3128.0</v>
      </c>
      <c r="G18" s="238">
        <v>1209.0</v>
      </c>
      <c r="H18" s="245">
        <v>-625.0</v>
      </c>
      <c r="I18" s="238">
        <v>584.0</v>
      </c>
      <c r="J18" s="238">
        <v>523.0</v>
      </c>
      <c r="K18" s="245">
        <v>-2418.0</v>
      </c>
      <c r="L18" s="245">
        <v>-2418.0</v>
      </c>
    </row>
    <row r="19">
      <c r="A19" s="237" t="s">
        <v>359</v>
      </c>
      <c r="B19" s="238">
        <v>1618.0</v>
      </c>
      <c r="C19" s="238">
        <v>2420.0</v>
      </c>
      <c r="D19" s="238">
        <v>3682.0</v>
      </c>
      <c r="E19" s="238">
        <v>7890.0</v>
      </c>
      <c r="F19" s="238">
        <v>7822.0</v>
      </c>
      <c r="G19" s="238">
        <v>5813.0</v>
      </c>
      <c r="H19" s="238">
        <v>7140.0</v>
      </c>
      <c r="I19" s="245">
        <v>-1576.0</v>
      </c>
      <c r="J19" s="238">
        <v>2276.0</v>
      </c>
      <c r="K19" s="245">
        <v>-1499.0</v>
      </c>
      <c r="L19" s="245">
        <v>-1499.0</v>
      </c>
    </row>
    <row r="20">
      <c r="A20" s="246" t="s">
        <v>360</v>
      </c>
      <c r="B20" s="247">
        <v>26572.0</v>
      </c>
      <c r="C20" s="247">
        <v>36036.0</v>
      </c>
      <c r="D20" s="247">
        <v>37091.0</v>
      </c>
      <c r="E20" s="247">
        <v>47971.0</v>
      </c>
      <c r="F20" s="247">
        <v>54520.0</v>
      </c>
      <c r="G20" s="247">
        <v>65124.0</v>
      </c>
      <c r="H20" s="247">
        <v>91652.0</v>
      </c>
      <c r="I20" s="247">
        <v>91495.0</v>
      </c>
      <c r="J20" s="247">
        <v>101746.0</v>
      </c>
      <c r="K20" s="247">
        <v>125299.0</v>
      </c>
      <c r="L20" s="247">
        <v>125299.0</v>
      </c>
    </row>
    <row r="21" ht="15.75" customHeight="1">
      <c r="A21" s="252" t="s">
        <v>361</v>
      </c>
      <c r="B21" s="255">
        <v>-409.0</v>
      </c>
      <c r="C21" s="254">
        <v>3300.0</v>
      </c>
      <c r="D21" s="254">
        <v>9246.0</v>
      </c>
      <c r="E21" s="254">
        <v>4908.0</v>
      </c>
      <c r="F21" s="254">
        <v>819.0</v>
      </c>
      <c r="G21" s="254">
        <v>1827.0</v>
      </c>
      <c r="H21" s="255">
        <v>-1523.0</v>
      </c>
      <c r="I21" s="255">
        <v>-2235.0</v>
      </c>
      <c r="J21" s="255">
        <v>-3845.0</v>
      </c>
      <c r="K21" s="255">
        <v>-8406.0</v>
      </c>
      <c r="L21" s="255">
        <v>-8406.0</v>
      </c>
    </row>
    <row r="22" ht="15.75" customHeight="1">
      <c r="A22" s="237" t="s">
        <v>362</v>
      </c>
      <c r="B22" s="245">
        <v>-9950.0</v>
      </c>
      <c r="C22" s="245">
        <v>-10212.0</v>
      </c>
      <c r="D22" s="245">
        <v>-13184.0</v>
      </c>
      <c r="E22" s="245">
        <v>-25139.0</v>
      </c>
      <c r="F22" s="245">
        <v>-23548.0</v>
      </c>
      <c r="G22" s="245">
        <v>-22281.0</v>
      </c>
      <c r="H22" s="245">
        <v>-24640.0</v>
      </c>
      <c r="I22" s="245">
        <v>-31485.0</v>
      </c>
      <c r="J22" s="245">
        <v>-32251.0</v>
      </c>
      <c r="K22" s="245">
        <v>-52535.0</v>
      </c>
      <c r="L22" s="245">
        <v>-52535.0</v>
      </c>
    </row>
    <row r="23" ht="15.75" customHeight="1">
      <c r="A23" s="237" t="s">
        <v>363</v>
      </c>
      <c r="B23" s="238">
        <v>35.0</v>
      </c>
      <c r="C23" s="238">
        <v>240.0</v>
      </c>
      <c r="D23" s="238">
        <v>99.0</v>
      </c>
      <c r="E23" s="250"/>
      <c r="F23" s="250"/>
      <c r="G23" s="250"/>
      <c r="H23" s="250"/>
      <c r="I23" s="250"/>
      <c r="J23" s="250"/>
      <c r="K23" s="250"/>
      <c r="L23" s="250"/>
    </row>
    <row r="24" ht="15.75" customHeight="1">
      <c r="A24" s="237" t="s">
        <v>364</v>
      </c>
      <c r="B24" s="245">
        <v>-236.0</v>
      </c>
      <c r="C24" s="245">
        <v>-986.0</v>
      </c>
      <c r="D24" s="245">
        <v>-287.0</v>
      </c>
      <c r="E24" s="245">
        <v>-1491.0</v>
      </c>
      <c r="F24" s="245">
        <v>-2515.0</v>
      </c>
      <c r="G24" s="245">
        <v>-738.0</v>
      </c>
      <c r="H24" s="245">
        <v>-2618.0</v>
      </c>
      <c r="I24" s="245">
        <v>-6969.0</v>
      </c>
      <c r="J24" s="245">
        <v>-495.0</v>
      </c>
      <c r="K24" s="245">
        <v>-2931.0</v>
      </c>
      <c r="L24" s="245">
        <v>-2931.0</v>
      </c>
    </row>
    <row r="25" ht="15.75" customHeight="1">
      <c r="A25" s="237" t="s">
        <v>365</v>
      </c>
      <c r="B25" s="250"/>
      <c r="C25" s="250"/>
      <c r="D25" s="250"/>
      <c r="E25" s="250"/>
      <c r="F25" s="250"/>
      <c r="G25" s="250"/>
      <c r="H25" s="250"/>
      <c r="I25" s="250"/>
      <c r="J25" s="250"/>
      <c r="K25" s="250"/>
      <c r="L25" s="250"/>
    </row>
    <row r="26" ht="15.75" customHeight="1">
      <c r="A26" s="237" t="s">
        <v>366</v>
      </c>
      <c r="B26" s="250"/>
      <c r="C26" s="250"/>
      <c r="D26" s="250"/>
      <c r="E26" s="250"/>
      <c r="F26" s="250"/>
      <c r="G26" s="250"/>
      <c r="H26" s="250"/>
      <c r="I26" s="250"/>
      <c r="J26" s="250"/>
      <c r="K26" s="250"/>
      <c r="L26" s="250"/>
    </row>
    <row r="27" ht="15.75" customHeight="1">
      <c r="A27" s="237" t="s">
        <v>367</v>
      </c>
      <c r="B27" s="245">
        <v>-13635.0</v>
      </c>
      <c r="C27" s="245">
        <v>-18229.0</v>
      </c>
      <c r="D27" s="245">
        <v>-19448.0</v>
      </c>
      <c r="E27" s="245">
        <v>-1972.0</v>
      </c>
      <c r="F27" s="245">
        <v>-4017.0</v>
      </c>
      <c r="G27" s="245">
        <v>-9822.0</v>
      </c>
      <c r="H27" s="245">
        <v>-8806.0</v>
      </c>
      <c r="I27" s="238">
        <v>16567.0</v>
      </c>
      <c r="J27" s="238">
        <v>6734.0</v>
      </c>
      <c r="K27" s="238">
        <v>12597.0</v>
      </c>
      <c r="L27" s="238">
        <v>12597.0</v>
      </c>
    </row>
    <row r="28" ht="15.75" customHeight="1">
      <c r="A28" s="237" t="s">
        <v>368</v>
      </c>
      <c r="B28" s="238">
        <v>75.0</v>
      </c>
      <c r="C28" s="245">
        <v>-1978.0</v>
      </c>
      <c r="D28" s="238">
        <v>1419.0</v>
      </c>
      <c r="E28" s="238">
        <v>98.0</v>
      </c>
      <c r="F28" s="238">
        <v>589.0</v>
      </c>
      <c r="G28" s="238">
        <v>68.0</v>
      </c>
      <c r="H28" s="238">
        <v>541.0</v>
      </c>
      <c r="I28" s="238">
        <v>1589.0</v>
      </c>
      <c r="J28" s="245">
        <v>-1051.0</v>
      </c>
      <c r="K28" s="245">
        <v>-2667.0</v>
      </c>
      <c r="L28" s="245">
        <v>-2667.0</v>
      </c>
    </row>
    <row r="29" ht="15.75" customHeight="1">
      <c r="A29" s="246" t="s">
        <v>369</v>
      </c>
      <c r="B29" s="248">
        <v>-23711.0</v>
      </c>
      <c r="C29" s="248">
        <v>-31165.0</v>
      </c>
      <c r="D29" s="248">
        <v>-31401.0</v>
      </c>
      <c r="E29" s="248">
        <v>-28504.0</v>
      </c>
      <c r="F29" s="248">
        <v>-29491.0</v>
      </c>
      <c r="G29" s="248">
        <v>-32773.0</v>
      </c>
      <c r="H29" s="248">
        <v>-35523.0</v>
      </c>
      <c r="I29" s="248">
        <v>-20298.0</v>
      </c>
      <c r="J29" s="248">
        <v>-27063.0</v>
      </c>
      <c r="K29" s="248">
        <v>-45536.0</v>
      </c>
      <c r="L29" s="248">
        <v>-45536.0</v>
      </c>
    </row>
    <row r="30" ht="15.75" customHeight="1">
      <c r="A30" s="237" t="s">
        <v>370</v>
      </c>
      <c r="B30" s="238">
        <v>13705.0</v>
      </c>
      <c r="C30" s="238">
        <v>8729.0</v>
      </c>
      <c r="D30" s="238">
        <v>4291.0</v>
      </c>
      <c r="E30" s="238">
        <v>6766.0</v>
      </c>
      <c r="F30" s="238">
        <v>317.0</v>
      </c>
      <c r="G30" s="238">
        <v>11761.0</v>
      </c>
      <c r="H30" s="238">
        <v>20199.0</v>
      </c>
      <c r="I30" s="238">
        <v>52872.0</v>
      </c>
      <c r="J30" s="238">
        <v>10790.0</v>
      </c>
      <c r="K30" s="238">
        <v>13589.0</v>
      </c>
      <c r="L30" s="238">
        <v>13589.0</v>
      </c>
    </row>
    <row r="31" ht="15.75" customHeight="1">
      <c r="A31" s="237" t="s">
        <v>371</v>
      </c>
      <c r="B31" s="245">
        <v>-13728.0</v>
      </c>
      <c r="C31" s="245">
        <v>-10064.0</v>
      </c>
      <c r="D31" s="245">
        <v>-4377.0</v>
      </c>
      <c r="E31" s="245">
        <v>-6827.0</v>
      </c>
      <c r="F31" s="245">
        <v>-585.0</v>
      </c>
      <c r="G31" s="245">
        <v>-2100.0</v>
      </c>
      <c r="H31" s="245">
        <v>-21435.0</v>
      </c>
      <c r="I31" s="245">
        <v>-54068.0</v>
      </c>
      <c r="J31" s="245">
        <v>-11550.0</v>
      </c>
      <c r="K31" s="245">
        <v>-12701.0</v>
      </c>
      <c r="L31" s="245">
        <v>-12701.0</v>
      </c>
    </row>
    <row r="32" ht="15.75" customHeight="1">
      <c r="A32" s="237" t="s">
        <v>372</v>
      </c>
      <c r="B32" s="250"/>
      <c r="C32" s="250"/>
      <c r="D32" s="250"/>
      <c r="E32" s="250"/>
      <c r="F32" s="250"/>
      <c r="G32" s="250"/>
      <c r="H32" s="250"/>
      <c r="I32" s="250"/>
      <c r="J32" s="250"/>
      <c r="K32" s="250"/>
      <c r="L32" s="250"/>
    </row>
    <row r="33" ht="15.75" customHeight="1">
      <c r="A33" s="237" t="s">
        <v>373</v>
      </c>
      <c r="B33" s="245">
        <v>-1780.0</v>
      </c>
      <c r="C33" s="245">
        <v>-3693.0</v>
      </c>
      <c r="D33" s="245">
        <v>-4846.0</v>
      </c>
      <c r="E33" s="245">
        <v>-9075.0</v>
      </c>
      <c r="F33" s="245">
        <v>-18396.0</v>
      </c>
      <c r="G33" s="245">
        <v>-31149.0</v>
      </c>
      <c r="H33" s="245">
        <v>-50274.0</v>
      </c>
      <c r="I33" s="245">
        <v>-59296.0</v>
      </c>
      <c r="J33" s="245">
        <v>-61504.0</v>
      </c>
      <c r="K33" s="245">
        <v>-62222.0</v>
      </c>
      <c r="L33" s="245">
        <v>-62222.0</v>
      </c>
    </row>
    <row r="34" ht="15.75" customHeight="1">
      <c r="A34" s="237" t="s">
        <v>374</v>
      </c>
      <c r="B34" s="250"/>
      <c r="C34" s="250"/>
      <c r="D34" s="250"/>
      <c r="E34" s="250"/>
      <c r="F34" s="250"/>
      <c r="G34" s="250"/>
      <c r="H34" s="250"/>
      <c r="I34" s="250"/>
      <c r="J34" s="250"/>
      <c r="K34" s="245">
        <v>-7363.0</v>
      </c>
      <c r="L34" s="245">
        <v>-7363.0</v>
      </c>
    </row>
    <row r="35" ht="15.75" customHeight="1">
      <c r="A35" s="237" t="s">
        <v>375</v>
      </c>
      <c r="B35" s="250"/>
      <c r="C35" s="250"/>
      <c r="D35" s="250"/>
      <c r="E35" s="250"/>
      <c r="F35" s="250"/>
      <c r="G35" s="250"/>
      <c r="H35" s="250"/>
      <c r="I35" s="250"/>
      <c r="J35" s="250"/>
      <c r="K35" s="245">
        <v>-7363.0</v>
      </c>
      <c r="L35" s="245">
        <v>-7363.0</v>
      </c>
    </row>
    <row r="36" ht="15.75" customHeight="1">
      <c r="A36" s="237" t="s">
        <v>376</v>
      </c>
      <c r="B36" s="245">
        <v>-2422.0</v>
      </c>
      <c r="C36" s="245">
        <v>-3304.0</v>
      </c>
      <c r="D36" s="245">
        <v>-3366.0</v>
      </c>
      <c r="E36" s="245">
        <v>-4043.0</v>
      </c>
      <c r="F36" s="245">
        <v>-4545.0</v>
      </c>
      <c r="G36" s="245">
        <v>-2920.0</v>
      </c>
      <c r="H36" s="245">
        <v>-9852.0</v>
      </c>
      <c r="I36" s="245">
        <v>-9265.0</v>
      </c>
      <c r="J36" s="245">
        <v>-9829.0</v>
      </c>
      <c r="K36" s="245">
        <v>-11036.0</v>
      </c>
      <c r="L36" s="245">
        <v>-11036.0</v>
      </c>
    </row>
    <row r="37" ht="15.75" customHeight="1">
      <c r="A37" s="246" t="s">
        <v>377</v>
      </c>
      <c r="B37" s="248">
        <v>-4225.0</v>
      </c>
      <c r="C37" s="248">
        <v>-8332.0</v>
      </c>
      <c r="D37" s="248">
        <v>-8298.0</v>
      </c>
      <c r="E37" s="248">
        <v>-13179.0</v>
      </c>
      <c r="F37" s="248">
        <v>-23209.0</v>
      </c>
      <c r="G37" s="248">
        <v>-24408.0</v>
      </c>
      <c r="H37" s="248">
        <v>-61362.0</v>
      </c>
      <c r="I37" s="248">
        <v>-69757.0</v>
      </c>
      <c r="J37" s="248">
        <v>-72093.0</v>
      </c>
      <c r="K37" s="248">
        <v>-79733.0</v>
      </c>
      <c r="L37" s="248">
        <v>-79733.0</v>
      </c>
    </row>
    <row r="38" ht="15.75" customHeight="1">
      <c r="A38" s="237" t="s">
        <v>378</v>
      </c>
      <c r="B38" s="245">
        <v>-434.0</v>
      </c>
      <c r="C38" s="245">
        <v>-170.0</v>
      </c>
      <c r="D38" s="238">
        <v>405.0</v>
      </c>
      <c r="E38" s="245">
        <v>-302.0</v>
      </c>
      <c r="F38" s="245">
        <v>-23.0</v>
      </c>
      <c r="G38" s="238">
        <v>24.0</v>
      </c>
      <c r="H38" s="245">
        <v>-287.0</v>
      </c>
      <c r="I38" s="245">
        <v>-506.0</v>
      </c>
      <c r="J38" s="245">
        <v>-421.0</v>
      </c>
      <c r="K38" s="245">
        <v>-612.0</v>
      </c>
      <c r="L38" s="245">
        <v>-612.0</v>
      </c>
    </row>
    <row r="39" ht="15.75" customHeight="1">
      <c r="A39" s="246" t="s">
        <v>56</v>
      </c>
      <c r="B39" s="248">
        <v>-1798.0</v>
      </c>
      <c r="C39" s="248">
        <v>-3631.0</v>
      </c>
      <c r="D39" s="248">
        <v>-2203.0</v>
      </c>
      <c r="E39" s="247">
        <v>5986.0</v>
      </c>
      <c r="F39" s="247">
        <v>1797.0</v>
      </c>
      <c r="G39" s="247">
        <v>7967.0</v>
      </c>
      <c r="H39" s="248">
        <v>-5520.0</v>
      </c>
      <c r="I39" s="247">
        <v>934.0</v>
      </c>
      <c r="J39" s="247">
        <v>2169.0</v>
      </c>
      <c r="K39" s="248">
        <v>-582.0</v>
      </c>
      <c r="L39" s="248">
        <v>-582.0</v>
      </c>
    </row>
    <row r="40" ht="15.75" customHeight="1">
      <c r="A40" s="241" t="s">
        <v>212</v>
      </c>
      <c r="B40" s="251"/>
      <c r="C40" s="251"/>
      <c r="D40" s="251"/>
      <c r="E40" s="251"/>
      <c r="F40" s="251"/>
      <c r="G40" s="251"/>
      <c r="H40" s="251"/>
      <c r="I40" s="251"/>
      <c r="J40" s="251"/>
      <c r="K40" s="251"/>
      <c r="L40" s="251"/>
    </row>
    <row r="41" ht="15.75" customHeight="1">
      <c r="A41" s="239" t="s">
        <v>379</v>
      </c>
      <c r="B41" s="240">
        <v>16622.0</v>
      </c>
      <c r="C41" s="240">
        <v>25824.0</v>
      </c>
      <c r="D41" s="240">
        <v>23907.0</v>
      </c>
      <c r="E41" s="240">
        <v>22832.0</v>
      </c>
      <c r="F41" s="240">
        <v>30972.0</v>
      </c>
      <c r="G41" s="240">
        <v>42843.0</v>
      </c>
      <c r="H41" s="240">
        <v>67012.0</v>
      </c>
      <c r="I41" s="240">
        <v>60010.0</v>
      </c>
      <c r="J41" s="240">
        <v>69495.0</v>
      </c>
      <c r="K41" s="240">
        <v>72764.0</v>
      </c>
      <c r="L41" s="240">
        <v>72764.0</v>
      </c>
    </row>
    <row r="42" ht="15.75" customHeight="1">
      <c r="A42" s="241" t="s">
        <v>129</v>
      </c>
      <c r="B42" s="242"/>
      <c r="C42" s="243" t="s">
        <v>156</v>
      </c>
      <c r="D42" s="249" t="s">
        <v>380</v>
      </c>
      <c r="E42" s="249" t="s">
        <v>381</v>
      </c>
      <c r="F42" s="243" t="s">
        <v>382</v>
      </c>
      <c r="G42" s="243" t="s">
        <v>383</v>
      </c>
      <c r="H42" s="243" t="s">
        <v>384</v>
      </c>
      <c r="I42" s="249" t="s">
        <v>385</v>
      </c>
      <c r="J42" s="243" t="s">
        <v>386</v>
      </c>
      <c r="K42" s="243" t="s">
        <v>387</v>
      </c>
      <c r="L42" s="244"/>
    </row>
    <row r="43" ht="15.75" customHeight="1">
      <c r="A43" s="241" t="s">
        <v>388</v>
      </c>
      <c r="B43" s="243" t="s">
        <v>177</v>
      </c>
      <c r="C43" s="243" t="s">
        <v>209</v>
      </c>
      <c r="D43" s="243" t="s">
        <v>203</v>
      </c>
      <c r="E43" s="243" t="s">
        <v>389</v>
      </c>
      <c r="F43" s="243" t="s">
        <v>390</v>
      </c>
      <c r="G43" s="243" t="s">
        <v>391</v>
      </c>
      <c r="H43" s="243" t="s">
        <v>392</v>
      </c>
      <c r="I43" s="243" t="s">
        <v>205</v>
      </c>
      <c r="J43" s="243" t="s">
        <v>178</v>
      </c>
      <c r="K43" s="243" t="s">
        <v>393</v>
      </c>
      <c r="L43" s="243" t="s">
        <v>393</v>
      </c>
    </row>
    <row r="44" ht="15.75" customHeight="1">
      <c r="A44" s="237" t="s">
        <v>394</v>
      </c>
      <c r="B44" s="238">
        <v>18347.0</v>
      </c>
      <c r="C44" s="238">
        <v>16549.0</v>
      </c>
      <c r="D44" s="238">
        <v>12918.0</v>
      </c>
      <c r="E44" s="238">
        <v>10715.0</v>
      </c>
      <c r="F44" s="238">
        <v>16701.0</v>
      </c>
      <c r="G44" s="238">
        <v>18498.0</v>
      </c>
      <c r="H44" s="238">
        <v>26465.0</v>
      </c>
      <c r="I44" s="238">
        <v>20945.0</v>
      </c>
      <c r="J44" s="238">
        <v>21879.0</v>
      </c>
      <c r="K44" s="238">
        <v>24048.0</v>
      </c>
      <c r="L44" s="238">
        <v>24048.0</v>
      </c>
    </row>
    <row r="45" ht="15.75" customHeight="1">
      <c r="A45" s="237" t="s">
        <v>395</v>
      </c>
      <c r="B45" s="238">
        <v>16549.0</v>
      </c>
      <c r="C45" s="238">
        <v>12918.0</v>
      </c>
      <c r="D45" s="238">
        <v>10715.0</v>
      </c>
      <c r="E45" s="238">
        <v>16701.0</v>
      </c>
      <c r="F45" s="238">
        <v>18498.0</v>
      </c>
      <c r="G45" s="238">
        <v>26465.0</v>
      </c>
      <c r="H45" s="238">
        <v>20945.0</v>
      </c>
      <c r="I45" s="238">
        <v>21879.0</v>
      </c>
      <c r="J45" s="238">
        <v>24048.0</v>
      </c>
      <c r="K45" s="238">
        <v>23466.0</v>
      </c>
      <c r="L45" s="238">
        <v>23466.0</v>
      </c>
    </row>
    <row r="46" ht="15.75" customHeight="1">
      <c r="A46" s="237" t="s">
        <v>396</v>
      </c>
      <c r="B46" s="238">
        <v>96.0</v>
      </c>
      <c r="C46" s="238">
        <v>84.0</v>
      </c>
      <c r="D46" s="250"/>
      <c r="E46" s="250"/>
      <c r="F46" s="250"/>
      <c r="G46" s="250"/>
      <c r="H46" s="250"/>
      <c r="I46" s="250"/>
      <c r="J46" s="250"/>
      <c r="K46" s="250"/>
      <c r="L46" s="250"/>
    </row>
    <row r="47" ht="15.75" customHeight="1">
      <c r="A47" s="237" t="s">
        <v>397</v>
      </c>
      <c r="B47" s="238">
        <v>3651.0</v>
      </c>
      <c r="C47" s="238">
        <v>1643.0</v>
      </c>
      <c r="D47" s="238">
        <v>6191.0</v>
      </c>
      <c r="E47" s="238">
        <v>5671.0</v>
      </c>
      <c r="F47" s="238">
        <v>8203.0</v>
      </c>
      <c r="G47" s="238">
        <v>4990.0</v>
      </c>
      <c r="H47" s="238">
        <v>13412.0</v>
      </c>
      <c r="I47" s="238">
        <v>18900.0</v>
      </c>
      <c r="J47" s="238">
        <v>19200.0</v>
      </c>
      <c r="K47" s="238">
        <v>27400.0</v>
      </c>
      <c r="L47" s="238">
        <v>27400.0</v>
      </c>
    </row>
    <row r="48" ht="15.75" customHeight="1">
      <c r="A48" s="237" t="s">
        <v>398</v>
      </c>
      <c r="B48" s="264">
        <v>1.21</v>
      </c>
      <c r="C48" s="264">
        <v>1.88</v>
      </c>
      <c r="D48" s="264">
        <v>1.73</v>
      </c>
      <c r="E48" s="264">
        <v>1.64</v>
      </c>
      <c r="F48" s="264">
        <v>2.24</v>
      </c>
      <c r="G48" s="264">
        <v>3.15</v>
      </c>
      <c r="H48" s="264">
        <v>5.02</v>
      </c>
      <c r="I48" s="238">
        <v>4.59</v>
      </c>
      <c r="J48" s="238">
        <v>5.5</v>
      </c>
      <c r="K48" s="238">
        <v>5.91</v>
      </c>
      <c r="L48" s="238">
        <v>5.91</v>
      </c>
    </row>
    <row r="49" ht="15.75" customHeight="1">
      <c r="A49" s="260" t="s">
        <v>278</v>
      </c>
      <c r="B49" s="251"/>
      <c r="C49" s="251"/>
      <c r="D49" s="251"/>
      <c r="E49" s="251"/>
      <c r="F49" s="251"/>
      <c r="G49" s="251"/>
      <c r="H49" s="251"/>
      <c r="I49" s="251"/>
      <c r="J49" s="251"/>
      <c r="K49" s="251"/>
      <c r="L49" s="251"/>
    </row>
    <row r="50" ht="15.75" customHeight="1">
      <c r="A50" s="260" t="s">
        <v>279</v>
      </c>
      <c r="B50" s="251"/>
      <c r="C50" s="251"/>
      <c r="D50" s="251"/>
      <c r="E50" s="251"/>
      <c r="F50" s="251"/>
      <c r="G50" s="251"/>
      <c r="H50" s="251"/>
      <c r="I50" s="251"/>
      <c r="J50" s="251"/>
      <c r="K50" s="251"/>
      <c r="L50" s="251"/>
    </row>
    <row r="51" ht="15.75" customHeight="1">
      <c r="A51" s="261" t="s">
        <v>399</v>
      </c>
      <c r="B51" s="251"/>
      <c r="C51" s="251"/>
      <c r="D51" s="251"/>
      <c r="E51" s="251"/>
      <c r="F51" s="251"/>
      <c r="G51" s="251"/>
      <c r="H51" s="251"/>
      <c r="I51" s="251"/>
      <c r="J51" s="251"/>
      <c r="K51" s="251"/>
      <c r="L51" s="251"/>
    </row>
    <row r="52" ht="15.75" customHeight="1">
      <c r="A52" s="261" t="s">
        <v>400</v>
      </c>
      <c r="B52" s="11"/>
      <c r="C52" s="11"/>
      <c r="D52" s="11"/>
      <c r="E52" s="11"/>
      <c r="F52" s="11"/>
      <c r="G52" s="11"/>
      <c r="H52" s="11"/>
      <c r="I52" s="11"/>
      <c r="J52" s="11"/>
      <c r="K52" s="11"/>
      <c r="L52" s="11"/>
    </row>
    <row r="53" ht="15.75" customHeight="1">
      <c r="A53" s="266"/>
      <c r="B53" s="251"/>
      <c r="C53" s="251"/>
      <c r="D53" s="251"/>
      <c r="E53" s="251"/>
      <c r="F53" s="251"/>
      <c r="G53" s="251"/>
      <c r="H53" s="251"/>
      <c r="I53" s="251"/>
      <c r="J53" s="251"/>
      <c r="K53" s="251"/>
      <c r="L53" s="251"/>
    </row>
    <row r="54" ht="15.75" customHeight="1">
      <c r="A54" s="266"/>
      <c r="B54" s="251"/>
      <c r="C54" s="251"/>
      <c r="D54" s="251"/>
      <c r="E54" s="251"/>
      <c r="F54" s="251"/>
      <c r="G54" s="251"/>
      <c r="H54" s="251"/>
      <c r="I54" s="251"/>
      <c r="J54" s="251"/>
      <c r="K54" s="251"/>
      <c r="L54" s="251"/>
    </row>
    <row r="55" ht="15.75" customHeight="1">
      <c r="A55" s="266"/>
      <c r="B55" s="251"/>
      <c r="C55" s="251"/>
      <c r="D55" s="251"/>
      <c r="E55" s="251"/>
      <c r="F55" s="251"/>
      <c r="G55" s="251"/>
      <c r="H55" s="251"/>
      <c r="I55" s="251"/>
      <c r="J55" s="251"/>
      <c r="K55" s="251"/>
      <c r="L55" s="251"/>
    </row>
    <row r="56" ht="15.75" customHeight="1">
      <c r="A56" s="266"/>
      <c r="B56" s="251"/>
      <c r="C56" s="251"/>
      <c r="D56" s="251"/>
      <c r="E56" s="251"/>
      <c r="F56" s="251"/>
      <c r="G56" s="251"/>
      <c r="H56" s="251"/>
      <c r="I56" s="251"/>
      <c r="J56" s="251"/>
      <c r="K56" s="251"/>
      <c r="L56" s="251"/>
    </row>
    <row r="57" ht="15.75" customHeight="1">
      <c r="A57" s="266"/>
      <c r="B57" s="251"/>
      <c r="C57" s="251"/>
      <c r="D57" s="251"/>
      <c r="E57" s="251"/>
      <c r="F57" s="251"/>
      <c r="G57" s="251"/>
      <c r="H57" s="251"/>
      <c r="I57" s="251"/>
      <c r="J57" s="251"/>
      <c r="K57" s="251"/>
      <c r="L57" s="251"/>
    </row>
    <row r="58" ht="15.75" customHeight="1">
      <c r="A58" s="266"/>
      <c r="B58" s="251"/>
      <c r="C58" s="251"/>
      <c r="D58" s="251"/>
      <c r="E58" s="251"/>
      <c r="F58" s="251"/>
      <c r="G58" s="251"/>
      <c r="H58" s="251"/>
      <c r="I58" s="251"/>
      <c r="J58" s="251"/>
      <c r="K58" s="251"/>
      <c r="L58" s="251"/>
    </row>
    <row r="59" ht="15.75" customHeight="1">
      <c r="A59" s="266"/>
      <c r="B59" s="251"/>
      <c r="C59" s="251"/>
      <c r="D59" s="251"/>
      <c r="E59" s="251"/>
      <c r="F59" s="251"/>
      <c r="G59" s="251"/>
      <c r="H59" s="251"/>
      <c r="I59" s="251"/>
      <c r="J59" s="251"/>
      <c r="K59" s="251"/>
      <c r="L59" s="251"/>
    </row>
    <row r="60" ht="15.75" customHeight="1">
      <c r="A60" s="266"/>
      <c r="B60" s="251"/>
      <c r="C60" s="251"/>
      <c r="D60" s="251"/>
      <c r="E60" s="251"/>
      <c r="F60" s="251"/>
      <c r="G60" s="251"/>
      <c r="H60" s="251"/>
      <c r="I60" s="251"/>
      <c r="J60" s="251"/>
      <c r="K60" s="251"/>
      <c r="L60" s="251"/>
    </row>
    <row r="61" ht="15.75" customHeight="1">
      <c r="A61" s="266"/>
      <c r="B61" s="11"/>
      <c r="C61" s="11"/>
      <c r="D61" s="11"/>
      <c r="E61" s="11"/>
      <c r="F61" s="11"/>
      <c r="G61" s="11"/>
      <c r="H61" s="11"/>
      <c r="I61" s="11"/>
      <c r="J61" s="11"/>
      <c r="K61" s="11"/>
      <c r="L61" s="11"/>
    </row>
    <row r="62" ht="15.75" customHeight="1">
      <c r="A62" s="266"/>
      <c r="B62" s="251"/>
      <c r="C62" s="251"/>
      <c r="D62" s="251"/>
      <c r="E62" s="251"/>
      <c r="F62" s="251"/>
      <c r="G62" s="251"/>
      <c r="H62" s="251"/>
      <c r="I62" s="251"/>
      <c r="J62" s="251"/>
      <c r="K62" s="251"/>
      <c r="L62" s="251"/>
    </row>
    <row r="63" ht="15.75" customHeight="1">
      <c r="A63" s="266"/>
      <c r="B63" s="251"/>
      <c r="C63" s="251"/>
      <c r="D63" s="251"/>
      <c r="E63" s="251"/>
      <c r="F63" s="251"/>
      <c r="G63" s="251"/>
      <c r="H63" s="251"/>
      <c r="I63" s="251"/>
      <c r="J63" s="251"/>
      <c r="K63" s="251"/>
      <c r="L63" s="251"/>
    </row>
    <row r="64" ht="15.75" customHeight="1">
      <c r="A64" s="266"/>
      <c r="B64" s="11"/>
      <c r="C64" s="11"/>
      <c r="D64" s="11"/>
      <c r="E64" s="11"/>
      <c r="F64" s="11"/>
      <c r="G64" s="11"/>
      <c r="H64" s="11"/>
      <c r="I64" s="11"/>
      <c r="J64" s="11"/>
      <c r="K64" s="251"/>
      <c r="L64" s="251"/>
    </row>
    <row r="65" ht="15.75" customHeight="1">
      <c r="A65" s="266"/>
      <c r="B65" s="251"/>
      <c r="C65" s="251"/>
      <c r="D65" s="251"/>
      <c r="E65" s="251"/>
      <c r="F65" s="251"/>
      <c r="G65" s="251"/>
      <c r="H65" s="251"/>
      <c r="I65" s="251"/>
      <c r="J65" s="251"/>
      <c r="K65" s="251"/>
      <c r="L65" s="251"/>
    </row>
    <row r="66" ht="15.75" customHeight="1">
      <c r="A66" s="266"/>
      <c r="B66" s="11"/>
      <c r="C66" s="11"/>
      <c r="D66" s="11"/>
      <c r="E66" s="11"/>
      <c r="F66" s="11"/>
      <c r="G66" s="11"/>
      <c r="H66" s="11"/>
      <c r="I66" s="11"/>
      <c r="J66" s="11"/>
      <c r="K66" s="11"/>
      <c r="L66" s="11"/>
    </row>
    <row r="67" ht="15.75" customHeight="1">
      <c r="A67" s="266"/>
      <c r="B67" s="11"/>
      <c r="C67" s="11"/>
      <c r="D67" s="11"/>
      <c r="E67" s="11"/>
      <c r="F67" s="11"/>
      <c r="G67" s="11"/>
      <c r="H67" s="11"/>
      <c r="I67" s="11"/>
      <c r="J67" s="11"/>
      <c r="K67" s="11"/>
      <c r="L67" s="11"/>
    </row>
    <row r="68" ht="15.75" customHeight="1">
      <c r="A68" s="266"/>
      <c r="B68" s="11"/>
      <c r="C68" s="11"/>
      <c r="D68" s="11"/>
      <c r="E68" s="11"/>
      <c r="F68" s="11"/>
      <c r="G68" s="11"/>
      <c r="H68" s="11"/>
      <c r="I68" s="11"/>
      <c r="J68" s="11"/>
      <c r="K68" s="251"/>
      <c r="L68" s="251"/>
    </row>
    <row r="69" ht="15.75" customHeight="1">
      <c r="A69" s="266"/>
      <c r="B69" s="11"/>
      <c r="C69" s="11"/>
      <c r="D69" s="11"/>
      <c r="E69" s="11"/>
      <c r="F69" s="11"/>
      <c r="G69" s="11"/>
      <c r="H69" s="11"/>
      <c r="I69" s="11"/>
      <c r="J69" s="11"/>
      <c r="K69" s="251"/>
      <c r="L69" s="251"/>
    </row>
    <row r="70" ht="15.75" customHeight="1">
      <c r="A70" s="266"/>
      <c r="B70" s="251"/>
      <c r="C70" s="251"/>
      <c r="D70" s="251"/>
      <c r="E70" s="251"/>
      <c r="F70" s="251"/>
      <c r="G70" s="251"/>
      <c r="H70" s="251"/>
      <c r="I70" s="251"/>
      <c r="J70" s="251"/>
      <c r="K70" s="251"/>
      <c r="L70" s="251"/>
    </row>
    <row r="71" ht="15.75" customHeight="1">
      <c r="A71" s="266"/>
      <c r="B71" s="11"/>
      <c r="C71" s="11"/>
      <c r="D71" s="11"/>
      <c r="E71" s="11"/>
      <c r="F71" s="11"/>
      <c r="G71" s="11"/>
      <c r="H71" s="11"/>
      <c r="I71" s="11"/>
      <c r="J71" s="11"/>
      <c r="K71" s="11"/>
      <c r="L71" s="11"/>
    </row>
    <row r="72" ht="15.75" customHeight="1">
      <c r="A72" s="266"/>
      <c r="B72" s="11"/>
      <c r="C72" s="11"/>
      <c r="D72" s="11"/>
      <c r="E72" s="11"/>
      <c r="F72" s="11"/>
      <c r="G72" s="11"/>
      <c r="H72" s="11"/>
      <c r="I72" s="11"/>
      <c r="J72" s="11"/>
      <c r="K72" s="11"/>
      <c r="L72" s="11"/>
    </row>
    <row r="73" ht="15.75" customHeight="1">
      <c r="A73" s="266"/>
      <c r="B73" s="11"/>
      <c r="C73" s="11"/>
      <c r="D73" s="11"/>
      <c r="E73" s="11"/>
      <c r="F73" s="11"/>
      <c r="G73" s="11"/>
      <c r="H73" s="11"/>
      <c r="I73" s="11"/>
      <c r="J73" s="11"/>
      <c r="K73" s="11"/>
      <c r="L73" s="11"/>
    </row>
    <row r="74" ht="15.75" customHeight="1">
      <c r="A74" s="266"/>
      <c r="B74" s="11"/>
      <c r="C74" s="11"/>
      <c r="D74" s="11"/>
      <c r="E74" s="11"/>
      <c r="F74" s="11"/>
      <c r="G74" s="11"/>
      <c r="H74" s="11"/>
      <c r="I74" s="11"/>
      <c r="J74" s="11"/>
      <c r="K74" s="11"/>
      <c r="L74" s="11"/>
    </row>
    <row r="75" ht="15.75" customHeight="1">
      <c r="A75" s="266"/>
      <c r="B75" s="11"/>
      <c r="C75" s="11"/>
      <c r="D75" s="11"/>
      <c r="E75" s="11"/>
      <c r="F75" s="11"/>
      <c r="G75" s="11"/>
      <c r="H75" s="11"/>
      <c r="I75" s="11"/>
      <c r="J75" s="11"/>
      <c r="K75" s="11"/>
      <c r="L75" s="11"/>
    </row>
    <row r="76" ht="15.75" customHeight="1">
      <c r="A76" s="266"/>
      <c r="B76" s="11"/>
      <c r="C76" s="11"/>
      <c r="D76" s="11"/>
      <c r="E76" s="11"/>
      <c r="F76" s="11"/>
      <c r="G76" s="11"/>
      <c r="H76" s="11"/>
      <c r="I76" s="11"/>
      <c r="J76" s="11"/>
      <c r="K76" s="11"/>
      <c r="L76" s="11"/>
    </row>
    <row r="77" ht="15.75" customHeight="1">
      <c r="A77" s="266"/>
      <c r="B77" s="11"/>
      <c r="C77" s="11"/>
      <c r="D77" s="11"/>
      <c r="E77" s="11"/>
      <c r="F77" s="11"/>
      <c r="G77" s="11"/>
      <c r="H77" s="11"/>
      <c r="I77" s="11"/>
      <c r="J77" s="11"/>
      <c r="K77" s="11"/>
      <c r="L77" s="11"/>
    </row>
    <row r="78" ht="15.75" customHeight="1">
      <c r="A78" s="266"/>
      <c r="B78" s="11"/>
      <c r="C78" s="11"/>
      <c r="D78" s="11"/>
      <c r="E78" s="11"/>
      <c r="F78" s="11"/>
      <c r="G78" s="11"/>
      <c r="H78" s="11"/>
      <c r="I78" s="11"/>
      <c r="J78" s="11"/>
      <c r="K78" s="11"/>
      <c r="L78" s="11"/>
    </row>
    <row r="79" ht="15.75" customHeight="1">
      <c r="A79" s="266"/>
      <c r="B79" s="11"/>
      <c r="C79" s="11"/>
      <c r="D79" s="11"/>
      <c r="E79" s="11"/>
      <c r="F79" s="11"/>
      <c r="G79" s="11"/>
      <c r="H79" s="11"/>
      <c r="I79" s="11"/>
      <c r="J79" s="11"/>
      <c r="K79" s="11"/>
      <c r="L79" s="11"/>
    </row>
    <row r="80" ht="15.75" customHeight="1">
      <c r="A80" s="266"/>
      <c r="B80" s="11"/>
      <c r="C80" s="11"/>
      <c r="D80" s="11"/>
      <c r="E80" s="11"/>
      <c r="F80" s="11"/>
      <c r="G80" s="11"/>
      <c r="H80" s="11"/>
      <c r="I80" s="11"/>
      <c r="J80" s="11"/>
      <c r="K80" s="11"/>
      <c r="L80" s="11"/>
    </row>
    <row r="81" ht="15.75" customHeight="1">
      <c r="A81" s="266"/>
      <c r="B81" s="11"/>
      <c r="C81" s="11"/>
      <c r="D81" s="11"/>
      <c r="E81" s="11"/>
      <c r="F81" s="11"/>
      <c r="G81" s="11"/>
      <c r="H81" s="11"/>
      <c r="I81" s="11"/>
      <c r="J81" s="11"/>
      <c r="K81" s="11"/>
      <c r="L81" s="11"/>
    </row>
    <row r="82" ht="15.75" customHeight="1">
      <c r="A82" s="266"/>
      <c r="B82" s="11"/>
      <c r="C82" s="11"/>
      <c r="D82" s="11"/>
      <c r="E82" s="11"/>
      <c r="F82" s="11"/>
      <c r="G82" s="11"/>
      <c r="H82" s="11"/>
      <c r="I82" s="11"/>
      <c r="J82" s="11"/>
      <c r="K82" s="11"/>
      <c r="L82" s="11"/>
    </row>
    <row r="83" ht="15.75" customHeight="1">
      <c r="A83" s="266"/>
      <c r="B83" s="11"/>
      <c r="C83" s="11"/>
      <c r="D83" s="11"/>
      <c r="E83" s="11"/>
      <c r="F83" s="11"/>
      <c r="G83" s="11"/>
      <c r="H83" s="11"/>
      <c r="I83" s="11"/>
      <c r="J83" s="11"/>
      <c r="K83" s="11"/>
      <c r="L83" s="11"/>
    </row>
    <row r="84" ht="15.75" customHeight="1">
      <c r="A84" s="266"/>
      <c r="B84" s="11"/>
      <c r="C84" s="11"/>
      <c r="D84" s="11"/>
      <c r="E84" s="11"/>
      <c r="F84" s="11"/>
      <c r="G84" s="11"/>
      <c r="H84" s="11"/>
      <c r="I84" s="11"/>
      <c r="J84" s="11"/>
      <c r="K84" s="11"/>
      <c r="L84" s="11"/>
    </row>
    <row r="85" ht="15.75" customHeight="1">
      <c r="A85" s="266"/>
      <c r="B85" s="11"/>
      <c r="C85" s="11"/>
      <c r="D85" s="11"/>
      <c r="E85" s="11"/>
      <c r="F85" s="11"/>
      <c r="G85" s="11"/>
      <c r="H85" s="11"/>
      <c r="I85" s="11"/>
      <c r="J85" s="11"/>
      <c r="K85" s="11"/>
      <c r="L85" s="11"/>
    </row>
    <row r="86" ht="15.75" customHeight="1">
      <c r="A86" s="266"/>
      <c r="B86" s="11"/>
      <c r="C86" s="11"/>
      <c r="D86" s="11"/>
      <c r="E86" s="11"/>
      <c r="F86" s="11"/>
      <c r="G86" s="11"/>
      <c r="H86" s="11"/>
      <c r="I86" s="11"/>
      <c r="J86" s="11"/>
      <c r="K86" s="11"/>
      <c r="L86" s="11"/>
    </row>
    <row r="87" ht="15.75" customHeight="1">
      <c r="A87" s="266"/>
      <c r="B87" s="11"/>
      <c r="C87" s="11"/>
      <c r="D87" s="11"/>
      <c r="E87" s="11"/>
      <c r="F87" s="11"/>
      <c r="G87" s="11"/>
      <c r="H87" s="11"/>
      <c r="I87" s="11"/>
      <c r="J87" s="11"/>
      <c r="K87" s="11"/>
      <c r="L87" s="11"/>
    </row>
    <row r="88" ht="15.75" customHeight="1">
      <c r="A88" s="266"/>
      <c r="B88" s="11"/>
      <c r="C88" s="11"/>
      <c r="D88" s="11"/>
      <c r="E88" s="11"/>
      <c r="F88" s="11"/>
      <c r="G88" s="11"/>
      <c r="H88" s="11"/>
      <c r="I88" s="11"/>
      <c r="J88" s="11"/>
      <c r="K88" s="11"/>
      <c r="L88" s="11"/>
    </row>
    <row r="89" ht="15.75" customHeight="1">
      <c r="A89" s="266"/>
      <c r="B89" s="11"/>
      <c r="C89" s="11"/>
      <c r="D89" s="11"/>
      <c r="E89" s="11"/>
      <c r="F89" s="11"/>
      <c r="G89" s="11"/>
      <c r="H89" s="11"/>
      <c r="I89" s="11"/>
      <c r="J89" s="11"/>
      <c r="K89" s="11"/>
      <c r="L89" s="11"/>
    </row>
    <row r="90" ht="15.75" customHeight="1">
      <c r="A90" s="266"/>
      <c r="B90" s="11"/>
      <c r="C90" s="11"/>
      <c r="D90" s="11"/>
      <c r="E90" s="11"/>
      <c r="F90" s="11"/>
      <c r="G90" s="11"/>
      <c r="H90" s="11"/>
      <c r="I90" s="11"/>
      <c r="J90" s="11"/>
      <c r="K90" s="11"/>
      <c r="L90" s="11"/>
    </row>
    <row r="91" ht="15.75" customHeight="1">
      <c r="A91" s="266"/>
      <c r="B91" s="11"/>
      <c r="C91" s="11"/>
      <c r="D91" s="11"/>
      <c r="E91" s="11"/>
      <c r="F91" s="11"/>
      <c r="G91" s="11"/>
      <c r="H91" s="11"/>
      <c r="I91" s="11"/>
      <c r="J91" s="11"/>
      <c r="K91" s="11"/>
      <c r="L91" s="11"/>
    </row>
    <row r="92" ht="15.75" customHeight="1">
      <c r="A92" s="266"/>
      <c r="B92" s="11"/>
      <c r="C92" s="11"/>
      <c r="D92" s="11"/>
      <c r="E92" s="11"/>
      <c r="F92" s="11"/>
      <c r="G92" s="11"/>
      <c r="H92" s="11"/>
      <c r="I92" s="11"/>
      <c r="J92" s="11"/>
      <c r="K92" s="11"/>
      <c r="L92" s="11"/>
    </row>
    <row r="93" ht="15.75" customHeight="1">
      <c r="A93" s="266"/>
      <c r="B93" s="11"/>
      <c r="C93" s="11"/>
      <c r="D93" s="11"/>
      <c r="E93" s="11"/>
      <c r="F93" s="11"/>
      <c r="G93" s="11"/>
      <c r="H93" s="11"/>
      <c r="I93" s="11"/>
      <c r="J93" s="11"/>
      <c r="K93" s="11"/>
      <c r="L93" s="11"/>
    </row>
    <row r="94" ht="15.75" customHeight="1">
      <c r="A94" s="266"/>
      <c r="B94" s="11"/>
      <c r="C94" s="11"/>
      <c r="D94" s="11"/>
      <c r="E94" s="11"/>
      <c r="F94" s="11"/>
      <c r="G94" s="11"/>
      <c r="H94" s="11"/>
      <c r="I94" s="11"/>
      <c r="J94" s="11"/>
      <c r="K94" s="11"/>
      <c r="L94" s="11"/>
    </row>
    <row r="95" ht="15.75" customHeight="1">
      <c r="A95" s="266"/>
      <c r="B95" s="11"/>
      <c r="C95" s="11"/>
      <c r="D95" s="11"/>
      <c r="E95" s="11"/>
      <c r="F95" s="11"/>
      <c r="G95" s="11"/>
      <c r="H95" s="11"/>
      <c r="I95" s="11"/>
      <c r="J95" s="11"/>
      <c r="K95" s="11"/>
      <c r="L95" s="11"/>
    </row>
    <row r="96" ht="15.75" customHeight="1">
      <c r="A96" s="266"/>
      <c r="B96" s="11"/>
      <c r="C96" s="11"/>
      <c r="D96" s="11"/>
      <c r="E96" s="11"/>
      <c r="F96" s="11"/>
      <c r="G96" s="11"/>
      <c r="H96" s="11"/>
      <c r="I96" s="11"/>
      <c r="J96" s="11"/>
      <c r="K96" s="11"/>
      <c r="L96" s="11"/>
    </row>
    <row r="97" ht="15.75" customHeight="1">
      <c r="A97" s="266"/>
      <c r="B97" s="11"/>
      <c r="C97" s="11"/>
      <c r="D97" s="11"/>
      <c r="E97" s="11"/>
      <c r="F97" s="11"/>
      <c r="G97" s="11"/>
      <c r="H97" s="11"/>
      <c r="I97" s="11"/>
      <c r="J97" s="11"/>
      <c r="K97" s="11"/>
      <c r="L97" s="11"/>
    </row>
    <row r="98" ht="15.75" customHeight="1">
      <c r="A98" s="266"/>
      <c r="B98" s="11"/>
      <c r="C98" s="11"/>
      <c r="D98" s="11"/>
      <c r="E98" s="11"/>
      <c r="F98" s="11"/>
      <c r="G98" s="11"/>
      <c r="H98" s="11"/>
      <c r="I98" s="11"/>
      <c r="J98" s="11"/>
      <c r="K98" s="11"/>
      <c r="L98" s="11"/>
    </row>
    <row r="99" ht="15.75" customHeight="1">
      <c r="A99" s="266"/>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2"/>
    <hyperlink r:id="rId2" ref="A51"/>
    <hyperlink r:id="rId3" ref="A52"/>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5"/>
      <c r="D1" s="75"/>
      <c r="E1" s="75"/>
      <c r="F1" s="20"/>
      <c r="G1" s="20"/>
      <c r="H1" s="20"/>
      <c r="I1" s="20"/>
      <c r="J1" s="20"/>
      <c r="K1" s="20"/>
      <c r="L1" s="20"/>
      <c r="M1" s="20"/>
      <c r="N1" s="20"/>
      <c r="O1" s="20"/>
      <c r="P1" s="20"/>
      <c r="Q1" s="20"/>
      <c r="R1" s="20"/>
      <c r="S1" s="21"/>
      <c r="T1" s="21"/>
      <c r="U1" s="21"/>
      <c r="V1" s="21"/>
      <c r="W1" s="21"/>
      <c r="X1" s="21"/>
      <c r="Y1" s="21"/>
      <c r="Z1" s="21"/>
    </row>
    <row r="2" ht="30.0" customHeight="1">
      <c r="A2" s="20"/>
      <c r="B2" s="77" t="s">
        <v>401</v>
      </c>
      <c r="C2" s="77" t="s">
        <v>402</v>
      </c>
      <c r="D2" s="77" t="s">
        <v>403</v>
      </c>
      <c r="E2" s="77" t="s">
        <v>404</v>
      </c>
      <c r="F2" s="267"/>
      <c r="G2" s="267"/>
      <c r="H2" s="267"/>
      <c r="I2" s="267"/>
      <c r="J2" s="267"/>
      <c r="K2" s="267"/>
      <c r="L2" s="267"/>
      <c r="M2" s="268"/>
      <c r="N2" s="268"/>
      <c r="O2" s="269"/>
      <c r="P2" s="20"/>
      <c r="Q2" s="20"/>
      <c r="R2" s="20"/>
      <c r="S2" s="20"/>
      <c r="T2" s="20"/>
      <c r="U2" s="21"/>
      <c r="V2" s="21"/>
      <c r="W2" s="21"/>
      <c r="X2" s="21"/>
      <c r="Y2" s="21"/>
      <c r="Z2" s="21"/>
    </row>
    <row r="3" ht="30.0" customHeight="1">
      <c r="A3" s="20"/>
      <c r="B3" s="270" t="s">
        <v>20</v>
      </c>
      <c r="C3" s="271" t="s">
        <v>405</v>
      </c>
      <c r="D3" s="271" t="s">
        <v>406</v>
      </c>
      <c r="E3" s="271" t="s">
        <v>407</v>
      </c>
      <c r="F3" s="272"/>
      <c r="G3" s="272"/>
      <c r="H3" s="272"/>
      <c r="I3" s="272"/>
      <c r="J3" s="272"/>
      <c r="K3" s="272"/>
      <c r="L3" s="272"/>
      <c r="M3" s="272"/>
      <c r="N3" s="272"/>
      <c r="O3" s="75"/>
      <c r="P3" s="20"/>
      <c r="Q3" s="20"/>
      <c r="R3" s="20"/>
      <c r="S3" s="20"/>
      <c r="T3" s="20"/>
      <c r="U3" s="21"/>
      <c r="V3" s="21"/>
      <c r="W3" s="21"/>
      <c r="X3" s="21"/>
      <c r="Y3" s="21"/>
      <c r="Z3" s="21"/>
    </row>
    <row r="4" ht="30.0" customHeight="1">
      <c r="A4" s="20"/>
      <c r="B4" s="273" t="s">
        <v>91</v>
      </c>
      <c r="C4" s="274" t="s">
        <v>408</v>
      </c>
      <c r="D4" s="274" t="s">
        <v>409</v>
      </c>
      <c r="E4" s="274" t="s">
        <v>410</v>
      </c>
      <c r="F4" s="272"/>
      <c r="G4" s="272"/>
      <c r="H4" s="272"/>
      <c r="I4" s="272"/>
      <c r="J4" s="272"/>
      <c r="K4" s="272"/>
      <c r="L4" s="272"/>
      <c r="M4" s="272"/>
      <c r="N4" s="272"/>
      <c r="O4" s="75"/>
      <c r="P4" s="20"/>
      <c r="Q4" s="20"/>
      <c r="R4" s="20"/>
      <c r="S4" s="20"/>
      <c r="T4" s="20"/>
      <c r="U4" s="21"/>
      <c r="V4" s="21"/>
      <c r="W4" s="21"/>
      <c r="X4" s="21"/>
      <c r="Y4" s="21"/>
      <c r="Z4" s="21"/>
    </row>
    <row r="5" ht="30.0" customHeight="1">
      <c r="A5" s="20"/>
      <c r="B5" s="270" t="s">
        <v>31</v>
      </c>
      <c r="C5" s="271" t="s">
        <v>411</v>
      </c>
      <c r="D5" s="271" t="s">
        <v>412</v>
      </c>
      <c r="E5" s="271" t="s">
        <v>413</v>
      </c>
      <c r="F5" s="272"/>
      <c r="G5" s="272"/>
      <c r="H5" s="272"/>
      <c r="I5" s="272"/>
      <c r="J5" s="272"/>
      <c r="K5" s="272"/>
      <c r="L5" s="272"/>
      <c r="M5" s="272"/>
      <c r="N5" s="272"/>
      <c r="O5" s="75"/>
      <c r="P5" s="20"/>
      <c r="Q5" s="20"/>
      <c r="R5" s="20"/>
      <c r="S5" s="20"/>
      <c r="T5" s="20"/>
      <c r="U5" s="21"/>
      <c r="V5" s="21"/>
      <c r="W5" s="21"/>
      <c r="X5" s="21"/>
      <c r="Y5" s="21"/>
      <c r="Z5" s="21"/>
    </row>
    <row r="6" ht="30.0" customHeight="1">
      <c r="A6" s="20"/>
      <c r="B6" s="273" t="s">
        <v>36</v>
      </c>
      <c r="C6" s="274" t="s">
        <v>414</v>
      </c>
      <c r="D6" s="274" t="s">
        <v>415</v>
      </c>
      <c r="E6" s="274"/>
      <c r="F6" s="272"/>
      <c r="G6" s="272"/>
      <c r="H6" s="272"/>
      <c r="I6" s="272"/>
      <c r="J6" s="272"/>
      <c r="K6" s="272"/>
      <c r="L6" s="272"/>
      <c r="M6" s="272"/>
      <c r="N6" s="272"/>
      <c r="O6" s="75"/>
      <c r="P6" s="20"/>
      <c r="Q6" s="20"/>
      <c r="R6" s="20"/>
      <c r="S6" s="20"/>
      <c r="T6" s="20"/>
      <c r="U6" s="21"/>
      <c r="V6" s="21"/>
      <c r="W6" s="21"/>
      <c r="X6" s="21"/>
      <c r="Y6" s="21"/>
      <c r="Z6" s="21"/>
    </row>
    <row r="7" ht="30.0" customHeight="1">
      <c r="A7" s="20"/>
      <c r="B7" s="270" t="s">
        <v>38</v>
      </c>
      <c r="C7" s="275" t="s">
        <v>416</v>
      </c>
      <c r="D7" s="271"/>
      <c r="E7" s="271"/>
      <c r="F7" s="272"/>
      <c r="G7" s="272"/>
      <c r="H7" s="272"/>
      <c r="I7" s="272"/>
      <c r="J7" s="272"/>
      <c r="K7" s="272"/>
      <c r="L7" s="272"/>
      <c r="M7" s="272"/>
      <c r="N7" s="272"/>
      <c r="O7" s="75"/>
      <c r="P7" s="20"/>
      <c r="Q7" s="20"/>
      <c r="R7" s="20"/>
      <c r="S7" s="20"/>
      <c r="T7" s="20"/>
      <c r="U7" s="21"/>
      <c r="V7" s="21"/>
      <c r="W7" s="21"/>
      <c r="X7" s="21"/>
      <c r="Y7" s="21"/>
      <c r="Z7" s="21"/>
    </row>
    <row r="8" ht="24.75" customHeight="1">
      <c r="A8" s="20"/>
      <c r="B8" s="21"/>
      <c r="C8" s="21"/>
      <c r="D8" s="21"/>
      <c r="E8" s="21"/>
      <c r="F8" s="272"/>
      <c r="G8" s="272"/>
      <c r="H8" s="272"/>
      <c r="I8" s="272"/>
      <c r="J8" s="272"/>
      <c r="K8" s="272"/>
      <c r="L8" s="272"/>
      <c r="M8" s="272"/>
      <c r="N8" s="272"/>
      <c r="O8" s="75"/>
      <c r="P8" s="20"/>
      <c r="Q8" s="20"/>
      <c r="R8" s="20"/>
      <c r="S8" s="20"/>
      <c r="T8" s="20"/>
      <c r="U8" s="21"/>
      <c r="V8" s="21"/>
      <c r="W8" s="21"/>
      <c r="X8" s="21"/>
      <c r="Y8" s="21"/>
      <c r="Z8" s="21"/>
    </row>
    <row r="9" ht="30.0" customHeight="1">
      <c r="A9" s="20"/>
      <c r="B9" s="276" t="s">
        <v>85</v>
      </c>
      <c r="C9" s="77" t="s">
        <v>402</v>
      </c>
      <c r="D9" s="77" t="s">
        <v>403</v>
      </c>
      <c r="E9" s="77" t="s">
        <v>404</v>
      </c>
      <c r="F9" s="272"/>
      <c r="G9" s="272"/>
      <c r="H9" s="272"/>
      <c r="I9" s="272"/>
      <c r="J9" s="272"/>
      <c r="K9" s="272"/>
      <c r="L9" s="272"/>
      <c r="M9" s="272"/>
      <c r="N9" s="272"/>
      <c r="O9" s="75"/>
      <c r="P9" s="20"/>
      <c r="Q9" s="20"/>
      <c r="R9" s="20"/>
      <c r="S9" s="20"/>
      <c r="T9" s="20"/>
      <c r="U9" s="21"/>
      <c r="V9" s="21"/>
      <c r="W9" s="21"/>
      <c r="X9" s="21"/>
      <c r="Y9" s="21"/>
      <c r="Z9" s="21"/>
    </row>
    <row r="10" ht="30.0" customHeight="1">
      <c r="A10" s="20"/>
      <c r="B10" s="270" t="s">
        <v>417</v>
      </c>
      <c r="C10" s="271" t="s">
        <v>418</v>
      </c>
      <c r="D10" s="275"/>
      <c r="E10" s="277"/>
      <c r="F10" s="272"/>
      <c r="G10" s="272"/>
      <c r="H10" s="272"/>
      <c r="I10" s="272"/>
      <c r="J10" s="272"/>
      <c r="K10" s="272"/>
      <c r="L10" s="272"/>
      <c r="M10" s="272"/>
      <c r="N10" s="272"/>
      <c r="O10" s="75"/>
      <c r="P10" s="20"/>
      <c r="Q10" s="20"/>
      <c r="R10" s="20"/>
      <c r="S10" s="20"/>
      <c r="T10" s="20"/>
      <c r="U10" s="21"/>
      <c r="V10" s="21"/>
      <c r="W10" s="21"/>
      <c r="X10" s="21"/>
      <c r="Y10" s="21"/>
      <c r="Z10" s="21"/>
    </row>
    <row r="11" ht="30.0" customHeight="1">
      <c r="A11" s="20"/>
      <c r="B11" s="273" t="s">
        <v>419</v>
      </c>
      <c r="C11" s="278" t="s">
        <v>420</v>
      </c>
      <c r="D11" s="278"/>
      <c r="E11" s="279"/>
      <c r="F11" s="272"/>
      <c r="G11" s="272"/>
      <c r="H11" s="272"/>
      <c r="I11" s="272"/>
      <c r="J11" s="272"/>
      <c r="K11" s="272"/>
      <c r="L11" s="272"/>
      <c r="M11" s="272"/>
      <c r="N11" s="272"/>
      <c r="O11" s="75"/>
      <c r="P11" s="20"/>
      <c r="Q11" s="20"/>
      <c r="R11" s="20"/>
      <c r="S11" s="20"/>
      <c r="T11" s="20"/>
      <c r="U11" s="21"/>
      <c r="V11" s="21"/>
      <c r="W11" s="21"/>
      <c r="X11" s="21"/>
      <c r="Y11" s="21"/>
      <c r="Z11" s="21"/>
    </row>
    <row r="12" ht="30.0" customHeight="1">
      <c r="A12" s="20"/>
      <c r="B12" s="270" t="s">
        <v>90</v>
      </c>
      <c r="C12" s="271" t="s">
        <v>421</v>
      </c>
      <c r="D12" s="271" t="s">
        <v>422</v>
      </c>
      <c r="E12" s="280"/>
      <c r="F12" s="272"/>
      <c r="G12" s="272"/>
      <c r="H12" s="272"/>
      <c r="I12" s="272"/>
      <c r="J12" s="272"/>
      <c r="K12" s="272"/>
      <c r="L12" s="272"/>
      <c r="M12" s="272"/>
      <c r="N12" s="272"/>
      <c r="O12" s="75"/>
      <c r="P12" s="20"/>
      <c r="Q12" s="20"/>
      <c r="R12" s="20"/>
      <c r="S12" s="20"/>
      <c r="T12" s="20"/>
      <c r="U12" s="21"/>
      <c r="V12" s="21"/>
      <c r="W12" s="21"/>
      <c r="X12" s="21"/>
      <c r="Y12" s="21"/>
      <c r="Z12" s="21"/>
    </row>
    <row r="13" ht="30.0" customHeight="1">
      <c r="A13" s="20"/>
      <c r="B13" s="273" t="s">
        <v>101</v>
      </c>
      <c r="C13" s="278" t="s">
        <v>423</v>
      </c>
      <c r="D13" s="278"/>
      <c r="E13" s="279"/>
      <c r="F13" s="272"/>
      <c r="G13" s="272"/>
      <c r="H13" s="272"/>
      <c r="I13" s="272"/>
      <c r="J13" s="272"/>
      <c r="K13" s="272"/>
      <c r="L13" s="272"/>
      <c r="M13" s="272"/>
      <c r="N13" s="272"/>
      <c r="O13" s="75"/>
      <c r="P13" s="20"/>
      <c r="Q13" s="20"/>
      <c r="R13" s="20"/>
      <c r="S13" s="20"/>
      <c r="T13" s="20"/>
      <c r="U13" s="21"/>
      <c r="V13" s="21"/>
      <c r="W13" s="21"/>
      <c r="X13" s="21"/>
      <c r="Y13" s="21"/>
      <c r="Z13" s="21"/>
    </row>
    <row r="14" ht="30.0" customHeight="1">
      <c r="A14" s="20"/>
      <c r="B14" s="270" t="s">
        <v>102</v>
      </c>
      <c r="C14" s="275" t="s">
        <v>424</v>
      </c>
      <c r="D14" s="275"/>
      <c r="E14" s="277"/>
      <c r="F14" s="272"/>
      <c r="G14" s="272"/>
      <c r="H14" s="272"/>
      <c r="I14" s="272"/>
      <c r="J14" s="272"/>
      <c r="K14" s="272"/>
      <c r="L14" s="272"/>
      <c r="M14" s="272"/>
      <c r="N14" s="272"/>
      <c r="O14" s="75"/>
      <c r="P14" s="20"/>
      <c r="Q14" s="20"/>
      <c r="R14" s="20"/>
      <c r="S14" s="20"/>
      <c r="T14" s="20"/>
      <c r="U14" s="21"/>
      <c r="V14" s="21"/>
      <c r="W14" s="21"/>
      <c r="X14" s="21"/>
      <c r="Y14" s="21"/>
      <c r="Z14" s="21"/>
    </row>
    <row r="15" ht="30.0" customHeight="1">
      <c r="A15" s="20"/>
      <c r="B15" s="273" t="s">
        <v>100</v>
      </c>
      <c r="C15" s="278" t="s">
        <v>425</v>
      </c>
      <c r="D15" s="278"/>
      <c r="E15" s="279"/>
      <c r="F15" s="272"/>
      <c r="G15" s="272"/>
      <c r="H15" s="272"/>
      <c r="I15" s="272"/>
      <c r="J15" s="272"/>
      <c r="K15" s="272"/>
      <c r="L15" s="272"/>
      <c r="M15" s="272"/>
      <c r="N15" s="272"/>
      <c r="O15" s="75"/>
      <c r="P15" s="20"/>
      <c r="Q15" s="20"/>
      <c r="R15" s="20"/>
      <c r="S15" s="20"/>
      <c r="T15" s="20"/>
      <c r="U15" s="21"/>
      <c r="V15" s="21"/>
      <c r="W15" s="21"/>
      <c r="X15" s="21"/>
      <c r="Y15" s="21"/>
      <c r="Z15" s="21"/>
    </row>
    <row r="16" ht="30.0" customHeight="1">
      <c r="A16" s="20"/>
      <c r="B16" s="270" t="s">
        <v>99</v>
      </c>
      <c r="C16" s="275" t="s">
        <v>426</v>
      </c>
      <c r="D16" s="275" t="s">
        <v>427</v>
      </c>
      <c r="E16" s="277"/>
      <c r="F16" s="272"/>
      <c r="G16" s="272"/>
      <c r="H16" s="272"/>
      <c r="I16" s="272"/>
      <c r="J16" s="272"/>
      <c r="K16" s="272"/>
      <c r="L16" s="272"/>
      <c r="M16" s="272"/>
      <c r="N16" s="272"/>
      <c r="O16" s="75"/>
      <c r="P16" s="20"/>
      <c r="Q16" s="20"/>
      <c r="R16" s="20"/>
      <c r="S16" s="20"/>
      <c r="T16" s="20"/>
      <c r="U16" s="21"/>
      <c r="V16" s="21"/>
      <c r="W16" s="21"/>
      <c r="X16" s="21"/>
      <c r="Y16" s="21"/>
      <c r="Z16" s="21"/>
    </row>
    <row r="17" ht="24.75" customHeight="1">
      <c r="A17" s="20"/>
      <c r="B17" s="21"/>
      <c r="C17" s="21"/>
      <c r="D17" s="21"/>
      <c r="E17" s="21"/>
      <c r="F17" s="281"/>
      <c r="G17" s="281"/>
      <c r="H17" s="281"/>
      <c r="I17" s="281"/>
      <c r="J17" s="281"/>
      <c r="K17" s="281"/>
      <c r="L17" s="281"/>
      <c r="M17" s="281"/>
      <c r="N17" s="281"/>
      <c r="O17" s="282"/>
      <c r="P17" s="20"/>
      <c r="Q17" s="20"/>
      <c r="R17" s="20"/>
      <c r="S17" s="20"/>
      <c r="T17" s="20"/>
      <c r="U17" s="21"/>
      <c r="V17" s="21"/>
      <c r="W17" s="21"/>
      <c r="X17" s="21"/>
      <c r="Y17" s="21"/>
      <c r="Z17" s="21"/>
    </row>
    <row r="18" ht="30.0" customHeight="1">
      <c r="A18" s="20"/>
      <c r="B18" s="276" t="s">
        <v>428</v>
      </c>
      <c r="C18" s="77" t="s">
        <v>402</v>
      </c>
      <c r="D18" s="77" t="s">
        <v>403</v>
      </c>
      <c r="E18" s="77" t="s">
        <v>404</v>
      </c>
      <c r="F18" s="283"/>
      <c r="G18" s="283"/>
      <c r="H18" s="283"/>
      <c r="I18" s="283"/>
      <c r="J18" s="283"/>
      <c r="K18" s="283"/>
      <c r="L18" s="283"/>
      <c r="M18" s="283"/>
      <c r="N18" s="283"/>
      <c r="O18" s="282"/>
      <c r="P18" s="20"/>
      <c r="Q18" s="20"/>
      <c r="R18" s="20"/>
      <c r="S18" s="20"/>
      <c r="T18" s="20"/>
      <c r="U18" s="21"/>
      <c r="V18" s="21"/>
      <c r="W18" s="21"/>
      <c r="X18" s="21"/>
      <c r="Y18" s="21"/>
      <c r="Z18" s="21"/>
    </row>
    <row r="19" ht="30.0" customHeight="1">
      <c r="A19" s="20"/>
      <c r="B19" s="270" t="s">
        <v>20</v>
      </c>
      <c r="C19" s="275" t="s">
        <v>429</v>
      </c>
      <c r="D19" s="275"/>
      <c r="E19" s="277"/>
      <c r="F19" s="272"/>
      <c r="G19" s="272"/>
      <c r="H19" s="272"/>
      <c r="I19" s="272"/>
      <c r="J19" s="272"/>
      <c r="K19" s="272"/>
      <c r="L19" s="272"/>
      <c r="M19" s="272"/>
      <c r="N19" s="272"/>
      <c r="O19" s="282"/>
      <c r="P19" s="20"/>
      <c r="Q19" s="20"/>
      <c r="R19" s="20"/>
      <c r="S19" s="20"/>
      <c r="T19" s="20"/>
      <c r="U19" s="21"/>
      <c r="V19" s="21"/>
      <c r="W19" s="21"/>
      <c r="X19" s="21"/>
      <c r="Y19" s="21"/>
      <c r="Z19" s="21"/>
    </row>
    <row r="20" ht="30.0" customHeight="1">
      <c r="A20" s="20"/>
      <c r="B20" s="273" t="s">
        <v>91</v>
      </c>
      <c r="C20" s="278" t="s">
        <v>430</v>
      </c>
      <c r="D20" s="278"/>
      <c r="E20" s="279"/>
      <c r="F20" s="272"/>
      <c r="G20" s="272"/>
      <c r="H20" s="272"/>
      <c r="I20" s="272"/>
      <c r="J20" s="272"/>
      <c r="K20" s="272"/>
      <c r="L20" s="272"/>
      <c r="M20" s="272"/>
      <c r="N20" s="272"/>
      <c r="O20" s="282"/>
      <c r="P20" s="20"/>
      <c r="Q20" s="20"/>
      <c r="R20" s="20"/>
      <c r="S20" s="20"/>
      <c r="T20" s="20"/>
      <c r="U20" s="21"/>
      <c r="V20" s="21"/>
      <c r="W20" s="21"/>
      <c r="X20" s="21"/>
      <c r="Y20" s="21"/>
      <c r="Z20" s="21"/>
    </row>
    <row r="21" ht="30.0" customHeight="1">
      <c r="A21" s="20"/>
      <c r="B21" s="270" t="s">
        <v>431</v>
      </c>
      <c r="C21" s="275" t="s">
        <v>432</v>
      </c>
      <c r="D21" s="275"/>
      <c r="E21" s="277"/>
      <c r="F21" s="272"/>
      <c r="G21" s="272"/>
      <c r="H21" s="272"/>
      <c r="I21" s="272"/>
      <c r="J21" s="272"/>
      <c r="K21" s="272"/>
      <c r="L21" s="272"/>
      <c r="M21" s="272"/>
      <c r="N21" s="272"/>
      <c r="O21" s="282"/>
      <c r="P21" s="20"/>
      <c r="Q21" s="20"/>
      <c r="R21" s="20"/>
      <c r="S21" s="20"/>
      <c r="T21" s="20"/>
      <c r="U21" s="21"/>
      <c r="V21" s="21"/>
      <c r="W21" s="21"/>
      <c r="X21" s="21"/>
      <c r="Y21" s="21"/>
      <c r="Z21" s="21"/>
    </row>
    <row r="22" ht="30.0" customHeight="1">
      <c r="A22" s="20"/>
      <c r="B22" s="273" t="s">
        <v>93</v>
      </c>
      <c r="C22" s="278" t="s">
        <v>433</v>
      </c>
      <c r="D22" s="278"/>
      <c r="E22" s="279"/>
      <c r="F22" s="272"/>
      <c r="G22" s="272"/>
      <c r="H22" s="272"/>
      <c r="I22" s="272"/>
      <c r="J22" s="272"/>
      <c r="K22" s="272"/>
      <c r="L22" s="272"/>
      <c r="M22" s="272"/>
      <c r="N22" s="272"/>
      <c r="O22" s="282"/>
      <c r="P22" s="20"/>
      <c r="Q22" s="20"/>
      <c r="R22" s="20"/>
      <c r="S22" s="20"/>
      <c r="T22" s="20"/>
      <c r="U22" s="21"/>
      <c r="V22" s="21"/>
      <c r="W22" s="21"/>
      <c r="X22" s="21"/>
      <c r="Y22" s="21"/>
      <c r="Z22" s="21"/>
    </row>
    <row r="23" ht="24.75" customHeight="1">
      <c r="A23" s="20"/>
      <c r="B23" s="270"/>
      <c r="C23" s="275"/>
      <c r="D23" s="275"/>
      <c r="E23" s="277"/>
      <c r="F23" s="272"/>
      <c r="G23" s="272"/>
      <c r="H23" s="272"/>
      <c r="I23" s="272"/>
      <c r="J23" s="272"/>
      <c r="K23" s="272"/>
      <c r="L23" s="272"/>
      <c r="M23" s="272"/>
      <c r="N23" s="272"/>
      <c r="O23" s="282"/>
      <c r="P23" s="20"/>
      <c r="Q23" s="20"/>
      <c r="R23" s="20"/>
      <c r="S23" s="20"/>
      <c r="T23" s="20"/>
      <c r="U23" s="21"/>
      <c r="V23" s="21"/>
      <c r="W23" s="21"/>
      <c r="X23" s="21"/>
      <c r="Y23" s="21"/>
      <c r="Z23" s="21"/>
    </row>
    <row r="24" ht="30.0" customHeight="1">
      <c r="A24" s="20"/>
      <c r="B24" s="276" t="s">
        <v>434</v>
      </c>
      <c r="C24" s="77" t="s">
        <v>402</v>
      </c>
      <c r="D24" s="77" t="s">
        <v>403</v>
      </c>
      <c r="E24" s="77" t="s">
        <v>404</v>
      </c>
      <c r="F24" s="268"/>
      <c r="G24" s="268"/>
      <c r="H24" s="268"/>
      <c r="I24" s="268"/>
      <c r="J24" s="268"/>
      <c r="K24" s="268"/>
      <c r="L24" s="268"/>
      <c r="M24" s="268"/>
      <c r="N24" s="268"/>
      <c r="O24" s="75"/>
      <c r="P24" s="20"/>
      <c r="Q24" s="20"/>
      <c r="R24" s="20"/>
      <c r="S24" s="20"/>
      <c r="T24" s="20"/>
      <c r="U24" s="21"/>
      <c r="V24" s="21"/>
      <c r="W24" s="21"/>
      <c r="X24" s="21"/>
      <c r="Y24" s="21"/>
      <c r="Z24" s="21"/>
    </row>
    <row r="25" ht="17.25" customHeight="1">
      <c r="A25" s="20"/>
      <c r="B25" s="270" t="s">
        <v>82</v>
      </c>
      <c r="C25" s="284" t="s">
        <v>435</v>
      </c>
      <c r="D25" s="284" t="s">
        <v>436</v>
      </c>
      <c r="E25" s="285"/>
      <c r="F25" s="286"/>
      <c r="G25" s="201"/>
      <c r="H25" s="201"/>
      <c r="I25" s="287"/>
      <c r="J25" s="287"/>
      <c r="K25" s="287"/>
      <c r="L25" s="287"/>
      <c r="M25" s="287"/>
      <c r="N25" s="287"/>
      <c r="O25" s="282"/>
      <c r="P25" s="20"/>
      <c r="Q25" s="20"/>
      <c r="R25" s="20"/>
      <c r="S25" s="20"/>
      <c r="T25" s="20"/>
      <c r="U25" s="21"/>
      <c r="V25" s="21"/>
      <c r="W25" s="21"/>
      <c r="X25" s="21"/>
      <c r="Y25" s="21"/>
      <c r="Z25" s="21"/>
    </row>
    <row r="26" ht="30.0" customHeight="1">
      <c r="A26" s="20"/>
      <c r="B26" s="273" t="s">
        <v>81</v>
      </c>
      <c r="C26" s="288" t="s">
        <v>437</v>
      </c>
      <c r="D26" s="288"/>
      <c r="E26" s="289"/>
      <c r="F26" s="286"/>
      <c r="G26" s="201"/>
      <c r="H26" s="201"/>
      <c r="I26" s="287"/>
      <c r="J26" s="287"/>
      <c r="K26" s="287"/>
      <c r="L26" s="287"/>
      <c r="M26" s="287"/>
      <c r="N26" s="287"/>
      <c r="O26" s="282"/>
      <c r="P26" s="20"/>
      <c r="Q26" s="20"/>
      <c r="R26" s="20"/>
      <c r="S26" s="20"/>
      <c r="T26" s="20"/>
      <c r="U26" s="21"/>
      <c r="V26" s="21"/>
      <c r="W26" s="21"/>
      <c r="X26" s="21"/>
      <c r="Y26" s="21"/>
      <c r="Z26" s="21"/>
    </row>
    <row r="27" ht="30.0" customHeight="1">
      <c r="A27" s="20"/>
      <c r="B27" s="270" t="s">
        <v>438</v>
      </c>
      <c r="C27" s="284" t="s">
        <v>439</v>
      </c>
      <c r="D27" s="290"/>
      <c r="E27" s="285"/>
      <c r="F27" s="286"/>
      <c r="G27" s="201"/>
      <c r="H27" s="201"/>
      <c r="I27" s="287"/>
      <c r="J27" s="287"/>
      <c r="K27" s="287"/>
      <c r="L27" s="287"/>
      <c r="M27" s="287"/>
      <c r="N27" s="287"/>
      <c r="O27" s="269"/>
      <c r="P27" s="20"/>
      <c r="Q27" s="20"/>
      <c r="R27" s="20"/>
      <c r="S27" s="20"/>
      <c r="T27" s="20"/>
      <c r="U27" s="21"/>
      <c r="V27" s="21"/>
      <c r="W27" s="21"/>
      <c r="X27" s="21"/>
      <c r="Y27" s="21"/>
      <c r="Z27" s="21"/>
    </row>
    <row r="28" ht="24.75" customHeight="1">
      <c r="A28" s="20"/>
      <c r="B28" s="270"/>
      <c r="C28" s="284"/>
      <c r="D28" s="290"/>
      <c r="E28" s="285"/>
      <c r="F28" s="282"/>
      <c r="G28" s="282"/>
      <c r="H28" s="282"/>
      <c r="I28" s="287"/>
      <c r="J28" s="287"/>
      <c r="K28" s="287"/>
      <c r="L28" s="287"/>
      <c r="M28" s="287"/>
      <c r="N28" s="287"/>
      <c r="O28" s="269"/>
      <c r="P28" s="20"/>
      <c r="Q28" s="20"/>
      <c r="R28" s="20"/>
      <c r="S28" s="20"/>
      <c r="T28" s="20"/>
      <c r="U28" s="21"/>
      <c r="V28" s="21"/>
      <c r="W28" s="21"/>
      <c r="X28" s="21"/>
      <c r="Y28" s="21"/>
      <c r="Z28" s="21"/>
    </row>
    <row r="29" ht="30.0" customHeight="1">
      <c r="A29" s="20"/>
      <c r="B29" s="276" t="s">
        <v>93</v>
      </c>
      <c r="C29" s="77" t="s">
        <v>402</v>
      </c>
      <c r="D29" s="77" t="s">
        <v>403</v>
      </c>
      <c r="E29" s="77" t="s">
        <v>404</v>
      </c>
      <c r="F29" s="286"/>
      <c r="G29" s="201"/>
      <c r="H29" s="201"/>
      <c r="I29" s="287"/>
      <c r="J29" s="287"/>
      <c r="K29" s="287"/>
      <c r="L29" s="287"/>
      <c r="M29" s="287"/>
      <c r="N29" s="287"/>
      <c r="O29" s="269"/>
      <c r="P29" s="20"/>
      <c r="Q29" s="20"/>
      <c r="R29" s="20"/>
      <c r="S29" s="20"/>
      <c r="T29" s="20"/>
      <c r="U29" s="21"/>
      <c r="V29" s="21"/>
      <c r="W29" s="21"/>
      <c r="X29" s="21"/>
      <c r="Y29" s="21"/>
      <c r="Z29" s="21"/>
    </row>
    <row r="30" ht="51.75" customHeight="1">
      <c r="A30" s="20"/>
      <c r="B30" s="270" t="s">
        <v>440</v>
      </c>
      <c r="C30" s="271" t="s">
        <v>441</v>
      </c>
      <c r="D30" s="285" t="s">
        <v>442</v>
      </c>
      <c r="E30" s="285" t="s">
        <v>443</v>
      </c>
      <c r="F30" s="268"/>
      <c r="G30" s="268"/>
      <c r="H30" s="268"/>
      <c r="I30" s="268"/>
      <c r="J30" s="268"/>
      <c r="K30" s="268"/>
      <c r="L30" s="268"/>
      <c r="M30" s="268"/>
      <c r="N30" s="268"/>
      <c r="O30" s="20"/>
      <c r="P30" s="20"/>
      <c r="Q30" s="20"/>
      <c r="R30" s="20"/>
      <c r="S30" s="20"/>
      <c r="T30" s="20"/>
      <c r="U30" s="21"/>
      <c r="V30" s="21"/>
      <c r="W30" s="21"/>
      <c r="X30" s="21"/>
      <c r="Y30" s="21"/>
      <c r="Z30" s="21"/>
    </row>
    <row r="31" ht="17.25" customHeight="1">
      <c r="A31" s="20"/>
      <c r="B31" s="273" t="s">
        <v>444</v>
      </c>
      <c r="C31" s="274" t="s">
        <v>445</v>
      </c>
      <c r="D31" s="288" t="s">
        <v>446</v>
      </c>
      <c r="E31" s="289" t="s">
        <v>447</v>
      </c>
      <c r="F31" s="268"/>
      <c r="G31" s="268"/>
      <c r="H31" s="268"/>
      <c r="I31" s="268"/>
      <c r="J31" s="268"/>
      <c r="K31" s="268"/>
      <c r="L31" s="268"/>
      <c r="M31" s="268"/>
      <c r="N31" s="268"/>
      <c r="O31" s="20"/>
      <c r="P31" s="20"/>
      <c r="Q31" s="20"/>
      <c r="R31" s="20"/>
      <c r="S31" s="20"/>
      <c r="T31" s="20"/>
      <c r="U31" s="21"/>
      <c r="V31" s="21"/>
      <c r="W31" s="21"/>
      <c r="X31" s="21"/>
      <c r="Y31" s="21"/>
      <c r="Z31" s="21"/>
    </row>
    <row r="32" ht="17.25" customHeight="1">
      <c r="A32" s="20"/>
      <c r="B32" s="270" t="s">
        <v>448</v>
      </c>
      <c r="C32" s="271" t="s">
        <v>449</v>
      </c>
      <c r="D32" s="271" t="s">
        <v>450</v>
      </c>
      <c r="E32" s="285"/>
      <c r="F32" s="268"/>
      <c r="G32" s="268"/>
      <c r="H32" s="268"/>
      <c r="I32" s="268"/>
      <c r="J32" s="268"/>
      <c r="K32" s="268"/>
      <c r="L32" s="268"/>
      <c r="M32" s="268"/>
      <c r="N32" s="268"/>
      <c r="O32" s="20"/>
      <c r="P32" s="20"/>
      <c r="Q32" s="20"/>
      <c r="R32" s="20"/>
      <c r="S32" s="20"/>
      <c r="T32" s="20"/>
      <c r="U32" s="21"/>
      <c r="V32" s="21"/>
      <c r="W32" s="21"/>
      <c r="X32" s="21"/>
      <c r="Y32" s="21"/>
      <c r="Z32" s="21"/>
    </row>
    <row r="33" ht="51.75" customHeight="1">
      <c r="A33" s="20"/>
      <c r="B33" s="273" t="s">
        <v>93</v>
      </c>
      <c r="C33" s="274" t="s">
        <v>451</v>
      </c>
      <c r="D33" s="289"/>
      <c r="E33" s="289"/>
      <c r="F33" s="268"/>
      <c r="G33" s="268"/>
      <c r="H33" s="268"/>
      <c r="I33" s="268"/>
      <c r="J33" s="268"/>
      <c r="K33" s="268"/>
      <c r="L33" s="268"/>
      <c r="M33" s="268"/>
      <c r="N33" s="268"/>
      <c r="O33" s="20"/>
      <c r="P33" s="20"/>
      <c r="Q33" s="20"/>
      <c r="R33" s="20"/>
      <c r="S33" s="20"/>
      <c r="T33" s="20"/>
      <c r="U33" s="21"/>
      <c r="V33" s="21"/>
      <c r="W33" s="21"/>
      <c r="X33" s="21"/>
      <c r="Y33" s="21"/>
      <c r="Z33" s="21"/>
    </row>
    <row r="34" ht="25.5" hidden="1" customHeight="1">
      <c r="A34" s="20"/>
      <c r="B34" s="291"/>
      <c r="C34" s="100"/>
      <c r="D34" s="100"/>
      <c r="E34" s="100"/>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1"/>
      <c r="C35" s="100"/>
      <c r="D35" s="100"/>
      <c r="E35" s="100"/>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2"/>
      <c r="C36" s="100"/>
      <c r="D36" s="100"/>
      <c r="E36" s="100"/>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2"/>
      <c r="C37" s="100"/>
      <c r="D37" s="100"/>
      <c r="E37" s="100"/>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2"/>
      <c r="C38" s="100"/>
      <c r="D38" s="100"/>
      <c r="E38" s="100"/>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2"/>
      <c r="C39" s="100"/>
      <c r="D39" s="100"/>
      <c r="E39" s="100"/>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2"/>
      <c r="C40" s="100"/>
      <c r="D40" s="100"/>
      <c r="E40" s="100"/>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2"/>
      <c r="C41" s="100"/>
      <c r="D41" s="100"/>
      <c r="E41" s="100"/>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2"/>
      <c r="C42" s="100"/>
      <c r="D42" s="100"/>
      <c r="E42" s="100"/>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2"/>
      <c r="C43" s="100"/>
      <c r="D43" s="100"/>
      <c r="E43" s="100"/>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2"/>
      <c r="C44" s="100"/>
      <c r="D44" s="100"/>
      <c r="E44" s="100"/>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2"/>
      <c r="C45" s="100"/>
      <c r="D45" s="100"/>
      <c r="E45" s="100"/>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2"/>
      <c r="C46" s="100"/>
      <c r="D46" s="100"/>
      <c r="E46" s="100"/>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2"/>
      <c r="C47" s="100"/>
      <c r="D47" s="100"/>
      <c r="E47" s="100"/>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2"/>
      <c r="C48" s="100"/>
      <c r="D48" s="100"/>
      <c r="E48" s="100"/>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2"/>
      <c r="C49" s="100"/>
      <c r="D49" s="100"/>
      <c r="E49" s="100"/>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2"/>
      <c r="C50" s="100"/>
      <c r="D50" s="100"/>
      <c r="E50" s="100"/>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2"/>
      <c r="C51" s="100"/>
      <c r="D51" s="100"/>
      <c r="E51" s="100"/>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2"/>
      <c r="C52" s="100"/>
      <c r="D52" s="100"/>
      <c r="E52" s="100"/>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2"/>
      <c r="C53" s="100"/>
      <c r="D53" s="100"/>
      <c r="E53" s="100"/>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2"/>
      <c r="C54" s="100"/>
      <c r="D54" s="100"/>
      <c r="E54" s="100"/>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3"/>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3"/>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3"/>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3"/>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3"/>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3"/>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3"/>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3"/>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3"/>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3"/>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4"/>
      <c r="D65" s="74"/>
      <c r="E65" s="74"/>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4"/>
      <c r="D66" s="74"/>
      <c r="E66" s="74"/>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4"/>
      <c r="D67" s="74"/>
      <c r="E67" s="74"/>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4"/>
      <c r="D68" s="74"/>
      <c r="E68" s="74"/>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4"/>
      <c r="D69" s="74"/>
      <c r="E69" s="74"/>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4"/>
      <c r="D70" s="74"/>
      <c r="E70" s="74"/>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4"/>
      <c r="D71" s="74"/>
      <c r="E71" s="74"/>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4"/>
      <c r="D72" s="74"/>
      <c r="E72" s="74"/>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4"/>
      <c r="D73" s="74"/>
      <c r="E73" s="74"/>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4"/>
      <c r="D74" s="74"/>
      <c r="E74" s="74"/>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4"/>
      <c r="D75" s="74"/>
      <c r="E75" s="74"/>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4"/>
      <c r="D76" s="74"/>
      <c r="E76" s="74"/>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4"/>
      <c r="D77" s="74"/>
      <c r="E77" s="74"/>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4"/>
      <c r="D78" s="74"/>
      <c r="E78" s="74"/>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4"/>
      <c r="D79" s="74"/>
      <c r="E79" s="74"/>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4"/>
      <c r="D80" s="74"/>
      <c r="E80" s="74"/>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4"/>
      <c r="D81" s="74"/>
      <c r="E81" s="74"/>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4"/>
      <c r="D82" s="74"/>
      <c r="E82" s="74"/>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4"/>
      <c r="D83" s="74"/>
      <c r="E83" s="74"/>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4"/>
      <c r="D84" s="74"/>
      <c r="E84" s="74"/>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4"/>
      <c r="D85" s="74"/>
      <c r="E85" s="74"/>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4"/>
      <c r="D86" s="74"/>
      <c r="E86" s="74"/>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4"/>
      <c r="D87" s="74"/>
      <c r="E87" s="74"/>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4"/>
      <c r="D88" s="74"/>
      <c r="E88" s="74"/>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4"/>
      <c r="D89" s="74"/>
      <c r="E89" s="74"/>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4"/>
      <c r="D90" s="74"/>
      <c r="E90" s="74"/>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4"/>
      <c r="D91" s="74"/>
      <c r="E91" s="74"/>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4"/>
      <c r="D92" s="74"/>
      <c r="E92" s="74"/>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4"/>
      <c r="D93" s="74"/>
      <c r="E93" s="74"/>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4"/>
      <c r="D94" s="74"/>
      <c r="E94" s="74"/>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4"/>
      <c r="D95" s="74"/>
      <c r="E95" s="74"/>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4"/>
      <c r="D96" s="74"/>
      <c r="E96" s="74"/>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4"/>
      <c r="D97" s="74"/>
      <c r="E97" s="74"/>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4"/>
      <c r="D98" s="74"/>
      <c r="E98" s="74"/>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4"/>
      <c r="D99" s="74"/>
      <c r="E99" s="74"/>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4"/>
      <c r="D100" s="74"/>
      <c r="E100" s="74"/>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4"/>
      <c r="D101" s="74"/>
      <c r="E101" s="74"/>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4"/>
      <c r="D102" s="74"/>
      <c r="E102" s="74"/>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4"/>
      <c r="D103" s="74"/>
      <c r="E103" s="74"/>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4"/>
      <c r="D104" s="74"/>
      <c r="E104" s="74"/>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4"/>
      <c r="D105" s="74"/>
      <c r="E105" s="74"/>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4"/>
      <c r="D106" s="74"/>
      <c r="E106" s="74"/>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4"/>
      <c r="D107" s="74"/>
      <c r="E107" s="74"/>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4"/>
      <c r="D108" s="74"/>
      <c r="E108" s="74"/>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4"/>
      <c r="D109" s="74"/>
      <c r="E109" s="74"/>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4"/>
      <c r="D110" s="74"/>
      <c r="E110" s="74"/>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4"/>
      <c r="D111" s="74"/>
      <c r="E111" s="74"/>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4"/>
      <c r="D112" s="74"/>
      <c r="E112" s="74"/>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4"/>
      <c r="D113" s="74"/>
      <c r="E113" s="74"/>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4"/>
      <c r="D114" s="74"/>
      <c r="E114" s="74"/>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4"/>
      <c r="D115" s="74"/>
      <c r="E115" s="74"/>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4"/>
      <c r="D116" s="74"/>
      <c r="E116" s="74"/>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4"/>
      <c r="D117" s="74"/>
      <c r="E117" s="74"/>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4"/>
      <c r="D118" s="74"/>
      <c r="E118" s="74"/>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4"/>
      <c r="D119" s="74"/>
      <c r="E119" s="74"/>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4"/>
      <c r="D120" s="74"/>
      <c r="E120" s="74"/>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4"/>
      <c r="D121" s="74"/>
      <c r="E121" s="74"/>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4"/>
      <c r="D122" s="74"/>
      <c r="E122" s="74"/>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4"/>
      <c r="D123" s="74"/>
      <c r="E123" s="74"/>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4"/>
      <c r="D124" s="74"/>
      <c r="E124" s="74"/>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4"/>
      <c r="D125" s="74"/>
      <c r="E125" s="74"/>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4"/>
      <c r="D126" s="74"/>
      <c r="E126" s="74"/>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4"/>
      <c r="D127" s="74"/>
      <c r="E127" s="74"/>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4"/>
      <c r="D128" s="74"/>
      <c r="E128" s="74"/>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4"/>
      <c r="D129" s="74"/>
      <c r="E129" s="74"/>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4"/>
      <c r="D130" s="74"/>
      <c r="E130" s="74"/>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4"/>
      <c r="D131" s="74"/>
      <c r="E131" s="74"/>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4"/>
      <c r="D132" s="74"/>
      <c r="E132" s="74"/>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4"/>
      <c r="D133" s="74"/>
      <c r="E133" s="74"/>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4"/>
      <c r="D134" s="74"/>
      <c r="E134" s="74"/>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4"/>
      <c r="D135" s="74"/>
      <c r="E135" s="74"/>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4"/>
      <c r="D136" s="74"/>
      <c r="E136" s="74"/>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4"/>
      <c r="D137" s="74"/>
      <c r="E137" s="74"/>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4"/>
      <c r="D138" s="74"/>
      <c r="E138" s="74"/>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4"/>
      <c r="D139" s="74"/>
      <c r="E139" s="74"/>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4"/>
      <c r="D140" s="74"/>
      <c r="E140" s="74"/>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4"/>
      <c r="D141" s="74"/>
      <c r="E141" s="74"/>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4"/>
      <c r="D142" s="74"/>
      <c r="E142" s="74"/>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4"/>
      <c r="D143" s="74"/>
      <c r="E143" s="74"/>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4"/>
      <c r="D144" s="74"/>
      <c r="E144" s="74"/>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4"/>
      <c r="D145" s="74"/>
      <c r="E145" s="74"/>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4"/>
      <c r="D146" s="74"/>
      <c r="E146" s="74"/>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4"/>
      <c r="D147" s="74"/>
      <c r="E147" s="74"/>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4"/>
      <c r="D148" s="74"/>
      <c r="E148" s="74"/>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4"/>
      <c r="D149" s="74"/>
      <c r="E149" s="74"/>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4"/>
      <c r="D150" s="74"/>
      <c r="E150" s="74"/>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4"/>
      <c r="D151" s="74"/>
      <c r="E151" s="74"/>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4"/>
      <c r="D152" s="74"/>
      <c r="E152" s="74"/>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4"/>
      <c r="D153" s="74"/>
      <c r="E153" s="74"/>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4"/>
      <c r="D154" s="74"/>
      <c r="E154" s="74"/>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4"/>
      <c r="D155" s="74"/>
      <c r="E155" s="74"/>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4"/>
      <c r="D156" s="74"/>
      <c r="E156" s="74"/>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4"/>
      <c r="D157" s="74"/>
      <c r="E157" s="74"/>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4"/>
      <c r="D158" s="74"/>
      <c r="E158" s="74"/>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4"/>
      <c r="D159" s="74"/>
      <c r="E159" s="74"/>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4"/>
      <c r="D160" s="74"/>
      <c r="E160" s="74"/>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4"/>
      <c r="D161" s="74"/>
      <c r="E161" s="74"/>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4"/>
      <c r="D162" s="74"/>
      <c r="E162" s="74"/>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4"/>
      <c r="D163" s="74"/>
      <c r="E163" s="74"/>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4"/>
      <c r="D164" s="74"/>
      <c r="E164" s="74"/>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4"/>
      <c r="D165" s="74"/>
      <c r="E165" s="74"/>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4"/>
      <c r="D166" s="74"/>
      <c r="E166" s="74"/>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4"/>
      <c r="D167" s="74"/>
      <c r="E167" s="74"/>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4"/>
      <c r="D168" s="74"/>
      <c r="E168" s="74"/>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4"/>
      <c r="D169" s="74"/>
      <c r="E169" s="74"/>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4"/>
      <c r="D170" s="74"/>
      <c r="E170" s="74"/>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4"/>
      <c r="D171" s="74"/>
      <c r="E171" s="74"/>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4"/>
      <c r="D172" s="74"/>
      <c r="E172" s="74"/>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4"/>
      <c r="D173" s="74"/>
      <c r="E173" s="74"/>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4"/>
      <c r="D174" s="74"/>
      <c r="E174" s="74"/>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4"/>
      <c r="D175" s="74"/>
      <c r="E175" s="74"/>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4"/>
      <c r="D176" s="74"/>
      <c r="E176" s="74"/>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4"/>
      <c r="D177" s="74"/>
      <c r="E177" s="74"/>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4"/>
      <c r="D178" s="74"/>
      <c r="E178" s="74"/>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4"/>
      <c r="D179" s="74"/>
      <c r="E179" s="74"/>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4"/>
      <c r="D180" s="74"/>
      <c r="E180" s="74"/>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4"/>
      <c r="D181" s="74"/>
      <c r="E181" s="74"/>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4"/>
      <c r="D182" s="74"/>
      <c r="E182" s="74"/>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4"/>
      <c r="D183" s="74"/>
      <c r="E183" s="74"/>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4"/>
      <c r="D184" s="74"/>
      <c r="E184" s="74"/>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4"/>
      <c r="D185" s="74"/>
      <c r="E185" s="74"/>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4"/>
      <c r="D186" s="74"/>
      <c r="E186" s="74"/>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4"/>
      <c r="D187" s="74"/>
      <c r="E187" s="74"/>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4"/>
      <c r="D188" s="74"/>
      <c r="E188" s="74"/>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4"/>
      <c r="D189" s="74"/>
      <c r="E189" s="74"/>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4"/>
      <c r="D190" s="74"/>
      <c r="E190" s="74"/>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4"/>
      <c r="D191" s="74"/>
      <c r="E191" s="74"/>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4"/>
      <c r="D192" s="74"/>
      <c r="E192" s="74"/>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4"/>
      <c r="D193" s="74"/>
      <c r="E193" s="74"/>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4"/>
      <c r="D194" s="74"/>
      <c r="E194" s="74"/>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4"/>
      <c r="D195" s="74"/>
      <c r="E195" s="74"/>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4"/>
      <c r="D196" s="74"/>
      <c r="E196" s="74"/>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4"/>
      <c r="D197" s="74"/>
      <c r="E197" s="74"/>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4"/>
      <c r="D198" s="74"/>
      <c r="E198" s="74"/>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4"/>
      <c r="D199" s="74"/>
      <c r="E199" s="74"/>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4"/>
      <c r="D200" s="74"/>
      <c r="E200" s="74"/>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4"/>
      <c r="D201" s="74"/>
      <c r="E201" s="74"/>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4"/>
      <c r="D202" s="74"/>
      <c r="E202" s="74"/>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4"/>
      <c r="D203" s="74"/>
      <c r="E203" s="74"/>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4"/>
      <c r="D204" s="74"/>
      <c r="E204" s="74"/>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4"/>
      <c r="D205" s="74"/>
      <c r="E205" s="74"/>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4"/>
      <c r="D206" s="74"/>
      <c r="E206" s="74"/>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4"/>
      <c r="D207" s="74"/>
      <c r="E207" s="74"/>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4"/>
      <c r="D208" s="74"/>
      <c r="E208" s="74"/>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4"/>
      <c r="D209" s="74"/>
      <c r="E209" s="74"/>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4"/>
      <c r="D210" s="74"/>
      <c r="E210" s="74"/>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4"/>
      <c r="D211" s="74"/>
      <c r="E211" s="74"/>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4"/>
      <c r="D212" s="74"/>
      <c r="E212" s="74"/>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4"/>
      <c r="D213" s="74"/>
      <c r="E213" s="74"/>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4"/>
      <c r="D214" s="74"/>
      <c r="E214" s="74"/>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4"/>
      <c r="D215" s="74"/>
      <c r="E215" s="74"/>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4"/>
      <c r="D216" s="74"/>
      <c r="E216" s="74"/>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4"/>
      <c r="D217" s="74"/>
      <c r="E217" s="74"/>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4"/>
      <c r="D218" s="74"/>
      <c r="E218" s="74"/>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4"/>
      <c r="D219" s="74"/>
      <c r="E219" s="74"/>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4"/>
      <c r="D220" s="74"/>
      <c r="E220" s="74"/>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4"/>
      <c r="D221" s="74"/>
      <c r="E221" s="74"/>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4"/>
      <c r="D222" s="74"/>
      <c r="E222" s="74"/>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4"/>
      <c r="D223" s="74"/>
      <c r="E223" s="74"/>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4"/>
      <c r="D224" s="74"/>
      <c r="E224" s="74"/>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4"/>
      <c r="D225" s="74"/>
      <c r="E225" s="74"/>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4"/>
      <c r="D226" s="74"/>
      <c r="E226" s="74"/>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4"/>
      <c r="D227" s="74"/>
      <c r="E227" s="74"/>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4"/>
      <c r="D228" s="74"/>
      <c r="E228" s="74"/>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4"/>
      <c r="D229" s="74"/>
      <c r="E229" s="74"/>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4"/>
      <c r="D230" s="74"/>
      <c r="E230" s="74"/>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4"/>
      <c r="D231" s="74"/>
      <c r="E231" s="74"/>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4"/>
      <c r="D232" s="74"/>
      <c r="E232" s="74"/>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4"/>
      <c r="D233" s="74"/>
      <c r="E233" s="74"/>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4" t="s">
        <v>452</v>
      </c>
      <c r="B1" s="295">
        <f>'1.IS'!B2</f>
        <v>2015</v>
      </c>
      <c r="C1" s="295">
        <f>'1.IS'!C2</f>
        <v>2016</v>
      </c>
      <c r="D1" s="295">
        <f>'1.IS'!D2</f>
        <v>2017</v>
      </c>
      <c r="E1" s="295">
        <f>'1.IS'!E2</f>
        <v>2018</v>
      </c>
      <c r="F1" s="295">
        <f>'1.IS'!F2</f>
        <v>2019</v>
      </c>
      <c r="G1" s="295">
        <f>'1.IS'!G2</f>
        <v>2020</v>
      </c>
      <c r="H1" s="295">
        <f>'1.IS'!H2</f>
        <v>2021</v>
      </c>
      <c r="I1" s="295">
        <f>'1.IS'!I2</f>
        <v>2022</v>
      </c>
      <c r="J1" s="295">
        <f>'1.IS'!J2</f>
        <v>2023</v>
      </c>
      <c r="K1" s="295">
        <f>'1.IS'!K2</f>
        <v>2024</v>
      </c>
      <c r="L1" s="296"/>
    </row>
    <row r="2">
      <c r="A2" s="1" t="s">
        <v>453</v>
      </c>
      <c r="B2" s="297">
        <f>IFERROR(VLOOKUP($A2,'9.TIKR_CF'!$A:$K,COLUMN(B2),FALSE),"0")</f>
        <v>-9950</v>
      </c>
      <c r="C2" s="297">
        <f>IFERROR(VLOOKUP($A2,'9.TIKR_CF'!$A:$K,COLUMN(C2),FALSE),"0")</f>
        <v>-10212</v>
      </c>
      <c r="D2" s="297">
        <f>IFERROR(VLOOKUP($A2,'9.TIKR_CF'!$A:$K,COLUMN(D2),FALSE),"0")</f>
        <v>-13184</v>
      </c>
      <c r="E2" s="297">
        <f>IFERROR(VLOOKUP($A2,'9.TIKR_CF'!$A:$K,COLUMN(E2),FALSE),"0")</f>
        <v>-25139</v>
      </c>
      <c r="F2" s="297">
        <f>IFERROR(VLOOKUP($A2,'9.TIKR_CF'!$A:$K,COLUMN(F2),FALSE),"0")</f>
        <v>-23548</v>
      </c>
      <c r="G2" s="297">
        <f>IFERROR(VLOOKUP($A2,'9.TIKR_CF'!$A:$K,COLUMN(G2),FALSE),"0")</f>
        <v>-22281</v>
      </c>
      <c r="H2" s="297">
        <f>IFERROR(VLOOKUP($A2,'9.TIKR_CF'!$A:$K,COLUMN(H2),FALSE),"0")</f>
        <v>-24640</v>
      </c>
      <c r="I2" s="297">
        <f>IFERROR(VLOOKUP($A2,'9.TIKR_CF'!$A:$K,COLUMN(I2),FALSE),"0")</f>
        <v>-31485</v>
      </c>
      <c r="J2" s="297">
        <f>IFERROR(VLOOKUP($A2,'9.TIKR_CF'!$A:$K,COLUMN(J2),FALSE),"0")</f>
        <v>-32251</v>
      </c>
      <c r="K2" s="297">
        <f>IFERROR(VLOOKUP($A2,'9.TIKR_CF'!$A:$K,COLUMN(K2),FALSE),"0")</f>
        <v>-52535</v>
      </c>
      <c r="L2" s="296"/>
    </row>
    <row r="3">
      <c r="A3" s="1" t="s">
        <v>454</v>
      </c>
      <c r="B3" s="297" t="str">
        <f>IFERROR(VLOOKUP($A3,'9.TIKR_CF'!$A:$K,COLUMN(B3),FALSE),"0")</f>
        <v/>
      </c>
      <c r="C3" s="297" t="str">
        <f>IFERROR(VLOOKUP($A3,'9.TIKR_CF'!$A:$K,COLUMN(C3),FALSE),"0")</f>
        <v/>
      </c>
      <c r="D3" s="297" t="str">
        <f>IFERROR(VLOOKUP($A3,'9.TIKR_CF'!$A:$K,COLUMN(D3),FALSE),"0")</f>
        <v/>
      </c>
      <c r="E3" s="297" t="str">
        <f>IFERROR(VLOOKUP($A3,'9.TIKR_CF'!$A:$K,COLUMN(E3),FALSE),"0")</f>
        <v/>
      </c>
      <c r="F3" s="297" t="str">
        <f>IFERROR(VLOOKUP($A3,'9.TIKR_CF'!$A:$K,COLUMN(F3),FALSE),"0")</f>
        <v/>
      </c>
      <c r="G3" s="297" t="str">
        <f>IFERROR(VLOOKUP($A3,'9.TIKR_CF'!$A:$K,COLUMN(G3),FALSE),"0")</f>
        <v/>
      </c>
      <c r="H3" s="297" t="str">
        <f>IFERROR(VLOOKUP($A3,'9.TIKR_CF'!$A:$K,COLUMN(H3),FALSE),"0")</f>
        <v/>
      </c>
      <c r="I3" s="297" t="str">
        <f>IFERROR(VLOOKUP($A3,'9.TIKR_CF'!$A:$K,COLUMN(I3),FALSE),"0")</f>
        <v/>
      </c>
      <c r="J3" s="297" t="str">
        <f>IFERROR(VLOOKUP($A3,'9.TIKR_CF'!$A:$K,COLUMN(J3),FALSE),"0")</f>
        <v/>
      </c>
      <c r="K3" s="297" t="str">
        <f>IFERROR(VLOOKUP($A3,'9.TIKR_CF'!$A:$K,COLUMN(K3),FALSE),"0")</f>
        <v/>
      </c>
      <c r="L3" s="296"/>
    </row>
    <row r="4">
      <c r="A4" s="298" t="s">
        <v>455</v>
      </c>
      <c r="B4" s="299">
        <f>IFERROR(VLOOKUP($A4,'9.TIKR_CF'!$A:$K,COLUMN(B4),FALSE),"0")</f>
        <v>35</v>
      </c>
      <c r="C4" s="299">
        <f>IFERROR(VLOOKUP($A4,'9.TIKR_CF'!$A:$K,COLUMN(C4),FALSE),"0")</f>
        <v>240</v>
      </c>
      <c r="D4" s="299">
        <f>IFERROR(VLOOKUP($A4,'9.TIKR_CF'!$A:$K,COLUMN(D4),FALSE),"0")</f>
        <v>99</v>
      </c>
      <c r="E4" s="299" t="str">
        <f>IFERROR(VLOOKUP($A4,'9.TIKR_CF'!$A:$K,COLUMN(E4),FALSE),"0")</f>
        <v/>
      </c>
      <c r="F4" s="299" t="str">
        <f>IFERROR(VLOOKUP($A4,'9.TIKR_CF'!$A:$K,COLUMN(F4),FALSE),"0")</f>
        <v/>
      </c>
      <c r="G4" s="299" t="str">
        <f>IFERROR(VLOOKUP($A4,'9.TIKR_CF'!$A:$K,COLUMN(G4),FALSE),"0")</f>
        <v/>
      </c>
      <c r="H4" s="299" t="str">
        <f>IFERROR(VLOOKUP($A4,'9.TIKR_CF'!$A:$K,COLUMN(H4),FALSE),"0")</f>
        <v/>
      </c>
      <c r="I4" s="300" t="str">
        <f>IFERROR(VLOOKUP($A4,'9.TIKR_CF'!$A:$K,COLUMN(I4),FALSE),"0")</f>
        <v/>
      </c>
      <c r="J4" s="300" t="str">
        <f>IFERROR(VLOOKUP($A4,'9.TIKR_CF'!$A:$K,COLUMN(J4),FALSE),"0")</f>
        <v/>
      </c>
      <c r="K4" s="300" t="str">
        <f>IFERROR(VLOOKUP($A4,'9.TIKR_CF'!$A:$K,COLUMN(K4),FALSE),"0")</f>
        <v/>
      </c>
      <c r="L4" s="296"/>
    </row>
    <row r="5">
      <c r="A5" s="1" t="s">
        <v>456</v>
      </c>
      <c r="B5" s="297">
        <f t="shared" ref="B5:K5" si="1">SUM(B2:B4)</f>
        <v>-9915</v>
      </c>
      <c r="C5" s="297">
        <f t="shared" si="1"/>
        <v>-9972</v>
      </c>
      <c r="D5" s="297">
        <f t="shared" si="1"/>
        <v>-13085</v>
      </c>
      <c r="E5" s="297">
        <f t="shared" si="1"/>
        <v>-25139</v>
      </c>
      <c r="F5" s="297">
        <f t="shared" si="1"/>
        <v>-23548</v>
      </c>
      <c r="G5" s="297">
        <f t="shared" si="1"/>
        <v>-22281</v>
      </c>
      <c r="H5" s="297">
        <f t="shared" si="1"/>
        <v>-24640</v>
      </c>
      <c r="I5" s="297">
        <f t="shared" si="1"/>
        <v>-31485</v>
      </c>
      <c r="J5" s="297">
        <f t="shared" si="1"/>
        <v>-32251</v>
      </c>
      <c r="K5" s="297">
        <f t="shared" si="1"/>
        <v>-52535</v>
      </c>
      <c r="L5" s="296"/>
    </row>
    <row r="6">
      <c r="A6" s="298" t="s">
        <v>457</v>
      </c>
      <c r="B6" s="299">
        <f>IFERROR(VLOOKUP($A6,'9.TIKR_CF'!$A:$K,COLUMN(B6),FALSE),"0")</f>
        <v>4132</v>
      </c>
      <c r="C6" s="299">
        <f>IFERROR(VLOOKUP($A6,'9.TIKR_CF'!$A:$K,COLUMN(C6),FALSE),"0")</f>
        <v>5267</v>
      </c>
      <c r="D6" s="299">
        <f>IFERROR(VLOOKUP($A6,'9.TIKR_CF'!$A:$K,COLUMN(D6),FALSE),"0")</f>
        <v>6103</v>
      </c>
      <c r="E6" s="299">
        <f>IFERROR(VLOOKUP($A6,'9.TIKR_CF'!$A:$K,COLUMN(E6),FALSE),"0")</f>
        <v>8164</v>
      </c>
      <c r="F6" s="299">
        <f>IFERROR(VLOOKUP($A6,'9.TIKR_CF'!$A:$K,COLUMN(F6),FALSE),"0")</f>
        <v>10856</v>
      </c>
      <c r="G6" s="299">
        <f>IFERROR(VLOOKUP($A6,'9.TIKR_CF'!$A:$K,COLUMN(G6),FALSE),"0")</f>
        <v>12905</v>
      </c>
      <c r="H6" s="299">
        <f>IFERROR(VLOOKUP($A6,'9.TIKR_CF'!$A:$K,COLUMN(H6),FALSE),"0")</f>
        <v>10273</v>
      </c>
      <c r="I6" s="299">
        <f>IFERROR(VLOOKUP($A6,'9.TIKR_CF'!$A:$K,COLUMN(I6),FALSE),"0")</f>
        <v>13475</v>
      </c>
      <c r="J6" s="299">
        <f>IFERROR(VLOOKUP($A6,'9.TIKR_CF'!$A:$K,COLUMN(J6),FALSE),"0")</f>
        <v>11946</v>
      </c>
      <c r="K6" s="299">
        <f>IFERROR(VLOOKUP($A6,'9.TIKR_CF'!$A:$K,COLUMN(K6),FALSE),"0")</f>
        <v>15311</v>
      </c>
      <c r="L6" s="296"/>
    </row>
    <row r="7">
      <c r="A7" s="235" t="s">
        <v>458</v>
      </c>
      <c r="B7" s="301">
        <f t="shared" ref="B7:K7" si="2">IF(ABS(B5)&lt;B6,B5,-B6)</f>
        <v>-4132</v>
      </c>
      <c r="C7" s="301">
        <f t="shared" si="2"/>
        <v>-5267</v>
      </c>
      <c r="D7" s="301">
        <f t="shared" si="2"/>
        <v>-6103</v>
      </c>
      <c r="E7" s="301">
        <f t="shared" si="2"/>
        <v>-8164</v>
      </c>
      <c r="F7" s="301">
        <f t="shared" si="2"/>
        <v>-10856</v>
      </c>
      <c r="G7" s="301">
        <f t="shared" si="2"/>
        <v>-12905</v>
      </c>
      <c r="H7" s="301">
        <f t="shared" si="2"/>
        <v>-10273</v>
      </c>
      <c r="I7" s="301">
        <f t="shared" si="2"/>
        <v>-13475</v>
      </c>
      <c r="J7" s="301">
        <f t="shared" si="2"/>
        <v>-11946</v>
      </c>
      <c r="K7" s="301">
        <f t="shared" si="2"/>
        <v>-15311</v>
      </c>
      <c r="L7" s="296"/>
    </row>
    <row r="8">
      <c r="B8" s="296"/>
      <c r="C8" s="296"/>
      <c r="D8" s="296"/>
      <c r="E8" s="296"/>
      <c r="F8" s="296"/>
      <c r="G8" s="296"/>
      <c r="H8" s="296"/>
      <c r="I8" s="296"/>
      <c r="J8" s="296"/>
      <c r="K8" s="296"/>
      <c r="L8" s="296"/>
    </row>
    <row r="9">
      <c r="A9" s="294" t="s">
        <v>459</v>
      </c>
      <c r="B9" s="295">
        <f>'1.IS'!B2</f>
        <v>2015</v>
      </c>
      <c r="C9" s="295">
        <f>'1.IS'!C2</f>
        <v>2016</v>
      </c>
      <c r="D9" s="295">
        <f>'1.IS'!D2</f>
        <v>2017</v>
      </c>
      <c r="E9" s="295">
        <f>'1.IS'!E2</f>
        <v>2018</v>
      </c>
      <c r="F9" s="295">
        <f>'1.IS'!F2</f>
        <v>2019</v>
      </c>
      <c r="G9" s="295">
        <f>'1.IS'!G2</f>
        <v>2020</v>
      </c>
      <c r="H9" s="295">
        <f>'1.IS'!H2</f>
        <v>2021</v>
      </c>
      <c r="I9" s="295">
        <f>'1.IS'!I2</f>
        <v>2022</v>
      </c>
      <c r="J9" s="295">
        <f>'1.IS'!J2</f>
        <v>2023</v>
      </c>
      <c r="K9" s="295">
        <f>'1.IS'!K2</f>
        <v>2024</v>
      </c>
      <c r="L9" s="296"/>
    </row>
    <row r="10">
      <c r="A10" s="1" t="s">
        <v>460</v>
      </c>
      <c r="B10" s="297">
        <f t="shared" ref="B10:K10" si="3">B5-B7</f>
        <v>-5783</v>
      </c>
      <c r="C10" s="297">
        <f t="shared" si="3"/>
        <v>-4705</v>
      </c>
      <c r="D10" s="297">
        <f t="shared" si="3"/>
        <v>-6982</v>
      </c>
      <c r="E10" s="297">
        <f t="shared" si="3"/>
        <v>-16975</v>
      </c>
      <c r="F10" s="297">
        <f t="shared" si="3"/>
        <v>-12692</v>
      </c>
      <c r="G10" s="297">
        <f t="shared" si="3"/>
        <v>-9376</v>
      </c>
      <c r="H10" s="297">
        <f t="shared" si="3"/>
        <v>-14367</v>
      </c>
      <c r="I10" s="297">
        <f t="shared" si="3"/>
        <v>-18010</v>
      </c>
      <c r="J10" s="297">
        <f t="shared" si="3"/>
        <v>-20305</v>
      </c>
      <c r="K10" s="297">
        <f t="shared" si="3"/>
        <v>-37224</v>
      </c>
      <c r="L10" s="296"/>
    </row>
    <row r="11">
      <c r="A11" s="298" t="s">
        <v>461</v>
      </c>
      <c r="B11" s="302">
        <f>IFERROR(VLOOKUP("Cash Acquisitions*",'9.TIKR_CF'!$A:$K,COLUMN(B11),FALSE),"0")</f>
        <v>-236</v>
      </c>
      <c r="C11" s="302">
        <f>IFERROR(VLOOKUP("Cash Acquisitions*",'9.TIKR_CF'!$A:$K,COLUMN(C11),FALSE),"0")</f>
        <v>-986</v>
      </c>
      <c r="D11" s="302">
        <f>IFERROR(VLOOKUP("Cash Acquisitions*",'9.TIKR_CF'!$A:$K,COLUMN(D11),FALSE),"0")</f>
        <v>-287</v>
      </c>
      <c r="E11" s="302">
        <f>IFERROR(VLOOKUP("Cash Acquisitions*",'9.TIKR_CF'!$A:$K,COLUMN(E11),FALSE),"0")</f>
        <v>-1491</v>
      </c>
      <c r="F11" s="302">
        <f>IFERROR(VLOOKUP("Cash Acquisitions*",'9.TIKR_CF'!$A:$K,COLUMN(F11),FALSE),"0")</f>
        <v>-2515</v>
      </c>
      <c r="G11" s="302">
        <f>IFERROR(VLOOKUP("Cash Acquisitions*",'9.TIKR_CF'!$A:$K,COLUMN(G11),FALSE),"0")</f>
        <v>-738</v>
      </c>
      <c r="H11" s="302">
        <f>IFERROR(VLOOKUP("Cash Acquisitions*",'9.TIKR_CF'!$A:$K,COLUMN(H11),FALSE),"0")</f>
        <v>-2618</v>
      </c>
      <c r="I11" s="302">
        <f>IFERROR(VLOOKUP("Cash Acquisitions*",'9.TIKR_CF'!$A:$K,COLUMN(I11),FALSE),"0")</f>
        <v>-6969</v>
      </c>
      <c r="J11" s="302">
        <f>IFERROR(VLOOKUP("Cash Acquisitions*",'9.TIKR_CF'!$A:$K,COLUMN(J11),FALSE),"0")</f>
        <v>-495</v>
      </c>
      <c r="K11" s="302">
        <f>IFERROR(VLOOKUP("Cash Acquisitions*",'9.TIKR_CF'!$A:$K,COLUMN(K11),FALSE),"0")</f>
        <v>-2931</v>
      </c>
      <c r="L11" s="296"/>
    </row>
    <row r="12">
      <c r="A12" s="235" t="s">
        <v>462</v>
      </c>
      <c r="B12" s="301">
        <f t="shared" ref="B12:K12" si="4">ABS(SUM(B10:B11))</f>
        <v>6019</v>
      </c>
      <c r="C12" s="301">
        <f t="shared" si="4"/>
        <v>5691</v>
      </c>
      <c r="D12" s="301">
        <f t="shared" si="4"/>
        <v>7269</v>
      </c>
      <c r="E12" s="301">
        <f t="shared" si="4"/>
        <v>18466</v>
      </c>
      <c r="F12" s="301">
        <f t="shared" si="4"/>
        <v>15207</v>
      </c>
      <c r="G12" s="301">
        <f t="shared" si="4"/>
        <v>10114</v>
      </c>
      <c r="H12" s="301">
        <f t="shared" si="4"/>
        <v>16985</v>
      </c>
      <c r="I12" s="301">
        <f t="shared" si="4"/>
        <v>24979</v>
      </c>
      <c r="J12" s="301">
        <f t="shared" si="4"/>
        <v>20800</v>
      </c>
      <c r="K12" s="301">
        <f t="shared" si="4"/>
        <v>40155</v>
      </c>
      <c r="L12" s="296"/>
    </row>
    <row r="13">
      <c r="B13" s="296"/>
      <c r="C13" s="296"/>
      <c r="D13" s="296"/>
      <c r="E13" s="296"/>
      <c r="F13" s="296"/>
      <c r="G13" s="296"/>
      <c r="H13" s="296"/>
      <c r="I13" s="296"/>
      <c r="J13" s="296"/>
      <c r="K13" s="296"/>
      <c r="L13" s="296"/>
    </row>
    <row r="14">
      <c r="A14" s="294" t="s">
        <v>85</v>
      </c>
      <c r="B14" s="295" t="str">
        <f>'1.IS'!L2</f>
        <v>2025e</v>
      </c>
      <c r="C14" s="295" t="str">
        <f>'1.IS'!M2</f>
        <v>2026e</v>
      </c>
      <c r="D14" s="295" t="str">
        <f>'1.IS'!N2</f>
        <v>2027e</v>
      </c>
      <c r="E14" s="295" t="str">
        <f>'1.IS'!O2</f>
        <v>2028e</v>
      </c>
      <c r="F14" s="295" t="str">
        <f>'1.IS'!P2</f>
        <v>2029e</v>
      </c>
      <c r="G14" s="303"/>
      <c r="H14" s="303"/>
      <c r="I14" s="303"/>
      <c r="J14" s="303"/>
      <c r="K14" s="303"/>
      <c r="L14" s="296"/>
    </row>
    <row r="15">
      <c r="A15" s="222" t="s">
        <v>463</v>
      </c>
      <c r="B15" s="304">
        <f>'4.Valoración'!$D$12</f>
        <v>173</v>
      </c>
      <c r="C15" s="304">
        <f>'4.Valoración'!$D$12</f>
        <v>173</v>
      </c>
      <c r="D15" s="304">
        <f>'4.Valoración'!$D$12</f>
        <v>173</v>
      </c>
      <c r="E15" s="304">
        <f>'4.Valoración'!$D$12</f>
        <v>173</v>
      </c>
      <c r="F15" s="304">
        <f>'4.Valoración'!$D$12</f>
        <v>173</v>
      </c>
      <c r="G15" s="296"/>
      <c r="H15" s="296"/>
      <c r="I15" s="296"/>
      <c r="J15" s="296"/>
      <c r="K15" s="296"/>
      <c r="L15" s="296"/>
    </row>
    <row r="16">
      <c r="B16" s="296"/>
      <c r="C16" s="296"/>
      <c r="D16" s="296"/>
      <c r="E16" s="296"/>
      <c r="F16" s="296"/>
      <c r="G16" s="296"/>
      <c r="H16" s="296"/>
      <c r="I16" s="296"/>
      <c r="J16" s="296"/>
      <c r="K16" s="296"/>
      <c r="L16" s="296"/>
    </row>
    <row r="17">
      <c r="A17" s="294" t="s">
        <v>88</v>
      </c>
      <c r="B17" s="305">
        <f>'1.IS'!K2</f>
        <v>2024</v>
      </c>
      <c r="C17" s="296"/>
      <c r="D17" s="296"/>
      <c r="E17" s="296"/>
      <c r="F17" s="296"/>
      <c r="G17" s="296"/>
      <c r="H17" s="296"/>
      <c r="I17" s="296"/>
      <c r="J17" s="296"/>
      <c r="K17" s="296"/>
      <c r="L17" s="296"/>
    </row>
    <row r="18">
      <c r="A18" s="1" t="s">
        <v>464</v>
      </c>
      <c r="B18" s="306">
        <f>IFERROR(SUM('3.ROIC'!$B$6:$K$6)/SUM('3.ROIC'!$B$6:$K$7),0)</f>
        <v>0.09630484724</v>
      </c>
      <c r="C18" s="296"/>
      <c r="D18" s="296"/>
      <c r="E18" s="296"/>
      <c r="F18" s="296"/>
      <c r="G18" s="296"/>
      <c r="H18" s="296"/>
      <c r="I18" s="296"/>
      <c r="J18" s="296"/>
      <c r="K18" s="296"/>
      <c r="L18" s="296"/>
    </row>
    <row r="19">
      <c r="A19" s="1" t="s">
        <v>465</v>
      </c>
      <c r="B19" s="306">
        <f>IF(B18=0,0,1-B18)</f>
        <v>0.9036951528</v>
      </c>
      <c r="C19" s="296"/>
      <c r="D19" s="296"/>
      <c r="E19" s="296"/>
      <c r="F19" s="296"/>
      <c r="G19" s="296"/>
      <c r="H19" s="296"/>
      <c r="I19" s="296"/>
      <c r="J19" s="296"/>
      <c r="K19" s="296"/>
      <c r="L19" s="296"/>
    </row>
    <row r="20">
      <c r="A20" s="1" t="s">
        <v>466</v>
      </c>
      <c r="B20" s="297">
        <f>SUM('3.ROIC'!B4:K5)</f>
        <v>1085623</v>
      </c>
      <c r="C20" s="296"/>
      <c r="D20" s="296"/>
      <c r="E20" s="296"/>
      <c r="F20" s="296"/>
      <c r="G20" s="296"/>
      <c r="H20" s="296"/>
      <c r="I20" s="296"/>
      <c r="J20" s="296"/>
      <c r="K20" s="296"/>
      <c r="L20" s="296"/>
    </row>
    <row r="21" ht="15.75" customHeight="1">
      <c r="A21" s="1" t="s">
        <v>467</v>
      </c>
      <c r="B21" s="297">
        <f>SUM('3.ROIC'!B5:K5)</f>
        <v>894579</v>
      </c>
      <c r="C21" s="296"/>
      <c r="D21" s="296"/>
      <c r="E21" s="296"/>
      <c r="F21" s="296"/>
      <c r="G21" s="296"/>
      <c r="H21" s="296"/>
      <c r="I21" s="296"/>
      <c r="J21" s="296"/>
      <c r="K21" s="296"/>
      <c r="L21" s="296"/>
    </row>
    <row r="22" ht="15.75" customHeight="1">
      <c r="A22" s="1" t="s">
        <v>468</v>
      </c>
      <c r="B22" s="297">
        <f>SUM('3.ROIC'!B6:K7)</f>
        <v>87493</v>
      </c>
      <c r="C22" s="296"/>
      <c r="D22" s="296"/>
      <c r="E22" s="296"/>
      <c r="F22" s="296"/>
      <c r="G22" s="296"/>
      <c r="H22" s="296"/>
      <c r="I22" s="296"/>
      <c r="J22" s="296"/>
      <c r="K22" s="296"/>
      <c r="L22" s="296"/>
    </row>
    <row r="23" ht="15.75" customHeight="1">
      <c r="A23" s="1" t="s">
        <v>469</v>
      </c>
      <c r="B23" s="297">
        <f>B22-B20</f>
        <v>-998130</v>
      </c>
      <c r="C23" s="296"/>
      <c r="D23" s="296"/>
      <c r="E23" s="296"/>
      <c r="F23" s="296"/>
      <c r="G23" s="296"/>
      <c r="H23" s="296"/>
      <c r="I23" s="296"/>
      <c r="J23" s="296"/>
      <c r="K23" s="296"/>
      <c r="L23" s="296"/>
    </row>
    <row r="24" ht="15.75" customHeight="1">
      <c r="A24" s="1" t="s">
        <v>470</v>
      </c>
      <c r="B24" s="297">
        <f>SUM('1.IS'!B13:K13)</f>
        <v>21721</v>
      </c>
      <c r="C24" s="296"/>
      <c r="D24" s="296"/>
      <c r="E24" s="296"/>
      <c r="F24" s="296"/>
      <c r="G24" s="296"/>
      <c r="H24" s="296"/>
      <c r="I24" s="296"/>
      <c r="J24" s="296"/>
      <c r="K24" s="296"/>
      <c r="L24" s="296"/>
    </row>
    <row r="25" ht="15.75" customHeight="1">
      <c r="A25" s="1" t="s">
        <v>471</v>
      </c>
      <c r="B25" s="297">
        <f>SUM('1.IS'!B12:K12)</f>
        <v>-1965</v>
      </c>
      <c r="C25" s="296"/>
      <c r="D25" s="296"/>
      <c r="E25" s="296"/>
      <c r="F25" s="296"/>
      <c r="G25" s="296"/>
      <c r="H25" s="296"/>
      <c r="I25" s="296"/>
      <c r="J25" s="296"/>
      <c r="K25" s="296"/>
      <c r="L25" s="296"/>
    </row>
    <row r="26" ht="15.75" customHeight="1">
      <c r="A26" s="1" t="s">
        <v>472</v>
      </c>
      <c r="B26" s="306">
        <f>IFERROR(B24/B21,0)</f>
        <v>0.02428069516</v>
      </c>
      <c r="C26" s="296"/>
      <c r="D26" s="296"/>
      <c r="E26" s="296"/>
      <c r="F26" s="296"/>
      <c r="G26" s="296"/>
      <c r="H26" s="296"/>
      <c r="I26" s="296"/>
      <c r="J26" s="296"/>
      <c r="K26" s="296"/>
      <c r="L26" s="296"/>
    </row>
    <row r="27" ht="15.75" customHeight="1">
      <c r="A27" s="1" t="s">
        <v>473</v>
      </c>
      <c r="B27" s="306">
        <f>ABS(SUM('1.IS'!B12:K12))/B22</f>
        <v>0.02245893957</v>
      </c>
      <c r="C27" s="296"/>
      <c r="D27" s="296"/>
      <c r="E27" s="296"/>
      <c r="F27" s="296"/>
      <c r="G27" s="296"/>
      <c r="H27" s="296"/>
      <c r="I27" s="296"/>
      <c r="J27" s="296"/>
      <c r="K27" s="296"/>
      <c r="L27" s="296"/>
    </row>
    <row r="28" ht="15.75" customHeight="1">
      <c r="B28" s="306"/>
      <c r="C28" s="296"/>
      <c r="D28" s="296"/>
      <c r="E28" s="296"/>
      <c r="F28" s="296"/>
      <c r="G28" s="296"/>
      <c r="H28" s="296"/>
      <c r="I28" s="296"/>
      <c r="J28" s="296"/>
      <c r="K28" s="296"/>
      <c r="L28" s="296"/>
    </row>
    <row r="29" ht="15.75" customHeight="1">
      <c r="A29" s="294" t="s">
        <v>474</v>
      </c>
      <c r="B29" s="295">
        <f>'1.IS'!K2</f>
        <v>2024</v>
      </c>
      <c r="C29" s="307" t="str">
        <f>'1.IS'!L2</f>
        <v>2025e</v>
      </c>
      <c r="D29" s="307" t="str">
        <f>'1.IS'!M2</f>
        <v>2026e</v>
      </c>
      <c r="E29" s="307" t="str">
        <f>'1.IS'!N2</f>
        <v>2027e</v>
      </c>
      <c r="F29" s="307" t="str">
        <f>'1.IS'!O2</f>
        <v>2028e</v>
      </c>
      <c r="G29" s="307" t="str">
        <f>'1.IS'!P2</f>
        <v>2029e</v>
      </c>
      <c r="H29" s="296"/>
      <c r="I29" s="296"/>
      <c r="J29" s="296"/>
      <c r="K29" s="296"/>
      <c r="L29" s="296"/>
    </row>
    <row r="30" ht="15.75" customHeight="1">
      <c r="A30" s="1" t="s">
        <v>88</v>
      </c>
      <c r="B30" s="297">
        <f>'4.Valoración'!K4</f>
        <v>-83775</v>
      </c>
      <c r="C30" s="308">
        <f>'4.Valoración'!L4</f>
        <v>-89100</v>
      </c>
      <c r="D30" s="308">
        <f>'4.Valoración'!M4</f>
        <v>-102000</v>
      </c>
      <c r="E30" s="308">
        <f>'4.Valoración'!N4</f>
        <v>-117000</v>
      </c>
      <c r="F30" s="308">
        <f>'4.Valoración'!O4</f>
        <v>-131400</v>
      </c>
      <c r="G30" s="308">
        <f>'4.Valoración'!P4</f>
        <v>-147300</v>
      </c>
      <c r="H30" s="296"/>
      <c r="I30" s="296"/>
      <c r="J30" s="296"/>
      <c r="K30" s="296"/>
      <c r="L30" s="296"/>
    </row>
    <row r="31" ht="15.75" customHeight="1">
      <c r="A31" s="1" t="s">
        <v>475</v>
      </c>
      <c r="B31" s="297">
        <f>B32+B33</f>
        <v>95657</v>
      </c>
      <c r="C31" s="308">
        <f>IF(C30&lt;=0,B31/ABS(B30)*ABS(C30),MIN(B45:K45)*'1.IS'!L3)</f>
        <v>101737.2569</v>
      </c>
      <c r="D31" s="308">
        <f t="shared" ref="D31:G31" si="5">C31/ABS(C30)*ABS(D30)</f>
        <v>116466.8935</v>
      </c>
      <c r="E31" s="308">
        <f t="shared" si="5"/>
        <v>133594.3778</v>
      </c>
      <c r="F31" s="308">
        <f t="shared" si="5"/>
        <v>150036.7628</v>
      </c>
      <c r="G31" s="308">
        <f t="shared" si="5"/>
        <v>168191.8962</v>
      </c>
      <c r="H31" s="296"/>
      <c r="I31" s="297"/>
      <c r="J31" s="296"/>
      <c r="K31" s="306"/>
      <c r="L31" s="296"/>
    </row>
    <row r="32" ht="15.75" customHeight="1">
      <c r="A32" s="222" t="s">
        <v>476</v>
      </c>
      <c r="B32" s="297">
        <f>'3.ROIC'!K4</f>
        <v>23466</v>
      </c>
      <c r="C32" s="308">
        <f>B32/B31*C31</f>
        <v>24957.57207</v>
      </c>
      <c r="D32" s="308">
        <f>C32/'1.IS'!L3*'1.IS'!M3</f>
        <v>27702.905</v>
      </c>
      <c r="E32" s="308">
        <f>D32/'1.IS'!M3*'1.IS'!N3</f>
        <v>30750.22455</v>
      </c>
      <c r="F32" s="308">
        <f>E32/'1.IS'!N3*'1.IS'!O3</f>
        <v>34132.74924</v>
      </c>
      <c r="G32" s="308">
        <f>F32/'1.IS'!O3*'1.IS'!P3</f>
        <v>37887.35166</v>
      </c>
      <c r="H32" s="296"/>
      <c r="I32" s="296"/>
      <c r="J32" s="296"/>
      <c r="K32" s="306"/>
      <c r="L32" s="296"/>
    </row>
    <row r="33" ht="15.75" customHeight="1">
      <c r="A33" s="222" t="s">
        <v>477</v>
      </c>
      <c r="B33" s="297">
        <f>'3.ROIC'!K5</f>
        <v>72191</v>
      </c>
      <c r="C33" s="308">
        <f>B33/B31*C31</f>
        <v>76779.68487</v>
      </c>
      <c r="D33" s="308">
        <f>C33/'1.IS'!L3*'1.IS'!M3</f>
        <v>85225.45021</v>
      </c>
      <c r="E33" s="308">
        <f>D33/'1.IS'!M3*'1.IS'!N3</f>
        <v>94600.24973</v>
      </c>
      <c r="F33" s="308">
        <f>E33/'1.IS'!N3*'1.IS'!O3</f>
        <v>105006.2772</v>
      </c>
      <c r="G33" s="308">
        <f>F33/'1.IS'!O3*'1.IS'!P3</f>
        <v>116556.9677</v>
      </c>
      <c r="H33" s="296"/>
      <c r="I33" s="296"/>
      <c r="J33" s="296"/>
      <c r="K33" s="296"/>
      <c r="L33" s="296"/>
    </row>
    <row r="34" ht="15.75" customHeight="1">
      <c r="A34" s="1" t="s">
        <v>478</v>
      </c>
      <c r="B34" s="297">
        <f>B30+B31</f>
        <v>11882</v>
      </c>
      <c r="C34" s="308">
        <f>IF(C30&lt;=0,B34/ABS(B30)*ABS(C30),C30+C31)</f>
        <v>12637.25694</v>
      </c>
      <c r="D34" s="308">
        <f t="shared" ref="D34:G34" si="6">C34/ABS(C30)*ABS(D30)</f>
        <v>14466.89346</v>
      </c>
      <c r="E34" s="308">
        <f t="shared" si="6"/>
        <v>16594.3778</v>
      </c>
      <c r="F34" s="308">
        <f t="shared" si="6"/>
        <v>18636.76276</v>
      </c>
      <c r="G34" s="308">
        <f t="shared" si="6"/>
        <v>20891.89615</v>
      </c>
      <c r="H34" s="296"/>
      <c r="I34" s="296"/>
      <c r="J34" s="297"/>
      <c r="K34" s="296"/>
      <c r="L34" s="296"/>
    </row>
    <row r="35" ht="15.75" customHeight="1">
      <c r="A35" s="222" t="s">
        <v>479</v>
      </c>
      <c r="B35" s="297">
        <f>'3.ROIC'!K6</f>
        <v>999</v>
      </c>
      <c r="C35" s="308">
        <f t="shared" ref="C35:G35" si="7">B35/B34*C34</f>
        <v>1062.499552</v>
      </c>
      <c r="D35" s="308">
        <f t="shared" si="7"/>
        <v>1216.329454</v>
      </c>
      <c r="E35" s="308">
        <f t="shared" si="7"/>
        <v>1395.201432</v>
      </c>
      <c r="F35" s="308">
        <f t="shared" si="7"/>
        <v>1566.918532</v>
      </c>
      <c r="G35" s="308">
        <f t="shared" si="7"/>
        <v>1756.522829</v>
      </c>
      <c r="H35" s="296"/>
      <c r="I35" s="296"/>
      <c r="J35" s="296"/>
      <c r="K35" s="296"/>
      <c r="L35" s="296"/>
    </row>
    <row r="36" ht="15.75" customHeight="1">
      <c r="A36" s="222" t="s">
        <v>480</v>
      </c>
      <c r="B36" s="297">
        <f>'3.ROIC'!K7</f>
        <v>10883</v>
      </c>
      <c r="C36" s="308">
        <f t="shared" ref="C36:G36" si="8">B36/B34*C34</f>
        <v>11574.75739</v>
      </c>
      <c r="D36" s="308">
        <f t="shared" si="8"/>
        <v>13250.56401</v>
      </c>
      <c r="E36" s="308">
        <f t="shared" si="8"/>
        <v>15199.17637</v>
      </c>
      <c r="F36" s="308">
        <f t="shared" si="8"/>
        <v>17069.84423</v>
      </c>
      <c r="G36" s="308">
        <f t="shared" si="8"/>
        <v>19135.37332</v>
      </c>
      <c r="H36" s="296"/>
      <c r="I36" s="296"/>
      <c r="J36" s="296"/>
      <c r="K36" s="296"/>
      <c r="L36" s="296"/>
    </row>
    <row r="37" ht="15.75" customHeight="1">
      <c r="A37" s="222"/>
      <c r="B37" s="297"/>
      <c r="C37" s="308"/>
      <c r="D37" s="308"/>
      <c r="E37" s="308"/>
      <c r="F37" s="308"/>
      <c r="G37" s="308"/>
      <c r="H37" s="296"/>
      <c r="I37" s="296"/>
      <c r="J37" s="296"/>
      <c r="K37" s="296"/>
      <c r="L37" s="296"/>
    </row>
    <row r="38" ht="15.75" customHeight="1">
      <c r="B38" s="306"/>
      <c r="C38" s="296"/>
      <c r="D38" s="296"/>
      <c r="E38" s="296"/>
      <c r="F38" s="296"/>
      <c r="G38" s="296"/>
      <c r="H38" s="296"/>
      <c r="I38" s="296"/>
      <c r="J38" s="296"/>
      <c r="K38" s="296"/>
      <c r="L38" s="296"/>
    </row>
    <row r="39" ht="15.75" customHeight="1">
      <c r="A39" s="294" t="s">
        <v>481</v>
      </c>
      <c r="B39" s="295">
        <f>'1.IS'!B2</f>
        <v>2015</v>
      </c>
      <c r="C39" s="295">
        <f>'1.IS'!C2</f>
        <v>2016</v>
      </c>
      <c r="D39" s="295">
        <f>'1.IS'!D2</f>
        <v>2017</v>
      </c>
      <c r="E39" s="295">
        <f>'1.IS'!E2</f>
        <v>2018</v>
      </c>
      <c r="F39" s="295">
        <f>'1.IS'!F2</f>
        <v>2019</v>
      </c>
      <c r="G39" s="295">
        <f>'1.IS'!G2</f>
        <v>2020</v>
      </c>
      <c r="H39" s="295">
        <f>'1.IS'!H2</f>
        <v>2021</v>
      </c>
      <c r="I39" s="295">
        <f>'1.IS'!I2</f>
        <v>2022</v>
      </c>
      <c r="J39" s="295">
        <f>'1.IS'!J2</f>
        <v>2023</v>
      </c>
      <c r="K39" s="295">
        <f>'1.IS'!K2</f>
        <v>2024</v>
      </c>
      <c r="L39" s="309" t="s">
        <v>482</v>
      </c>
    </row>
    <row r="40" ht="15.75" customHeight="1">
      <c r="A40" s="1" t="s">
        <v>483</v>
      </c>
      <c r="B40" s="297">
        <f t="shared" ref="B40:K40" si="9">ABS(B10)</f>
        <v>5783</v>
      </c>
      <c r="C40" s="297">
        <f t="shared" si="9"/>
        <v>4705</v>
      </c>
      <c r="D40" s="297">
        <f t="shared" si="9"/>
        <v>6982</v>
      </c>
      <c r="E40" s="297">
        <f t="shared" si="9"/>
        <v>16975</v>
      </c>
      <c r="F40" s="297">
        <f t="shared" si="9"/>
        <v>12692</v>
      </c>
      <c r="G40" s="297">
        <f t="shared" si="9"/>
        <v>9376</v>
      </c>
      <c r="H40" s="297">
        <f t="shared" si="9"/>
        <v>14367</v>
      </c>
      <c r="I40" s="297">
        <f t="shared" si="9"/>
        <v>18010</v>
      </c>
      <c r="J40" s="297">
        <f t="shared" si="9"/>
        <v>20305</v>
      </c>
      <c r="K40" s="297">
        <f t="shared" si="9"/>
        <v>37224</v>
      </c>
      <c r="L40" s="308">
        <f t="shared" ref="L40:L44" si="10">SUM(B40:K40)</f>
        <v>146419</v>
      </c>
    </row>
    <row r="41" ht="15.75" customHeight="1">
      <c r="A41" s="1" t="s">
        <v>65</v>
      </c>
      <c r="B41" s="296">
        <f>IFERROR(ABS(VLOOKUP("Common &amp; Preferred Stock Dividends Paid*",'9.TIKR_CF'!$A:$K,COLUMN(B14),FALSE)),"0")</f>
        <v>0</v>
      </c>
      <c r="C41" s="296">
        <f>IFERROR(ABS(VLOOKUP("Common &amp; Preferred Stock Dividends Paid*",'9.TIKR_CF'!$A:$K,COLUMN(C14),FALSE)),"0")</f>
        <v>0</v>
      </c>
      <c r="D41" s="296">
        <f>IFERROR(ABS(VLOOKUP("Common &amp; Preferred Stock Dividends Paid*",'9.TIKR_CF'!$A:$K,COLUMN(D14),FALSE)),"0")</f>
        <v>0</v>
      </c>
      <c r="E41" s="296">
        <f>IFERROR(ABS(VLOOKUP("Common &amp; Preferred Stock Dividends Paid*",'9.TIKR_CF'!$A:$K,COLUMN(E14),FALSE)),"0")</f>
        <v>0</v>
      </c>
      <c r="F41" s="296">
        <f>IFERROR(ABS(VLOOKUP("Common &amp; Preferred Stock Dividends Paid*",'9.TIKR_CF'!$A:$K,COLUMN(F14),FALSE)),"0")</f>
        <v>0</v>
      </c>
      <c r="G41" s="296">
        <f>IFERROR(ABS(VLOOKUP("Common &amp; Preferred Stock Dividends Paid*",'9.TIKR_CF'!$A:$K,COLUMN(G14),FALSE)),"0")</f>
        <v>0</v>
      </c>
      <c r="H41" s="296">
        <f>IFERROR(ABS(VLOOKUP("Common &amp; Preferred Stock Dividends Paid*",'9.TIKR_CF'!$A:$K,COLUMN(H14),FALSE)),"0")</f>
        <v>0</v>
      </c>
      <c r="I41" s="296">
        <f>IFERROR(ABS(VLOOKUP("Common &amp; Preferred Stock Dividends Paid*",'9.TIKR_CF'!$A:$K,COLUMN(I14),FALSE)),"0")</f>
        <v>0</v>
      </c>
      <c r="J41" s="296">
        <f>IFERROR(ABS(VLOOKUP("Common &amp; Preferred Stock Dividends Paid*",'9.TIKR_CF'!$A:$K,COLUMN(J14),FALSE)),"0")</f>
        <v>0</v>
      </c>
      <c r="K41" s="296">
        <f>IFERROR(ABS(VLOOKUP("Common &amp; Preferred Stock Dividends Paid*",'9.TIKR_CF'!$A:$K,COLUMN(K14),FALSE)),"0")</f>
        <v>7363</v>
      </c>
      <c r="L41" s="308">
        <f t="shared" si="10"/>
        <v>7363</v>
      </c>
    </row>
    <row r="42" ht="15.75" customHeight="1">
      <c r="A42" s="1" t="s">
        <v>66</v>
      </c>
      <c r="B42" s="296">
        <f>IFERROR(ABS(VLOOKUP("Repurchase of Common Stock*",'9.TIKR_CF'!$A:$K,COLUMN(B15),FALSE)),"0")</f>
        <v>1780</v>
      </c>
      <c r="C42" s="296">
        <f>IFERROR(ABS(VLOOKUP("Repurchase of Common Stock*",'9.TIKR_CF'!$A:$K,COLUMN(C15),FALSE)),"0")</f>
        <v>3693</v>
      </c>
      <c r="D42" s="296">
        <f>IFERROR(ABS(VLOOKUP("Repurchase of Common Stock*",'9.TIKR_CF'!$A:$K,COLUMN(D15),FALSE)),"0")</f>
        <v>4846</v>
      </c>
      <c r="E42" s="296">
        <f>IFERROR(ABS(VLOOKUP("Repurchase of Common Stock*",'9.TIKR_CF'!$A:$K,COLUMN(E15),FALSE)),"0")</f>
        <v>9075</v>
      </c>
      <c r="F42" s="296">
        <f>IFERROR(ABS(VLOOKUP("Repurchase of Common Stock*",'9.TIKR_CF'!$A:$K,COLUMN(F15),FALSE)),"0")</f>
        <v>18396</v>
      </c>
      <c r="G42" s="296">
        <f>IFERROR(ABS(VLOOKUP("Repurchase of Common Stock*",'9.TIKR_CF'!$A:$K,COLUMN(G15),FALSE)),"0")</f>
        <v>31149</v>
      </c>
      <c r="H42" s="296">
        <f>IFERROR(ABS(VLOOKUP("Repurchase of Common Stock*",'9.TIKR_CF'!$A:$K,COLUMN(H15),FALSE)),"0")</f>
        <v>50274</v>
      </c>
      <c r="I42" s="296">
        <f>IFERROR(ABS(VLOOKUP("Repurchase of Common Stock*",'9.TIKR_CF'!$A:$K,COLUMN(I15),FALSE)),"0")</f>
        <v>59296</v>
      </c>
      <c r="J42" s="296">
        <f>IFERROR(ABS(VLOOKUP("Repurchase of Common Stock*",'9.TIKR_CF'!$A:$K,COLUMN(J15),FALSE)),"0")</f>
        <v>61504</v>
      </c>
      <c r="K42" s="296">
        <f>IFERROR(ABS(VLOOKUP("Repurchase of Common Stock*",'9.TIKR_CF'!$A:$K,COLUMN(K15),FALSE)),"0")</f>
        <v>62222</v>
      </c>
      <c r="L42" s="308">
        <f t="shared" si="10"/>
        <v>302235</v>
      </c>
    </row>
    <row r="43" ht="15.75" customHeight="1">
      <c r="A43" s="1" t="s">
        <v>484</v>
      </c>
      <c r="B43" s="296">
        <f t="shared" ref="B43:K43" si="11">ABS(B11)</f>
        <v>236</v>
      </c>
      <c r="C43" s="296">
        <f t="shared" si="11"/>
        <v>986</v>
      </c>
      <c r="D43" s="296">
        <f t="shared" si="11"/>
        <v>287</v>
      </c>
      <c r="E43" s="296">
        <f t="shared" si="11"/>
        <v>1491</v>
      </c>
      <c r="F43" s="296">
        <f t="shared" si="11"/>
        <v>2515</v>
      </c>
      <c r="G43" s="296">
        <f t="shared" si="11"/>
        <v>738</v>
      </c>
      <c r="H43" s="296">
        <f t="shared" si="11"/>
        <v>2618</v>
      </c>
      <c r="I43" s="296">
        <f t="shared" si="11"/>
        <v>6969</v>
      </c>
      <c r="J43" s="296">
        <f t="shared" si="11"/>
        <v>495</v>
      </c>
      <c r="K43" s="296">
        <f t="shared" si="11"/>
        <v>2931</v>
      </c>
      <c r="L43" s="308">
        <f t="shared" si="10"/>
        <v>19266</v>
      </c>
    </row>
    <row r="44" ht="15.75" customHeight="1">
      <c r="A44" s="1" t="s">
        <v>67</v>
      </c>
      <c r="B44" s="296">
        <f>IFERROR(ABS(VLOOKUP("Total Debt Repaid*",'9.TIKR_CF'!$A:$K,COLUMN(B19),FALSE))-VLOOKUP("Total Debt Issued*",'9.TIKR_CF'!$A:$K,COLUMN(B19),FALSE),0)</f>
        <v>23</v>
      </c>
      <c r="C44" s="296">
        <f>IFERROR(ABS(VLOOKUP("Total Debt Repaid*",'9.TIKR_CF'!$A:$K,COLUMN(C19),FALSE))-VLOOKUP("Total Debt Issued*",'9.TIKR_CF'!$A:$K,COLUMN(C19),FALSE),0)</f>
        <v>1335</v>
      </c>
      <c r="D44" s="296">
        <f>IFERROR(ABS(VLOOKUP("Total Debt Repaid*",'9.TIKR_CF'!$A:$K,COLUMN(D19),FALSE))-VLOOKUP("Total Debt Issued*",'9.TIKR_CF'!$A:$K,COLUMN(D19),FALSE),0)</f>
        <v>86</v>
      </c>
      <c r="E44" s="296">
        <f>IFERROR(ABS(VLOOKUP("Total Debt Repaid*",'9.TIKR_CF'!$A:$K,COLUMN(E19),FALSE))-VLOOKUP("Total Debt Issued*",'9.TIKR_CF'!$A:$K,COLUMN(E19),FALSE),0)</f>
        <v>61</v>
      </c>
      <c r="F44" s="296">
        <f>IFERROR(ABS(VLOOKUP("Total Debt Repaid*",'9.TIKR_CF'!$A:$K,COLUMN(F19),FALSE))-VLOOKUP("Total Debt Issued*",'9.TIKR_CF'!$A:$K,COLUMN(F19),FALSE),0)</f>
        <v>268</v>
      </c>
      <c r="G44" s="296">
        <f>IFERROR(ABS(VLOOKUP("Total Debt Repaid*",'9.TIKR_CF'!$A:$K,COLUMN(G19),FALSE))-VLOOKUP("Total Debt Issued*",'9.TIKR_CF'!$A:$K,COLUMN(G19),FALSE),0)</f>
        <v>-9661</v>
      </c>
      <c r="H44" s="296">
        <f>IFERROR(ABS(VLOOKUP("Total Debt Repaid*",'9.TIKR_CF'!$A:$K,COLUMN(H19),FALSE))-VLOOKUP("Total Debt Issued*",'9.TIKR_CF'!$A:$K,COLUMN(H19),FALSE),0)</f>
        <v>1236</v>
      </c>
      <c r="I44" s="296">
        <f>IFERROR(ABS(VLOOKUP("Total Debt Repaid*",'9.TIKR_CF'!$A:$K,COLUMN(I19),FALSE))-VLOOKUP("Total Debt Issued*",'9.TIKR_CF'!$A:$K,COLUMN(I19),FALSE),0)</f>
        <v>1196</v>
      </c>
      <c r="J44" s="296">
        <f>IFERROR(ABS(VLOOKUP("Total Debt Repaid*",'9.TIKR_CF'!$A:$K,COLUMN(J19),FALSE))-VLOOKUP("Total Debt Issued*",'9.TIKR_CF'!$A:$K,COLUMN(J19),FALSE),0)</f>
        <v>760</v>
      </c>
      <c r="K44" s="296">
        <f>IFERROR(ABS(VLOOKUP("Total Debt Repaid*",'9.TIKR_CF'!$A:$K,COLUMN(K19),FALSE))-VLOOKUP("Total Debt Issued*",'9.TIKR_CF'!$A:$K,COLUMN(K19),FALSE),0)</f>
        <v>-888</v>
      </c>
      <c r="L44" s="308">
        <f t="shared" si="10"/>
        <v>-5584</v>
      </c>
    </row>
    <row r="45" ht="15.75" customHeight="1">
      <c r="A45" s="1" t="s">
        <v>485</v>
      </c>
      <c r="B45" s="306">
        <f>IFERROR(SUM('3.ROIC'!B4:B5)/'1.IS'!B3,"")</f>
        <v>0.9591540093</v>
      </c>
      <c r="C45" s="306">
        <f>IFERROR(SUM('3.ROIC'!C4:C5)/'1.IS'!C3,"")</f>
        <v>0.9563652074</v>
      </c>
      <c r="D45" s="306">
        <f>IFERROR(SUM('3.ROIC'!D4:D5)/'1.IS'!D3,"")</f>
        <v>0.9189571963</v>
      </c>
      <c r="E45" s="306">
        <f>IFERROR(SUM('3.ROIC'!E4:E5)/'1.IS'!E3,"")</f>
        <v>0.7976962264</v>
      </c>
      <c r="F45" s="306">
        <f>IFERROR(SUM('3.ROIC'!F4:F5)/'1.IS'!F3,"")</f>
        <v>0.7393872369</v>
      </c>
      <c r="G45" s="306">
        <f>IFERROR(SUM('3.ROIC'!G4:G5)/'1.IS'!G3,"")</f>
        <v>0.7488974234</v>
      </c>
      <c r="H45" s="306">
        <f>IFERROR(SUM('3.ROIC'!H4:H5)/'1.IS'!H3,"")</f>
        <v>0.5420378284</v>
      </c>
      <c r="I45" s="306">
        <f>IFERROR(SUM('3.ROIC'!I4:I5)/'1.IS'!I3,"")</f>
        <v>0.4022189537</v>
      </c>
      <c r="J45" s="306">
        <f>IFERROR(SUM('3.ROIC'!J4:J5)/'1.IS'!J3,"")</f>
        <v>0.3608268216</v>
      </c>
      <c r="K45" s="306">
        <f>IFERROR(SUM('3.ROIC'!K4:K5)/'1.IS'!K3,"")</f>
        <v>0.2732916593</v>
      </c>
      <c r="L45" s="308"/>
      <c r="N45" s="310"/>
    </row>
    <row r="46" ht="15.75" customHeight="1">
      <c r="B46" s="296"/>
      <c r="C46" s="296"/>
      <c r="D46" s="296"/>
      <c r="E46" s="296"/>
      <c r="F46" s="296"/>
      <c r="G46" s="296"/>
      <c r="H46" s="296"/>
      <c r="I46" s="296"/>
      <c r="J46" s="296"/>
      <c r="K46" s="296"/>
      <c r="L46" s="296"/>
    </row>
    <row r="47" ht="15.75" customHeight="1">
      <c r="A47" s="235" t="s">
        <v>486</v>
      </c>
      <c r="B47" s="296"/>
      <c r="C47" s="296"/>
      <c r="D47" s="296"/>
      <c r="E47" s="296"/>
      <c r="F47" s="296"/>
      <c r="G47" s="296"/>
      <c r="H47" s="296"/>
      <c r="I47" s="296"/>
      <c r="J47" s="296"/>
      <c r="K47" s="296"/>
      <c r="L47" s="296"/>
    </row>
    <row r="48" ht="15.75" customHeight="1">
      <c r="A48" s="294"/>
      <c r="B48" s="295">
        <f>'1.IS'!C$2</f>
        <v>2016</v>
      </c>
      <c r="C48" s="295">
        <f>'1.IS'!D$2</f>
        <v>2017</v>
      </c>
      <c r="D48" s="295">
        <f>'1.IS'!E$2</f>
        <v>2018</v>
      </c>
      <c r="E48" s="295">
        <f>'1.IS'!F$2</f>
        <v>2019</v>
      </c>
      <c r="F48" s="295">
        <f>'1.IS'!G$2</f>
        <v>2020</v>
      </c>
      <c r="G48" s="295">
        <f>'1.IS'!H$2</f>
        <v>2021</v>
      </c>
      <c r="H48" s="295">
        <f>'1.IS'!I$2</f>
        <v>2022</v>
      </c>
      <c r="I48" s="295">
        <f>'1.IS'!J$2</f>
        <v>2023</v>
      </c>
      <c r="J48" s="295">
        <f>'1.IS'!K$2</f>
        <v>2024</v>
      </c>
      <c r="K48" s="295"/>
      <c r="L48" s="305"/>
    </row>
    <row r="49" ht="15.75" customHeight="1">
      <c r="A49" s="311" t="s">
        <v>487</v>
      </c>
      <c r="B49" s="312">
        <f>'1.IS'!C4</f>
        <v>0.2038032245</v>
      </c>
      <c r="C49" s="312">
        <f>'1.IS'!D4</f>
        <v>0.2280109004</v>
      </c>
      <c r="D49" s="312">
        <f>'1.IS'!E4</f>
        <v>0.2342158676</v>
      </c>
      <c r="E49" s="312">
        <f>'1.IS'!F4</f>
        <v>0.183000899</v>
      </c>
      <c r="F49" s="312">
        <f>'1.IS'!G4</f>
        <v>0.1277053201</v>
      </c>
      <c r="G49" s="312">
        <f>'1.IS'!H4</f>
        <v>0.4115007643</v>
      </c>
      <c r="H49" s="312">
        <f>'1.IS'!I4</f>
        <v>0.09780815644</v>
      </c>
      <c r="I49" s="312">
        <f>'1.IS'!J4</f>
        <v>0.08682770227</v>
      </c>
      <c r="J49" s="312">
        <f>'1.IS'!K4</f>
        <v>0.1386624332</v>
      </c>
      <c r="K49" s="296"/>
      <c r="L49" s="312"/>
    </row>
    <row r="50" ht="15.75" customHeight="1">
      <c r="A50" s="311" t="s">
        <v>38</v>
      </c>
      <c r="B50" s="312">
        <f>'1.IS'!C24</f>
        <v>0.1782390548</v>
      </c>
      <c r="C50" s="312">
        <f>'1.IS'!D24</f>
        <v>-0.2314825667</v>
      </c>
      <c r="D50" s="312">
        <f>'1.IS'!E24</f>
        <v>0.9373047484</v>
      </c>
      <c r="E50" s="312">
        <f>'1.IS'!F24</f>
        <v>0.09986802171</v>
      </c>
      <c r="F50" s="312">
        <f>'1.IS'!G24</f>
        <v>0.08359885298</v>
      </c>
      <c r="G50" s="312">
        <f>'1.IS'!H24</f>
        <v>0.8801385292</v>
      </c>
      <c r="H50" s="312">
        <f>'1.IS'!I24</f>
        <v>0.03210675489</v>
      </c>
      <c r="I50" s="312">
        <f>'1.IS'!J24</f>
        <v>0.202641879</v>
      </c>
      <c r="J50" s="312">
        <f>'1.IS'!K24</f>
        <v>0.3286760117</v>
      </c>
      <c r="K50" s="296"/>
      <c r="L50" s="312"/>
    </row>
    <row r="51" ht="15.75" customHeight="1">
      <c r="A51" s="311" t="s">
        <v>488</v>
      </c>
      <c r="B51" s="312">
        <f>'2.FCF'!C16</f>
        <v>0.06965926922</v>
      </c>
      <c r="C51" s="312">
        <f>'2.FCF'!D16</f>
        <v>-0.3048147954</v>
      </c>
      <c r="D51" s="312">
        <f>'2.FCF'!E16</f>
        <v>1.24854925</v>
      </c>
      <c r="E51" s="312">
        <f>'2.FCF'!F16</f>
        <v>0.02751709344</v>
      </c>
      <c r="F51" s="312">
        <f>'2.FCF'!G16</f>
        <v>0.02319209316</v>
      </c>
      <c r="G51" s="312">
        <f>'2.FCF'!H16</f>
        <v>0.8361706197</v>
      </c>
      <c r="H51" s="312">
        <f>'2.FCF'!I16</f>
        <v>0.1336354324</v>
      </c>
      <c r="I51" s="312">
        <f>'2.FCF'!J16</f>
        <v>0.07539743315</v>
      </c>
      <c r="J51" s="312">
        <f>'2.FCF'!K16</f>
        <v>0.3632026432</v>
      </c>
      <c r="K51" s="296"/>
      <c r="L51" s="312"/>
    </row>
    <row r="52" ht="15.75" customHeight="1">
      <c r="A52" s="13"/>
      <c r="B52" s="313"/>
      <c r="C52" s="313"/>
      <c r="D52" s="313"/>
      <c r="E52" s="313"/>
      <c r="F52" s="313"/>
      <c r="G52" s="313"/>
      <c r="H52" s="313"/>
      <c r="I52" s="313"/>
      <c r="J52" s="296"/>
      <c r="K52" s="296"/>
      <c r="L52" s="296"/>
    </row>
    <row r="53" ht="15.75" customHeight="1">
      <c r="A53" s="314" t="s">
        <v>489</v>
      </c>
      <c r="B53" s="313"/>
      <c r="C53" s="313"/>
      <c r="D53" s="313"/>
      <c r="E53" s="313"/>
      <c r="F53" s="313"/>
      <c r="G53" s="313"/>
      <c r="H53" s="313"/>
      <c r="I53" s="313"/>
      <c r="J53" s="296"/>
      <c r="K53" s="296"/>
      <c r="L53" s="296"/>
    </row>
    <row r="54" ht="15.75" customHeight="1">
      <c r="A54" s="294"/>
      <c r="B54" s="305">
        <f>'1.IS'!B$2</f>
        <v>2015</v>
      </c>
      <c r="C54" s="305">
        <f>'1.IS'!C$2</f>
        <v>2016</v>
      </c>
      <c r="D54" s="305">
        <f>'1.IS'!D$2</f>
        <v>2017</v>
      </c>
      <c r="E54" s="305">
        <f>'1.IS'!E$2</f>
        <v>2018</v>
      </c>
      <c r="F54" s="305">
        <f>'1.IS'!F$2</f>
        <v>2019</v>
      </c>
      <c r="G54" s="305">
        <f>'1.IS'!G$2</f>
        <v>2020</v>
      </c>
      <c r="H54" s="305">
        <f>'1.IS'!H$2</f>
        <v>2021</v>
      </c>
      <c r="I54" s="305">
        <f>'1.IS'!I$2</f>
        <v>2022</v>
      </c>
      <c r="J54" s="305">
        <f>'1.IS'!J$2</f>
        <v>2023</v>
      </c>
      <c r="K54" s="305">
        <f>'1.IS'!K$2</f>
        <v>2024</v>
      </c>
      <c r="L54" s="305"/>
    </row>
    <row r="55" ht="15.75" customHeight="1">
      <c r="A55" s="311" t="s">
        <v>20</v>
      </c>
      <c r="B55" s="315">
        <f>'1.IS'!B6</f>
        <v>0.3251676913</v>
      </c>
      <c r="C55" s="315">
        <f>'1.IS'!C6</f>
        <v>0.3302906771</v>
      </c>
      <c r="D55" s="315">
        <f>'1.IS'!D6</f>
        <v>0.3230616571</v>
      </c>
      <c r="E55" s="315">
        <f>'1.IS'!E6</f>
        <v>0.3042267521</v>
      </c>
      <c r="F55" s="315">
        <f>'1.IS'!F6</f>
        <v>0.2939570114</v>
      </c>
      <c r="G55" s="315">
        <f>'1.IS'!G6</f>
        <v>0.3007938552</v>
      </c>
      <c r="H55" s="315">
        <f>'1.IS'!H6</f>
        <v>0.345396818</v>
      </c>
      <c r="I55" s="315">
        <f>'1.IS'!I6</f>
        <v>0.3122551585</v>
      </c>
      <c r="J55" s="315">
        <f>'1.IS'!J6</f>
        <v>0.3130802813</v>
      </c>
      <c r="K55" s="315">
        <f>'1.IS'!K6</f>
        <v>0.3699724014</v>
      </c>
      <c r="L55" s="315"/>
    </row>
    <row r="56" ht="15.75" customHeight="1">
      <c r="A56" s="311" t="s">
        <v>91</v>
      </c>
      <c r="B56" s="315">
        <f>'1.IS'!B10</f>
        <v>0.2581711984</v>
      </c>
      <c r="C56" s="315">
        <f>'1.IS'!C10</f>
        <v>0.2627171216</v>
      </c>
      <c r="D56" s="315">
        <f>'1.IS'!D10</f>
        <v>0.2608272067</v>
      </c>
      <c r="E56" s="315">
        <f>'1.IS'!E10</f>
        <v>0.2382344557</v>
      </c>
      <c r="F56" s="315">
        <f>'1.IS'!F10</f>
        <v>0.2219737175</v>
      </c>
      <c r="G56" s="315">
        <f>'1.IS'!G10</f>
        <v>0.2258515179</v>
      </c>
      <c r="H56" s="315">
        <f>'1.IS'!H10</f>
        <v>0.3055228869</v>
      </c>
      <c r="I56" s="315">
        <f>'1.IS'!I10</f>
        <v>0.2646127084</v>
      </c>
      <c r="J56" s="315">
        <f>'1.IS'!J10</f>
        <v>0.2742181045</v>
      </c>
      <c r="K56" s="315">
        <f>'1.IS'!K10</f>
        <v>0.3262289368</v>
      </c>
      <c r="L56" s="315"/>
    </row>
    <row r="57" ht="15.75" customHeight="1">
      <c r="A57" s="311" t="s">
        <v>93</v>
      </c>
      <c r="B57" s="315">
        <f>'2.FCF'!B15</f>
        <v>0.2379549001</v>
      </c>
      <c r="C57" s="315">
        <f>'2.FCF'!C15</f>
        <v>0.2114387629</v>
      </c>
      <c r="D57" s="315">
        <f>'2.FCF'!D15</f>
        <v>0.1196969014</v>
      </c>
      <c r="E57" s="315">
        <f>'2.FCF'!E15</f>
        <v>0.2180691278</v>
      </c>
      <c r="F57" s="315">
        <f>'2.FCF'!F15</f>
        <v>0.1894079342</v>
      </c>
      <c r="G57" s="315">
        <f>'2.FCF'!G15</f>
        <v>0.1718540271</v>
      </c>
      <c r="H57" s="315">
        <f>'2.FCF'!H15</f>
        <v>0.223558728</v>
      </c>
      <c r="I57" s="315">
        <f>'2.FCF'!I15</f>
        <v>0.2308546295</v>
      </c>
      <c r="J57" s="315">
        <f>'2.FCF'!J15</f>
        <v>0.2284267097</v>
      </c>
      <c r="K57" s="315">
        <f>'2.FCF'!K15</f>
        <v>0.27347165</v>
      </c>
      <c r="L57" s="315"/>
    </row>
    <row r="58" ht="15.75" customHeight="1">
      <c r="A58" s="13"/>
      <c r="B58" s="313"/>
      <c r="C58" s="312"/>
      <c r="D58" s="312"/>
      <c r="E58" s="312"/>
      <c r="F58" s="312"/>
      <c r="G58" s="312"/>
      <c r="H58" s="312"/>
      <c r="I58" s="296"/>
      <c r="J58" s="296"/>
      <c r="K58" s="296"/>
      <c r="L58" s="313"/>
    </row>
    <row r="59" ht="15.75" customHeight="1">
      <c r="A59" s="314" t="s">
        <v>490</v>
      </c>
      <c r="B59" s="313"/>
      <c r="C59" s="312"/>
      <c r="D59" s="312"/>
      <c r="E59" s="312"/>
      <c r="F59" s="312"/>
      <c r="G59" s="312"/>
      <c r="H59" s="312"/>
      <c r="I59" s="296"/>
      <c r="J59" s="296"/>
      <c r="K59" s="296"/>
      <c r="L59" s="313"/>
    </row>
    <row r="60" ht="15.75" customHeight="1">
      <c r="A60" s="294"/>
      <c r="B60" s="305">
        <f>'1.IS'!B$2</f>
        <v>2015</v>
      </c>
      <c r="C60" s="305">
        <f>'1.IS'!C$2</f>
        <v>2016</v>
      </c>
      <c r="D60" s="305">
        <f>'1.IS'!D$2</f>
        <v>2017</v>
      </c>
      <c r="E60" s="305">
        <f>'1.IS'!E$2</f>
        <v>2018</v>
      </c>
      <c r="F60" s="305">
        <f>'1.IS'!F$2</f>
        <v>2019</v>
      </c>
      <c r="G60" s="305">
        <f>'1.IS'!G$2</f>
        <v>2020</v>
      </c>
      <c r="H60" s="305">
        <f>'1.IS'!H$2</f>
        <v>2021</v>
      </c>
      <c r="I60" s="305">
        <f>'1.IS'!I$2</f>
        <v>2022</v>
      </c>
      <c r="J60" s="305">
        <f>'1.IS'!J$2</f>
        <v>2023</v>
      </c>
      <c r="K60" s="305">
        <f>'1.IS'!K$2</f>
        <v>2024</v>
      </c>
      <c r="L60" s="305"/>
    </row>
    <row r="61" ht="15.75" customHeight="1">
      <c r="A61" s="311" t="s">
        <v>93</v>
      </c>
      <c r="B61" s="316">
        <f>'2.FCF'!B14</f>
        <v>17844</v>
      </c>
      <c r="C61" s="316">
        <f>'2.FCF'!C14</f>
        <v>19087</v>
      </c>
      <c r="D61" s="316">
        <f>'2.FCF'!D14</f>
        <v>13269</v>
      </c>
      <c r="E61" s="316">
        <f>'2.FCF'!E14</f>
        <v>29836</v>
      </c>
      <c r="F61" s="316">
        <f>'2.FCF'!F14</f>
        <v>30657</v>
      </c>
      <c r="G61" s="316">
        <f>'2.FCF'!G14</f>
        <v>31368</v>
      </c>
      <c r="H61" s="316">
        <f>'2.FCF'!H14</f>
        <v>57597</v>
      </c>
      <c r="I61" s="316">
        <f>'2.FCF'!I14</f>
        <v>65294</v>
      </c>
      <c r="J61" s="316">
        <f>'2.FCF'!J14</f>
        <v>70217</v>
      </c>
      <c r="K61" s="316">
        <f>'2.FCF'!K14</f>
        <v>95720</v>
      </c>
      <c r="L61" s="313"/>
    </row>
    <row r="62" ht="15.75" customHeight="1">
      <c r="A62" s="311" t="s">
        <v>82</v>
      </c>
      <c r="B62" s="312">
        <f>'3.ROIC'!B15</f>
        <v>0.2267351657</v>
      </c>
      <c r="C62" s="312">
        <f>'3.ROIC'!C15</f>
        <v>0.2767607741</v>
      </c>
      <c r="D62" s="312">
        <f>'3.ROIC'!D15</f>
        <v>0.2290963703</v>
      </c>
      <c r="E62" s="312">
        <f>'3.ROIC'!E15</f>
        <v>0.320987974</v>
      </c>
      <c r="F62" s="312">
        <f>'3.ROIC'!F15</f>
        <v>0.266163261</v>
      </c>
      <c r="G62" s="312">
        <f>'3.ROIC'!G15</f>
        <v>0.2405763274</v>
      </c>
      <c r="H62" s="312">
        <f>'3.ROIC'!H15</f>
        <v>0.3978297127</v>
      </c>
      <c r="I62" s="312">
        <f>'3.ROIC'!I15</f>
        <v>0.32823219</v>
      </c>
      <c r="J62" s="312">
        <f>'3.ROIC'!J15</f>
        <v>0.3219370718</v>
      </c>
      <c r="K62" s="312">
        <f>'3.ROIC'!K15</f>
        <v>0.3387184293</v>
      </c>
      <c r="L62" s="312"/>
    </row>
    <row r="63" ht="15.75" customHeight="1">
      <c r="A63" s="13"/>
      <c r="B63" s="313"/>
      <c r="C63" s="313"/>
      <c r="D63" s="313"/>
      <c r="E63" s="313"/>
      <c r="F63" s="313"/>
      <c r="G63" s="313"/>
      <c r="H63" s="313"/>
      <c r="I63" s="296"/>
      <c r="J63" s="296"/>
      <c r="K63" s="296"/>
      <c r="L63" s="313"/>
    </row>
    <row r="64" ht="15.75" customHeight="1">
      <c r="A64" s="294" t="s">
        <v>491</v>
      </c>
      <c r="B64" s="305">
        <f>'1.IS'!B$2</f>
        <v>2015</v>
      </c>
      <c r="C64" s="305">
        <f>'1.IS'!C$2</f>
        <v>2016</v>
      </c>
      <c r="D64" s="305">
        <f>'1.IS'!D$2</f>
        <v>2017</v>
      </c>
      <c r="E64" s="305">
        <f>'1.IS'!E$2</f>
        <v>2018</v>
      </c>
      <c r="F64" s="305">
        <f>'1.IS'!F$2</f>
        <v>2019</v>
      </c>
      <c r="G64" s="305">
        <f>'1.IS'!G$2</f>
        <v>2020</v>
      </c>
      <c r="H64" s="305">
        <f>'1.IS'!H$2</f>
        <v>2021</v>
      </c>
      <c r="I64" s="305">
        <f>'1.IS'!I$2</f>
        <v>2022</v>
      </c>
      <c r="J64" s="305">
        <f>'1.IS'!J$2</f>
        <v>2023</v>
      </c>
      <c r="K64" s="305">
        <f>'1.IS'!K$2</f>
        <v>2024</v>
      </c>
      <c r="L64" s="305"/>
    </row>
    <row r="65" ht="15.75" customHeight="1">
      <c r="A65" s="311" t="s">
        <v>492</v>
      </c>
      <c r="B65" s="312">
        <f>IFERROR(('1.IS'!B3-'1.IS'!B5)/'1.IS'!B3,"")</f>
        <v>0.6748323087</v>
      </c>
      <c r="C65" s="312">
        <f>IFERROR(('1.IS'!C3-'1.IS'!C5)/'1.IS'!C3,"")</f>
        <v>0.6697093229</v>
      </c>
      <c r="D65" s="312">
        <f>IFERROR(('1.IS'!D3-'1.IS'!D5)/'1.IS'!D3,"")</f>
        <v>0.6769383429</v>
      </c>
      <c r="E65" s="312">
        <f>IFERROR(('1.IS'!E3-'1.IS'!E5)/'1.IS'!E3,"")</f>
        <v>0.6957732479</v>
      </c>
      <c r="F65" s="312">
        <f>IFERROR(('1.IS'!F3-'1.IS'!F5)/'1.IS'!F3,"")</f>
        <v>0.7060429886</v>
      </c>
      <c r="G65" s="312">
        <f>IFERROR(('1.IS'!G3-'1.IS'!G5)/'1.IS'!G3,"")</f>
        <v>0.6992061448</v>
      </c>
      <c r="H65" s="312">
        <f>IFERROR(('1.IS'!H3-'1.IS'!H5)/'1.IS'!H3,"")</f>
        <v>0.654603182</v>
      </c>
      <c r="I65" s="312">
        <f>IFERROR(('1.IS'!I3-'1.IS'!I5)/'1.IS'!I3,"")</f>
        <v>0.6877448415</v>
      </c>
      <c r="J65" s="312">
        <f>IFERROR(('1.IS'!J3-'1.IS'!J5)/'1.IS'!J3,"")</f>
        <v>0.6869197187</v>
      </c>
      <c r="K65" s="312">
        <f>IFERROR(('1.IS'!K3-'1.IS'!K5)/'1.IS'!K3,"")</f>
        <v>0.6300275986</v>
      </c>
      <c r="L65" s="312"/>
    </row>
    <row r="66" ht="15.75" customHeight="1">
      <c r="A66" s="311" t="s">
        <v>493</v>
      </c>
      <c r="B66" s="312">
        <f>'2.FCF'!B22</f>
        <v>0.05510141487</v>
      </c>
      <c r="C66" s="312">
        <f>'2.FCF'!C22</f>
        <v>0.05834588798</v>
      </c>
      <c r="D66" s="312">
        <f>'2.FCF'!D22</f>
        <v>0.05505389924</v>
      </c>
      <c r="E66" s="312">
        <f>'2.FCF'!E22</f>
        <v>0.05967007506</v>
      </c>
      <c r="F66" s="312">
        <f>'2.FCF'!F22</f>
        <v>0.06707155081</v>
      </c>
      <c r="G66" s="312">
        <f>'2.FCF'!G22</f>
        <v>0.07070186876</v>
      </c>
      <c r="H66" s="312">
        <f>'2.FCF'!H22</f>
        <v>0.03987393115</v>
      </c>
      <c r="I66" s="312">
        <f>'2.FCF'!I22</f>
        <v>0.04764245004</v>
      </c>
      <c r="J66" s="312">
        <f>'2.FCF'!J22</f>
        <v>0.03886217688</v>
      </c>
      <c r="K66" s="312">
        <f>'2.FCF'!K22</f>
        <v>0.04374346462</v>
      </c>
      <c r="L66" s="312"/>
    </row>
    <row r="67" ht="15.75" customHeight="1">
      <c r="A67" s="311" t="s">
        <v>494</v>
      </c>
      <c r="B67" s="312">
        <f>IFERROR(('1.IS'!B14/'1.IS'!B3),"")</f>
        <v>0.01193508381</v>
      </c>
      <c r="C67" s="312">
        <f>IFERROR(('1.IS'!C14/'1.IS'!C3),"")</f>
        <v>0.01214108472</v>
      </c>
      <c r="D67" s="312">
        <f>IFERROR(('1.IS'!D14/'1.IS'!D3),"")</f>
        <v>0.01085201389</v>
      </c>
      <c r="E67" s="312">
        <f>IFERROR(('1.IS'!E14/'1.IS'!E3),"")</f>
        <v>0.01289294616</v>
      </c>
      <c r="F67" s="312">
        <f>IFERROR(('1.IS'!F14/'1.IS'!F3),"")</f>
        <v>0.01437688824</v>
      </c>
      <c r="G67" s="312">
        <f>IFERROR(('1.IS'!G14/'1.IS'!G3),"")</f>
        <v>0.009478049823</v>
      </c>
      <c r="H67" s="312">
        <f>IFERROR(('1.IS'!H14/'1.IS'!H3),"")</f>
        <v>0.004475288875</v>
      </c>
      <c r="I67" s="312">
        <f>IFERROR(('1.IS'!I14/'1.IS'!I3),"")</f>
        <v>0.006424217568</v>
      </c>
      <c r="J67" s="312">
        <f>IFERROR(('1.IS'!J14/'1.IS'!J3),"")</f>
        <v>0.01157146854</v>
      </c>
      <c r="K67" s="312">
        <f>IFERROR(('1.IS'!K14/'1.IS'!K3),"")</f>
        <v>0.01203938083</v>
      </c>
      <c r="L67" s="312"/>
    </row>
    <row r="68" ht="15.75" customHeight="1">
      <c r="A68" s="311" t="s">
        <v>495</v>
      </c>
      <c r="B68" s="312">
        <f>IFERROR(('1.IS'!B16+'1.IS'!B19)/'1.IS'!B3,"")</f>
        <v>-0.04404646015</v>
      </c>
      <c r="C68" s="312">
        <f>IFERROR(('1.IS'!C16+'1.IS'!C19)/'1.IS'!C3,"")</f>
        <v>-0.05175469692</v>
      </c>
      <c r="D68" s="312">
        <f>IFERROR(('1.IS'!D16+'1.IS'!D19)/'1.IS'!D3,"")</f>
        <v>-0.131081142</v>
      </c>
      <c r="E68" s="312">
        <f>IFERROR(('1.IS'!E16+'1.IS'!E19)/'1.IS'!E3,"")</f>
        <v>-0.03052938554</v>
      </c>
      <c r="F68" s="312">
        <f>IFERROR(('1.IS'!F16+'1.IS'!F19)/'1.IS'!F3,"")</f>
        <v>-0.0326337446</v>
      </c>
      <c r="G68" s="312">
        <f>IFERROR(('1.IS'!G16+'1.IS'!G19)/'1.IS'!G3,"")</f>
        <v>-0.04280462616</v>
      </c>
      <c r="H68" s="312">
        <f>IFERROR(('1.IS'!H16+'1.IS'!H19)/'1.IS'!H3,"")</f>
        <v>-0.05706090352</v>
      </c>
      <c r="I68" s="312">
        <f>IFERROR(('1.IS'!I16+'1.IS'!I19)/'1.IS'!I3,"")</f>
        <v>-0.04015047589</v>
      </c>
      <c r="J68" s="312">
        <f>IFERROR(('1.IS'!J16+'1.IS'!J19)/'1.IS'!J3,"")</f>
        <v>-0.03878410119</v>
      </c>
      <c r="K68" s="312">
        <f>IFERROR(('1.IS'!K16+'1.IS'!K19)/'1.IS'!K3,"")</f>
        <v>-0.05627424875</v>
      </c>
      <c r="L68" s="312"/>
    </row>
    <row r="69" ht="15.75" customHeight="1">
      <c r="A69" s="311" t="s">
        <v>496</v>
      </c>
      <c r="B69" s="312"/>
      <c r="C69" s="312">
        <f>IFERROR('2.FCF'!C12/'1.IS'!C3,"")</f>
        <v>0.02089241404</v>
      </c>
      <c r="D69" s="312">
        <f>IFERROR('2.FCF'!D12/'1.IS'!D3,"")</f>
        <v>0.02808172838</v>
      </c>
      <c r="E69" s="312">
        <f>IFERROR('2.FCF'!E12/'1.IS'!E3,"")</f>
        <v>0.00885110986</v>
      </c>
      <c r="F69" s="312">
        <f>IFERROR('2.FCF'!F12/'1.IS'!F3,"")</f>
        <v>0.0192206701</v>
      </c>
      <c r="G69" s="312">
        <f>IFERROR('2.FCF'!G12/'1.IS'!G3,"")</f>
        <v>0.02491138297</v>
      </c>
      <c r="H69" s="312">
        <f>IFERROR('2.FCF'!H12/'1.IS'!H3,"")</f>
        <v>0.02937854423</v>
      </c>
      <c r="I69" s="312">
        <f>IFERROR('2.FCF'!I12/'1.IS'!I3,"")</f>
        <v>0.00003182056032</v>
      </c>
      <c r="J69" s="312">
        <f>IFERROR('2.FCF'!J12/'1.IS'!J3,"")</f>
        <v>0.01857876211</v>
      </c>
      <c r="K69" s="312">
        <f>IFERROR('2.FCF'!K12/'1.IS'!K3,"")</f>
        <v>0.008522418847</v>
      </c>
      <c r="L69" s="312"/>
    </row>
    <row r="70" ht="15.75" customHeight="1">
      <c r="B70" s="296"/>
      <c r="C70" s="296"/>
      <c r="D70" s="296"/>
      <c r="E70" s="296"/>
      <c r="F70" s="296"/>
      <c r="G70" s="296"/>
      <c r="H70" s="296"/>
      <c r="I70" s="296"/>
      <c r="J70" s="296"/>
      <c r="K70" s="296"/>
      <c r="L70" s="296"/>
    </row>
    <row r="71" ht="15.75" customHeight="1">
      <c r="A71" s="294" t="s">
        <v>497</v>
      </c>
      <c r="B71" s="305">
        <f>'1.IS'!B2</f>
        <v>2015</v>
      </c>
      <c r="C71" s="305">
        <f>'1.IS'!C2</f>
        <v>2016</v>
      </c>
      <c r="D71" s="305">
        <f>'1.IS'!D2</f>
        <v>2017</v>
      </c>
      <c r="E71" s="305">
        <f>'1.IS'!E2</f>
        <v>2018</v>
      </c>
      <c r="F71" s="305">
        <f>'1.IS'!F2</f>
        <v>2019</v>
      </c>
      <c r="G71" s="305">
        <f>'1.IS'!G2</f>
        <v>2020</v>
      </c>
      <c r="H71" s="305">
        <f>'1.IS'!H2</f>
        <v>2021</v>
      </c>
      <c r="I71" s="305">
        <f>'1.IS'!I2</f>
        <v>2022</v>
      </c>
      <c r="J71" s="305">
        <f>'1.IS'!J2</f>
        <v>2023</v>
      </c>
      <c r="K71" s="305">
        <f>'1.IS'!K2</f>
        <v>2024</v>
      </c>
      <c r="L71" s="309" t="s">
        <v>68</v>
      </c>
    </row>
    <row r="72" ht="15.75" customHeight="1">
      <c r="A72" s="311" t="s">
        <v>498</v>
      </c>
      <c r="B72" s="296"/>
      <c r="C72" s="296">
        <f>IF('1.IS'!C4&lt;0,1,0)</f>
        <v>0</v>
      </c>
      <c r="D72" s="296">
        <f>IF('1.IS'!D4&lt;0,1,0)</f>
        <v>0</v>
      </c>
      <c r="E72" s="296">
        <f>IF('1.IS'!E4&lt;0,1,0)</f>
        <v>0</v>
      </c>
      <c r="F72" s="296">
        <f>IF('1.IS'!F4&lt;0,1,0)</f>
        <v>0</v>
      </c>
      <c r="G72" s="296">
        <f>IF('1.IS'!G4&lt;0,1,0)</f>
        <v>0</v>
      </c>
      <c r="H72" s="296">
        <f>IF('1.IS'!H4&lt;0,1,0)</f>
        <v>0</v>
      </c>
      <c r="I72" s="296">
        <f>IF('1.IS'!I4&lt;0,1,0)</f>
        <v>0</v>
      </c>
      <c r="J72" s="296">
        <f>IF('1.IS'!J4&lt;0,1,0)</f>
        <v>0</v>
      </c>
      <c r="K72" s="296">
        <f>IF('1.IS'!K4&lt;0,1,0)</f>
        <v>0</v>
      </c>
      <c r="L72" s="317">
        <f t="shared" ref="L72:L76" si="12">SUM(B72:K72)</f>
        <v>0</v>
      </c>
    </row>
    <row r="73" ht="15.75" customHeight="1">
      <c r="A73" s="311" t="s">
        <v>499</v>
      </c>
      <c r="B73" s="296"/>
      <c r="C73" s="296">
        <f>IF('1.IS'!C10&lt;'1.IS'!B10,1,0)</f>
        <v>0</v>
      </c>
      <c r="D73" s="296">
        <f>IF('1.IS'!D10&lt;'1.IS'!C10,1,0)</f>
        <v>1</v>
      </c>
      <c r="E73" s="296">
        <f>IF('1.IS'!E10&lt;'1.IS'!D10,1,0)</f>
        <v>1</v>
      </c>
      <c r="F73" s="296">
        <f>IF('1.IS'!F10&lt;'1.IS'!E10,1,0)</f>
        <v>1</v>
      </c>
      <c r="G73" s="296">
        <f>IF('1.IS'!G10&lt;'1.IS'!F10,1,0)</f>
        <v>0</v>
      </c>
      <c r="H73" s="296">
        <f>IF('1.IS'!H10&lt;'1.IS'!G10,1,0)</f>
        <v>0</v>
      </c>
      <c r="I73" s="296">
        <f>IF('1.IS'!I10&lt;'1.IS'!H10,1,0)</f>
        <v>1</v>
      </c>
      <c r="J73" s="296">
        <f>IF('1.IS'!J10&lt;'1.IS'!I10,1,0)</f>
        <v>0</v>
      </c>
      <c r="K73" s="296">
        <f>IF('1.IS'!K10&lt;'1.IS'!J10,1,0)</f>
        <v>0</v>
      </c>
      <c r="L73" s="317">
        <f t="shared" si="12"/>
        <v>4</v>
      </c>
    </row>
    <row r="74" ht="15.75" customHeight="1">
      <c r="A74" s="311" t="s">
        <v>122</v>
      </c>
      <c r="B74" s="296">
        <f>IF('2.FCF'!B14&lt;0,1,0)</f>
        <v>0</v>
      </c>
      <c r="C74" s="296">
        <f>IF('2.FCF'!C14&lt;0,1,0)</f>
        <v>0</v>
      </c>
      <c r="D74" s="296">
        <f>IF('2.FCF'!D14&lt;0,1,0)</f>
        <v>0</v>
      </c>
      <c r="E74" s="296">
        <f>IF('2.FCF'!E14&lt;0,1,0)</f>
        <v>0</v>
      </c>
      <c r="F74" s="296">
        <f>IF('2.FCF'!F14&lt;0,1,0)</f>
        <v>0</v>
      </c>
      <c r="G74" s="296">
        <f>IF('2.FCF'!G14&lt;0,1,0)</f>
        <v>0</v>
      </c>
      <c r="H74" s="296">
        <f>IF('2.FCF'!H14&lt;0,1,0)</f>
        <v>0</v>
      </c>
      <c r="I74" s="296">
        <f>IF('2.FCF'!I14&lt;0,1,0)</f>
        <v>0</v>
      </c>
      <c r="J74" s="296">
        <f>IF('2.FCF'!J14&lt;0,1,0)</f>
        <v>0</v>
      </c>
      <c r="K74" s="296">
        <f>IF('2.FCF'!K14&lt;0,1,0)</f>
        <v>0</v>
      </c>
      <c r="L74" s="317">
        <f t="shared" si="12"/>
        <v>0</v>
      </c>
    </row>
    <row r="75" ht="15.75" customHeight="1">
      <c r="A75" s="311" t="s">
        <v>123</v>
      </c>
      <c r="B75" s="296">
        <f>IF('3.ROIC'!B15&lt;10%,1,0)</f>
        <v>0</v>
      </c>
      <c r="C75" s="296">
        <f>IF('3.ROIC'!C15&lt;10%,1,0)</f>
        <v>0</v>
      </c>
      <c r="D75" s="296">
        <f>IF('3.ROIC'!D15&lt;10%,1,0)</f>
        <v>0</v>
      </c>
      <c r="E75" s="296">
        <f>IF('3.ROIC'!E15&lt;10%,1,0)</f>
        <v>0</v>
      </c>
      <c r="F75" s="296">
        <f>IF('3.ROIC'!F15&lt;10%,1,0)</f>
        <v>0</v>
      </c>
      <c r="G75" s="296">
        <f>IF('3.ROIC'!G15&lt;10%,1,0)</f>
        <v>0</v>
      </c>
      <c r="H75" s="296">
        <f>IF('3.ROIC'!H15&lt;10%,1,0)</f>
        <v>0</v>
      </c>
      <c r="I75" s="296">
        <f>IF('3.ROIC'!I15&lt;10%,1,0)</f>
        <v>0</v>
      </c>
      <c r="J75" s="296">
        <f>IF('3.ROIC'!J15&lt;10%,1,0)</f>
        <v>0</v>
      </c>
      <c r="K75" s="296">
        <f>IF('3.ROIC'!K15&lt;10%,1,0)</f>
        <v>0</v>
      </c>
      <c r="L75" s="317">
        <f t="shared" si="12"/>
        <v>0</v>
      </c>
    </row>
    <row r="76" ht="15.75" customHeight="1">
      <c r="A76" s="311" t="s">
        <v>124</v>
      </c>
      <c r="B76" s="296">
        <f>IF('4.Valoración'!B5&lt;&gt;"",IF('4.Valoración'!B5&gt;2.5,1,0),0)</f>
        <v>0</v>
      </c>
      <c r="C76" s="296">
        <f>IF('4.Valoración'!C5&lt;&gt;"",IF('4.Valoración'!C5&gt;2.5,1,0),0)</f>
        <v>0</v>
      </c>
      <c r="D76" s="296">
        <f>IF('4.Valoración'!D5&lt;&gt;"",IF('4.Valoración'!D5&gt;2.5,1,0),0)</f>
        <v>0</v>
      </c>
      <c r="E76" s="296">
        <f>IF('4.Valoración'!E5&lt;&gt;"",IF('4.Valoración'!E5&gt;2.5,1,0),0)</f>
        <v>0</v>
      </c>
      <c r="F76" s="296">
        <f>IF('4.Valoración'!F5&lt;&gt;"",IF('4.Valoración'!F5&gt;2.5,1,0),0)</f>
        <v>0</v>
      </c>
      <c r="G76" s="296">
        <f>IF('4.Valoración'!G5&lt;&gt;"",IF('4.Valoración'!G5&gt;2.5,1,0),0)</f>
        <v>0</v>
      </c>
      <c r="H76" s="296">
        <f>IF('4.Valoración'!H5&lt;&gt;"",IF('4.Valoración'!H5&gt;2.5,1,0),0)</f>
        <v>0</v>
      </c>
      <c r="I76" s="296">
        <f>IF('4.Valoración'!I5&lt;&gt;"",IF('4.Valoración'!I5&gt;2.5,1,0),0)</f>
        <v>0</v>
      </c>
      <c r="J76" s="296">
        <f>IF('4.Valoración'!J5&lt;&gt;"",IF('4.Valoración'!J5&gt;2.5,1,0),0)</f>
        <v>0</v>
      </c>
      <c r="K76" s="296">
        <f>IF('4.Valoración'!K5&lt;&gt;"",IF('4.Valoración'!K5&gt;2.5,1,0),0)</f>
        <v>0</v>
      </c>
      <c r="L76" s="317">
        <f t="shared" si="12"/>
        <v>0</v>
      </c>
    </row>
    <row r="77" ht="15.75" customHeight="1">
      <c r="B77" s="296"/>
      <c r="C77" s="296"/>
      <c r="D77" s="296"/>
      <c r="E77" s="296"/>
      <c r="F77" s="296"/>
      <c r="G77" s="296"/>
      <c r="H77" s="296"/>
      <c r="I77" s="296"/>
      <c r="J77" s="296"/>
      <c r="K77" s="296"/>
      <c r="L77" s="296"/>
    </row>
    <row r="78" ht="15.75" customHeight="1">
      <c r="B78" s="296"/>
      <c r="C78" s="296"/>
      <c r="D78" s="296"/>
      <c r="E78" s="296"/>
      <c r="F78" s="296"/>
      <c r="G78" s="296"/>
      <c r="H78" s="296"/>
      <c r="I78" s="296"/>
      <c r="J78" s="296"/>
      <c r="K78" s="296"/>
      <c r="L78" s="296"/>
    </row>
    <row r="79" ht="15.75" customHeight="1">
      <c r="B79" s="296"/>
      <c r="C79" s="296"/>
      <c r="D79" s="296"/>
      <c r="E79" s="296"/>
      <c r="F79" s="296"/>
      <c r="G79" s="296"/>
      <c r="H79" s="296"/>
      <c r="I79" s="296"/>
      <c r="J79" s="296"/>
      <c r="K79" s="296"/>
      <c r="L79" s="296"/>
    </row>
    <row r="80" ht="15.75" customHeight="1">
      <c r="B80" s="296"/>
      <c r="C80" s="296"/>
      <c r="D80" s="296"/>
      <c r="E80" s="296"/>
      <c r="F80" s="296"/>
      <c r="G80" s="296"/>
      <c r="H80" s="296"/>
      <c r="I80" s="296"/>
      <c r="J80" s="296"/>
      <c r="K80" s="296"/>
      <c r="L80" s="296"/>
    </row>
    <row r="81" ht="15.75" customHeight="1">
      <c r="B81" s="296"/>
      <c r="C81" s="296"/>
      <c r="D81" s="296"/>
      <c r="E81" s="296"/>
      <c r="F81" s="296"/>
      <c r="G81" s="296"/>
      <c r="H81" s="296"/>
      <c r="I81" s="296"/>
      <c r="J81" s="296"/>
      <c r="K81" s="296"/>
      <c r="L81" s="296"/>
    </row>
    <row r="82" ht="15.75" customHeight="1">
      <c r="B82" s="296"/>
      <c r="C82" s="296"/>
      <c r="D82" s="296"/>
      <c r="E82" s="296"/>
      <c r="F82" s="296"/>
      <c r="G82" s="296"/>
      <c r="H82" s="296"/>
      <c r="I82" s="296"/>
      <c r="J82" s="296"/>
      <c r="K82" s="296"/>
      <c r="L82" s="296"/>
    </row>
    <row r="83" ht="15.75" customHeight="1">
      <c r="B83" s="296"/>
      <c r="C83" s="296"/>
      <c r="D83" s="296"/>
      <c r="E83" s="296"/>
      <c r="F83" s="296"/>
      <c r="G83" s="296"/>
      <c r="H83" s="296"/>
      <c r="I83" s="296"/>
      <c r="J83" s="296"/>
      <c r="K83" s="296"/>
      <c r="L83" s="296"/>
    </row>
    <row r="84" ht="15.75" customHeight="1">
      <c r="B84" s="296"/>
      <c r="C84" s="296"/>
      <c r="D84" s="296"/>
      <c r="E84" s="296"/>
      <c r="F84" s="296"/>
      <c r="G84" s="296"/>
      <c r="H84" s="296"/>
      <c r="I84" s="296"/>
      <c r="J84" s="296"/>
      <c r="K84" s="296"/>
      <c r="L84" s="296"/>
    </row>
    <row r="85" ht="15.75" customHeight="1">
      <c r="B85" s="296"/>
      <c r="C85" s="296"/>
      <c r="D85" s="296"/>
      <c r="E85" s="296"/>
      <c r="F85" s="296"/>
      <c r="G85" s="296"/>
      <c r="H85" s="296"/>
      <c r="I85" s="296"/>
      <c r="J85" s="296"/>
      <c r="K85" s="296"/>
      <c r="L85" s="296"/>
    </row>
    <row r="86" ht="15.75" customHeight="1">
      <c r="B86" s="296"/>
      <c r="C86" s="296"/>
      <c r="D86" s="296"/>
      <c r="E86" s="296"/>
      <c r="F86" s="296"/>
      <c r="G86" s="296"/>
      <c r="H86" s="296"/>
      <c r="I86" s="296"/>
      <c r="J86" s="296"/>
      <c r="K86" s="296"/>
      <c r="L86" s="296"/>
    </row>
    <row r="87" ht="15.75" customHeight="1">
      <c r="B87" s="296"/>
      <c r="C87" s="296"/>
      <c r="D87" s="296"/>
      <c r="E87" s="296"/>
      <c r="F87" s="296"/>
      <c r="G87" s="296"/>
      <c r="H87" s="296"/>
      <c r="I87" s="296"/>
      <c r="J87" s="296"/>
      <c r="K87" s="296"/>
      <c r="L87" s="296"/>
    </row>
    <row r="88" ht="15.75" customHeight="1">
      <c r="B88" s="296"/>
      <c r="C88" s="296"/>
      <c r="D88" s="296"/>
      <c r="E88" s="296"/>
      <c r="F88" s="296"/>
      <c r="G88" s="296"/>
      <c r="H88" s="296"/>
      <c r="I88" s="296"/>
      <c r="J88" s="296"/>
      <c r="K88" s="296"/>
      <c r="L88" s="296"/>
    </row>
    <row r="89" ht="15.75" customHeight="1">
      <c r="B89" s="296"/>
      <c r="C89" s="296"/>
      <c r="D89" s="296"/>
      <c r="E89" s="296"/>
      <c r="F89" s="296"/>
      <c r="G89" s="296"/>
      <c r="H89" s="296"/>
      <c r="I89" s="296"/>
      <c r="J89" s="296"/>
      <c r="K89" s="296"/>
      <c r="L89" s="296"/>
    </row>
    <row r="90" ht="15.75" customHeight="1">
      <c r="B90" s="296"/>
      <c r="C90" s="296"/>
      <c r="D90" s="296"/>
      <c r="E90" s="296"/>
      <c r="F90" s="296"/>
      <c r="G90" s="296"/>
      <c r="H90" s="296"/>
      <c r="I90" s="296"/>
      <c r="J90" s="296"/>
      <c r="K90" s="296"/>
      <c r="L90" s="296"/>
    </row>
    <row r="91" ht="15.75" customHeight="1">
      <c r="B91" s="296"/>
      <c r="C91" s="296"/>
      <c r="D91" s="296"/>
      <c r="E91" s="296"/>
      <c r="F91" s="296"/>
      <c r="G91" s="296"/>
      <c r="H91" s="296"/>
      <c r="I91" s="296"/>
      <c r="J91" s="296"/>
      <c r="K91" s="296"/>
      <c r="L91" s="296"/>
    </row>
    <row r="92" ht="15.75" customHeight="1">
      <c r="B92" s="296"/>
      <c r="C92" s="296"/>
      <c r="D92" s="296"/>
      <c r="E92" s="296"/>
      <c r="F92" s="296"/>
      <c r="G92" s="296"/>
      <c r="H92" s="296"/>
      <c r="I92" s="296"/>
      <c r="J92" s="296"/>
      <c r="K92" s="296"/>
      <c r="L92" s="296"/>
    </row>
    <row r="93" ht="15.75" customHeight="1">
      <c r="B93" s="296"/>
      <c r="C93" s="296"/>
      <c r="D93" s="296"/>
      <c r="E93" s="296"/>
      <c r="F93" s="296"/>
      <c r="G93" s="296"/>
      <c r="H93" s="296"/>
      <c r="I93" s="296"/>
      <c r="J93" s="296"/>
      <c r="K93" s="296"/>
      <c r="L93" s="296"/>
    </row>
    <row r="94" ht="15.75" customHeight="1">
      <c r="B94" s="296"/>
      <c r="C94" s="296"/>
      <c r="D94" s="296"/>
      <c r="E94" s="296"/>
      <c r="F94" s="296"/>
      <c r="G94" s="296"/>
      <c r="H94" s="296"/>
      <c r="I94" s="296"/>
      <c r="J94" s="296"/>
      <c r="K94" s="296"/>
      <c r="L94" s="296"/>
    </row>
    <row r="95" ht="15.75" customHeight="1">
      <c r="B95" s="296"/>
      <c r="C95" s="296"/>
      <c r="D95" s="296"/>
      <c r="E95" s="296"/>
      <c r="F95" s="296"/>
      <c r="G95" s="296"/>
      <c r="H95" s="296"/>
      <c r="I95" s="296"/>
      <c r="J95" s="296"/>
      <c r="K95" s="296"/>
      <c r="L95" s="296"/>
    </row>
    <row r="96" ht="15.75" customHeight="1">
      <c r="B96" s="296"/>
      <c r="C96" s="296"/>
      <c r="D96" s="296"/>
      <c r="E96" s="296"/>
      <c r="F96" s="296"/>
      <c r="G96" s="296"/>
      <c r="H96" s="296"/>
      <c r="I96" s="296"/>
      <c r="J96" s="296"/>
      <c r="K96" s="296"/>
      <c r="L96" s="296"/>
    </row>
    <row r="97" ht="15.75" customHeight="1">
      <c r="B97" s="296"/>
      <c r="C97" s="296"/>
      <c r="D97" s="296"/>
      <c r="E97" s="296"/>
      <c r="F97" s="296"/>
      <c r="G97" s="296"/>
      <c r="H97" s="296"/>
      <c r="I97" s="296"/>
      <c r="J97" s="296"/>
      <c r="K97" s="296"/>
      <c r="L97" s="296"/>
    </row>
    <row r="98" ht="15.75" customHeight="1">
      <c r="B98" s="296"/>
      <c r="C98" s="296"/>
      <c r="D98" s="296"/>
      <c r="E98" s="296"/>
      <c r="F98" s="296"/>
      <c r="G98" s="296"/>
      <c r="H98" s="296"/>
      <c r="I98" s="296"/>
      <c r="J98" s="296"/>
      <c r="K98" s="296"/>
      <c r="L98" s="296"/>
    </row>
    <row r="99" ht="15.75" customHeight="1">
      <c r="B99" s="296"/>
      <c r="C99" s="296"/>
      <c r="D99" s="296"/>
      <c r="E99" s="296"/>
      <c r="F99" s="296"/>
      <c r="G99" s="296"/>
      <c r="H99" s="296"/>
      <c r="I99" s="296"/>
      <c r="J99" s="296"/>
      <c r="K99" s="296"/>
      <c r="L99" s="296"/>
    </row>
    <row r="100" ht="15.75" customHeight="1">
      <c r="B100" s="296"/>
      <c r="C100" s="296"/>
      <c r="D100" s="296"/>
      <c r="E100" s="296"/>
      <c r="F100" s="296"/>
      <c r="G100" s="296"/>
      <c r="H100" s="296"/>
      <c r="I100" s="296"/>
      <c r="J100" s="296"/>
      <c r="K100" s="296"/>
      <c r="L100" s="296"/>
    </row>
    <row r="101" ht="15.75" customHeight="1">
      <c r="B101" s="296"/>
      <c r="C101" s="296"/>
      <c r="D101" s="296"/>
      <c r="E101" s="296"/>
      <c r="F101" s="296"/>
      <c r="G101" s="296"/>
      <c r="H101" s="296"/>
      <c r="I101" s="296"/>
      <c r="J101" s="296"/>
      <c r="K101" s="296"/>
      <c r="L101" s="296"/>
    </row>
    <row r="102" ht="15.75" customHeight="1">
      <c r="B102" s="296"/>
      <c r="C102" s="296"/>
      <c r="D102" s="296"/>
      <c r="E102" s="296"/>
      <c r="F102" s="296"/>
      <c r="G102" s="296"/>
      <c r="H102" s="296"/>
      <c r="I102" s="296"/>
      <c r="J102" s="296"/>
      <c r="K102" s="296"/>
      <c r="L102" s="296"/>
    </row>
    <row r="103" ht="15.75" customHeight="1">
      <c r="B103" s="296"/>
      <c r="C103" s="296"/>
      <c r="D103" s="296"/>
      <c r="E103" s="296"/>
      <c r="F103" s="296"/>
      <c r="G103" s="296"/>
      <c r="H103" s="296"/>
      <c r="I103" s="296"/>
      <c r="J103" s="296"/>
      <c r="K103" s="296"/>
      <c r="L103" s="296"/>
    </row>
    <row r="104" ht="15.75" customHeight="1">
      <c r="B104" s="296"/>
      <c r="C104" s="296"/>
      <c r="D104" s="296"/>
      <c r="E104" s="296"/>
      <c r="F104" s="296"/>
      <c r="G104" s="296"/>
      <c r="H104" s="296"/>
      <c r="I104" s="296"/>
      <c r="J104" s="296"/>
      <c r="K104" s="296"/>
      <c r="L104" s="296"/>
    </row>
    <row r="105" ht="15.75" customHeight="1">
      <c r="B105" s="296"/>
      <c r="C105" s="296"/>
      <c r="D105" s="296"/>
      <c r="E105" s="296"/>
      <c r="F105" s="296"/>
      <c r="G105" s="296"/>
      <c r="H105" s="296"/>
      <c r="I105" s="296"/>
      <c r="J105" s="296"/>
      <c r="K105" s="296"/>
      <c r="L105" s="296"/>
    </row>
    <row r="106" ht="15.75" customHeight="1">
      <c r="B106" s="296"/>
      <c r="C106" s="296"/>
      <c r="D106" s="296"/>
      <c r="E106" s="296"/>
      <c r="F106" s="296"/>
      <c r="G106" s="296"/>
      <c r="H106" s="296"/>
      <c r="I106" s="296"/>
      <c r="J106" s="296"/>
      <c r="K106" s="296"/>
      <c r="L106" s="296"/>
    </row>
    <row r="107" ht="15.75" customHeight="1">
      <c r="B107" s="296"/>
      <c r="C107" s="296"/>
      <c r="D107" s="296"/>
      <c r="E107" s="296"/>
      <c r="F107" s="296"/>
      <c r="G107" s="296"/>
      <c r="H107" s="296"/>
      <c r="I107" s="296"/>
      <c r="J107" s="296"/>
      <c r="K107" s="296"/>
      <c r="L107" s="296"/>
    </row>
    <row r="108" ht="15.75" customHeight="1">
      <c r="B108" s="296"/>
      <c r="C108" s="296"/>
      <c r="D108" s="296"/>
      <c r="E108" s="296"/>
      <c r="F108" s="296"/>
      <c r="G108" s="296"/>
      <c r="H108" s="296"/>
      <c r="I108" s="296"/>
      <c r="J108" s="296"/>
      <c r="K108" s="296"/>
      <c r="L108" s="296"/>
    </row>
    <row r="109" ht="15.75" customHeight="1">
      <c r="B109" s="296"/>
      <c r="C109" s="296"/>
      <c r="D109" s="296"/>
      <c r="E109" s="296"/>
      <c r="F109" s="296"/>
      <c r="G109" s="296"/>
      <c r="H109" s="296"/>
      <c r="I109" s="296"/>
      <c r="J109" s="296"/>
      <c r="K109" s="296"/>
      <c r="L109" s="296"/>
    </row>
    <row r="110" ht="15.75" customHeight="1">
      <c r="B110" s="296"/>
      <c r="C110" s="296"/>
      <c r="D110" s="296"/>
      <c r="E110" s="296"/>
      <c r="F110" s="296"/>
      <c r="G110" s="296"/>
      <c r="H110" s="296"/>
      <c r="I110" s="296"/>
      <c r="J110" s="296"/>
      <c r="K110" s="296"/>
      <c r="L110" s="296"/>
    </row>
    <row r="111" ht="15.75" customHeight="1">
      <c r="B111" s="296"/>
      <c r="C111" s="296"/>
      <c r="D111" s="296"/>
      <c r="E111" s="296"/>
      <c r="F111" s="296"/>
      <c r="G111" s="296"/>
      <c r="H111" s="296"/>
      <c r="I111" s="296"/>
      <c r="J111" s="296"/>
      <c r="K111" s="296"/>
      <c r="L111" s="296"/>
    </row>
    <row r="112" ht="15.75" customHeight="1">
      <c r="B112" s="296"/>
      <c r="C112" s="296"/>
      <c r="D112" s="296"/>
      <c r="E112" s="296"/>
      <c r="F112" s="296"/>
      <c r="G112" s="296"/>
      <c r="H112" s="296"/>
      <c r="I112" s="296"/>
      <c r="J112" s="296"/>
      <c r="K112" s="296"/>
      <c r="L112" s="296"/>
    </row>
    <row r="113" ht="15.75" customHeight="1">
      <c r="B113" s="296"/>
      <c r="C113" s="296"/>
      <c r="D113" s="296"/>
      <c r="E113" s="296"/>
      <c r="F113" s="296"/>
      <c r="G113" s="296"/>
      <c r="H113" s="296"/>
      <c r="I113" s="296"/>
      <c r="J113" s="296"/>
      <c r="K113" s="296"/>
      <c r="L113" s="296"/>
    </row>
    <row r="114" ht="15.75" customHeight="1">
      <c r="B114" s="296"/>
      <c r="C114" s="296"/>
      <c r="D114" s="296"/>
      <c r="E114" s="296"/>
      <c r="F114" s="296"/>
      <c r="G114" s="296"/>
      <c r="H114" s="296"/>
      <c r="I114" s="296"/>
      <c r="J114" s="296"/>
      <c r="K114" s="296"/>
      <c r="L114" s="296"/>
    </row>
    <row r="115" ht="15.75" customHeight="1">
      <c r="B115" s="296"/>
      <c r="C115" s="296"/>
      <c r="D115" s="296"/>
      <c r="E115" s="296"/>
      <c r="F115" s="296"/>
      <c r="G115" s="296"/>
      <c r="H115" s="296"/>
      <c r="I115" s="296"/>
      <c r="J115" s="296"/>
      <c r="K115" s="296"/>
      <c r="L115" s="296"/>
    </row>
    <row r="116" ht="15.75" customHeight="1">
      <c r="B116" s="296"/>
      <c r="C116" s="296"/>
      <c r="D116" s="296"/>
      <c r="E116" s="296"/>
      <c r="F116" s="296"/>
      <c r="G116" s="296"/>
      <c r="H116" s="296"/>
      <c r="I116" s="296"/>
      <c r="J116" s="296"/>
      <c r="K116" s="296"/>
      <c r="L116" s="296"/>
    </row>
    <row r="117" ht="15.75" customHeight="1">
      <c r="B117" s="296"/>
      <c r="C117" s="296"/>
      <c r="D117" s="296"/>
      <c r="E117" s="296"/>
      <c r="F117" s="296"/>
      <c r="G117" s="296"/>
      <c r="H117" s="296"/>
      <c r="I117" s="296"/>
      <c r="J117" s="296"/>
      <c r="K117" s="296"/>
      <c r="L117" s="296"/>
    </row>
    <row r="118" ht="15.75" customHeight="1">
      <c r="B118" s="296"/>
      <c r="C118" s="296"/>
      <c r="D118" s="296"/>
      <c r="E118" s="296"/>
      <c r="F118" s="296"/>
      <c r="G118" s="296"/>
      <c r="H118" s="296"/>
      <c r="I118" s="296"/>
      <c r="J118" s="296"/>
      <c r="K118" s="296"/>
      <c r="L118" s="296"/>
    </row>
    <row r="119" ht="15.75" customHeight="1">
      <c r="B119" s="296"/>
      <c r="C119" s="296"/>
      <c r="D119" s="296"/>
      <c r="E119" s="296"/>
      <c r="F119" s="296"/>
      <c r="G119" s="296"/>
      <c r="H119" s="296"/>
      <c r="I119" s="296"/>
      <c r="J119" s="296"/>
      <c r="K119" s="296"/>
      <c r="L119" s="296"/>
    </row>
    <row r="120" ht="15.75" customHeight="1">
      <c r="B120" s="296"/>
      <c r="C120" s="296"/>
      <c r="D120" s="296"/>
      <c r="E120" s="296"/>
      <c r="F120" s="296"/>
      <c r="G120" s="296"/>
      <c r="H120" s="296"/>
      <c r="I120" s="296"/>
      <c r="J120" s="296"/>
      <c r="K120" s="296"/>
      <c r="L120" s="296"/>
    </row>
    <row r="121" ht="15.75" customHeight="1">
      <c r="B121" s="296"/>
      <c r="C121" s="296"/>
      <c r="D121" s="296"/>
      <c r="E121" s="296"/>
      <c r="F121" s="296"/>
      <c r="G121" s="296"/>
      <c r="H121" s="296"/>
      <c r="I121" s="296"/>
      <c r="J121" s="296"/>
      <c r="K121" s="296"/>
      <c r="L121" s="296"/>
    </row>
    <row r="122" ht="15.75" customHeight="1">
      <c r="B122" s="296"/>
      <c r="C122" s="296"/>
      <c r="D122" s="296"/>
      <c r="E122" s="296"/>
      <c r="F122" s="296"/>
      <c r="G122" s="296"/>
      <c r="H122" s="296"/>
      <c r="I122" s="296"/>
      <c r="J122" s="296"/>
      <c r="K122" s="296"/>
      <c r="L122" s="296"/>
    </row>
    <row r="123" ht="15.75" customHeight="1">
      <c r="B123" s="296"/>
      <c r="C123" s="296"/>
      <c r="D123" s="296"/>
      <c r="E123" s="296"/>
      <c r="F123" s="296"/>
      <c r="G123" s="296"/>
      <c r="H123" s="296"/>
      <c r="I123" s="296"/>
      <c r="J123" s="296"/>
      <c r="K123" s="296"/>
      <c r="L123" s="296"/>
    </row>
    <row r="124" ht="15.75" customHeight="1">
      <c r="B124" s="296"/>
      <c r="C124" s="296"/>
      <c r="D124" s="296"/>
      <c r="E124" s="296"/>
      <c r="F124" s="296"/>
      <c r="G124" s="296"/>
      <c r="H124" s="296"/>
      <c r="I124" s="296"/>
      <c r="J124" s="296"/>
      <c r="K124" s="296"/>
      <c r="L124" s="296"/>
    </row>
    <row r="125" ht="15.75" customHeight="1">
      <c r="B125" s="296"/>
      <c r="C125" s="296"/>
      <c r="D125" s="296"/>
      <c r="E125" s="296"/>
      <c r="F125" s="296"/>
      <c r="G125" s="296"/>
      <c r="H125" s="296"/>
      <c r="I125" s="296"/>
      <c r="J125" s="296"/>
      <c r="K125" s="296"/>
      <c r="L125" s="296"/>
    </row>
    <row r="126" ht="15.75" customHeight="1">
      <c r="B126" s="296"/>
      <c r="C126" s="296"/>
      <c r="D126" s="296"/>
      <c r="E126" s="296"/>
      <c r="F126" s="296"/>
      <c r="G126" s="296"/>
      <c r="H126" s="296"/>
      <c r="I126" s="296"/>
      <c r="J126" s="296"/>
      <c r="K126" s="296"/>
      <c r="L126" s="296"/>
    </row>
    <row r="127" ht="15.75" customHeight="1">
      <c r="B127" s="296"/>
      <c r="C127" s="296"/>
      <c r="D127" s="296"/>
      <c r="E127" s="296"/>
      <c r="F127" s="296"/>
      <c r="G127" s="296"/>
      <c r="H127" s="296"/>
      <c r="I127" s="296"/>
      <c r="J127" s="296"/>
      <c r="K127" s="296"/>
      <c r="L127" s="296"/>
    </row>
    <row r="128" ht="15.75" customHeight="1">
      <c r="B128" s="296"/>
      <c r="C128" s="296"/>
      <c r="D128" s="296"/>
      <c r="E128" s="296"/>
      <c r="F128" s="296"/>
      <c r="G128" s="296"/>
      <c r="H128" s="296"/>
      <c r="I128" s="296"/>
      <c r="J128" s="296"/>
      <c r="K128" s="296"/>
      <c r="L128" s="296"/>
    </row>
    <row r="129" ht="15.75" customHeight="1">
      <c r="B129" s="296"/>
      <c r="C129" s="296"/>
      <c r="D129" s="296"/>
      <c r="E129" s="296"/>
      <c r="F129" s="296"/>
      <c r="G129" s="296"/>
      <c r="H129" s="296"/>
      <c r="I129" s="296"/>
      <c r="J129" s="296"/>
      <c r="K129" s="296"/>
      <c r="L129" s="296"/>
    </row>
    <row r="130" ht="15.75" customHeight="1">
      <c r="B130" s="296"/>
      <c r="C130" s="296"/>
      <c r="D130" s="296"/>
      <c r="E130" s="296"/>
      <c r="F130" s="296"/>
      <c r="G130" s="296"/>
      <c r="H130" s="296"/>
      <c r="I130" s="296"/>
      <c r="J130" s="296"/>
      <c r="K130" s="296"/>
      <c r="L130" s="296"/>
    </row>
    <row r="131" ht="15.75" customHeight="1">
      <c r="B131" s="296"/>
      <c r="C131" s="296"/>
      <c r="D131" s="296"/>
      <c r="E131" s="296"/>
      <c r="F131" s="296"/>
      <c r="G131" s="296"/>
      <c r="H131" s="296"/>
      <c r="I131" s="296"/>
      <c r="J131" s="296"/>
      <c r="K131" s="296"/>
      <c r="L131" s="296"/>
    </row>
    <row r="132" ht="15.75" customHeight="1">
      <c r="B132" s="296"/>
      <c r="C132" s="296"/>
      <c r="D132" s="296"/>
      <c r="E132" s="296"/>
      <c r="F132" s="296"/>
      <c r="G132" s="296"/>
      <c r="H132" s="296"/>
      <c r="I132" s="296"/>
      <c r="J132" s="296"/>
      <c r="K132" s="296"/>
      <c r="L132" s="296"/>
    </row>
    <row r="133" ht="15.75" customHeight="1">
      <c r="B133" s="296"/>
      <c r="C133" s="296"/>
      <c r="D133" s="296"/>
      <c r="E133" s="296"/>
      <c r="F133" s="296"/>
      <c r="G133" s="296"/>
      <c r="H133" s="296"/>
      <c r="I133" s="296"/>
      <c r="J133" s="296"/>
      <c r="K133" s="296"/>
      <c r="L133" s="296"/>
    </row>
    <row r="134" ht="15.75" customHeight="1">
      <c r="B134" s="296"/>
      <c r="C134" s="296"/>
      <c r="D134" s="296"/>
      <c r="E134" s="296"/>
      <c r="F134" s="296"/>
      <c r="G134" s="296"/>
      <c r="H134" s="296"/>
      <c r="I134" s="296"/>
      <c r="J134" s="296"/>
      <c r="K134" s="296"/>
      <c r="L134" s="296"/>
    </row>
    <row r="135" ht="15.75" customHeight="1">
      <c r="B135" s="296"/>
      <c r="C135" s="296"/>
      <c r="D135" s="296"/>
      <c r="E135" s="296"/>
      <c r="F135" s="296"/>
      <c r="G135" s="296"/>
      <c r="H135" s="296"/>
      <c r="I135" s="296"/>
      <c r="J135" s="296"/>
      <c r="K135" s="296"/>
      <c r="L135" s="296"/>
    </row>
    <row r="136" ht="15.75" customHeight="1">
      <c r="B136" s="296"/>
      <c r="C136" s="296"/>
      <c r="D136" s="296"/>
      <c r="E136" s="296"/>
      <c r="F136" s="296"/>
      <c r="G136" s="296"/>
      <c r="H136" s="296"/>
      <c r="I136" s="296"/>
      <c r="J136" s="296"/>
      <c r="K136" s="296"/>
      <c r="L136" s="296"/>
    </row>
    <row r="137" ht="15.75" customHeight="1">
      <c r="B137" s="296"/>
      <c r="C137" s="296"/>
      <c r="D137" s="296"/>
      <c r="E137" s="296"/>
      <c r="F137" s="296"/>
      <c r="G137" s="296"/>
      <c r="H137" s="296"/>
      <c r="I137" s="296"/>
      <c r="J137" s="296"/>
      <c r="K137" s="296"/>
      <c r="L137" s="296"/>
    </row>
    <row r="138" ht="15.75" customHeight="1">
      <c r="B138" s="296"/>
      <c r="C138" s="296"/>
      <c r="D138" s="296"/>
      <c r="E138" s="296"/>
      <c r="F138" s="296"/>
      <c r="G138" s="296"/>
      <c r="H138" s="296"/>
      <c r="I138" s="296"/>
      <c r="J138" s="296"/>
      <c r="K138" s="296"/>
      <c r="L138" s="296"/>
    </row>
    <row r="139" ht="15.75" customHeight="1">
      <c r="B139" s="296"/>
      <c r="C139" s="296"/>
      <c r="D139" s="296"/>
      <c r="E139" s="296"/>
      <c r="F139" s="296"/>
      <c r="G139" s="296"/>
      <c r="H139" s="296"/>
      <c r="I139" s="296"/>
      <c r="J139" s="296"/>
      <c r="K139" s="296"/>
      <c r="L139" s="296"/>
    </row>
    <row r="140" ht="15.75" customHeight="1">
      <c r="B140" s="296"/>
      <c r="C140" s="296"/>
      <c r="D140" s="296"/>
      <c r="E140" s="296"/>
      <c r="F140" s="296"/>
      <c r="G140" s="296"/>
      <c r="H140" s="296"/>
      <c r="I140" s="296"/>
      <c r="J140" s="296"/>
      <c r="K140" s="296"/>
      <c r="L140" s="296"/>
    </row>
    <row r="141" ht="15.75" customHeight="1">
      <c r="B141" s="296"/>
      <c r="C141" s="296"/>
      <c r="D141" s="296"/>
      <c r="E141" s="296"/>
      <c r="F141" s="296"/>
      <c r="G141" s="296"/>
      <c r="H141" s="296"/>
      <c r="I141" s="296"/>
      <c r="J141" s="296"/>
      <c r="K141" s="296"/>
      <c r="L141" s="296"/>
    </row>
    <row r="142" ht="15.75" customHeight="1">
      <c r="B142" s="296"/>
      <c r="C142" s="296"/>
      <c r="D142" s="296"/>
      <c r="E142" s="296"/>
      <c r="F142" s="296"/>
      <c r="G142" s="296"/>
      <c r="H142" s="296"/>
      <c r="I142" s="296"/>
      <c r="J142" s="296"/>
      <c r="K142" s="296"/>
      <c r="L142" s="296"/>
    </row>
    <row r="143" ht="15.75" customHeight="1">
      <c r="B143" s="296"/>
      <c r="C143" s="296"/>
      <c r="D143" s="296"/>
      <c r="E143" s="296"/>
      <c r="F143" s="296"/>
      <c r="G143" s="296"/>
      <c r="H143" s="296"/>
      <c r="I143" s="296"/>
      <c r="J143" s="296"/>
      <c r="K143" s="296"/>
      <c r="L143" s="296"/>
    </row>
    <row r="144" ht="15.75" customHeight="1">
      <c r="B144" s="296"/>
      <c r="C144" s="296"/>
      <c r="D144" s="296"/>
      <c r="E144" s="296"/>
      <c r="F144" s="296"/>
      <c r="G144" s="296"/>
      <c r="H144" s="296"/>
      <c r="I144" s="296"/>
      <c r="J144" s="296"/>
      <c r="K144" s="296"/>
      <c r="L144" s="296"/>
    </row>
    <row r="145" ht="15.75" customHeight="1">
      <c r="B145" s="296"/>
      <c r="C145" s="296"/>
      <c r="D145" s="296"/>
      <c r="E145" s="296"/>
      <c r="F145" s="296"/>
      <c r="G145" s="296"/>
      <c r="H145" s="296"/>
      <c r="I145" s="296"/>
      <c r="J145" s="296"/>
      <c r="K145" s="296"/>
      <c r="L145" s="296"/>
    </row>
    <row r="146" ht="15.75" customHeight="1">
      <c r="B146" s="296"/>
      <c r="C146" s="296"/>
      <c r="D146" s="296"/>
      <c r="E146" s="296"/>
      <c r="F146" s="296"/>
      <c r="G146" s="296"/>
      <c r="H146" s="296"/>
      <c r="I146" s="296"/>
      <c r="J146" s="296"/>
      <c r="K146" s="296"/>
      <c r="L146" s="296"/>
    </row>
    <row r="147" ht="15.75" customHeight="1">
      <c r="B147" s="296"/>
      <c r="C147" s="296"/>
      <c r="D147" s="296"/>
      <c r="E147" s="296"/>
      <c r="F147" s="296"/>
      <c r="G147" s="296"/>
      <c r="H147" s="296"/>
      <c r="I147" s="296"/>
      <c r="J147" s="296"/>
      <c r="K147" s="296"/>
      <c r="L147" s="296"/>
    </row>
    <row r="148" ht="15.75" customHeight="1">
      <c r="B148" s="296"/>
      <c r="C148" s="296"/>
      <c r="D148" s="296"/>
      <c r="E148" s="296"/>
      <c r="F148" s="296"/>
      <c r="G148" s="296"/>
      <c r="H148" s="296"/>
      <c r="I148" s="296"/>
      <c r="J148" s="296"/>
      <c r="K148" s="296"/>
      <c r="L148" s="296"/>
    </row>
    <row r="149" ht="15.75" customHeight="1">
      <c r="B149" s="296"/>
      <c r="C149" s="296"/>
      <c r="D149" s="296"/>
      <c r="E149" s="296"/>
      <c r="F149" s="296"/>
      <c r="G149" s="296"/>
      <c r="H149" s="296"/>
      <c r="I149" s="296"/>
      <c r="J149" s="296"/>
      <c r="K149" s="296"/>
      <c r="L149" s="296"/>
    </row>
    <row r="150" ht="15.75" customHeight="1">
      <c r="B150" s="296"/>
      <c r="C150" s="296"/>
      <c r="D150" s="296"/>
      <c r="E150" s="296"/>
      <c r="F150" s="296"/>
      <c r="G150" s="296"/>
      <c r="H150" s="296"/>
      <c r="I150" s="296"/>
      <c r="J150" s="296"/>
      <c r="K150" s="296"/>
      <c r="L150" s="296"/>
    </row>
    <row r="151" ht="15.75" customHeight="1">
      <c r="B151" s="296"/>
      <c r="C151" s="296"/>
      <c r="D151" s="296"/>
      <c r="E151" s="296"/>
      <c r="F151" s="296"/>
      <c r="G151" s="296"/>
      <c r="H151" s="296"/>
      <c r="I151" s="296"/>
      <c r="J151" s="296"/>
      <c r="K151" s="296"/>
      <c r="L151" s="296"/>
    </row>
    <row r="152" ht="15.75" customHeight="1">
      <c r="B152" s="296"/>
      <c r="C152" s="296"/>
      <c r="D152" s="296"/>
      <c r="E152" s="296"/>
      <c r="F152" s="296"/>
      <c r="G152" s="296"/>
      <c r="H152" s="296"/>
      <c r="I152" s="296"/>
      <c r="J152" s="296"/>
      <c r="K152" s="296"/>
      <c r="L152" s="296"/>
    </row>
    <row r="153" ht="15.75" customHeight="1">
      <c r="B153" s="296"/>
      <c r="C153" s="296"/>
      <c r="D153" s="296"/>
      <c r="E153" s="296"/>
      <c r="F153" s="296"/>
      <c r="G153" s="296"/>
      <c r="H153" s="296"/>
      <c r="I153" s="296"/>
      <c r="J153" s="296"/>
      <c r="K153" s="296"/>
      <c r="L153" s="296"/>
    </row>
    <row r="154" ht="15.75" customHeight="1">
      <c r="B154" s="296"/>
      <c r="C154" s="296"/>
      <c r="D154" s="296"/>
      <c r="E154" s="296"/>
      <c r="F154" s="296"/>
      <c r="G154" s="296"/>
      <c r="H154" s="296"/>
      <c r="I154" s="296"/>
      <c r="J154" s="296"/>
      <c r="K154" s="296"/>
      <c r="L154" s="296"/>
    </row>
    <row r="155" ht="15.75" customHeight="1">
      <c r="B155" s="296"/>
      <c r="C155" s="296"/>
      <c r="D155" s="296"/>
      <c r="E155" s="296"/>
      <c r="F155" s="296"/>
      <c r="G155" s="296"/>
      <c r="H155" s="296"/>
      <c r="I155" s="296"/>
      <c r="J155" s="296"/>
      <c r="K155" s="296"/>
      <c r="L155" s="296"/>
    </row>
    <row r="156" ht="15.75" customHeight="1">
      <c r="B156" s="296"/>
      <c r="C156" s="296"/>
      <c r="D156" s="296"/>
      <c r="E156" s="296"/>
      <c r="F156" s="296"/>
      <c r="G156" s="296"/>
      <c r="H156" s="296"/>
      <c r="I156" s="296"/>
      <c r="J156" s="296"/>
      <c r="K156" s="296"/>
      <c r="L156" s="296"/>
    </row>
    <row r="157" ht="15.75" customHeight="1">
      <c r="B157" s="296"/>
      <c r="C157" s="296"/>
      <c r="D157" s="296"/>
      <c r="E157" s="296"/>
      <c r="F157" s="296"/>
      <c r="G157" s="296"/>
      <c r="H157" s="296"/>
      <c r="I157" s="296"/>
      <c r="J157" s="296"/>
      <c r="K157" s="296"/>
      <c r="L157" s="296"/>
    </row>
    <row r="158" ht="15.75" customHeight="1">
      <c r="B158" s="296"/>
      <c r="C158" s="296"/>
      <c r="D158" s="296"/>
      <c r="E158" s="296"/>
      <c r="F158" s="296"/>
      <c r="G158" s="296"/>
      <c r="H158" s="296"/>
      <c r="I158" s="296"/>
      <c r="J158" s="296"/>
      <c r="K158" s="296"/>
      <c r="L158" s="296"/>
    </row>
    <row r="159" ht="15.75" customHeight="1">
      <c r="B159" s="296"/>
      <c r="C159" s="296"/>
      <c r="D159" s="296"/>
      <c r="E159" s="296"/>
      <c r="F159" s="296"/>
      <c r="G159" s="296"/>
      <c r="H159" s="296"/>
      <c r="I159" s="296"/>
      <c r="J159" s="296"/>
      <c r="K159" s="296"/>
      <c r="L159" s="296"/>
    </row>
    <row r="160" ht="15.75" customHeight="1">
      <c r="B160" s="296"/>
      <c r="C160" s="296"/>
      <c r="D160" s="296"/>
      <c r="E160" s="296"/>
      <c r="F160" s="296"/>
      <c r="G160" s="296"/>
      <c r="H160" s="296"/>
      <c r="I160" s="296"/>
      <c r="J160" s="296"/>
      <c r="K160" s="296"/>
      <c r="L160" s="296"/>
    </row>
    <row r="161" ht="15.75" customHeight="1">
      <c r="B161" s="296"/>
      <c r="C161" s="296"/>
      <c r="D161" s="296"/>
      <c r="E161" s="296"/>
      <c r="F161" s="296"/>
      <c r="G161" s="296"/>
      <c r="H161" s="296"/>
      <c r="I161" s="296"/>
      <c r="J161" s="296"/>
      <c r="K161" s="296"/>
      <c r="L161" s="296"/>
    </row>
    <row r="162" ht="15.75" customHeight="1">
      <c r="B162" s="296"/>
      <c r="C162" s="296"/>
      <c r="D162" s="296"/>
      <c r="E162" s="296"/>
      <c r="F162" s="296"/>
      <c r="G162" s="296"/>
      <c r="H162" s="296"/>
      <c r="I162" s="296"/>
      <c r="J162" s="296"/>
      <c r="K162" s="296"/>
      <c r="L162" s="296"/>
    </row>
    <row r="163" ht="15.75" customHeight="1">
      <c r="B163" s="296"/>
      <c r="C163" s="296"/>
      <c r="D163" s="296"/>
      <c r="E163" s="296"/>
      <c r="F163" s="296"/>
      <c r="G163" s="296"/>
      <c r="H163" s="296"/>
      <c r="I163" s="296"/>
      <c r="J163" s="296"/>
      <c r="K163" s="296"/>
      <c r="L163" s="296"/>
    </row>
    <row r="164" ht="15.75" customHeight="1">
      <c r="B164" s="296"/>
      <c r="C164" s="296"/>
      <c r="D164" s="296"/>
      <c r="E164" s="296"/>
      <c r="F164" s="296"/>
      <c r="G164" s="296"/>
      <c r="H164" s="296"/>
      <c r="I164" s="296"/>
      <c r="J164" s="296"/>
      <c r="K164" s="296"/>
      <c r="L164" s="296"/>
    </row>
    <row r="165" ht="15.75" customHeight="1">
      <c r="B165" s="296"/>
      <c r="C165" s="296"/>
      <c r="D165" s="296"/>
      <c r="E165" s="296"/>
      <c r="F165" s="296"/>
      <c r="G165" s="296"/>
      <c r="H165" s="296"/>
      <c r="I165" s="296"/>
      <c r="J165" s="296"/>
      <c r="K165" s="296"/>
      <c r="L165" s="296"/>
    </row>
    <row r="166" ht="15.75" customHeight="1">
      <c r="B166" s="296"/>
      <c r="C166" s="296"/>
      <c r="D166" s="296"/>
      <c r="E166" s="296"/>
      <c r="F166" s="296"/>
      <c r="G166" s="296"/>
      <c r="H166" s="296"/>
      <c r="I166" s="296"/>
      <c r="J166" s="296"/>
      <c r="K166" s="296"/>
      <c r="L166" s="296"/>
    </row>
    <row r="167" ht="15.75" customHeight="1">
      <c r="B167" s="296"/>
      <c r="C167" s="296"/>
      <c r="D167" s="296"/>
      <c r="E167" s="296"/>
      <c r="F167" s="296"/>
      <c r="G167" s="296"/>
      <c r="H167" s="296"/>
      <c r="I167" s="296"/>
      <c r="J167" s="296"/>
      <c r="K167" s="296"/>
      <c r="L167" s="296"/>
    </row>
    <row r="168" ht="15.75" customHeight="1">
      <c r="B168" s="296"/>
      <c r="C168" s="296"/>
      <c r="D168" s="296"/>
      <c r="E168" s="296"/>
      <c r="F168" s="296"/>
      <c r="G168" s="296"/>
      <c r="H168" s="296"/>
      <c r="I168" s="296"/>
      <c r="J168" s="296"/>
      <c r="K168" s="296"/>
      <c r="L168" s="296"/>
    </row>
    <row r="169" ht="15.75" customHeight="1">
      <c r="B169" s="296"/>
      <c r="C169" s="296"/>
      <c r="D169" s="296"/>
      <c r="E169" s="296"/>
      <c r="F169" s="296"/>
      <c r="G169" s="296"/>
      <c r="H169" s="296"/>
      <c r="I169" s="296"/>
      <c r="J169" s="296"/>
      <c r="K169" s="296"/>
      <c r="L169" s="296"/>
    </row>
    <row r="170" ht="15.75" customHeight="1">
      <c r="B170" s="296"/>
      <c r="C170" s="296"/>
      <c r="D170" s="296"/>
      <c r="E170" s="296"/>
      <c r="F170" s="296"/>
      <c r="G170" s="296"/>
      <c r="H170" s="296"/>
      <c r="I170" s="296"/>
      <c r="J170" s="296"/>
      <c r="K170" s="296"/>
      <c r="L170" s="296"/>
    </row>
    <row r="171" ht="15.75" customHeight="1">
      <c r="B171" s="296"/>
      <c r="C171" s="296"/>
      <c r="D171" s="296"/>
      <c r="E171" s="296"/>
      <c r="F171" s="296"/>
      <c r="G171" s="296"/>
      <c r="H171" s="296"/>
      <c r="I171" s="296"/>
      <c r="J171" s="296"/>
      <c r="K171" s="296"/>
      <c r="L171" s="296"/>
    </row>
    <row r="172" ht="15.75" customHeight="1">
      <c r="B172" s="296"/>
      <c r="C172" s="296"/>
      <c r="D172" s="296"/>
      <c r="E172" s="296"/>
      <c r="F172" s="296"/>
      <c r="G172" s="296"/>
      <c r="H172" s="296"/>
      <c r="I172" s="296"/>
      <c r="J172" s="296"/>
      <c r="K172" s="296"/>
      <c r="L172" s="296"/>
    </row>
    <row r="173" ht="15.75" customHeight="1">
      <c r="B173" s="296"/>
      <c r="C173" s="296"/>
      <c r="D173" s="296"/>
      <c r="E173" s="296"/>
      <c r="F173" s="296"/>
      <c r="G173" s="296"/>
      <c r="H173" s="296"/>
      <c r="I173" s="296"/>
      <c r="J173" s="296"/>
      <c r="K173" s="296"/>
      <c r="L173" s="296"/>
    </row>
    <row r="174" ht="15.75" customHeight="1">
      <c r="B174" s="296"/>
      <c r="C174" s="296"/>
      <c r="D174" s="296"/>
      <c r="E174" s="296"/>
      <c r="F174" s="296"/>
      <c r="G174" s="296"/>
      <c r="H174" s="296"/>
      <c r="I174" s="296"/>
      <c r="J174" s="296"/>
      <c r="K174" s="296"/>
      <c r="L174" s="296"/>
    </row>
    <row r="175" ht="15.75" customHeight="1">
      <c r="B175" s="296"/>
      <c r="C175" s="296"/>
      <c r="D175" s="296"/>
      <c r="E175" s="296"/>
      <c r="F175" s="296"/>
      <c r="G175" s="296"/>
      <c r="H175" s="296"/>
      <c r="I175" s="296"/>
      <c r="J175" s="296"/>
      <c r="K175" s="296"/>
      <c r="L175" s="296"/>
    </row>
    <row r="176" ht="15.75" customHeight="1">
      <c r="B176" s="296"/>
      <c r="C176" s="296"/>
      <c r="D176" s="296"/>
      <c r="E176" s="296"/>
      <c r="F176" s="296"/>
      <c r="G176" s="296"/>
      <c r="H176" s="296"/>
      <c r="I176" s="296"/>
      <c r="J176" s="296"/>
      <c r="K176" s="296"/>
      <c r="L176" s="296"/>
    </row>
    <row r="177" ht="15.75" customHeight="1">
      <c r="B177" s="296"/>
      <c r="C177" s="296"/>
      <c r="D177" s="296"/>
      <c r="E177" s="296"/>
      <c r="F177" s="296"/>
      <c r="G177" s="296"/>
      <c r="H177" s="296"/>
      <c r="I177" s="296"/>
      <c r="J177" s="296"/>
      <c r="K177" s="296"/>
      <c r="L177" s="296"/>
    </row>
    <row r="178" ht="15.75" customHeight="1">
      <c r="B178" s="296"/>
      <c r="C178" s="296"/>
      <c r="D178" s="296"/>
      <c r="E178" s="296"/>
      <c r="F178" s="296"/>
      <c r="G178" s="296"/>
      <c r="H178" s="296"/>
      <c r="I178" s="296"/>
      <c r="J178" s="296"/>
      <c r="K178" s="296"/>
      <c r="L178" s="296"/>
    </row>
    <row r="179" ht="15.75" customHeight="1">
      <c r="B179" s="296"/>
      <c r="C179" s="296"/>
      <c r="D179" s="296"/>
      <c r="E179" s="296"/>
      <c r="F179" s="296"/>
      <c r="G179" s="296"/>
      <c r="H179" s="296"/>
      <c r="I179" s="296"/>
      <c r="J179" s="296"/>
      <c r="K179" s="296"/>
      <c r="L179" s="296"/>
    </row>
    <row r="180" ht="15.75" customHeight="1">
      <c r="B180" s="296"/>
      <c r="C180" s="296"/>
      <c r="D180" s="296"/>
      <c r="E180" s="296"/>
      <c r="F180" s="296"/>
      <c r="G180" s="296"/>
      <c r="H180" s="296"/>
      <c r="I180" s="296"/>
      <c r="J180" s="296"/>
      <c r="K180" s="296"/>
      <c r="L180" s="296"/>
    </row>
    <row r="181" ht="15.75" customHeight="1">
      <c r="B181" s="296"/>
      <c r="C181" s="296"/>
      <c r="D181" s="296"/>
      <c r="E181" s="296"/>
      <c r="F181" s="296"/>
      <c r="G181" s="296"/>
      <c r="H181" s="296"/>
      <c r="I181" s="296"/>
      <c r="J181" s="296"/>
      <c r="K181" s="296"/>
      <c r="L181" s="296"/>
    </row>
    <row r="182" ht="15.75" customHeight="1">
      <c r="B182" s="296"/>
      <c r="C182" s="296"/>
      <c r="D182" s="296"/>
      <c r="E182" s="296"/>
      <c r="F182" s="296"/>
      <c r="G182" s="296"/>
      <c r="H182" s="296"/>
      <c r="I182" s="296"/>
      <c r="J182" s="296"/>
      <c r="K182" s="296"/>
      <c r="L182" s="296"/>
    </row>
    <row r="183" ht="15.75" customHeight="1">
      <c r="B183" s="296"/>
      <c r="C183" s="296"/>
      <c r="D183" s="296"/>
      <c r="E183" s="296"/>
      <c r="F183" s="296"/>
      <c r="G183" s="296"/>
      <c r="H183" s="296"/>
      <c r="I183" s="296"/>
      <c r="J183" s="296"/>
      <c r="K183" s="296"/>
      <c r="L183" s="296"/>
    </row>
    <row r="184" ht="15.75" customHeight="1">
      <c r="B184" s="296"/>
      <c r="C184" s="296"/>
      <c r="D184" s="296"/>
      <c r="E184" s="296"/>
      <c r="F184" s="296"/>
      <c r="G184" s="296"/>
      <c r="H184" s="296"/>
      <c r="I184" s="296"/>
      <c r="J184" s="296"/>
      <c r="K184" s="296"/>
      <c r="L184" s="296"/>
    </row>
    <row r="185" ht="15.75" customHeight="1">
      <c r="B185" s="296"/>
      <c r="C185" s="296"/>
      <c r="D185" s="296"/>
      <c r="E185" s="296"/>
      <c r="F185" s="296"/>
      <c r="G185" s="296"/>
      <c r="H185" s="296"/>
      <c r="I185" s="296"/>
      <c r="J185" s="296"/>
      <c r="K185" s="296"/>
      <c r="L185" s="296"/>
    </row>
    <row r="186" ht="15.75" customHeight="1">
      <c r="B186" s="296"/>
      <c r="C186" s="296"/>
      <c r="D186" s="296"/>
      <c r="E186" s="296"/>
      <c r="F186" s="296"/>
      <c r="G186" s="296"/>
      <c r="H186" s="296"/>
      <c r="I186" s="296"/>
      <c r="J186" s="296"/>
      <c r="K186" s="296"/>
      <c r="L186" s="296"/>
    </row>
    <row r="187" ht="15.75" customHeight="1">
      <c r="B187" s="296"/>
      <c r="C187" s="296"/>
      <c r="D187" s="296"/>
      <c r="E187" s="296"/>
      <c r="F187" s="296"/>
      <c r="G187" s="296"/>
      <c r="H187" s="296"/>
      <c r="I187" s="296"/>
      <c r="J187" s="296"/>
      <c r="K187" s="296"/>
      <c r="L187" s="296"/>
    </row>
    <row r="188" ht="15.75" customHeight="1">
      <c r="B188" s="296"/>
      <c r="C188" s="296"/>
      <c r="D188" s="296"/>
      <c r="E188" s="296"/>
      <c r="F188" s="296"/>
      <c r="G188" s="296"/>
      <c r="H188" s="296"/>
      <c r="I188" s="296"/>
      <c r="J188" s="296"/>
      <c r="K188" s="296"/>
      <c r="L188" s="296"/>
    </row>
    <row r="189" ht="15.75" customHeight="1">
      <c r="B189" s="296"/>
      <c r="C189" s="296"/>
      <c r="D189" s="296"/>
      <c r="E189" s="296"/>
      <c r="F189" s="296"/>
      <c r="G189" s="296"/>
      <c r="H189" s="296"/>
      <c r="I189" s="296"/>
      <c r="J189" s="296"/>
      <c r="K189" s="296"/>
      <c r="L189" s="296"/>
    </row>
    <row r="190" ht="15.75" customHeight="1">
      <c r="B190" s="296"/>
      <c r="C190" s="296"/>
      <c r="D190" s="296"/>
      <c r="E190" s="296"/>
      <c r="F190" s="296"/>
      <c r="G190" s="296"/>
      <c r="H190" s="296"/>
      <c r="I190" s="296"/>
      <c r="J190" s="296"/>
      <c r="K190" s="296"/>
      <c r="L190" s="296"/>
    </row>
    <row r="191" ht="15.75" customHeight="1">
      <c r="B191" s="296"/>
      <c r="C191" s="296"/>
      <c r="D191" s="296"/>
      <c r="E191" s="296"/>
      <c r="F191" s="296"/>
      <c r="G191" s="296"/>
      <c r="H191" s="296"/>
      <c r="I191" s="296"/>
      <c r="J191" s="296"/>
      <c r="K191" s="296"/>
      <c r="L191" s="296"/>
    </row>
    <row r="192" ht="15.75" customHeight="1">
      <c r="B192" s="296"/>
      <c r="C192" s="296"/>
      <c r="D192" s="296"/>
      <c r="E192" s="296"/>
      <c r="F192" s="296"/>
      <c r="G192" s="296"/>
      <c r="H192" s="296"/>
      <c r="I192" s="296"/>
      <c r="J192" s="296"/>
      <c r="K192" s="296"/>
      <c r="L192" s="296"/>
    </row>
    <row r="193" ht="15.75" customHeight="1">
      <c r="B193" s="296"/>
      <c r="C193" s="296"/>
      <c r="D193" s="296"/>
      <c r="E193" s="296"/>
      <c r="F193" s="296"/>
      <c r="G193" s="296"/>
      <c r="H193" s="296"/>
      <c r="I193" s="296"/>
      <c r="J193" s="296"/>
      <c r="K193" s="296"/>
      <c r="L193" s="296"/>
    </row>
    <row r="194" ht="15.75" customHeight="1">
      <c r="B194" s="296"/>
      <c r="C194" s="296"/>
      <c r="D194" s="296"/>
      <c r="E194" s="296"/>
      <c r="F194" s="296"/>
      <c r="G194" s="296"/>
      <c r="H194" s="296"/>
      <c r="I194" s="296"/>
      <c r="J194" s="296"/>
      <c r="K194" s="296"/>
      <c r="L194" s="296"/>
    </row>
    <row r="195" ht="15.75" customHeight="1">
      <c r="B195" s="296"/>
      <c r="C195" s="296"/>
      <c r="D195" s="296"/>
      <c r="E195" s="296"/>
      <c r="F195" s="296"/>
      <c r="G195" s="296"/>
      <c r="H195" s="296"/>
      <c r="I195" s="296"/>
      <c r="J195" s="296"/>
      <c r="K195" s="296"/>
      <c r="L195" s="296"/>
    </row>
    <row r="196" ht="15.75" customHeight="1">
      <c r="B196" s="296"/>
      <c r="C196" s="296"/>
      <c r="D196" s="296"/>
      <c r="E196" s="296"/>
      <c r="F196" s="296"/>
      <c r="G196" s="296"/>
      <c r="H196" s="296"/>
      <c r="I196" s="296"/>
      <c r="J196" s="296"/>
      <c r="K196" s="296"/>
      <c r="L196" s="296"/>
    </row>
    <row r="197" ht="15.75" customHeight="1">
      <c r="B197" s="296"/>
      <c r="C197" s="296"/>
      <c r="D197" s="296"/>
      <c r="E197" s="296"/>
      <c r="F197" s="296"/>
      <c r="G197" s="296"/>
      <c r="H197" s="296"/>
      <c r="I197" s="296"/>
      <c r="J197" s="296"/>
      <c r="K197" s="296"/>
      <c r="L197" s="296"/>
    </row>
    <row r="198" ht="15.75" customHeight="1">
      <c r="B198" s="296"/>
      <c r="C198" s="296"/>
      <c r="D198" s="296"/>
      <c r="E198" s="296"/>
      <c r="F198" s="296"/>
      <c r="G198" s="296"/>
      <c r="H198" s="296"/>
      <c r="I198" s="296"/>
      <c r="J198" s="296"/>
      <c r="K198" s="296"/>
      <c r="L198" s="296"/>
    </row>
    <row r="199" ht="15.75" customHeight="1">
      <c r="B199" s="296"/>
      <c r="C199" s="296"/>
      <c r="D199" s="296"/>
      <c r="E199" s="296"/>
      <c r="F199" s="296"/>
      <c r="G199" s="296"/>
      <c r="H199" s="296"/>
      <c r="I199" s="296"/>
      <c r="J199" s="296"/>
      <c r="K199" s="296"/>
      <c r="L199" s="296"/>
    </row>
    <row r="200" ht="15.75" customHeight="1">
      <c r="B200" s="296"/>
      <c r="C200" s="296"/>
      <c r="D200" s="296"/>
      <c r="E200" s="296"/>
      <c r="F200" s="296"/>
      <c r="G200" s="296"/>
      <c r="H200" s="296"/>
      <c r="I200" s="296"/>
      <c r="J200" s="296"/>
      <c r="K200" s="296"/>
      <c r="L200" s="296"/>
    </row>
    <row r="201" ht="15.75" customHeight="1">
      <c r="B201" s="296"/>
      <c r="C201" s="296"/>
      <c r="D201" s="296"/>
      <c r="E201" s="296"/>
      <c r="F201" s="296"/>
      <c r="G201" s="296"/>
      <c r="H201" s="296"/>
      <c r="I201" s="296"/>
      <c r="J201" s="296"/>
      <c r="K201" s="296"/>
      <c r="L201" s="296"/>
    </row>
    <row r="202" ht="15.75" customHeight="1">
      <c r="B202" s="296"/>
      <c r="C202" s="296"/>
      <c r="D202" s="296"/>
      <c r="E202" s="296"/>
      <c r="F202" s="296"/>
      <c r="G202" s="296"/>
      <c r="H202" s="296"/>
      <c r="I202" s="296"/>
      <c r="J202" s="296"/>
      <c r="K202" s="296"/>
      <c r="L202" s="296"/>
    </row>
    <row r="203" ht="15.75" customHeight="1">
      <c r="B203" s="296"/>
      <c r="C203" s="296"/>
      <c r="D203" s="296"/>
      <c r="E203" s="296"/>
      <c r="F203" s="296"/>
      <c r="G203" s="296"/>
      <c r="H203" s="296"/>
      <c r="I203" s="296"/>
      <c r="J203" s="296"/>
      <c r="K203" s="296"/>
      <c r="L203" s="296"/>
    </row>
    <row r="204" ht="15.75" customHeight="1">
      <c r="B204" s="296"/>
      <c r="C204" s="296"/>
      <c r="D204" s="296"/>
      <c r="E204" s="296"/>
      <c r="F204" s="296"/>
      <c r="G204" s="296"/>
      <c r="H204" s="296"/>
      <c r="I204" s="296"/>
      <c r="J204" s="296"/>
      <c r="K204" s="296"/>
      <c r="L204" s="296"/>
    </row>
    <row r="205" ht="15.75" customHeight="1">
      <c r="B205" s="296"/>
      <c r="C205" s="296"/>
      <c r="D205" s="296"/>
      <c r="E205" s="296"/>
      <c r="F205" s="296"/>
      <c r="G205" s="296"/>
      <c r="H205" s="296"/>
      <c r="I205" s="296"/>
      <c r="J205" s="296"/>
      <c r="K205" s="296"/>
      <c r="L205" s="296"/>
    </row>
    <row r="206" ht="15.75" customHeight="1">
      <c r="B206" s="296"/>
      <c r="C206" s="296"/>
      <c r="D206" s="296"/>
      <c r="E206" s="296"/>
      <c r="F206" s="296"/>
      <c r="G206" s="296"/>
      <c r="H206" s="296"/>
      <c r="I206" s="296"/>
      <c r="J206" s="296"/>
      <c r="K206" s="296"/>
      <c r="L206" s="296"/>
    </row>
    <row r="207" ht="15.75" customHeight="1">
      <c r="B207" s="296"/>
      <c r="C207" s="296"/>
      <c r="D207" s="296"/>
      <c r="E207" s="296"/>
      <c r="F207" s="296"/>
      <c r="G207" s="296"/>
      <c r="H207" s="296"/>
      <c r="I207" s="296"/>
      <c r="J207" s="296"/>
      <c r="K207" s="296"/>
      <c r="L207" s="296"/>
    </row>
    <row r="208" ht="15.75" customHeight="1">
      <c r="B208" s="296"/>
      <c r="C208" s="296"/>
      <c r="D208" s="296"/>
      <c r="E208" s="296"/>
      <c r="F208" s="296"/>
      <c r="G208" s="296"/>
      <c r="H208" s="296"/>
      <c r="I208" s="296"/>
      <c r="J208" s="296"/>
      <c r="K208" s="296"/>
      <c r="L208" s="296"/>
    </row>
    <row r="209" ht="15.75" customHeight="1">
      <c r="B209" s="296"/>
      <c r="C209" s="296"/>
      <c r="D209" s="296"/>
      <c r="E209" s="296"/>
      <c r="F209" s="296"/>
      <c r="G209" s="296"/>
      <c r="H209" s="296"/>
      <c r="I209" s="296"/>
      <c r="J209" s="296"/>
      <c r="K209" s="296"/>
      <c r="L209" s="296"/>
    </row>
    <row r="210" ht="15.75" customHeight="1">
      <c r="B210" s="296"/>
      <c r="C210" s="296"/>
      <c r="D210" s="296"/>
      <c r="E210" s="296"/>
      <c r="F210" s="296"/>
      <c r="G210" s="296"/>
      <c r="H210" s="296"/>
      <c r="I210" s="296"/>
      <c r="J210" s="296"/>
      <c r="K210" s="296"/>
      <c r="L210" s="296"/>
    </row>
    <row r="211" ht="15.75" customHeight="1">
      <c r="B211" s="296"/>
      <c r="C211" s="296"/>
      <c r="D211" s="296"/>
      <c r="E211" s="296"/>
      <c r="F211" s="296"/>
      <c r="G211" s="296"/>
      <c r="H211" s="296"/>
      <c r="I211" s="296"/>
      <c r="J211" s="296"/>
      <c r="K211" s="296"/>
      <c r="L211" s="296"/>
    </row>
    <row r="212" ht="15.75" customHeight="1">
      <c r="B212" s="296"/>
      <c r="C212" s="296"/>
      <c r="D212" s="296"/>
      <c r="E212" s="296"/>
      <c r="F212" s="296"/>
      <c r="G212" s="296"/>
      <c r="H212" s="296"/>
      <c r="I212" s="296"/>
      <c r="J212" s="296"/>
      <c r="K212" s="296"/>
      <c r="L212" s="296"/>
    </row>
    <row r="213" ht="15.75" customHeight="1">
      <c r="B213" s="296"/>
      <c r="C213" s="296"/>
      <c r="D213" s="296"/>
      <c r="E213" s="296"/>
      <c r="F213" s="296"/>
      <c r="G213" s="296"/>
      <c r="H213" s="296"/>
      <c r="I213" s="296"/>
      <c r="J213" s="296"/>
      <c r="K213" s="296"/>
      <c r="L213" s="296"/>
    </row>
    <row r="214" ht="15.75" customHeight="1">
      <c r="B214" s="296"/>
      <c r="C214" s="296"/>
      <c r="D214" s="296"/>
      <c r="E214" s="296"/>
      <c r="F214" s="296"/>
      <c r="G214" s="296"/>
      <c r="H214" s="296"/>
      <c r="I214" s="296"/>
      <c r="J214" s="296"/>
      <c r="K214" s="296"/>
      <c r="L214" s="296"/>
    </row>
    <row r="215" ht="15.75" customHeight="1">
      <c r="B215" s="296"/>
      <c r="C215" s="296"/>
      <c r="D215" s="296"/>
      <c r="E215" s="296"/>
      <c r="F215" s="296"/>
      <c r="G215" s="296"/>
      <c r="H215" s="296"/>
      <c r="I215" s="296"/>
      <c r="J215" s="296"/>
      <c r="K215" s="296"/>
      <c r="L215" s="296"/>
    </row>
    <row r="216" ht="15.75" customHeight="1">
      <c r="B216" s="296"/>
      <c r="C216" s="296"/>
      <c r="D216" s="296"/>
      <c r="E216" s="296"/>
      <c r="F216" s="296"/>
      <c r="G216" s="296"/>
      <c r="H216" s="296"/>
      <c r="I216" s="296"/>
      <c r="J216" s="296"/>
      <c r="K216" s="296"/>
      <c r="L216" s="296"/>
    </row>
    <row r="217" ht="15.75" customHeight="1">
      <c r="B217" s="296"/>
      <c r="C217" s="296"/>
      <c r="D217" s="296"/>
      <c r="E217" s="296"/>
      <c r="F217" s="296"/>
      <c r="G217" s="296"/>
      <c r="H217" s="296"/>
      <c r="I217" s="296"/>
      <c r="J217" s="296"/>
      <c r="K217" s="296"/>
      <c r="L217" s="296"/>
    </row>
    <row r="218" ht="15.75" customHeight="1">
      <c r="B218" s="296"/>
      <c r="C218" s="296"/>
      <c r="D218" s="296"/>
      <c r="E218" s="296"/>
      <c r="F218" s="296"/>
      <c r="G218" s="296"/>
      <c r="H218" s="296"/>
      <c r="I218" s="296"/>
      <c r="J218" s="296"/>
      <c r="K218" s="296"/>
      <c r="L218" s="296"/>
    </row>
    <row r="219" ht="15.75" customHeight="1">
      <c r="B219" s="296"/>
      <c r="C219" s="296"/>
      <c r="D219" s="296"/>
      <c r="E219" s="296"/>
      <c r="F219" s="296"/>
      <c r="G219" s="296"/>
      <c r="H219" s="296"/>
      <c r="I219" s="296"/>
      <c r="J219" s="296"/>
      <c r="K219" s="296"/>
      <c r="L219" s="296"/>
    </row>
    <row r="220" ht="15.75" customHeight="1">
      <c r="B220" s="296"/>
      <c r="C220" s="296"/>
      <c r="D220" s="296"/>
      <c r="E220" s="296"/>
      <c r="F220" s="296"/>
      <c r="G220" s="296"/>
      <c r="H220" s="296"/>
      <c r="I220" s="296"/>
      <c r="J220" s="296"/>
      <c r="K220" s="296"/>
      <c r="L220" s="296"/>
    </row>
    <row r="221" ht="15.75" customHeight="1">
      <c r="B221" s="296"/>
      <c r="C221" s="296"/>
      <c r="D221" s="296"/>
      <c r="E221" s="296"/>
      <c r="F221" s="296"/>
      <c r="G221" s="296"/>
      <c r="H221" s="296"/>
      <c r="I221" s="296"/>
      <c r="J221" s="296"/>
      <c r="K221" s="296"/>
      <c r="L221" s="296"/>
    </row>
    <row r="222" ht="15.75" customHeight="1">
      <c r="B222" s="296"/>
      <c r="C222" s="296"/>
      <c r="D222" s="296"/>
      <c r="E222" s="296"/>
      <c r="F222" s="296"/>
      <c r="G222" s="296"/>
      <c r="H222" s="296"/>
      <c r="I222" s="296"/>
      <c r="J222" s="296"/>
      <c r="K222" s="296"/>
      <c r="L222" s="296"/>
    </row>
    <row r="223" ht="15.75" customHeight="1">
      <c r="B223" s="296"/>
      <c r="C223" s="296"/>
      <c r="D223" s="296"/>
      <c r="E223" s="296"/>
      <c r="F223" s="296"/>
      <c r="G223" s="296"/>
      <c r="H223" s="296"/>
      <c r="I223" s="296"/>
      <c r="J223" s="296"/>
      <c r="K223" s="296"/>
      <c r="L223" s="296"/>
    </row>
    <row r="224" ht="15.75" customHeight="1">
      <c r="B224" s="296"/>
      <c r="C224" s="296"/>
      <c r="D224" s="296"/>
      <c r="E224" s="296"/>
      <c r="F224" s="296"/>
      <c r="G224" s="296"/>
      <c r="H224" s="296"/>
      <c r="I224" s="296"/>
      <c r="J224" s="296"/>
      <c r="K224" s="296"/>
      <c r="L224" s="296"/>
    </row>
    <row r="225" ht="15.75" customHeight="1">
      <c r="B225" s="296"/>
      <c r="C225" s="296"/>
      <c r="D225" s="296"/>
      <c r="E225" s="296"/>
      <c r="F225" s="296"/>
      <c r="G225" s="296"/>
      <c r="H225" s="296"/>
      <c r="I225" s="296"/>
      <c r="J225" s="296"/>
      <c r="K225" s="296"/>
      <c r="L225" s="296"/>
    </row>
    <row r="226" ht="15.75" customHeight="1">
      <c r="B226" s="296"/>
      <c r="C226" s="296"/>
      <c r="D226" s="296"/>
      <c r="E226" s="296"/>
      <c r="F226" s="296"/>
      <c r="G226" s="296"/>
      <c r="H226" s="296"/>
      <c r="I226" s="296"/>
      <c r="J226" s="296"/>
      <c r="K226" s="296"/>
      <c r="L226" s="296"/>
    </row>
    <row r="227" ht="15.75" customHeight="1">
      <c r="B227" s="296"/>
      <c r="C227" s="296"/>
      <c r="D227" s="296"/>
      <c r="E227" s="296"/>
      <c r="F227" s="296"/>
      <c r="G227" s="296"/>
      <c r="H227" s="296"/>
      <c r="I227" s="296"/>
      <c r="J227" s="296"/>
      <c r="K227" s="296"/>
      <c r="L227" s="296"/>
    </row>
    <row r="228" ht="15.75" customHeight="1">
      <c r="B228" s="296"/>
      <c r="C228" s="296"/>
      <c r="D228" s="296"/>
      <c r="E228" s="296"/>
      <c r="F228" s="296"/>
      <c r="G228" s="296"/>
      <c r="H228" s="296"/>
      <c r="I228" s="296"/>
      <c r="J228" s="296"/>
      <c r="K228" s="296"/>
      <c r="L228" s="296"/>
    </row>
    <row r="229" ht="15.75" customHeight="1">
      <c r="B229" s="296"/>
      <c r="C229" s="296"/>
      <c r="D229" s="296"/>
      <c r="E229" s="296"/>
      <c r="F229" s="296"/>
      <c r="G229" s="296"/>
      <c r="H229" s="296"/>
      <c r="I229" s="296"/>
      <c r="J229" s="296"/>
      <c r="K229" s="296"/>
      <c r="L229" s="296"/>
    </row>
    <row r="230" ht="15.75" customHeight="1">
      <c r="B230" s="296"/>
      <c r="C230" s="296"/>
      <c r="D230" s="296"/>
      <c r="E230" s="296"/>
      <c r="F230" s="296"/>
      <c r="G230" s="296"/>
      <c r="H230" s="296"/>
      <c r="I230" s="296"/>
      <c r="J230" s="296"/>
      <c r="K230" s="296"/>
      <c r="L230" s="296"/>
    </row>
    <row r="231" ht="15.75" customHeight="1">
      <c r="B231" s="296"/>
      <c r="C231" s="296"/>
      <c r="D231" s="296"/>
      <c r="E231" s="296"/>
      <c r="F231" s="296"/>
      <c r="G231" s="296"/>
      <c r="H231" s="296"/>
      <c r="I231" s="296"/>
      <c r="J231" s="296"/>
      <c r="K231" s="296"/>
      <c r="L231" s="296"/>
    </row>
    <row r="232" ht="15.75" customHeight="1">
      <c r="B232" s="296"/>
      <c r="C232" s="296"/>
      <c r="D232" s="296"/>
      <c r="E232" s="296"/>
      <c r="F232" s="296"/>
      <c r="G232" s="296"/>
      <c r="H232" s="296"/>
      <c r="I232" s="296"/>
      <c r="J232" s="296"/>
      <c r="K232" s="296"/>
      <c r="L232" s="296"/>
    </row>
    <row r="233" ht="15.75" customHeight="1">
      <c r="B233" s="296"/>
      <c r="C233" s="296"/>
      <c r="D233" s="296"/>
      <c r="E233" s="296"/>
      <c r="F233" s="296"/>
      <c r="G233" s="296"/>
      <c r="H233" s="296"/>
      <c r="I233" s="296"/>
      <c r="J233" s="296"/>
      <c r="K233" s="296"/>
      <c r="L233" s="296"/>
    </row>
    <row r="234" ht="15.75" customHeight="1">
      <c r="B234" s="296"/>
      <c r="C234" s="296"/>
      <c r="D234" s="296"/>
      <c r="E234" s="296"/>
      <c r="F234" s="296"/>
      <c r="G234" s="296"/>
      <c r="H234" s="296"/>
      <c r="I234" s="296"/>
      <c r="J234" s="296"/>
      <c r="K234" s="296"/>
      <c r="L234" s="296"/>
    </row>
    <row r="235" ht="15.75" customHeight="1">
      <c r="B235" s="296"/>
      <c r="C235" s="296"/>
      <c r="D235" s="296"/>
      <c r="E235" s="296"/>
      <c r="F235" s="296"/>
      <c r="G235" s="296"/>
      <c r="H235" s="296"/>
      <c r="I235" s="296"/>
      <c r="J235" s="296"/>
      <c r="K235" s="296"/>
      <c r="L235" s="296"/>
    </row>
    <row r="236" ht="15.75" customHeight="1">
      <c r="B236" s="296"/>
      <c r="C236" s="296"/>
      <c r="D236" s="296"/>
      <c r="E236" s="296"/>
      <c r="F236" s="296"/>
      <c r="G236" s="296"/>
      <c r="H236" s="296"/>
      <c r="I236" s="296"/>
      <c r="J236" s="296"/>
      <c r="K236" s="296"/>
      <c r="L236" s="296"/>
    </row>
    <row r="237" ht="15.75" customHeight="1">
      <c r="B237" s="296"/>
      <c r="C237" s="296"/>
      <c r="D237" s="296"/>
      <c r="E237" s="296"/>
      <c r="F237" s="296"/>
      <c r="G237" s="296"/>
      <c r="H237" s="296"/>
      <c r="I237" s="296"/>
      <c r="J237" s="296"/>
      <c r="K237" s="296"/>
      <c r="L237" s="296"/>
    </row>
    <row r="238" ht="15.75" customHeight="1">
      <c r="B238" s="296"/>
      <c r="C238" s="296"/>
      <c r="D238" s="296"/>
      <c r="E238" s="296"/>
      <c r="F238" s="296"/>
      <c r="G238" s="296"/>
      <c r="H238" s="296"/>
      <c r="I238" s="296"/>
      <c r="J238" s="296"/>
      <c r="K238" s="296"/>
      <c r="L238" s="296"/>
    </row>
    <row r="239" ht="15.75" customHeight="1">
      <c r="B239" s="296"/>
      <c r="C239" s="296"/>
      <c r="D239" s="296"/>
      <c r="E239" s="296"/>
      <c r="F239" s="296"/>
      <c r="G239" s="296"/>
      <c r="H239" s="296"/>
      <c r="I239" s="296"/>
      <c r="J239" s="296"/>
      <c r="K239" s="296"/>
      <c r="L239" s="296"/>
    </row>
    <row r="240" ht="15.75" customHeight="1">
      <c r="B240" s="296"/>
      <c r="C240" s="296"/>
      <c r="D240" s="296"/>
      <c r="E240" s="296"/>
      <c r="F240" s="296"/>
      <c r="G240" s="296"/>
      <c r="H240" s="296"/>
      <c r="I240" s="296"/>
      <c r="J240" s="296"/>
      <c r="K240" s="296"/>
      <c r="L240" s="296"/>
    </row>
    <row r="241" ht="15.75" customHeight="1">
      <c r="B241" s="296"/>
      <c r="C241" s="296"/>
      <c r="D241" s="296"/>
      <c r="E241" s="296"/>
      <c r="F241" s="296"/>
      <c r="G241" s="296"/>
      <c r="H241" s="296"/>
      <c r="I241" s="296"/>
      <c r="J241" s="296"/>
      <c r="K241" s="296"/>
      <c r="L241" s="296"/>
    </row>
    <row r="242" ht="15.75" customHeight="1">
      <c r="B242" s="296"/>
      <c r="C242" s="296"/>
      <c r="D242" s="296"/>
      <c r="E242" s="296"/>
      <c r="F242" s="296"/>
      <c r="G242" s="296"/>
      <c r="H242" s="296"/>
      <c r="I242" s="296"/>
      <c r="J242" s="296"/>
      <c r="K242" s="296"/>
      <c r="L242" s="296"/>
    </row>
    <row r="243" ht="15.75" customHeight="1">
      <c r="B243" s="296"/>
      <c r="C243" s="296"/>
      <c r="D243" s="296"/>
      <c r="E243" s="296"/>
      <c r="F243" s="296"/>
      <c r="G243" s="296"/>
      <c r="H243" s="296"/>
      <c r="I243" s="296"/>
      <c r="J243" s="296"/>
      <c r="K243" s="296"/>
      <c r="L243" s="296"/>
    </row>
    <row r="244" ht="15.75" customHeight="1">
      <c r="B244" s="296"/>
      <c r="C244" s="296"/>
      <c r="D244" s="296"/>
      <c r="E244" s="296"/>
      <c r="F244" s="296"/>
      <c r="G244" s="296"/>
      <c r="H244" s="296"/>
      <c r="I244" s="296"/>
      <c r="J244" s="296"/>
      <c r="K244" s="296"/>
      <c r="L244" s="296"/>
    </row>
    <row r="245" ht="15.75" customHeight="1">
      <c r="B245" s="296"/>
      <c r="C245" s="296"/>
      <c r="D245" s="296"/>
      <c r="E245" s="296"/>
      <c r="F245" s="296"/>
      <c r="G245" s="296"/>
      <c r="H245" s="296"/>
      <c r="I245" s="296"/>
      <c r="J245" s="296"/>
      <c r="K245" s="296"/>
      <c r="L245" s="296"/>
    </row>
    <row r="246" ht="15.75" customHeight="1">
      <c r="B246" s="296"/>
      <c r="C246" s="296"/>
      <c r="D246" s="296"/>
      <c r="E246" s="296"/>
      <c r="F246" s="296"/>
      <c r="G246" s="296"/>
      <c r="H246" s="296"/>
      <c r="I246" s="296"/>
      <c r="J246" s="296"/>
      <c r="K246" s="296"/>
      <c r="L246" s="296"/>
    </row>
    <row r="247" ht="15.75" customHeight="1">
      <c r="B247" s="296"/>
      <c r="C247" s="296"/>
      <c r="D247" s="296"/>
      <c r="E247" s="296"/>
      <c r="F247" s="296"/>
      <c r="G247" s="296"/>
      <c r="H247" s="296"/>
      <c r="I247" s="296"/>
      <c r="J247" s="296"/>
      <c r="K247" s="296"/>
      <c r="L247" s="296"/>
    </row>
    <row r="248" ht="15.75" customHeight="1">
      <c r="B248" s="296"/>
      <c r="C248" s="296"/>
      <c r="D248" s="296"/>
      <c r="E248" s="296"/>
      <c r="F248" s="296"/>
      <c r="G248" s="296"/>
      <c r="H248" s="296"/>
      <c r="I248" s="296"/>
      <c r="J248" s="296"/>
      <c r="K248" s="296"/>
      <c r="L248" s="296"/>
    </row>
    <row r="249" ht="15.75" customHeight="1">
      <c r="B249" s="296"/>
      <c r="C249" s="296"/>
      <c r="D249" s="296"/>
      <c r="E249" s="296"/>
      <c r="F249" s="296"/>
      <c r="G249" s="296"/>
      <c r="H249" s="296"/>
      <c r="I249" s="296"/>
      <c r="J249" s="296"/>
      <c r="K249" s="296"/>
      <c r="L249" s="296"/>
    </row>
    <row r="250" ht="15.75" customHeight="1">
      <c r="B250" s="296"/>
      <c r="C250" s="296"/>
      <c r="D250" s="296"/>
      <c r="E250" s="296"/>
      <c r="F250" s="296"/>
      <c r="G250" s="296"/>
      <c r="H250" s="296"/>
      <c r="I250" s="296"/>
      <c r="J250" s="296"/>
      <c r="K250" s="296"/>
      <c r="L250" s="296"/>
    </row>
    <row r="251" ht="15.75" customHeight="1">
      <c r="B251" s="296"/>
      <c r="C251" s="296"/>
      <c r="D251" s="296"/>
      <c r="E251" s="296"/>
      <c r="F251" s="296"/>
      <c r="G251" s="296"/>
      <c r="H251" s="296"/>
      <c r="I251" s="296"/>
      <c r="J251" s="296"/>
      <c r="K251" s="296"/>
      <c r="L251" s="296"/>
    </row>
    <row r="252" ht="15.75" customHeight="1">
      <c r="B252" s="296"/>
      <c r="C252" s="296"/>
      <c r="D252" s="296"/>
      <c r="E252" s="296"/>
      <c r="F252" s="296"/>
      <c r="G252" s="296"/>
      <c r="H252" s="296"/>
      <c r="I252" s="296"/>
      <c r="J252" s="296"/>
      <c r="K252" s="296"/>
      <c r="L252" s="296"/>
    </row>
    <row r="253" ht="15.75" customHeight="1">
      <c r="B253" s="296"/>
      <c r="C253" s="296"/>
      <c r="D253" s="296"/>
      <c r="E253" s="296"/>
      <c r="F253" s="296"/>
      <c r="G253" s="296"/>
      <c r="H253" s="296"/>
      <c r="I253" s="296"/>
      <c r="J253" s="296"/>
      <c r="K253" s="296"/>
      <c r="L253" s="296"/>
    </row>
    <row r="254" ht="15.75" customHeight="1">
      <c r="B254" s="296"/>
      <c r="C254" s="296"/>
      <c r="D254" s="296"/>
      <c r="E254" s="296"/>
      <c r="F254" s="296"/>
      <c r="G254" s="296"/>
      <c r="H254" s="296"/>
      <c r="I254" s="296"/>
      <c r="J254" s="296"/>
      <c r="K254" s="296"/>
      <c r="L254" s="296"/>
    </row>
    <row r="255" ht="15.75" customHeight="1">
      <c r="B255" s="296"/>
      <c r="C255" s="296"/>
      <c r="D255" s="296"/>
      <c r="E255" s="296"/>
      <c r="F255" s="296"/>
      <c r="G255" s="296"/>
      <c r="H255" s="296"/>
      <c r="I255" s="296"/>
      <c r="J255" s="296"/>
      <c r="K255" s="296"/>
      <c r="L255" s="296"/>
    </row>
    <row r="256" ht="15.75" customHeight="1">
      <c r="B256" s="296"/>
      <c r="C256" s="296"/>
      <c r="D256" s="296"/>
      <c r="E256" s="296"/>
      <c r="F256" s="296"/>
      <c r="G256" s="296"/>
      <c r="H256" s="296"/>
      <c r="I256" s="296"/>
      <c r="J256" s="296"/>
      <c r="K256" s="296"/>
      <c r="L256" s="296"/>
    </row>
    <row r="257" ht="15.75" customHeight="1">
      <c r="B257" s="296"/>
      <c r="C257" s="296"/>
      <c r="D257" s="296"/>
      <c r="E257" s="296"/>
      <c r="F257" s="296"/>
      <c r="G257" s="296"/>
      <c r="H257" s="296"/>
      <c r="I257" s="296"/>
      <c r="J257" s="296"/>
      <c r="K257" s="296"/>
      <c r="L257" s="296"/>
    </row>
    <row r="258" ht="15.75" customHeight="1">
      <c r="B258" s="296"/>
      <c r="C258" s="296"/>
      <c r="D258" s="296"/>
      <c r="E258" s="296"/>
      <c r="F258" s="296"/>
      <c r="G258" s="296"/>
      <c r="H258" s="296"/>
      <c r="I258" s="296"/>
      <c r="J258" s="296"/>
      <c r="K258" s="296"/>
      <c r="L258" s="296"/>
    </row>
    <row r="259" ht="15.75" customHeight="1">
      <c r="B259" s="296"/>
      <c r="C259" s="296"/>
      <c r="D259" s="296"/>
      <c r="E259" s="296"/>
      <c r="F259" s="296"/>
      <c r="G259" s="296"/>
      <c r="H259" s="296"/>
      <c r="I259" s="296"/>
      <c r="J259" s="296"/>
      <c r="K259" s="296"/>
      <c r="L259" s="296"/>
    </row>
    <row r="260" ht="15.75" customHeight="1">
      <c r="B260" s="296"/>
      <c r="C260" s="296"/>
      <c r="D260" s="296"/>
      <c r="E260" s="296"/>
      <c r="F260" s="296"/>
      <c r="G260" s="296"/>
      <c r="H260" s="296"/>
      <c r="I260" s="296"/>
      <c r="J260" s="296"/>
      <c r="K260" s="296"/>
      <c r="L260" s="296"/>
    </row>
    <row r="261" ht="15.75" customHeight="1">
      <c r="B261" s="296"/>
      <c r="C261" s="296"/>
      <c r="D261" s="296"/>
      <c r="E261" s="296"/>
      <c r="F261" s="296"/>
      <c r="G261" s="296"/>
      <c r="H261" s="296"/>
      <c r="I261" s="296"/>
      <c r="J261" s="296"/>
      <c r="K261" s="296"/>
      <c r="L261" s="296"/>
    </row>
    <row r="262" ht="15.75" customHeight="1">
      <c r="B262" s="296"/>
      <c r="C262" s="296"/>
      <c r="D262" s="296"/>
      <c r="E262" s="296"/>
      <c r="F262" s="296"/>
      <c r="G262" s="296"/>
      <c r="H262" s="296"/>
      <c r="I262" s="296"/>
      <c r="J262" s="296"/>
      <c r="K262" s="296"/>
      <c r="L262" s="296"/>
    </row>
    <row r="263" ht="15.75" customHeight="1">
      <c r="B263" s="296"/>
      <c r="C263" s="296"/>
      <c r="D263" s="296"/>
      <c r="E263" s="296"/>
      <c r="F263" s="296"/>
      <c r="G263" s="296"/>
      <c r="H263" s="296"/>
      <c r="I263" s="296"/>
      <c r="J263" s="296"/>
      <c r="K263" s="296"/>
      <c r="L263" s="296"/>
    </row>
    <row r="264" ht="15.75" customHeight="1">
      <c r="B264" s="296"/>
      <c r="C264" s="296"/>
      <c r="D264" s="296"/>
      <c r="E264" s="296"/>
      <c r="F264" s="296"/>
      <c r="G264" s="296"/>
      <c r="H264" s="296"/>
      <c r="I264" s="296"/>
      <c r="J264" s="296"/>
      <c r="K264" s="296"/>
      <c r="L264" s="296"/>
    </row>
    <row r="265" ht="15.75" customHeight="1">
      <c r="B265" s="296"/>
      <c r="C265" s="296"/>
      <c r="D265" s="296"/>
      <c r="E265" s="296"/>
      <c r="F265" s="296"/>
      <c r="G265" s="296"/>
      <c r="H265" s="296"/>
      <c r="I265" s="296"/>
      <c r="J265" s="296"/>
      <c r="K265" s="296"/>
      <c r="L265" s="296"/>
    </row>
    <row r="266" ht="15.75" customHeight="1">
      <c r="B266" s="296"/>
      <c r="C266" s="296"/>
      <c r="D266" s="296"/>
      <c r="E266" s="296"/>
      <c r="F266" s="296"/>
      <c r="G266" s="296"/>
      <c r="H266" s="296"/>
      <c r="I266" s="296"/>
      <c r="J266" s="296"/>
      <c r="K266" s="296"/>
      <c r="L266" s="296"/>
    </row>
    <row r="267" ht="15.75" customHeight="1">
      <c r="B267" s="296"/>
      <c r="C267" s="296"/>
      <c r="D267" s="296"/>
      <c r="E267" s="296"/>
      <c r="F267" s="296"/>
      <c r="G267" s="296"/>
      <c r="H267" s="296"/>
      <c r="I267" s="296"/>
      <c r="J267" s="296"/>
      <c r="K267" s="296"/>
      <c r="L267" s="296"/>
    </row>
    <row r="268" ht="15.75" customHeight="1">
      <c r="B268" s="296"/>
      <c r="C268" s="296"/>
      <c r="D268" s="296"/>
      <c r="E268" s="296"/>
      <c r="F268" s="296"/>
      <c r="G268" s="296"/>
      <c r="H268" s="296"/>
      <c r="I268" s="296"/>
      <c r="J268" s="296"/>
      <c r="K268" s="296"/>
      <c r="L268" s="296"/>
    </row>
    <row r="269" ht="15.75" customHeight="1">
      <c r="B269" s="296"/>
      <c r="C269" s="296"/>
      <c r="D269" s="296"/>
      <c r="E269" s="296"/>
      <c r="F269" s="296"/>
      <c r="G269" s="296"/>
      <c r="H269" s="296"/>
      <c r="I269" s="296"/>
      <c r="J269" s="296"/>
      <c r="K269" s="296"/>
      <c r="L269" s="296"/>
    </row>
    <row r="270" ht="15.75" customHeight="1">
      <c r="B270" s="296"/>
      <c r="C270" s="296"/>
      <c r="D270" s="296"/>
      <c r="E270" s="296"/>
      <c r="F270" s="296"/>
      <c r="G270" s="296"/>
      <c r="H270" s="296"/>
      <c r="I270" s="296"/>
      <c r="J270" s="296"/>
      <c r="K270" s="296"/>
      <c r="L270" s="296"/>
    </row>
    <row r="271" ht="15.75" customHeight="1">
      <c r="B271" s="296"/>
      <c r="C271" s="296"/>
      <c r="D271" s="296"/>
      <c r="E271" s="296"/>
      <c r="F271" s="296"/>
      <c r="G271" s="296"/>
      <c r="H271" s="296"/>
      <c r="I271" s="296"/>
      <c r="J271" s="296"/>
      <c r="K271" s="296"/>
      <c r="L271" s="296"/>
    </row>
    <row r="272" ht="15.75" customHeight="1">
      <c r="B272" s="296"/>
      <c r="C272" s="296"/>
      <c r="D272" s="296"/>
      <c r="E272" s="296"/>
      <c r="F272" s="296"/>
      <c r="G272" s="296"/>
      <c r="H272" s="296"/>
      <c r="I272" s="296"/>
      <c r="J272" s="296"/>
      <c r="K272" s="296"/>
      <c r="L272" s="296"/>
    </row>
    <row r="273" ht="15.75" customHeight="1">
      <c r="B273" s="296"/>
      <c r="C273" s="296"/>
      <c r="D273" s="296"/>
      <c r="E273" s="296"/>
      <c r="F273" s="296"/>
      <c r="G273" s="296"/>
      <c r="H273" s="296"/>
      <c r="I273" s="296"/>
      <c r="J273" s="296"/>
      <c r="K273" s="296"/>
      <c r="L273" s="296"/>
    </row>
    <row r="274" ht="15.75" customHeight="1">
      <c r="B274" s="296"/>
      <c r="C274" s="296"/>
      <c r="D274" s="296"/>
      <c r="E274" s="296"/>
      <c r="F274" s="296"/>
      <c r="G274" s="296"/>
      <c r="H274" s="296"/>
      <c r="I274" s="296"/>
      <c r="J274" s="296"/>
      <c r="K274" s="296"/>
      <c r="L274" s="296"/>
    </row>
    <row r="275" ht="15.75" customHeight="1">
      <c r="B275" s="296"/>
      <c r="C275" s="296"/>
      <c r="D275" s="296"/>
      <c r="E275" s="296"/>
      <c r="F275" s="296"/>
      <c r="G275" s="296"/>
      <c r="H275" s="296"/>
      <c r="I275" s="296"/>
      <c r="J275" s="296"/>
      <c r="K275" s="296"/>
      <c r="L275" s="296"/>
    </row>
    <row r="276" ht="15.75" customHeight="1">
      <c r="B276" s="296"/>
      <c r="C276" s="296"/>
      <c r="D276" s="296"/>
      <c r="E276" s="296"/>
      <c r="F276" s="296"/>
      <c r="G276" s="296"/>
      <c r="H276" s="296"/>
      <c r="I276" s="296"/>
      <c r="J276" s="296"/>
      <c r="K276" s="296"/>
      <c r="L276" s="296"/>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74989</v>
      </c>
      <c r="C3" s="24">
        <f>IFERROR(VLOOKUP("Total Revenues*",'7.TIKR_IS'!$A:$K,COLUMN(C3),FALSE),"0")</f>
        <v>90272</v>
      </c>
      <c r="D3" s="24">
        <f>IFERROR(VLOOKUP("Total Revenues*",'7.TIKR_IS'!$A:$K,COLUMN(D3),FALSE),"0")</f>
        <v>110855</v>
      </c>
      <c r="E3" s="24">
        <f>IFERROR(VLOOKUP("Total Revenues*",'7.TIKR_IS'!$A:$K,COLUMN(E3),FALSE),"0")</f>
        <v>136819</v>
      </c>
      <c r="F3" s="24">
        <f>IFERROR(VLOOKUP("Total Revenues*",'7.TIKR_IS'!$A:$K,COLUMN(F3),FALSE),"0")</f>
        <v>161857</v>
      </c>
      <c r="G3" s="24">
        <f>IFERROR(VLOOKUP("Total Revenues*",'7.TIKR_IS'!$A:$K,COLUMN(G3),FALSE),"0")</f>
        <v>182527</v>
      </c>
      <c r="H3" s="24">
        <f>IFERROR(VLOOKUP("Total Revenues*",'7.TIKR_IS'!$A:$K,COLUMN(H3),FALSE),"0")</f>
        <v>257637</v>
      </c>
      <c r="I3" s="24">
        <f>IFERROR(VLOOKUP("Total Revenues*",'7.TIKR_IS'!$A:$K,COLUMN(I3),FALSE),"0")</f>
        <v>282836</v>
      </c>
      <c r="J3" s="24">
        <f>IFERROR(VLOOKUP("Total Revenues*",'7.TIKR_IS'!$A:$K,COLUMN(J3),FALSE),"0")</f>
        <v>307394</v>
      </c>
      <c r="K3" s="24">
        <f>IFERROR(VLOOKUP("Total Revenues*",'7.TIKR_IS'!$A:$K,COLUMN(K3),FALSE),"0")</f>
        <v>350018</v>
      </c>
      <c r="L3" s="25">
        <f t="shared" ref="L3:P3" si="2">IFERROR(K3*(1+L4),"")</f>
        <v>388519.98</v>
      </c>
      <c r="M3" s="26">
        <f t="shared" si="2"/>
        <v>431257.1778</v>
      </c>
      <c r="N3" s="26">
        <f t="shared" si="2"/>
        <v>478695.4674</v>
      </c>
      <c r="O3" s="26">
        <f t="shared" si="2"/>
        <v>531351.9688</v>
      </c>
      <c r="P3" s="27">
        <f t="shared" si="2"/>
        <v>589800.6853</v>
      </c>
      <c r="Q3" s="21"/>
      <c r="R3" s="28" t="s">
        <v>17</v>
      </c>
      <c r="S3" s="29">
        <f>IFERROR(AVERAGE(C4:K4),"")</f>
        <v>0.1901705853</v>
      </c>
      <c r="T3" s="20"/>
      <c r="U3" s="20"/>
      <c r="V3" s="20"/>
      <c r="W3" s="21"/>
      <c r="X3" s="21"/>
      <c r="Y3" s="21"/>
      <c r="Z3" s="21"/>
    </row>
    <row r="4" ht="24.75" customHeight="1">
      <c r="A4" s="30" t="s">
        <v>18</v>
      </c>
      <c r="B4" s="31"/>
      <c r="C4" s="32">
        <f t="shared" ref="C4:K4" si="3">IFERROR((C3-B3)/B3,"")</f>
        <v>0.2038032245</v>
      </c>
      <c r="D4" s="32">
        <f t="shared" si="3"/>
        <v>0.2280109004</v>
      </c>
      <c r="E4" s="32">
        <f t="shared" si="3"/>
        <v>0.2342158676</v>
      </c>
      <c r="F4" s="32">
        <f t="shared" si="3"/>
        <v>0.183000899</v>
      </c>
      <c r="G4" s="32">
        <f t="shared" si="3"/>
        <v>0.1277053201</v>
      </c>
      <c r="H4" s="32">
        <f t="shared" si="3"/>
        <v>0.4115007643</v>
      </c>
      <c r="I4" s="33">
        <f t="shared" si="3"/>
        <v>0.09780815644</v>
      </c>
      <c r="J4" s="33">
        <f t="shared" si="3"/>
        <v>0.08682770227</v>
      </c>
      <c r="K4" s="33">
        <f t="shared" si="3"/>
        <v>0.1386624332</v>
      </c>
      <c r="L4" s="34">
        <v>0.11</v>
      </c>
      <c r="M4" s="35">
        <f t="shared" ref="M4:P4" si="4">L4</f>
        <v>0.11</v>
      </c>
      <c r="N4" s="35">
        <f t="shared" si="4"/>
        <v>0.11</v>
      </c>
      <c r="O4" s="35">
        <f t="shared" si="4"/>
        <v>0.11</v>
      </c>
      <c r="P4" s="36">
        <f t="shared" si="4"/>
        <v>0.11</v>
      </c>
      <c r="Q4" s="21"/>
      <c r="R4" s="28" t="s">
        <v>19</v>
      </c>
      <c r="S4" s="29">
        <f>IFERROR(AVERAGE(B10:K10),"")</f>
        <v>0.2638357854</v>
      </c>
      <c r="T4" s="20"/>
      <c r="U4" s="20"/>
      <c r="V4" s="20"/>
      <c r="W4" s="21"/>
      <c r="X4" s="21"/>
      <c r="Y4" s="21"/>
      <c r="Z4" s="21"/>
    </row>
    <row r="5" ht="24.75" customHeight="1">
      <c r="A5" s="37" t="s">
        <v>20</v>
      </c>
      <c r="B5" s="38">
        <f t="shared" ref="B5:K5" si="5">B9-B8</f>
        <v>24384</v>
      </c>
      <c r="C5" s="39">
        <f t="shared" si="5"/>
        <v>29816</v>
      </c>
      <c r="D5" s="39">
        <f t="shared" si="5"/>
        <v>35813</v>
      </c>
      <c r="E5" s="39">
        <f t="shared" si="5"/>
        <v>41624</v>
      </c>
      <c r="F5" s="39">
        <f t="shared" si="5"/>
        <v>47579</v>
      </c>
      <c r="G5" s="39">
        <f t="shared" si="5"/>
        <v>54903</v>
      </c>
      <c r="H5" s="39">
        <f t="shared" si="5"/>
        <v>88987</v>
      </c>
      <c r="I5" s="39">
        <f t="shared" si="5"/>
        <v>88317</v>
      </c>
      <c r="J5" s="39">
        <f t="shared" si="5"/>
        <v>96239</v>
      </c>
      <c r="K5" s="39">
        <f t="shared" si="5"/>
        <v>129497</v>
      </c>
      <c r="L5" s="40">
        <v>148500.0</v>
      </c>
      <c r="M5" s="41">
        <v>170000.0</v>
      </c>
      <c r="N5" s="41">
        <v>195000.0</v>
      </c>
      <c r="O5" s="41">
        <v>219000.0</v>
      </c>
      <c r="P5" s="42">
        <v>245500.0</v>
      </c>
      <c r="Q5" s="21"/>
      <c r="R5" s="28" t="s">
        <v>21</v>
      </c>
      <c r="S5" s="29">
        <f>IFERROR(AVERAGE(B17:K17),"")</f>
        <v>0.190966029</v>
      </c>
      <c r="T5" s="20"/>
      <c r="U5" s="20"/>
      <c r="V5" s="20"/>
      <c r="W5" s="21"/>
      <c r="X5" s="21"/>
      <c r="Y5" s="21"/>
      <c r="Z5" s="21"/>
    </row>
    <row r="6" ht="24.75" customHeight="1">
      <c r="A6" s="30" t="s">
        <v>22</v>
      </c>
      <c r="B6" s="31">
        <f t="shared" ref="B6:K6" si="6">IFERROR((B5/B3),"")</f>
        <v>0.3251676913</v>
      </c>
      <c r="C6" s="32">
        <f t="shared" si="6"/>
        <v>0.3302906771</v>
      </c>
      <c r="D6" s="32">
        <f t="shared" si="6"/>
        <v>0.3230616571</v>
      </c>
      <c r="E6" s="32">
        <f t="shared" si="6"/>
        <v>0.3042267521</v>
      </c>
      <c r="F6" s="32">
        <f t="shared" si="6"/>
        <v>0.2939570114</v>
      </c>
      <c r="G6" s="32">
        <f t="shared" si="6"/>
        <v>0.3007938552</v>
      </c>
      <c r="H6" s="32">
        <f t="shared" si="6"/>
        <v>0.345396818</v>
      </c>
      <c r="I6" s="33">
        <f t="shared" si="6"/>
        <v>0.3122551585</v>
      </c>
      <c r="J6" s="33">
        <f t="shared" si="6"/>
        <v>0.3130802813</v>
      </c>
      <c r="K6" s="33">
        <f t="shared" si="6"/>
        <v>0.3699724014</v>
      </c>
      <c r="L6" s="43">
        <f t="shared" ref="L6:P6" si="7">IFERROR(L5/L3,"")</f>
        <v>0.3822197252</v>
      </c>
      <c r="M6" s="33">
        <f t="shared" si="7"/>
        <v>0.3941963375</v>
      </c>
      <c r="N6" s="33">
        <f t="shared" si="7"/>
        <v>0.4073571055</v>
      </c>
      <c r="O6" s="33">
        <f t="shared" si="7"/>
        <v>0.4121561844</v>
      </c>
      <c r="P6" s="44">
        <f t="shared" si="7"/>
        <v>0.4162423105</v>
      </c>
      <c r="Q6" s="21"/>
      <c r="R6" s="45" t="s">
        <v>23</v>
      </c>
      <c r="S6" s="46">
        <v>-0.02</v>
      </c>
      <c r="T6" s="20"/>
      <c r="U6" s="20"/>
      <c r="V6" s="20"/>
      <c r="W6" s="21"/>
      <c r="X6" s="21"/>
      <c r="Y6" s="21"/>
      <c r="Z6" s="21"/>
    </row>
    <row r="7" ht="24.75" customHeight="1">
      <c r="A7" s="30" t="s">
        <v>18</v>
      </c>
      <c r="B7" s="31"/>
      <c r="C7" s="32">
        <f t="shared" ref="C7:P7" si="8">IFERROR((C5-B5)/B5,"")</f>
        <v>0.2227690289</v>
      </c>
      <c r="D7" s="32">
        <f t="shared" si="8"/>
        <v>0.2011336195</v>
      </c>
      <c r="E7" s="32">
        <f t="shared" si="8"/>
        <v>0.1622595147</v>
      </c>
      <c r="F7" s="32">
        <f t="shared" si="8"/>
        <v>0.1430665001</v>
      </c>
      <c r="G7" s="32">
        <f t="shared" si="8"/>
        <v>0.153933458</v>
      </c>
      <c r="H7" s="32">
        <f t="shared" si="8"/>
        <v>0.6208039634</v>
      </c>
      <c r="I7" s="32">
        <f t="shared" si="8"/>
        <v>-0.007529189657</v>
      </c>
      <c r="J7" s="32">
        <f t="shared" si="8"/>
        <v>0.08969960483</v>
      </c>
      <c r="K7" s="32">
        <f t="shared" si="8"/>
        <v>0.3455771569</v>
      </c>
      <c r="L7" s="31">
        <f t="shared" si="8"/>
        <v>0.1467447122</v>
      </c>
      <c r="M7" s="32">
        <f t="shared" si="8"/>
        <v>0.1447811448</v>
      </c>
      <c r="N7" s="32">
        <f t="shared" si="8"/>
        <v>0.1470588235</v>
      </c>
      <c r="O7" s="32">
        <f t="shared" si="8"/>
        <v>0.1230769231</v>
      </c>
      <c r="P7" s="47">
        <f t="shared" si="8"/>
        <v>0.1210045662</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-5024</v>
      </c>
      <c r="C8" s="51">
        <f>IFERROR(-VLOOKUP("Depreciation*",'9.TIKR_CF'!$A:$K,COLUMN(C8),FALSE)-IFERROR(VLOOKUP("Amortization of Goodwill and Intangible Assets*",'9.TIKR_CF'!$A:$K,COLUMN(C8),FALSE),"0"),"0")</f>
        <v>-6100</v>
      </c>
      <c r="D8" s="51">
        <f>IFERROR(-VLOOKUP("Depreciation*",'9.TIKR_CF'!$A:$K,COLUMN(D8),FALSE)-IFERROR(VLOOKUP("Amortization of Goodwill and Intangible Assets*",'9.TIKR_CF'!$A:$K,COLUMN(D8),FALSE),"0"),"0")</f>
        <v>-6899</v>
      </c>
      <c r="E8" s="51">
        <f>IFERROR(-VLOOKUP("Depreciation*",'9.TIKR_CF'!$A:$K,COLUMN(E8),FALSE)-IFERROR(VLOOKUP("Amortization of Goodwill and Intangible Assets*",'9.TIKR_CF'!$A:$K,COLUMN(E8),FALSE),"0"),"0")</f>
        <v>-9029</v>
      </c>
      <c r="F8" s="51">
        <f>IFERROR(-VLOOKUP("Depreciation*",'9.TIKR_CF'!$A:$K,COLUMN(F8),FALSE)-IFERROR(VLOOKUP("Amortization of Goodwill and Intangible Assets*",'9.TIKR_CF'!$A:$K,COLUMN(F8),FALSE),"0"),"0")</f>
        <v>-11651</v>
      </c>
      <c r="G8" s="51">
        <f>IFERROR(-VLOOKUP("Depreciation*",'9.TIKR_CF'!$A:$K,COLUMN(G8),FALSE)-IFERROR(VLOOKUP("Amortization of Goodwill and Intangible Assets*",'9.TIKR_CF'!$A:$K,COLUMN(G8),FALSE),"0"),"0")</f>
        <v>-13679</v>
      </c>
      <c r="H8" s="51">
        <f>IFERROR(-VLOOKUP("Depreciation*",'9.TIKR_CF'!$A:$K,COLUMN(H8),FALSE)-IFERROR(VLOOKUP("Amortization of Goodwill and Intangible Assets*",'9.TIKR_CF'!$A:$K,COLUMN(H8),FALSE),"0"),"0")</f>
        <v>-10273</v>
      </c>
      <c r="I8" s="51">
        <f>IFERROR(-VLOOKUP("Depreciation*",'9.TIKR_CF'!$A:$K,COLUMN(I8),FALSE)-IFERROR(VLOOKUP("Amortization of Goodwill and Intangible Assets*",'9.TIKR_CF'!$A:$K,COLUMN(I8),FALSE),"0"),"0")</f>
        <v>-13475</v>
      </c>
      <c r="J8" s="51">
        <f>IFERROR(-VLOOKUP("Depreciation*",'9.TIKR_CF'!$A:$K,COLUMN(J8),FALSE)-IFERROR(VLOOKUP("Amortization of Goodwill and Intangible Assets*",'9.TIKR_CF'!$A:$K,COLUMN(J8),FALSE),"0"),"0")</f>
        <v>-11946</v>
      </c>
      <c r="K8" s="51">
        <f>IFERROR(-VLOOKUP("Depreciation*",'9.TIKR_CF'!$A:$K,COLUMN(K8),FALSE)-IFERROR(VLOOKUP("Amortization of Goodwill and Intangible Assets*",'9.TIKR_CF'!$A:$K,COLUMN(K8),FALSE),"0"),"0")</f>
        <v>-15311</v>
      </c>
      <c r="L8" s="52">
        <f t="shared" ref="L8:P8" si="9">IFERROR(K8*(1+L4),"")</f>
        <v>-16995.21</v>
      </c>
      <c r="M8" s="53">
        <f t="shared" si="9"/>
        <v>-18864.6831</v>
      </c>
      <c r="N8" s="53">
        <f t="shared" si="9"/>
        <v>-20939.79824</v>
      </c>
      <c r="O8" s="53">
        <f t="shared" si="9"/>
        <v>-23243.17605</v>
      </c>
      <c r="P8" s="54">
        <f t="shared" si="9"/>
        <v>-25799.92541</v>
      </c>
      <c r="Q8" s="21"/>
      <c r="R8" s="21"/>
      <c r="S8" s="55"/>
      <c r="T8" s="20"/>
      <c r="U8" s="20"/>
      <c r="V8" s="20"/>
      <c r="W8" s="21"/>
      <c r="X8" s="21"/>
      <c r="Y8" s="21"/>
      <c r="Z8" s="21"/>
    </row>
    <row r="9" ht="24.75" customHeight="1">
      <c r="A9" s="22" t="s">
        <v>25</v>
      </c>
      <c r="B9" s="56">
        <f>IFERROR(VLOOKUP("Operating Income*",'7.TIKR_IS'!$A:$K,COLUMN(B2),FALSE),"0")</f>
        <v>19360</v>
      </c>
      <c r="C9" s="57">
        <f>IFERROR(VLOOKUP("Operating Income*",'7.TIKR_IS'!$A:$K,COLUMN(C2),FALSE),"0")</f>
        <v>23716</v>
      </c>
      <c r="D9" s="57">
        <f>IFERROR(VLOOKUP("Operating Income*",'7.TIKR_IS'!$A:$K,COLUMN(D2),FALSE),"0")</f>
        <v>28914</v>
      </c>
      <c r="E9" s="57">
        <f>IFERROR(VLOOKUP("Operating Income*",'7.TIKR_IS'!$A:$K,COLUMN(E2),FALSE),"0")</f>
        <v>32595</v>
      </c>
      <c r="F9" s="57">
        <f>IFERROR(VLOOKUP("Operating Income*",'7.TIKR_IS'!$A:$K,COLUMN(F2),FALSE),"0")</f>
        <v>35928</v>
      </c>
      <c r="G9" s="57">
        <f>IFERROR(VLOOKUP("Operating Income*",'7.TIKR_IS'!$A:$K,COLUMN(G2),FALSE),"0")</f>
        <v>41224</v>
      </c>
      <c r="H9" s="57">
        <f>IFERROR(VLOOKUP("Operating Income*",'7.TIKR_IS'!$A:$K,COLUMN(H2),FALSE),"0")</f>
        <v>78714</v>
      </c>
      <c r="I9" s="57">
        <f>IFERROR(VLOOKUP("Operating Income*",'7.TIKR_IS'!$A:$K,COLUMN(I2),FALSE),"0")</f>
        <v>74842</v>
      </c>
      <c r="J9" s="57">
        <f>IFERROR(VLOOKUP("Operating Income*",'7.TIKR_IS'!$A:$K,COLUMN(J2),FALSE),"0")</f>
        <v>84293</v>
      </c>
      <c r="K9" s="57">
        <f>IFERROR(VLOOKUP("Operating Income*",'7.TIKR_IS'!$A:$K,COLUMN(K2),FALSE),"0")</f>
        <v>114186</v>
      </c>
      <c r="L9" s="38">
        <f t="shared" ref="L9:P9" si="10">IFERROR(L3*L10,"")</f>
        <v>127046.0335</v>
      </c>
      <c r="M9" s="39">
        <f t="shared" si="10"/>
        <v>143177.383</v>
      </c>
      <c r="N9" s="39">
        <f t="shared" si="10"/>
        <v>162277.7634</v>
      </c>
      <c r="O9" s="39">
        <f t="shared" si="10"/>
        <v>182785.0773</v>
      </c>
      <c r="P9" s="58">
        <f t="shared" si="10"/>
        <v>205250.6385</v>
      </c>
      <c r="Q9" s="21"/>
      <c r="R9" s="21"/>
      <c r="S9" s="59"/>
      <c r="T9" s="20"/>
      <c r="U9" s="20"/>
      <c r="V9" s="20"/>
      <c r="W9" s="21"/>
      <c r="X9" s="21"/>
      <c r="Y9" s="21"/>
      <c r="Z9" s="21"/>
    </row>
    <row r="10" ht="24.75" customHeight="1">
      <c r="A10" s="30" t="s">
        <v>26</v>
      </c>
      <c r="B10" s="31">
        <f t="shared" ref="B10:K10" si="11">IFERROR((B9/B3),"")</f>
        <v>0.2581711984</v>
      </c>
      <c r="C10" s="32">
        <f t="shared" si="11"/>
        <v>0.2627171216</v>
      </c>
      <c r="D10" s="32">
        <f t="shared" si="11"/>
        <v>0.2608272067</v>
      </c>
      <c r="E10" s="32">
        <f t="shared" si="11"/>
        <v>0.2382344557</v>
      </c>
      <c r="F10" s="32">
        <f t="shared" si="11"/>
        <v>0.2219737175</v>
      </c>
      <c r="G10" s="32">
        <f t="shared" si="11"/>
        <v>0.2258515179</v>
      </c>
      <c r="H10" s="32">
        <f t="shared" si="11"/>
        <v>0.3055228869</v>
      </c>
      <c r="I10" s="33">
        <f t="shared" si="11"/>
        <v>0.2646127084</v>
      </c>
      <c r="J10" s="33">
        <f t="shared" si="11"/>
        <v>0.2742181045</v>
      </c>
      <c r="K10" s="33">
        <f t="shared" si="11"/>
        <v>0.3262289368</v>
      </c>
      <c r="L10" s="34">
        <v>0.327</v>
      </c>
      <c r="M10" s="60">
        <v>0.332</v>
      </c>
      <c r="N10" s="60">
        <v>0.339</v>
      </c>
      <c r="O10" s="60">
        <v>0.344</v>
      </c>
      <c r="P10" s="61">
        <v>0.348</v>
      </c>
      <c r="Q10" s="62"/>
      <c r="R10" s="21"/>
      <c r="S10" s="63"/>
      <c r="T10" s="20"/>
      <c r="U10" s="20"/>
      <c r="V10" s="20"/>
      <c r="W10" s="21"/>
      <c r="X10" s="21"/>
      <c r="Y10" s="21"/>
      <c r="Z10" s="21"/>
    </row>
    <row r="11" ht="24.75" customHeight="1">
      <c r="A11" s="30" t="s">
        <v>18</v>
      </c>
      <c r="B11" s="31"/>
      <c r="C11" s="32">
        <f t="shared" ref="C11:P11" si="12">IFERROR((C9-B9)/B9,"")</f>
        <v>0.225</v>
      </c>
      <c r="D11" s="32">
        <f t="shared" si="12"/>
        <v>0.219176927</v>
      </c>
      <c r="E11" s="32">
        <f t="shared" si="12"/>
        <v>0.1273085702</v>
      </c>
      <c r="F11" s="32">
        <f t="shared" si="12"/>
        <v>0.1022549471</v>
      </c>
      <c r="G11" s="32">
        <f t="shared" si="12"/>
        <v>0.147405923</v>
      </c>
      <c r="H11" s="32">
        <f t="shared" si="12"/>
        <v>0.9094216961</v>
      </c>
      <c r="I11" s="32">
        <f t="shared" si="12"/>
        <v>-0.04919074116</v>
      </c>
      <c r="J11" s="32">
        <f t="shared" si="12"/>
        <v>0.1262793619</v>
      </c>
      <c r="K11" s="32">
        <f t="shared" si="12"/>
        <v>0.3546320572</v>
      </c>
      <c r="L11" s="31">
        <f t="shared" si="12"/>
        <v>0.1126235568</v>
      </c>
      <c r="M11" s="32">
        <f t="shared" si="12"/>
        <v>0.1269724771</v>
      </c>
      <c r="N11" s="32">
        <f t="shared" si="12"/>
        <v>0.1334036145</v>
      </c>
      <c r="O11" s="32">
        <f t="shared" si="12"/>
        <v>0.1263716814</v>
      </c>
      <c r="P11" s="47">
        <f t="shared" si="12"/>
        <v>0.1229069767</v>
      </c>
      <c r="Q11" s="21"/>
      <c r="R11" s="21"/>
      <c r="S11" s="63"/>
      <c r="T11" s="20"/>
      <c r="U11" s="20"/>
      <c r="V11" s="20"/>
      <c r="W11" s="21"/>
      <c r="X11" s="21"/>
      <c r="Y11" s="21"/>
      <c r="Z11" s="21"/>
    </row>
    <row r="12" ht="24.75" customHeight="1">
      <c r="A12" s="49" t="s">
        <v>27</v>
      </c>
      <c r="B12" s="50">
        <f>IFERROR(VLOOKUP("Interest Expense*",'7.TIKR_IS'!$A:$K,COLUMN(B12),FALSE),"0")</f>
        <v>-104</v>
      </c>
      <c r="C12" s="51">
        <f>IFERROR(VLOOKUP("Interest Expense*",'7.TIKR_IS'!$A:$K,COLUMN(C12),FALSE),"0")</f>
        <v>-124</v>
      </c>
      <c r="D12" s="51">
        <f>IFERROR(VLOOKUP("Interest Expense*",'7.TIKR_IS'!$A:$K,COLUMN(D12),FALSE),"0")</f>
        <v>-109</v>
      </c>
      <c r="E12" s="51">
        <f>IFERROR(VLOOKUP("Interest Expense*",'7.TIKR_IS'!$A:$K,COLUMN(E12),FALSE),"0")</f>
        <v>-114</v>
      </c>
      <c r="F12" s="51">
        <f>IFERROR(VLOOKUP("Interest Expense*",'7.TIKR_IS'!$A:$K,COLUMN(F12),FALSE),"0")</f>
        <v>-100</v>
      </c>
      <c r="G12" s="51">
        <f>IFERROR(VLOOKUP("Interest Expense*",'7.TIKR_IS'!$A:$K,COLUMN(G12),FALSE),"0")</f>
        <v>-135</v>
      </c>
      <c r="H12" s="51">
        <f>IFERROR(VLOOKUP("Interest Expense*",'7.TIKR_IS'!$A:$K,COLUMN(H12),FALSE),"0")</f>
        <v>-346</v>
      </c>
      <c r="I12" s="51">
        <f>IFERROR(VLOOKUP("Interest Expense*",'7.TIKR_IS'!$A:$K,COLUMN(I12),FALSE),"0")</f>
        <v>-357</v>
      </c>
      <c r="J12" s="51">
        <f>IFERROR(VLOOKUP("Interest Expense*",'7.TIKR_IS'!$A:$K,COLUMN(J12),FALSE),"0")</f>
        <v>-308</v>
      </c>
      <c r="K12" s="51">
        <f>IFERROR(VLOOKUP("Interest Expense*",'7.TIKR_IS'!$A:$K,COLUMN(K12),FALSE),"0")</f>
        <v>-268</v>
      </c>
      <c r="L12" s="52">
        <f>IFERROR(-'TIKR_Cálculos'!$B$27*SUM('3.ROIC'!L6:L7),"")</f>
        <v>-283.8193899</v>
      </c>
      <c r="M12" s="53">
        <f>IFERROR(-'TIKR_Cálculos'!$B$27*SUM('3.ROIC'!M6:M7),"")</f>
        <v>-324.9110861</v>
      </c>
      <c r="N12" s="53">
        <f>IFERROR(-'TIKR_Cálculos'!$B$27*SUM('3.ROIC'!N6:N7),"")</f>
        <v>-372.6921282</v>
      </c>
      <c r="O12" s="53">
        <f>IFERROR(-'TIKR_Cálculos'!$B$27*SUM('3.ROIC'!O6:O7),"")</f>
        <v>-418.5619286</v>
      </c>
      <c r="P12" s="54">
        <f>IFERROR(-'TIKR_Cálculos'!$B$27*SUM('3.ROIC'!P6:P7),"")</f>
        <v>-469.2098332</v>
      </c>
      <c r="Q12" s="21"/>
      <c r="R12" s="21"/>
      <c r="S12" s="63"/>
      <c r="T12" s="20"/>
      <c r="U12" s="20"/>
      <c r="V12" s="20"/>
      <c r="W12" s="21"/>
      <c r="X12" s="21"/>
      <c r="Y12" s="21"/>
      <c r="Z12" s="21"/>
    </row>
    <row r="13" ht="24.75" customHeight="1">
      <c r="A13" s="49" t="s">
        <v>28</v>
      </c>
      <c r="B13" s="50">
        <f>IFERROR(VLOOKUP("Interest And Investment Income*",'7.TIKR_IS'!$A:$K,COLUMN(B13),FALSE),"0")</f>
        <v>999</v>
      </c>
      <c r="C13" s="51">
        <f>IFERROR(VLOOKUP("Interest And Investment Income*",'7.TIKR_IS'!$A:$K,COLUMN(C13),FALSE),"0")</f>
        <v>1220</v>
      </c>
      <c r="D13" s="51">
        <f>IFERROR(VLOOKUP("Interest And Investment Income*",'7.TIKR_IS'!$A:$K,COLUMN(D13),FALSE),"0")</f>
        <v>1312</v>
      </c>
      <c r="E13" s="51">
        <f>IFERROR(VLOOKUP("Interest And Investment Income*",'7.TIKR_IS'!$A:$K,COLUMN(E13),FALSE),"0")</f>
        <v>1878</v>
      </c>
      <c r="F13" s="51">
        <f>IFERROR(VLOOKUP("Interest And Investment Income*",'7.TIKR_IS'!$A:$K,COLUMN(F13),FALSE),"0")</f>
        <v>2427</v>
      </c>
      <c r="G13" s="51">
        <f>IFERROR(VLOOKUP("Interest And Investment Income*",'7.TIKR_IS'!$A:$K,COLUMN(G13),FALSE),"0")</f>
        <v>1865</v>
      </c>
      <c r="H13" s="51">
        <f>IFERROR(VLOOKUP("Interest And Investment Income*",'7.TIKR_IS'!$A:$K,COLUMN(H13),FALSE),"0")</f>
        <v>1499</v>
      </c>
      <c r="I13" s="51">
        <f>IFERROR(VLOOKUP("Interest And Investment Income*",'7.TIKR_IS'!$A:$K,COLUMN(I13),FALSE),"0")</f>
        <v>2174</v>
      </c>
      <c r="J13" s="51">
        <f>IFERROR(VLOOKUP("Interest And Investment Income*",'7.TIKR_IS'!$A:$K,COLUMN(J13),FALSE),"0")</f>
        <v>3865</v>
      </c>
      <c r="K13" s="51">
        <f>IFERROR(VLOOKUP("Interest And Investment Income*",'7.TIKR_IS'!$A:$K,COLUMN(K13),FALSE),"0")</f>
        <v>4482</v>
      </c>
      <c r="L13" s="52">
        <f>IFERROR('TIKR_Cálculos'!$B$26*'3.ROIC'!L5,"")</f>
        <v>1864.264123</v>
      </c>
      <c r="M13" s="53">
        <f>IFERROR('TIKR_Cálculos'!$B$26*'3.ROIC'!M5,"")</f>
        <v>2069.333177</v>
      </c>
      <c r="N13" s="53">
        <f>IFERROR('TIKR_Cálculos'!$B$26*'3.ROIC'!N5,"")</f>
        <v>2296.959826</v>
      </c>
      <c r="O13" s="53">
        <f>IFERROR('TIKR_Cálculos'!$B$26*'3.ROIC'!O5,"")</f>
        <v>2549.625407</v>
      </c>
      <c r="P13" s="54">
        <f>IFERROR('TIKR_Cálculos'!$B$26*'3.ROIC'!P5,"")</f>
        <v>2830.084202</v>
      </c>
      <c r="Q13" s="21"/>
      <c r="R13" s="64" t="s">
        <v>29</v>
      </c>
      <c r="S13" s="59"/>
      <c r="T13" s="20"/>
      <c r="U13" s="20"/>
      <c r="V13" s="20"/>
      <c r="W13" s="21"/>
      <c r="X13" s="21"/>
      <c r="Y13" s="21"/>
      <c r="Z13" s="21"/>
    </row>
    <row r="14" ht="24.75" customHeight="1">
      <c r="A14" s="30" t="s">
        <v>30</v>
      </c>
      <c r="B14" s="52">
        <f t="shared" ref="B14:K14" si="13">B12+B13</f>
        <v>895</v>
      </c>
      <c r="C14" s="53">
        <f t="shared" si="13"/>
        <v>1096</v>
      </c>
      <c r="D14" s="53">
        <f t="shared" si="13"/>
        <v>1203</v>
      </c>
      <c r="E14" s="53">
        <f t="shared" si="13"/>
        <v>1764</v>
      </c>
      <c r="F14" s="53">
        <f t="shared" si="13"/>
        <v>2327</v>
      </c>
      <c r="G14" s="53">
        <f t="shared" si="13"/>
        <v>1730</v>
      </c>
      <c r="H14" s="53">
        <f t="shared" si="13"/>
        <v>1153</v>
      </c>
      <c r="I14" s="53">
        <f t="shared" si="13"/>
        <v>1817</v>
      </c>
      <c r="J14" s="53">
        <f t="shared" si="13"/>
        <v>3557</v>
      </c>
      <c r="K14" s="53">
        <f t="shared" si="13"/>
        <v>4214</v>
      </c>
      <c r="L14" s="52">
        <f t="shared" ref="L14:P14" si="14">IFERROR(SUM(L12:L13),"")</f>
        <v>1580.444733</v>
      </c>
      <c r="M14" s="53">
        <f t="shared" si="14"/>
        <v>1744.422091</v>
      </c>
      <c r="N14" s="53">
        <f t="shared" si="14"/>
        <v>1924.267698</v>
      </c>
      <c r="O14" s="53">
        <f t="shared" si="14"/>
        <v>2131.063478</v>
      </c>
      <c r="P14" s="54">
        <f t="shared" si="14"/>
        <v>2360.874369</v>
      </c>
      <c r="Q14" s="21"/>
      <c r="S14" s="59"/>
      <c r="T14" s="20"/>
      <c r="U14" s="20"/>
      <c r="V14" s="20"/>
      <c r="W14" s="21"/>
      <c r="X14" s="21"/>
      <c r="Y14" s="21"/>
      <c r="Z14" s="21"/>
    </row>
    <row r="15" ht="24.75" customHeight="1">
      <c r="A15" s="30" t="s">
        <v>31</v>
      </c>
      <c r="B15" s="52">
        <f t="shared" ref="B15:P15" si="15">IFERROR(B9+B14,"")</f>
        <v>20255</v>
      </c>
      <c r="C15" s="53">
        <f t="shared" si="15"/>
        <v>24812</v>
      </c>
      <c r="D15" s="53">
        <f t="shared" si="15"/>
        <v>30117</v>
      </c>
      <c r="E15" s="53">
        <f t="shared" si="15"/>
        <v>34359</v>
      </c>
      <c r="F15" s="53">
        <f t="shared" si="15"/>
        <v>38255</v>
      </c>
      <c r="G15" s="53">
        <f t="shared" si="15"/>
        <v>42954</v>
      </c>
      <c r="H15" s="53">
        <f t="shared" si="15"/>
        <v>79867</v>
      </c>
      <c r="I15" s="53">
        <f t="shared" si="15"/>
        <v>76659</v>
      </c>
      <c r="J15" s="53">
        <f t="shared" si="15"/>
        <v>87850</v>
      </c>
      <c r="K15" s="53">
        <f t="shared" si="15"/>
        <v>118400</v>
      </c>
      <c r="L15" s="52">
        <f t="shared" si="15"/>
        <v>128626.4782</v>
      </c>
      <c r="M15" s="53">
        <f t="shared" si="15"/>
        <v>144921.8051</v>
      </c>
      <c r="N15" s="53">
        <f t="shared" si="15"/>
        <v>164202.0311</v>
      </c>
      <c r="O15" s="53">
        <f t="shared" si="15"/>
        <v>184916.1407</v>
      </c>
      <c r="P15" s="54">
        <f t="shared" si="15"/>
        <v>207611.5129</v>
      </c>
      <c r="Q15" s="21"/>
      <c r="S15" s="59"/>
      <c r="T15" s="20"/>
      <c r="U15" s="20"/>
      <c r="V15" s="20"/>
      <c r="W15" s="21"/>
      <c r="X15" s="21"/>
      <c r="Y15" s="21"/>
      <c r="Z15" s="21"/>
    </row>
    <row r="16" ht="24.75" customHeight="1">
      <c r="A16" s="49" t="s">
        <v>32</v>
      </c>
      <c r="B16" s="50">
        <f>IFERROR(VLOOKUP("Income Tax Expense*",'7.TIKR_IS'!$A:$K,COLUMN(B16),FALSE),"0")</f>
        <v>-3303</v>
      </c>
      <c r="C16" s="51">
        <f>IFERROR(VLOOKUP("Income Tax Expense*",'7.TIKR_IS'!$A:$K,COLUMN(C16),FALSE),"0")</f>
        <v>-4672</v>
      </c>
      <c r="D16" s="51">
        <f>IFERROR(VLOOKUP("Income Tax Expense*",'7.TIKR_IS'!$A:$K,COLUMN(D16),FALSE),"0")</f>
        <v>-14531</v>
      </c>
      <c r="E16" s="51">
        <f>IFERROR(VLOOKUP("Income Tax Expense*",'7.TIKR_IS'!$A:$K,COLUMN(E16),FALSE),"0")</f>
        <v>-4177</v>
      </c>
      <c r="F16" s="51">
        <f>IFERROR(VLOOKUP("Income Tax Expense*",'7.TIKR_IS'!$A:$K,COLUMN(F16),FALSE),"0")</f>
        <v>-5282</v>
      </c>
      <c r="G16" s="51">
        <f>IFERROR(VLOOKUP("Income Tax Expense*",'7.TIKR_IS'!$A:$K,COLUMN(G16),FALSE),"0")</f>
        <v>-7813</v>
      </c>
      <c r="H16" s="51">
        <f>IFERROR(VLOOKUP("Income Tax Expense*",'7.TIKR_IS'!$A:$K,COLUMN(H16),FALSE),"0")</f>
        <v>-14701</v>
      </c>
      <c r="I16" s="51">
        <f>IFERROR(VLOOKUP("Income Tax Expense*",'7.TIKR_IS'!$A:$K,COLUMN(I16),FALSE),"0")</f>
        <v>-11356</v>
      </c>
      <c r="J16" s="51">
        <f>IFERROR(VLOOKUP("Income Tax Expense*",'7.TIKR_IS'!$A:$K,COLUMN(J16),FALSE),"0")</f>
        <v>-11922</v>
      </c>
      <c r="K16" s="51">
        <f>IFERROR(VLOOKUP("Income Tax Expense*",'7.TIKR_IS'!$A:$K,COLUMN(K16),FALSE),"0")</f>
        <v>-19697</v>
      </c>
      <c r="L16" s="52">
        <f t="shared" ref="L16:P16" si="16">IFERROR(-L15*L17,"")</f>
        <v>-21480.62186</v>
      </c>
      <c r="M16" s="53">
        <f t="shared" si="16"/>
        <v>-24201.94146</v>
      </c>
      <c r="N16" s="53">
        <f t="shared" si="16"/>
        <v>-27421.7392</v>
      </c>
      <c r="O16" s="53">
        <f t="shared" si="16"/>
        <v>-30880.9955</v>
      </c>
      <c r="P16" s="54">
        <f t="shared" si="16"/>
        <v>-34671.12265</v>
      </c>
      <c r="Q16" s="21"/>
      <c r="R16" s="17"/>
      <c r="S16" s="59"/>
      <c r="T16" s="20"/>
      <c r="U16" s="20"/>
      <c r="V16" s="20"/>
      <c r="W16" s="21"/>
      <c r="X16" s="21"/>
      <c r="Y16" s="21"/>
      <c r="Z16" s="21"/>
    </row>
    <row r="17" ht="24.75" customHeight="1">
      <c r="A17" s="30" t="s">
        <v>33</v>
      </c>
      <c r="B17" s="31">
        <f t="shared" ref="B17:K17" si="17">IFERROR((ABS(B16)/B15),"")</f>
        <v>0.1630708467</v>
      </c>
      <c r="C17" s="32">
        <f t="shared" si="17"/>
        <v>0.1882959858</v>
      </c>
      <c r="D17" s="32">
        <f t="shared" si="17"/>
        <v>0.4824849753</v>
      </c>
      <c r="E17" s="32">
        <f t="shared" si="17"/>
        <v>0.1215693123</v>
      </c>
      <c r="F17" s="32">
        <f t="shared" si="17"/>
        <v>0.1380734545</v>
      </c>
      <c r="G17" s="32">
        <f t="shared" si="17"/>
        <v>0.1818922568</v>
      </c>
      <c r="H17" s="32">
        <f t="shared" si="17"/>
        <v>0.1840685139</v>
      </c>
      <c r="I17" s="33">
        <f t="shared" si="17"/>
        <v>0.1481365528</v>
      </c>
      <c r="J17" s="33">
        <f t="shared" si="17"/>
        <v>0.1357085942</v>
      </c>
      <c r="K17" s="33">
        <f t="shared" si="17"/>
        <v>0.1663597973</v>
      </c>
      <c r="L17" s="34">
        <v>0.167</v>
      </c>
      <c r="M17" s="35">
        <f t="shared" ref="M17:P17" si="18">L17</f>
        <v>0.167</v>
      </c>
      <c r="N17" s="35">
        <f t="shared" si="18"/>
        <v>0.167</v>
      </c>
      <c r="O17" s="35">
        <f t="shared" si="18"/>
        <v>0.167</v>
      </c>
      <c r="P17" s="36">
        <f t="shared" si="18"/>
        <v>0.167</v>
      </c>
      <c r="Q17" s="21"/>
      <c r="R17" s="21"/>
      <c r="S17" s="55"/>
      <c r="T17" s="20"/>
      <c r="U17" s="20"/>
      <c r="V17" s="20"/>
      <c r="W17" s="21"/>
      <c r="X17" s="21"/>
      <c r="Y17" s="21"/>
      <c r="Z17" s="21"/>
    </row>
    <row r="18" ht="24.75" customHeight="1">
      <c r="A18" s="30" t="s">
        <v>34</v>
      </c>
      <c r="B18" s="52">
        <f t="shared" ref="B18:K18" si="19">B15+B16</f>
        <v>16952</v>
      </c>
      <c r="C18" s="53">
        <f t="shared" si="19"/>
        <v>20140</v>
      </c>
      <c r="D18" s="53">
        <f t="shared" si="19"/>
        <v>15586</v>
      </c>
      <c r="E18" s="53">
        <f t="shared" si="19"/>
        <v>30182</v>
      </c>
      <c r="F18" s="53">
        <f t="shared" si="19"/>
        <v>32973</v>
      </c>
      <c r="G18" s="53">
        <f t="shared" si="19"/>
        <v>35141</v>
      </c>
      <c r="H18" s="53">
        <f t="shared" si="19"/>
        <v>65166</v>
      </c>
      <c r="I18" s="53">
        <f t="shared" si="19"/>
        <v>65303</v>
      </c>
      <c r="J18" s="53">
        <f t="shared" si="19"/>
        <v>75928</v>
      </c>
      <c r="K18" s="53">
        <f t="shared" si="19"/>
        <v>98703</v>
      </c>
      <c r="L18" s="52">
        <f t="shared" ref="L18:P18" si="20">IFERROR(L15+L16,"")</f>
        <v>107145.8563</v>
      </c>
      <c r="M18" s="53">
        <f t="shared" si="20"/>
        <v>120719.8637</v>
      </c>
      <c r="N18" s="53">
        <f t="shared" si="20"/>
        <v>136780.2919</v>
      </c>
      <c r="O18" s="53">
        <f t="shared" si="20"/>
        <v>154035.1452</v>
      </c>
      <c r="P18" s="54">
        <f t="shared" si="20"/>
        <v>172940.3902</v>
      </c>
      <c r="Q18" s="21"/>
      <c r="R18" s="21"/>
      <c r="S18" s="55"/>
      <c r="T18" s="20"/>
      <c r="U18" s="20"/>
      <c r="V18" s="20"/>
      <c r="W18" s="21"/>
      <c r="X18" s="21"/>
      <c r="Y18" s="21"/>
      <c r="Z18" s="21"/>
    </row>
    <row r="19" ht="24.75" customHeight="1">
      <c r="A19" s="49" t="s">
        <v>35</v>
      </c>
      <c r="B19" s="50" t="str">
        <f>IFERROR(VLOOKUP("Minority Interest*",'7.TIKR_IS'!$A:$K,COLUMN(B19),FALSE),"0")</f>
        <v>0</v>
      </c>
      <c r="C19" s="51" t="str">
        <f>IFERROR(VLOOKUP("Minority Interest*",'7.TIKR_IS'!$A:$K,COLUMN(C19),FALSE),"0")</f>
        <v>0</v>
      </c>
      <c r="D19" s="51" t="str">
        <f>IFERROR(VLOOKUP("Minority Interest*",'7.TIKR_IS'!$A:$K,COLUMN(D19),FALSE),"0")</f>
        <v>0</v>
      </c>
      <c r="E19" s="51" t="str">
        <f>IFERROR(VLOOKUP("Minority Interest*",'7.TIKR_IS'!$A:$K,COLUMN(E19),FALSE),"0")</f>
        <v>0</v>
      </c>
      <c r="F19" s="51" t="str">
        <f>IFERROR(VLOOKUP("Minority Interest*",'7.TIKR_IS'!$A:$K,COLUMN(F19),FALSE),"0")</f>
        <v>0</v>
      </c>
      <c r="G19" s="51" t="str">
        <f>IFERROR(VLOOKUP("Minority Interest*",'7.TIKR_IS'!$A:$K,COLUMN(G19),FALSE),"0")</f>
        <v>0</v>
      </c>
      <c r="H19" s="51" t="str">
        <f>IFERROR(VLOOKUP("Minority Interest*",'7.TIKR_IS'!$A:$K,COLUMN(H19),FALSE),"0")</f>
        <v>0</v>
      </c>
      <c r="I19" s="51" t="str">
        <f>IFERROR(VLOOKUP("Minority Interest*",'7.TIKR_IS'!$A:$K,COLUMN(I19),FALSE),"0")</f>
        <v>0</v>
      </c>
      <c r="J19" s="51" t="str">
        <f>IFERROR(VLOOKUP("Minority Interest*",'7.TIKR_IS'!$A:$K,COLUMN(J19),FALSE),"0")</f>
        <v>0</v>
      </c>
      <c r="K19" s="51" t="str">
        <f>IFERROR(VLOOKUP("Minority Interest*",'7.TIKR_IS'!$A:$K,COLUMN(K19),FALSE),"0")</f>
        <v>0</v>
      </c>
      <c r="L19" s="52">
        <f t="shared" ref="L19:P19" si="21">IFERROR(K19/K18*L18,"")</f>
        <v>0</v>
      </c>
      <c r="M19" s="53">
        <f t="shared" si="21"/>
        <v>0</v>
      </c>
      <c r="N19" s="53">
        <f t="shared" si="21"/>
        <v>0</v>
      </c>
      <c r="O19" s="53">
        <f t="shared" si="21"/>
        <v>0</v>
      </c>
      <c r="P19" s="54">
        <f t="shared" si="21"/>
        <v>0</v>
      </c>
      <c r="Q19" s="21"/>
      <c r="R19" s="21"/>
      <c r="S19" s="55"/>
      <c r="T19" s="20"/>
      <c r="U19" s="20"/>
      <c r="V19" s="20"/>
      <c r="W19" s="21"/>
      <c r="X19" s="21"/>
      <c r="Y19" s="21"/>
      <c r="Z19" s="21"/>
    </row>
    <row r="20" ht="24.75" customHeight="1">
      <c r="A20" s="30" t="s">
        <v>36</v>
      </c>
      <c r="B20" s="52">
        <f t="shared" ref="B20:K20" si="22">B18+B19</f>
        <v>16952</v>
      </c>
      <c r="C20" s="53">
        <f t="shared" si="22"/>
        <v>20140</v>
      </c>
      <c r="D20" s="53">
        <f t="shared" si="22"/>
        <v>15586</v>
      </c>
      <c r="E20" s="53">
        <f t="shared" si="22"/>
        <v>30182</v>
      </c>
      <c r="F20" s="53">
        <f t="shared" si="22"/>
        <v>32973</v>
      </c>
      <c r="G20" s="53">
        <f t="shared" si="22"/>
        <v>35141</v>
      </c>
      <c r="H20" s="53">
        <f t="shared" si="22"/>
        <v>65166</v>
      </c>
      <c r="I20" s="53">
        <f t="shared" si="22"/>
        <v>65303</v>
      </c>
      <c r="J20" s="53">
        <f t="shared" si="22"/>
        <v>75928</v>
      </c>
      <c r="K20" s="53">
        <f t="shared" si="22"/>
        <v>98703</v>
      </c>
      <c r="L20" s="52">
        <f t="shared" ref="L20:P20" si="23">IFERROR(L18+L19,"")</f>
        <v>107145.8563</v>
      </c>
      <c r="M20" s="53">
        <f t="shared" si="23"/>
        <v>120719.8637</v>
      </c>
      <c r="N20" s="53">
        <f t="shared" si="23"/>
        <v>136780.2919</v>
      </c>
      <c r="O20" s="53">
        <f t="shared" si="23"/>
        <v>154035.1452</v>
      </c>
      <c r="P20" s="54">
        <f t="shared" si="23"/>
        <v>172940.3902</v>
      </c>
      <c r="Q20" s="21"/>
      <c r="R20" s="21"/>
      <c r="S20" s="55"/>
      <c r="T20" s="20"/>
      <c r="U20" s="20"/>
      <c r="V20" s="20"/>
      <c r="W20" s="21"/>
      <c r="X20" s="21"/>
      <c r="Y20" s="21"/>
      <c r="Z20" s="21"/>
    </row>
    <row r="21" ht="24.75" customHeight="1">
      <c r="A21" s="30" t="s">
        <v>37</v>
      </c>
      <c r="B21" s="31">
        <f t="shared" ref="B21:P21" si="24">IFERROR(B20/B3,"")</f>
        <v>0.2260598221</v>
      </c>
      <c r="C21" s="32">
        <f t="shared" si="24"/>
        <v>0.2231035094</v>
      </c>
      <c r="D21" s="32">
        <f t="shared" si="24"/>
        <v>0.1405980786</v>
      </c>
      <c r="E21" s="32">
        <f t="shared" si="24"/>
        <v>0.2205980164</v>
      </c>
      <c r="F21" s="32">
        <f t="shared" si="24"/>
        <v>0.2037168612</v>
      </c>
      <c r="G21" s="32">
        <f t="shared" si="24"/>
        <v>0.1925249415</v>
      </c>
      <c r="H21" s="32">
        <f t="shared" si="24"/>
        <v>0.2529372722</v>
      </c>
      <c r="I21" s="32">
        <f t="shared" si="24"/>
        <v>0.2308864501</v>
      </c>
      <c r="J21" s="32">
        <f t="shared" si="24"/>
        <v>0.2470054718</v>
      </c>
      <c r="K21" s="32">
        <f t="shared" si="24"/>
        <v>0.2819940689</v>
      </c>
      <c r="L21" s="31">
        <f t="shared" si="24"/>
        <v>0.2757795271</v>
      </c>
      <c r="M21" s="32">
        <f t="shared" si="24"/>
        <v>0.2799254595</v>
      </c>
      <c r="N21" s="32">
        <f t="shared" si="24"/>
        <v>0.2857355067</v>
      </c>
      <c r="O21" s="32">
        <f t="shared" si="24"/>
        <v>0.2898928663</v>
      </c>
      <c r="P21" s="47">
        <f t="shared" si="24"/>
        <v>0.2932183609</v>
      </c>
      <c r="Q21" s="21"/>
      <c r="R21" s="21"/>
      <c r="S21" s="55"/>
      <c r="T21" s="20"/>
      <c r="U21" s="20"/>
      <c r="V21" s="20"/>
      <c r="W21" s="21"/>
      <c r="X21" s="21"/>
      <c r="Y21" s="21"/>
      <c r="Z21" s="21"/>
    </row>
    <row r="22" ht="24.75" customHeight="1">
      <c r="A22" s="30" t="s">
        <v>18</v>
      </c>
      <c r="B22" s="31"/>
      <c r="C22" s="32">
        <f t="shared" ref="C22:P22" si="25">IFERROR((C20-B20)/B20,"")</f>
        <v>0.1880604059</v>
      </c>
      <c r="D22" s="32">
        <f t="shared" si="25"/>
        <v>-0.2261171797</v>
      </c>
      <c r="E22" s="32">
        <f t="shared" si="25"/>
        <v>0.9364814577</v>
      </c>
      <c r="F22" s="32">
        <f t="shared" si="25"/>
        <v>0.0924723345</v>
      </c>
      <c r="G22" s="32">
        <f t="shared" si="25"/>
        <v>0.06575076578</v>
      </c>
      <c r="H22" s="32">
        <f t="shared" si="25"/>
        <v>0.8544150707</v>
      </c>
      <c r="I22" s="32">
        <f t="shared" si="25"/>
        <v>0.002102323297</v>
      </c>
      <c r="J22" s="32">
        <f t="shared" si="25"/>
        <v>0.1627030917</v>
      </c>
      <c r="K22" s="32">
        <f t="shared" si="25"/>
        <v>0.2999552207</v>
      </c>
      <c r="L22" s="31">
        <f t="shared" si="25"/>
        <v>0.08553799109</v>
      </c>
      <c r="M22" s="32">
        <f t="shared" si="25"/>
        <v>0.1266871888</v>
      </c>
      <c r="N22" s="32">
        <f t="shared" si="25"/>
        <v>0.1330388205</v>
      </c>
      <c r="O22" s="32">
        <f t="shared" si="25"/>
        <v>0.1261501424</v>
      </c>
      <c r="P22" s="47">
        <f t="shared" si="25"/>
        <v>0.1227333214</v>
      </c>
      <c r="Q22" s="21"/>
      <c r="R22" s="21"/>
      <c r="S22" s="55"/>
      <c r="T22" s="20"/>
      <c r="U22" s="20"/>
      <c r="V22" s="20"/>
      <c r="W22" s="21"/>
      <c r="X22" s="21"/>
      <c r="Y22" s="21"/>
      <c r="Z22" s="21"/>
    </row>
    <row r="23" ht="24.75" customHeight="1">
      <c r="A23" s="37" t="s">
        <v>38</v>
      </c>
      <c r="B23" s="65">
        <f t="shared" ref="B23:P23" si="26">IFERROR(B20/B25,"")</f>
        <v>1.22321158</v>
      </c>
      <c r="C23" s="66">
        <f t="shared" si="26"/>
        <v>1.441235656</v>
      </c>
      <c r="D23" s="66">
        <f t="shared" si="26"/>
        <v>1.107614727</v>
      </c>
      <c r="E23" s="66">
        <f t="shared" si="26"/>
        <v>2.14578727</v>
      </c>
      <c r="F23" s="66">
        <f t="shared" si="26"/>
        <v>2.360082799</v>
      </c>
      <c r="G23" s="66">
        <f t="shared" si="26"/>
        <v>2.557383014</v>
      </c>
      <c r="H23" s="66">
        <f t="shared" si="26"/>
        <v>4.808234339</v>
      </c>
      <c r="I23" s="66">
        <f t="shared" si="26"/>
        <v>4.962611141</v>
      </c>
      <c r="J23" s="66">
        <f t="shared" si="26"/>
        <v>5.968243987</v>
      </c>
      <c r="K23" s="66">
        <f t="shared" si="26"/>
        <v>7.929862617</v>
      </c>
      <c r="L23" s="65">
        <f t="shared" si="26"/>
        <v>8.783844016</v>
      </c>
      <c r="M23" s="66">
        <f t="shared" si="26"/>
        <v>10.09861686</v>
      </c>
      <c r="N23" s="66">
        <f t="shared" si="26"/>
        <v>11.67563769</v>
      </c>
      <c r="O23" s="66">
        <f t="shared" si="26"/>
        <v>13.41685821</v>
      </c>
      <c r="P23" s="67">
        <f t="shared" si="26"/>
        <v>15.37097324</v>
      </c>
      <c r="Q23" s="21"/>
      <c r="R23" s="21"/>
      <c r="S23" s="21"/>
      <c r="T23" s="20"/>
      <c r="U23" s="20"/>
      <c r="V23" s="20"/>
      <c r="W23" s="21"/>
      <c r="X23" s="21"/>
      <c r="Y23" s="21"/>
      <c r="Z23" s="21"/>
    </row>
    <row r="24" ht="24.75" customHeight="1">
      <c r="A24" s="30" t="s">
        <v>18</v>
      </c>
      <c r="B24" s="31"/>
      <c r="C24" s="32">
        <f t="shared" ref="C24:P24" si="27">IFERROR((C23-B23)/B23,"")</f>
        <v>0.1782390548</v>
      </c>
      <c r="D24" s="32">
        <f t="shared" si="27"/>
        <v>-0.2314825667</v>
      </c>
      <c r="E24" s="32">
        <f t="shared" si="27"/>
        <v>0.9373047484</v>
      </c>
      <c r="F24" s="32">
        <f t="shared" si="27"/>
        <v>0.09986802171</v>
      </c>
      <c r="G24" s="32">
        <f t="shared" si="27"/>
        <v>0.08359885298</v>
      </c>
      <c r="H24" s="32">
        <f t="shared" si="27"/>
        <v>0.8801385292</v>
      </c>
      <c r="I24" s="32">
        <f t="shared" si="27"/>
        <v>0.03210675489</v>
      </c>
      <c r="J24" s="32">
        <f t="shared" si="27"/>
        <v>0.202641879</v>
      </c>
      <c r="K24" s="32">
        <f t="shared" si="27"/>
        <v>0.3286760117</v>
      </c>
      <c r="L24" s="31">
        <f t="shared" si="27"/>
        <v>0.1076918276</v>
      </c>
      <c r="M24" s="32">
        <f t="shared" si="27"/>
        <v>0.1496808049</v>
      </c>
      <c r="N24" s="32">
        <f t="shared" si="27"/>
        <v>0.1561620617</v>
      </c>
      <c r="O24" s="32">
        <f t="shared" si="27"/>
        <v>0.1491327983</v>
      </c>
      <c r="P24" s="47">
        <f t="shared" si="27"/>
        <v>0.1456462463</v>
      </c>
      <c r="Q24" s="21"/>
      <c r="R24" s="21"/>
      <c r="S24" s="21"/>
      <c r="T24" s="20"/>
      <c r="U24" s="20"/>
      <c r="V24" s="20"/>
      <c r="W24" s="21"/>
      <c r="X24" s="21"/>
      <c r="Y24" s="21"/>
      <c r="Z24" s="21"/>
    </row>
    <row r="25" ht="24.75" customHeight="1">
      <c r="A25" s="49" t="s">
        <v>39</v>
      </c>
      <c r="B25" s="68">
        <f>IFERROR(VLOOKUP("*Diluted Shares Outstanding*",'7.TIKR_IS'!$A:$K,COLUMN(B25),FALSE),"0")</f>
        <v>13858.6</v>
      </c>
      <c r="C25" s="69">
        <f>IFERROR(VLOOKUP("*Diluted Shares Outstanding*",'7.TIKR_IS'!$A:$K,COLUMN(C25),FALSE),"0")</f>
        <v>13974.12</v>
      </c>
      <c r="D25" s="69">
        <f>IFERROR(VLOOKUP("*Diluted Shares Outstanding*",'7.TIKR_IS'!$A:$K,COLUMN(D25),FALSE),"0")</f>
        <v>14071.68</v>
      </c>
      <c r="E25" s="69">
        <f>IFERROR(VLOOKUP("*Diluted Shares Outstanding*",'7.TIKR_IS'!$A:$K,COLUMN(E25),FALSE),"0")</f>
        <v>14065.7</v>
      </c>
      <c r="F25" s="69">
        <f>IFERROR(VLOOKUP("*Diluted Shares Outstanding*",'7.TIKR_IS'!$A:$K,COLUMN(F25),FALSE),"0")</f>
        <v>13971.12</v>
      </c>
      <c r="G25" s="69">
        <f>IFERROR(VLOOKUP("*Diluted Shares Outstanding*",'7.TIKR_IS'!$A:$K,COLUMN(G25),FALSE),"0")</f>
        <v>13741</v>
      </c>
      <c r="H25" s="69">
        <f>IFERROR(VLOOKUP("*Diluted Shares Outstanding*",'7.TIKR_IS'!$A:$K,COLUMN(H25),FALSE),"0")</f>
        <v>13553</v>
      </c>
      <c r="I25" s="69">
        <f>IFERROR(VLOOKUP("*Diluted Shares Outstanding*",'7.TIKR_IS'!$A:$K,COLUMN(I25),FALSE),"0")</f>
        <v>13159</v>
      </c>
      <c r="J25" s="69">
        <f>IFERROR(VLOOKUP("*Diluted Shares Outstanding*",'7.TIKR_IS'!$A:$K,COLUMN(J25),FALSE),"0")</f>
        <v>12722</v>
      </c>
      <c r="K25" s="69">
        <f>IFERROR(VLOOKUP("*Diluted Shares Outstanding*",'7.TIKR_IS'!$A:$K,COLUMN(K25),FALSE),"0")</f>
        <v>12447</v>
      </c>
      <c r="L25" s="70">
        <f t="shared" ref="L25:P25" si="28">IFERROR(K25*(1+L26),"")</f>
        <v>12198.06</v>
      </c>
      <c r="M25" s="71">
        <f t="shared" si="28"/>
        <v>11954.0988</v>
      </c>
      <c r="N25" s="71">
        <f t="shared" si="28"/>
        <v>11715.01682</v>
      </c>
      <c r="O25" s="71">
        <f t="shared" si="28"/>
        <v>11480.71649</v>
      </c>
      <c r="P25" s="72">
        <f t="shared" si="28"/>
        <v>11251.10216</v>
      </c>
      <c r="Q25" s="21"/>
      <c r="R25" s="21"/>
      <c r="S25" s="55"/>
      <c r="T25" s="20"/>
      <c r="U25" s="20"/>
      <c r="V25" s="20"/>
      <c r="W25" s="21"/>
      <c r="X25" s="21"/>
      <c r="Y25" s="21"/>
      <c r="Z25" s="21"/>
    </row>
    <row r="26" ht="24.75" customHeight="1">
      <c r="A26" s="30" t="s">
        <v>18</v>
      </c>
      <c r="B26" s="31"/>
      <c r="C26" s="32">
        <f t="shared" ref="C26:K26" si="29">IFERROR((C25-B25)/B25,"")</f>
        <v>0.008335618316</v>
      </c>
      <c r="D26" s="32">
        <f t="shared" si="29"/>
        <v>0.006981477188</v>
      </c>
      <c r="E26" s="32">
        <f t="shared" si="29"/>
        <v>-0.000424967026</v>
      </c>
      <c r="F26" s="32">
        <f t="shared" si="29"/>
        <v>-0.006724158769</v>
      </c>
      <c r="G26" s="32">
        <f t="shared" si="29"/>
        <v>-0.01647112043</v>
      </c>
      <c r="H26" s="32">
        <f t="shared" si="29"/>
        <v>-0.01368168256</v>
      </c>
      <c r="I26" s="33">
        <f t="shared" si="29"/>
        <v>-0.02907105438</v>
      </c>
      <c r="J26" s="33">
        <f t="shared" si="29"/>
        <v>-0.03320921043</v>
      </c>
      <c r="K26" s="33">
        <f t="shared" si="29"/>
        <v>-0.0216160981</v>
      </c>
      <c r="L26" s="73">
        <f>S6</f>
        <v>-0.02</v>
      </c>
      <c r="M26" s="35">
        <f t="shared" ref="M26:P26" si="30">L26</f>
        <v>-0.02</v>
      </c>
      <c r="N26" s="35">
        <f t="shared" si="30"/>
        <v>-0.02</v>
      </c>
      <c r="O26" s="35">
        <f t="shared" si="30"/>
        <v>-0.02</v>
      </c>
      <c r="P26" s="36">
        <f t="shared" si="30"/>
        <v>-0.02</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4"/>
      <c r="B29" s="74"/>
      <c r="C29" s="74"/>
      <c r="D29" s="74"/>
      <c r="E29" s="74"/>
      <c r="F29" s="74"/>
      <c r="G29" s="74"/>
      <c r="H29" s="74"/>
      <c r="I29" s="74"/>
      <c r="J29" s="74"/>
      <c r="K29" s="74"/>
      <c r="L29" s="74"/>
      <c r="M29" s="74"/>
      <c r="N29" s="74"/>
      <c r="O29" s="74"/>
      <c r="P29" s="74"/>
      <c r="Q29" s="74"/>
      <c r="R29" s="74"/>
      <c r="S29" s="74"/>
      <c r="T29" s="75"/>
      <c r="U29" s="75"/>
      <c r="V29" s="75"/>
      <c r="W29" s="74"/>
      <c r="X29" s="74"/>
      <c r="Y29" s="74"/>
      <c r="Z29" s="74"/>
    </row>
    <row r="30" ht="19.5" hidden="1" customHeight="1">
      <c r="A30" s="74"/>
      <c r="B30" s="74"/>
      <c r="C30" s="74"/>
      <c r="D30" s="74"/>
      <c r="E30" s="74"/>
      <c r="F30" s="74"/>
      <c r="G30" s="74"/>
      <c r="H30" s="74"/>
      <c r="I30" s="74"/>
      <c r="J30" s="74"/>
      <c r="K30" s="74"/>
      <c r="L30" s="74"/>
      <c r="M30" s="74"/>
      <c r="N30" s="74"/>
      <c r="O30" s="74"/>
      <c r="P30" s="74"/>
      <c r="Q30" s="74"/>
      <c r="R30" s="74"/>
      <c r="S30" s="74"/>
      <c r="T30" s="75"/>
      <c r="U30" s="75"/>
      <c r="V30" s="75"/>
      <c r="W30" s="74"/>
      <c r="X30" s="74"/>
      <c r="Y30" s="74"/>
      <c r="Z30" s="74"/>
    </row>
    <row r="31" ht="19.5" hidden="1" customHeight="1">
      <c r="A31" s="74"/>
      <c r="B31" s="74"/>
      <c r="C31" s="74"/>
      <c r="D31" s="74"/>
      <c r="E31" s="74"/>
      <c r="F31" s="74"/>
      <c r="G31" s="74"/>
      <c r="H31" s="74"/>
      <c r="I31" s="74"/>
      <c r="J31" s="74"/>
      <c r="K31" s="74"/>
      <c r="L31" s="74"/>
      <c r="M31" s="74"/>
      <c r="N31" s="74"/>
      <c r="O31" s="74"/>
      <c r="P31" s="74"/>
      <c r="Q31" s="74"/>
      <c r="R31" s="74"/>
      <c r="S31" s="74"/>
      <c r="T31" s="75"/>
      <c r="U31" s="75"/>
      <c r="V31" s="75"/>
      <c r="W31" s="74"/>
      <c r="X31" s="74"/>
      <c r="Y31" s="74"/>
      <c r="Z31" s="74"/>
    </row>
    <row r="32" ht="19.5" hidden="1" customHeight="1">
      <c r="A32" s="74"/>
      <c r="B32" s="74"/>
      <c r="C32" s="74"/>
      <c r="D32" s="74"/>
      <c r="E32" s="74"/>
      <c r="F32" s="74"/>
      <c r="G32" s="74"/>
      <c r="H32" s="74"/>
      <c r="I32" s="74"/>
      <c r="J32" s="74"/>
      <c r="K32" s="74"/>
      <c r="L32" s="74"/>
      <c r="M32" s="74"/>
      <c r="N32" s="74"/>
      <c r="O32" s="74"/>
      <c r="P32" s="74"/>
      <c r="Q32" s="74"/>
      <c r="R32" s="74"/>
      <c r="S32" s="74"/>
      <c r="T32" s="75"/>
      <c r="U32" s="75"/>
      <c r="V32" s="75"/>
      <c r="W32" s="74"/>
      <c r="X32" s="74"/>
      <c r="Y32" s="74"/>
      <c r="Z32" s="74"/>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6"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7" t="s">
        <v>41</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21"/>
      <c r="S2" s="21"/>
      <c r="T2" s="21"/>
      <c r="U2" s="21"/>
      <c r="V2" s="21"/>
      <c r="W2" s="21"/>
      <c r="X2" s="21"/>
      <c r="Y2" s="21"/>
      <c r="Z2" s="21"/>
    </row>
    <row r="3" ht="27.75" customHeight="1">
      <c r="A3" s="81" t="s">
        <v>20</v>
      </c>
      <c r="B3" s="82">
        <f>'1.IS'!B5</f>
        <v>24384</v>
      </c>
      <c r="C3" s="83">
        <f>'1.IS'!C5</f>
        <v>29816</v>
      </c>
      <c r="D3" s="83">
        <f>'1.IS'!D5</f>
        <v>35813</v>
      </c>
      <c r="E3" s="83">
        <f>'1.IS'!E5</f>
        <v>41624</v>
      </c>
      <c r="F3" s="83">
        <f>'1.IS'!F5</f>
        <v>47579</v>
      </c>
      <c r="G3" s="83">
        <f>'1.IS'!G5</f>
        <v>54903</v>
      </c>
      <c r="H3" s="83">
        <f>'1.IS'!H5</f>
        <v>88987</v>
      </c>
      <c r="I3" s="83">
        <f>'1.IS'!I5</f>
        <v>88317</v>
      </c>
      <c r="J3" s="83">
        <f>'1.IS'!J5</f>
        <v>96239</v>
      </c>
      <c r="K3" s="83">
        <f>'1.IS'!K5</f>
        <v>129497</v>
      </c>
      <c r="L3" s="82">
        <f>'1.IS'!L5</f>
        <v>148500</v>
      </c>
      <c r="M3" s="83">
        <f>'1.IS'!M5</f>
        <v>170000</v>
      </c>
      <c r="N3" s="83">
        <f>'1.IS'!N5</f>
        <v>195000</v>
      </c>
      <c r="O3" s="83">
        <f>'1.IS'!O5</f>
        <v>219000</v>
      </c>
      <c r="P3" s="84">
        <f>'1.IS'!P5</f>
        <v>245500</v>
      </c>
      <c r="Q3" s="85"/>
      <c r="R3" s="21"/>
      <c r="S3" s="21"/>
      <c r="T3" s="21"/>
      <c r="U3" s="21"/>
      <c r="V3" s="21"/>
      <c r="W3" s="21"/>
      <c r="X3" s="21"/>
      <c r="Y3" s="21"/>
      <c r="Z3" s="21"/>
    </row>
    <row r="4" ht="24.75" customHeight="1">
      <c r="A4" s="86" t="s">
        <v>42</v>
      </c>
      <c r="B4" s="87">
        <f>IFERROR(VLOOKUP("CapEx Mantenimiento",'TIKR_Cálculos'!$A:$K,COLUMN(B4),FALSE),"0")</f>
        <v>-4132</v>
      </c>
      <c r="C4" s="88">
        <f>IFERROR(VLOOKUP("CapEx Mantenimiento",'TIKR_Cálculos'!$A:$K,COLUMN(C4),FALSE),"0")</f>
        <v>-5267</v>
      </c>
      <c r="D4" s="88">
        <f>IFERROR(VLOOKUP("CapEx Mantenimiento",'TIKR_Cálculos'!$A:$K,COLUMN(D4),FALSE),"0")</f>
        <v>-6103</v>
      </c>
      <c r="E4" s="88">
        <f>IFERROR(VLOOKUP("CapEx Mantenimiento",'TIKR_Cálculos'!$A:$K,COLUMN(E4),FALSE),"0")</f>
        <v>-8164</v>
      </c>
      <c r="F4" s="88">
        <f>IFERROR(VLOOKUP("CapEx Mantenimiento",'TIKR_Cálculos'!$A:$K,COLUMN(F4),FALSE),"0")</f>
        <v>-10856</v>
      </c>
      <c r="G4" s="88">
        <f>IFERROR(VLOOKUP("CapEx Mantenimiento",'TIKR_Cálculos'!$A:$K,COLUMN(G4),FALSE),"0")</f>
        <v>-12905</v>
      </c>
      <c r="H4" s="88">
        <f>IFERROR(VLOOKUP("CapEx Mantenimiento",'TIKR_Cálculos'!$A:$K,COLUMN(H4),FALSE),"0")</f>
        <v>-10273</v>
      </c>
      <c r="I4" s="88">
        <f>IFERROR(VLOOKUP("CapEx Mantenimiento",'TIKR_Cálculos'!$A:$K,COLUMN(I4),FALSE),"0")</f>
        <v>-13475</v>
      </c>
      <c r="J4" s="88">
        <f>IFERROR(VLOOKUP("CapEx Mantenimiento",'TIKR_Cálculos'!$A:$K,COLUMN(J4),FALSE),"0")</f>
        <v>-11946</v>
      </c>
      <c r="K4" s="88">
        <f>IFERROR(VLOOKUP("CapEx Mantenimiento",'TIKR_Cálculos'!$A:$K,COLUMN(K4),FALSE),"0")</f>
        <v>-15311</v>
      </c>
      <c r="L4" s="89">
        <f>IFERROR(-L22*'1.IS'!L3,"")</f>
        <v>-17483.3991</v>
      </c>
      <c r="M4" s="90">
        <f>IFERROR(-M22*'1.IS'!M3,"")</f>
        <v>-19406.573</v>
      </c>
      <c r="N4" s="90">
        <f>IFERROR(-N22*'1.IS'!N3,"")</f>
        <v>-21541.29603</v>
      </c>
      <c r="O4" s="90">
        <f>IFERROR(-O22*'1.IS'!O3,"")</f>
        <v>-23910.83859</v>
      </c>
      <c r="P4" s="91">
        <f>IFERROR(-P22*'1.IS'!P3,"")</f>
        <v>-26541.03084</v>
      </c>
      <c r="Q4" s="92"/>
      <c r="R4" s="21"/>
      <c r="S4" s="21"/>
      <c r="T4" s="21"/>
      <c r="U4" s="21"/>
      <c r="V4" s="21"/>
      <c r="W4" s="21"/>
      <c r="X4" s="21"/>
      <c r="Y4" s="21"/>
      <c r="Z4" s="21"/>
    </row>
    <row r="5" ht="24.75" customHeight="1">
      <c r="A5" s="4" t="s">
        <v>43</v>
      </c>
      <c r="B5" s="89">
        <f>'1.IS'!B14</f>
        <v>895</v>
      </c>
      <c r="C5" s="90">
        <f>'1.IS'!C14</f>
        <v>1096</v>
      </c>
      <c r="D5" s="90">
        <f>'1.IS'!D14</f>
        <v>1203</v>
      </c>
      <c r="E5" s="90">
        <f>'1.IS'!E14</f>
        <v>1764</v>
      </c>
      <c r="F5" s="90">
        <f>'1.IS'!F14</f>
        <v>2327</v>
      </c>
      <c r="G5" s="90">
        <f>'1.IS'!G14</f>
        <v>1730</v>
      </c>
      <c r="H5" s="90">
        <f>'1.IS'!H14</f>
        <v>1153</v>
      </c>
      <c r="I5" s="90">
        <f>'1.IS'!I14</f>
        <v>1817</v>
      </c>
      <c r="J5" s="90">
        <f>'1.IS'!J14</f>
        <v>3557</v>
      </c>
      <c r="K5" s="90">
        <f>'1.IS'!K14</f>
        <v>4214</v>
      </c>
      <c r="L5" s="89">
        <f>'1.IS'!L14</f>
        <v>1580.444733</v>
      </c>
      <c r="M5" s="90">
        <f>'1.IS'!M14</f>
        <v>1744.422091</v>
      </c>
      <c r="N5" s="90">
        <f>'1.IS'!N14</f>
        <v>1924.267698</v>
      </c>
      <c r="O5" s="90">
        <f>'1.IS'!O14</f>
        <v>2131.063478</v>
      </c>
      <c r="P5" s="91">
        <f>'1.IS'!P14</f>
        <v>2360.874369</v>
      </c>
      <c r="Q5" s="92"/>
      <c r="R5" s="21"/>
      <c r="S5" s="21"/>
      <c r="T5" s="21"/>
      <c r="U5" s="21"/>
      <c r="V5" s="21"/>
      <c r="W5" s="21"/>
      <c r="X5" s="21"/>
      <c r="Y5" s="21"/>
      <c r="Z5" s="21"/>
    </row>
    <row r="6" ht="24.75" customHeight="1">
      <c r="A6" s="4" t="s">
        <v>44</v>
      </c>
      <c r="B6" s="89">
        <f>'1.IS'!B16</f>
        <v>-3303</v>
      </c>
      <c r="C6" s="90">
        <f>'1.IS'!C16</f>
        <v>-4672</v>
      </c>
      <c r="D6" s="90">
        <f>'1.IS'!D16</f>
        <v>-14531</v>
      </c>
      <c r="E6" s="90">
        <f>'1.IS'!E16</f>
        <v>-4177</v>
      </c>
      <c r="F6" s="90">
        <f>'1.IS'!F16</f>
        <v>-5282</v>
      </c>
      <c r="G6" s="90">
        <f>'1.IS'!G16</f>
        <v>-7813</v>
      </c>
      <c r="H6" s="90">
        <f>'1.IS'!H16</f>
        <v>-14701</v>
      </c>
      <c r="I6" s="90">
        <f>'1.IS'!I16</f>
        <v>-11356</v>
      </c>
      <c r="J6" s="90">
        <f>'1.IS'!J16</f>
        <v>-11922</v>
      </c>
      <c r="K6" s="90">
        <f>'1.IS'!K16</f>
        <v>-19697</v>
      </c>
      <c r="L6" s="89">
        <f>'1.IS'!L16</f>
        <v>-21480.62186</v>
      </c>
      <c r="M6" s="90">
        <f>'1.IS'!M16</f>
        <v>-24201.94146</v>
      </c>
      <c r="N6" s="90">
        <f>'1.IS'!N16</f>
        <v>-27421.7392</v>
      </c>
      <c r="O6" s="90">
        <f>'1.IS'!O16</f>
        <v>-30880.9955</v>
      </c>
      <c r="P6" s="91">
        <f>'1.IS'!P16</f>
        <v>-34671.12265</v>
      </c>
      <c r="Q6" s="92"/>
      <c r="R6" s="21"/>
      <c r="S6" s="21"/>
      <c r="T6" s="21"/>
      <c r="U6" s="21"/>
      <c r="V6" s="21"/>
      <c r="W6" s="21"/>
      <c r="X6" s="21"/>
      <c r="Y6" s="21"/>
      <c r="Z6" s="21"/>
    </row>
    <row r="7" ht="24.75" customHeight="1">
      <c r="A7" s="86" t="s">
        <v>45</v>
      </c>
      <c r="B7" s="87">
        <f>IFERROR(VLOOKUP("Inventory*",'8.TIKR_BS'!$A:$K,COLUMN(B7),FALSE),"0")</f>
        <v>491</v>
      </c>
      <c r="C7" s="88">
        <f>IFERROR(VLOOKUP("Inventory*",'8.TIKR_BS'!$A:$K,COLUMN(C7),FALSE),"0")</f>
        <v>268</v>
      </c>
      <c r="D7" s="88">
        <f>IFERROR(VLOOKUP("Inventory*",'8.TIKR_BS'!$A:$K,COLUMN(D7),FALSE),"0")</f>
        <v>749</v>
      </c>
      <c r="E7" s="88">
        <f>IFERROR(VLOOKUP("Inventory*",'8.TIKR_BS'!$A:$K,COLUMN(E7),FALSE),"0")</f>
        <v>1107</v>
      </c>
      <c r="F7" s="88">
        <f>IFERROR(VLOOKUP("Inventory*",'8.TIKR_BS'!$A:$K,COLUMN(F7),FALSE),"0")</f>
        <v>999</v>
      </c>
      <c r="G7" s="88">
        <f>IFERROR(VLOOKUP("Inventory*",'8.TIKR_BS'!$A:$K,COLUMN(G7),FALSE),"0")</f>
        <v>728</v>
      </c>
      <c r="H7" s="88">
        <f>IFERROR(VLOOKUP("Inventory*",'8.TIKR_BS'!$A:$K,COLUMN(H7),FALSE),"0")</f>
        <v>1170</v>
      </c>
      <c r="I7" s="88" t="str">
        <f>IFERROR(VLOOKUP("Inventory*",'8.TIKR_BS'!$A:$K,COLUMN(I7),FALSE),"0")</f>
        <v/>
      </c>
      <c r="J7" s="88" t="str">
        <f>IFERROR(VLOOKUP("Inventory*",'8.TIKR_BS'!$A:$K,COLUMN(J7),FALSE),"0")</f>
        <v/>
      </c>
      <c r="K7" s="88" t="str">
        <f>IFERROR(VLOOKUP("Inventory*",'8.TIKR_BS'!$A:$K,COLUMN(K7),FALSE),"0")</f>
        <v/>
      </c>
      <c r="L7" s="89"/>
      <c r="M7" s="90"/>
      <c r="N7" s="90"/>
      <c r="O7" s="90"/>
      <c r="P7" s="91"/>
      <c r="Q7" s="92"/>
      <c r="R7" s="21"/>
      <c r="S7" s="21"/>
      <c r="T7" s="21"/>
      <c r="U7" s="21"/>
      <c r="V7" s="21"/>
      <c r="W7" s="21"/>
      <c r="X7" s="21"/>
      <c r="Y7" s="21"/>
      <c r="Z7" s="21"/>
    </row>
    <row r="8" ht="24.75" customHeight="1">
      <c r="A8" s="86" t="s">
        <v>46</v>
      </c>
      <c r="B8" s="87">
        <f>IFERROR(VLOOKUP("Accounts Receivable*",'8.TIKR_BS'!$A:$K,COLUMN(B8),FALSE),"0")</f>
        <v>11556</v>
      </c>
      <c r="C8" s="88">
        <f>IFERROR(VLOOKUP("Accounts Receivable*",'8.TIKR_BS'!$A:$K,COLUMN(C8),FALSE),"0")</f>
        <v>14137</v>
      </c>
      <c r="D8" s="88">
        <f>IFERROR(VLOOKUP("Accounts Receivable*",'8.TIKR_BS'!$A:$K,COLUMN(D8),FALSE),"0")</f>
        <v>18336</v>
      </c>
      <c r="E8" s="88">
        <f>IFERROR(VLOOKUP("Accounts Receivable*",'8.TIKR_BS'!$A:$K,COLUMN(E8),FALSE),"0")</f>
        <v>20838</v>
      </c>
      <c r="F8" s="88">
        <f>IFERROR(VLOOKUP("Accounts Receivable*",'8.TIKR_BS'!$A:$K,COLUMN(F8),FALSE),"0")</f>
        <v>25326</v>
      </c>
      <c r="G8" s="88">
        <f>IFERROR(VLOOKUP("Accounts Receivable*",'8.TIKR_BS'!$A:$K,COLUMN(G8),FALSE),"0")</f>
        <v>30930</v>
      </c>
      <c r="H8" s="88">
        <f>IFERROR(VLOOKUP("Accounts Receivable*",'8.TIKR_BS'!$A:$K,COLUMN(H8),FALSE),"0")</f>
        <v>39304</v>
      </c>
      <c r="I8" s="88">
        <f>IFERROR(VLOOKUP("Accounts Receivable*",'8.TIKR_BS'!$A:$K,COLUMN(I8),FALSE),"0")</f>
        <v>40258</v>
      </c>
      <c r="J8" s="88">
        <f>IFERROR(VLOOKUP("Accounts Receivable*",'8.TIKR_BS'!$A:$K,COLUMN(J8),FALSE),"0")</f>
        <v>47964</v>
      </c>
      <c r="K8" s="88">
        <f>IFERROR(VLOOKUP("Accounts Receivable*",'8.TIKR_BS'!$A:$K,COLUMN(K8),FALSE),"0")</f>
        <v>52340</v>
      </c>
      <c r="L8" s="89"/>
      <c r="M8" s="90"/>
      <c r="N8" s="90"/>
      <c r="O8" s="90"/>
      <c r="P8" s="91"/>
      <c r="Q8" s="92"/>
      <c r="R8" s="21"/>
      <c r="S8" s="21"/>
      <c r="T8" s="21"/>
      <c r="U8" s="21"/>
      <c r="V8" s="21"/>
      <c r="W8" s="21"/>
      <c r="X8" s="21"/>
      <c r="Y8" s="21"/>
      <c r="Z8" s="21"/>
    </row>
    <row r="9" ht="24.75" customHeight="1">
      <c r="A9" s="86" t="s">
        <v>47</v>
      </c>
      <c r="B9" s="87">
        <f>IFERROR(VLOOKUP("Accounts Payable*",'8.TIKR_BS'!$A:$K,COLUMN(B9),FALSE),"0")</f>
        <v>1931</v>
      </c>
      <c r="C9" s="88">
        <f>IFERROR(VLOOKUP("Accounts Payable*",'8.TIKR_BS'!$A:$K,COLUMN(C9),FALSE),"0")</f>
        <v>2041</v>
      </c>
      <c r="D9" s="88">
        <f>IFERROR(VLOOKUP("Accounts Payable*",'8.TIKR_BS'!$A:$K,COLUMN(D9),FALSE),"0")</f>
        <v>3137</v>
      </c>
      <c r="E9" s="88">
        <f>IFERROR(VLOOKUP("Accounts Payable*",'8.TIKR_BS'!$A:$K,COLUMN(E9),FALSE),"0")</f>
        <v>4378</v>
      </c>
      <c r="F9" s="88">
        <f>IFERROR(VLOOKUP("Accounts Payable*",'8.TIKR_BS'!$A:$K,COLUMN(F9),FALSE),"0")</f>
        <v>5561</v>
      </c>
      <c r="G9" s="88">
        <f>IFERROR(VLOOKUP("Accounts Payable*",'8.TIKR_BS'!$A:$K,COLUMN(G9),FALSE),"0")</f>
        <v>5589</v>
      </c>
      <c r="H9" s="88">
        <f>IFERROR(VLOOKUP("Accounts Payable*",'8.TIKR_BS'!$A:$K,COLUMN(H9),FALSE),"0")</f>
        <v>6037</v>
      </c>
      <c r="I9" s="88">
        <f>IFERROR(VLOOKUP("Accounts Payable*",'8.TIKR_BS'!$A:$K,COLUMN(I9),FALSE),"0")</f>
        <v>5128</v>
      </c>
      <c r="J9" s="88">
        <f>IFERROR(VLOOKUP("Accounts Payable*",'8.TIKR_BS'!$A:$K,COLUMN(J9),FALSE),"0")</f>
        <v>7493</v>
      </c>
      <c r="K9" s="88">
        <f>IFERROR(VLOOKUP("Accounts Payable*",'8.TIKR_BS'!$A:$K,COLUMN(K9),FALSE),"0")</f>
        <v>7987</v>
      </c>
      <c r="L9" s="89"/>
      <c r="M9" s="90"/>
      <c r="N9" s="90"/>
      <c r="O9" s="90"/>
      <c r="P9" s="91"/>
      <c r="Q9" s="92"/>
      <c r="R9" s="21"/>
      <c r="S9" s="21"/>
      <c r="T9" s="21"/>
      <c r="U9" s="21"/>
      <c r="V9" s="21"/>
      <c r="W9" s="21"/>
      <c r="X9" s="21"/>
      <c r="Y9" s="21"/>
      <c r="Z9" s="21"/>
    </row>
    <row r="10" ht="24.75" customHeight="1">
      <c r="A10" s="86" t="s">
        <v>48</v>
      </c>
      <c r="B10" s="87">
        <f>IFERROR(VLOOKUP("Unearned Revenue Current*",'8.TIKR_BS'!$A:$K,COLUMN(B9),FALSE),"0")+IFERROR(VLOOKUP("Unearned Revenue Non Current*",'8.TIKR_BS'!$A:$K,COLUMN(B9),FALSE),"0")</f>
        <v>939</v>
      </c>
      <c r="C10" s="88">
        <f>IFERROR(VLOOKUP("Unearned Revenue Current*",'8.TIKR_BS'!$A:$K,COLUMN(C9),FALSE),"0")+IFERROR(VLOOKUP("Unearned Revenue Non Current*",'8.TIKR_BS'!$A:$K,COLUMN(C9),FALSE),"0")</f>
        <v>1301</v>
      </c>
      <c r="D10" s="88">
        <f>IFERROR(VLOOKUP("Unearned Revenue Current*",'8.TIKR_BS'!$A:$K,COLUMN(D9),FALSE),"0")+IFERROR(VLOOKUP("Unearned Revenue Non Current*",'8.TIKR_BS'!$A:$K,COLUMN(D9),FALSE),"0")</f>
        <v>1772</v>
      </c>
      <c r="E10" s="88">
        <f>IFERROR(VLOOKUP("Unearned Revenue Current*",'8.TIKR_BS'!$A:$K,COLUMN(E9),FALSE),"0")+IFERROR(VLOOKUP("Unearned Revenue Non Current*",'8.TIKR_BS'!$A:$K,COLUMN(E9),FALSE),"0")</f>
        <v>2180</v>
      </c>
      <c r="F10" s="88">
        <f>IFERROR(VLOOKUP("Unearned Revenue Current*",'8.TIKR_BS'!$A:$K,COLUMN(F9),FALSE),"0")+IFERROR(VLOOKUP("Unearned Revenue Non Current*",'8.TIKR_BS'!$A:$K,COLUMN(F9),FALSE),"0")</f>
        <v>2266</v>
      </c>
      <c r="G10" s="88">
        <f>IFERROR(VLOOKUP("Unearned Revenue Current*",'8.TIKR_BS'!$A:$K,COLUMN(G9),FALSE),"0")+IFERROR(VLOOKUP("Unearned Revenue Non Current*",'8.TIKR_BS'!$A:$K,COLUMN(G9),FALSE),"0")</f>
        <v>3024</v>
      </c>
      <c r="H10" s="88">
        <f>IFERROR(VLOOKUP("Unearned Revenue Current*",'8.TIKR_BS'!$A:$K,COLUMN(H9),FALSE),"0")+IFERROR(VLOOKUP("Unearned Revenue Non Current*",'8.TIKR_BS'!$A:$K,COLUMN(H9),FALSE),"0")</f>
        <v>3823</v>
      </c>
      <c r="I10" s="88">
        <f>IFERROR(VLOOKUP("Unearned Revenue Current*",'8.TIKR_BS'!$A:$K,COLUMN(I9),FALSE),"0")+IFERROR(VLOOKUP("Unearned Revenue Non Current*",'8.TIKR_BS'!$A:$K,COLUMN(I9),FALSE),"0")</f>
        <v>4507</v>
      </c>
      <c r="J10" s="88">
        <f>IFERROR(VLOOKUP("Unearned Revenue Current*",'8.TIKR_BS'!$A:$K,COLUMN(J9),FALSE),"0")+IFERROR(VLOOKUP("Unearned Revenue Non Current*",'8.TIKR_BS'!$A:$K,COLUMN(J9),FALSE),"0")</f>
        <v>4137</v>
      </c>
      <c r="K10" s="88">
        <f>IFERROR(VLOOKUP("Unearned Revenue Current*",'8.TIKR_BS'!$A:$K,COLUMN(K9),FALSE),"0")+IFERROR(VLOOKUP("Unearned Revenue Non Current*",'8.TIKR_BS'!$A:$K,COLUMN(K9),FALSE),"0")</f>
        <v>5036</v>
      </c>
      <c r="L10" s="89"/>
      <c r="M10" s="90"/>
      <c r="N10" s="90"/>
      <c r="O10" s="90"/>
      <c r="P10" s="91"/>
      <c r="Q10" s="92"/>
      <c r="R10" s="21"/>
      <c r="S10" s="21"/>
      <c r="T10" s="21"/>
      <c r="U10" s="21"/>
      <c r="V10" s="21"/>
      <c r="W10" s="21"/>
      <c r="X10" s="21"/>
      <c r="Y10" s="21"/>
      <c r="Z10" s="21"/>
    </row>
    <row r="11" ht="24.75" customHeight="1">
      <c r="A11" s="4" t="s">
        <v>49</v>
      </c>
      <c r="B11" s="89">
        <f t="shared" ref="B11:K11" si="1">B7+B8-B9-B10</f>
        <v>9177</v>
      </c>
      <c r="C11" s="90">
        <f t="shared" si="1"/>
        <v>11063</v>
      </c>
      <c r="D11" s="90">
        <f t="shared" si="1"/>
        <v>14176</v>
      </c>
      <c r="E11" s="90">
        <f t="shared" si="1"/>
        <v>15387</v>
      </c>
      <c r="F11" s="90">
        <f t="shared" si="1"/>
        <v>18498</v>
      </c>
      <c r="G11" s="90">
        <f t="shared" si="1"/>
        <v>23045</v>
      </c>
      <c r="H11" s="90">
        <f t="shared" si="1"/>
        <v>30614</v>
      </c>
      <c r="I11" s="90">
        <f t="shared" si="1"/>
        <v>30623</v>
      </c>
      <c r="J11" s="90">
        <f t="shared" si="1"/>
        <v>36334</v>
      </c>
      <c r="K11" s="90">
        <f t="shared" si="1"/>
        <v>39317</v>
      </c>
      <c r="L11" s="89">
        <f t="shared" ref="L11:P11" si="2">IFERROR(IF(AND(L7&lt;&gt;"",L8&lt;&gt;"",L10&lt;&gt;""),L7+L8-L9-L10,K11+L12),"")</f>
        <v>45545.00701</v>
      </c>
      <c r="M11" s="90">
        <f t="shared" si="2"/>
        <v>52458.09479</v>
      </c>
      <c r="N11" s="90">
        <f t="shared" si="2"/>
        <v>60131.62222</v>
      </c>
      <c r="O11" s="90">
        <f t="shared" si="2"/>
        <v>68649.23768</v>
      </c>
      <c r="P11" s="91">
        <f t="shared" si="2"/>
        <v>78103.79083</v>
      </c>
      <c r="Q11" s="92"/>
      <c r="R11" s="63" t="s">
        <v>50</v>
      </c>
      <c r="S11" s="21"/>
      <c r="T11" s="21"/>
      <c r="U11" s="21"/>
      <c r="V11" s="21"/>
      <c r="W11" s="21"/>
      <c r="X11" s="21"/>
      <c r="Y11" s="21"/>
      <c r="Z11" s="21"/>
    </row>
    <row r="12" ht="24.75" customHeight="1">
      <c r="A12" s="4" t="s">
        <v>51</v>
      </c>
      <c r="B12" s="89"/>
      <c r="C12" s="90">
        <f t="shared" ref="C12:K12" si="3">IF(B9&gt;0,C11-B11,0)</f>
        <v>1886</v>
      </c>
      <c r="D12" s="90">
        <f t="shared" si="3"/>
        <v>3113</v>
      </c>
      <c r="E12" s="90">
        <f t="shared" si="3"/>
        <v>1211</v>
      </c>
      <c r="F12" s="90">
        <f t="shared" si="3"/>
        <v>3111</v>
      </c>
      <c r="G12" s="90">
        <f t="shared" si="3"/>
        <v>4547</v>
      </c>
      <c r="H12" s="90">
        <f t="shared" si="3"/>
        <v>7569</v>
      </c>
      <c r="I12" s="90">
        <f t="shared" si="3"/>
        <v>9</v>
      </c>
      <c r="J12" s="90">
        <f t="shared" si="3"/>
        <v>5711</v>
      </c>
      <c r="K12" s="90">
        <f t="shared" si="3"/>
        <v>2983</v>
      </c>
      <c r="L12" s="93">
        <f>IFERROR((SUM(C12:K12)/SUM('1.IS'!C3:K3))*'1.IS'!L3,"")</f>
        <v>6228.007008</v>
      </c>
      <c r="M12" s="94">
        <f>IFERROR(IF(AND(M7&lt;&gt;"",M8&lt;&gt;"",M10&lt;&gt;""),(M7+M8-M9-M10)-(L7+L8-L9-L10),(L12/'1.IS'!L3)*'1.IS'!M3),"")</f>
        <v>6913.087779</v>
      </c>
      <c r="N12" s="94">
        <f>IFERROR(IF(AND(N7&lt;&gt;"",N8&lt;&gt;"",N10&lt;&gt;""),(N7+N8-N9-N10)-(M7+M8-M9-M10),(M12/'1.IS'!M3)*'1.IS'!N3),"")</f>
        <v>7673.527435</v>
      </c>
      <c r="O12" s="94">
        <f>IFERROR(IF(AND(O7&lt;&gt;"",O8&lt;&gt;"",O10&lt;&gt;""),(O7+O8-O9-O10)-(N7+N8-N9-N10),(N12/'1.IS'!N3)*'1.IS'!O3),"")</f>
        <v>8517.615453</v>
      </c>
      <c r="P12" s="95">
        <f>IFERROR(IF(AND(P7&lt;&gt;"",P8&lt;&gt;"",P10&lt;&gt;""),(P7+P8-P9-P10)-(O7+O8-O9-O10),(O12/'1.IS'!O3)*'1.IS'!P3),"")</f>
        <v>9454.553153</v>
      </c>
      <c r="Q12" s="92"/>
      <c r="S12" s="21"/>
      <c r="T12" s="21"/>
      <c r="U12" s="21"/>
      <c r="V12" s="21"/>
      <c r="W12" s="21"/>
      <c r="X12" s="21"/>
      <c r="Y12" s="21"/>
      <c r="Z12" s="21"/>
    </row>
    <row r="13" ht="24.75" customHeight="1">
      <c r="A13" s="4" t="s">
        <v>52</v>
      </c>
      <c r="B13" s="89" t="str">
        <f>'1.IS'!B19</f>
        <v>0</v>
      </c>
      <c r="C13" s="90" t="str">
        <f>'1.IS'!C19</f>
        <v>0</v>
      </c>
      <c r="D13" s="90" t="str">
        <f>'1.IS'!D19</f>
        <v>0</v>
      </c>
      <c r="E13" s="90" t="str">
        <f>'1.IS'!E19</f>
        <v>0</v>
      </c>
      <c r="F13" s="90" t="str">
        <f>'1.IS'!F19</f>
        <v>0</v>
      </c>
      <c r="G13" s="90" t="str">
        <f>'1.IS'!G19</f>
        <v>0</v>
      </c>
      <c r="H13" s="90" t="str">
        <f>'1.IS'!H19</f>
        <v>0</v>
      </c>
      <c r="I13" s="90" t="str">
        <f>'1.IS'!I19</f>
        <v>0</v>
      </c>
      <c r="J13" s="90" t="str">
        <f>'1.IS'!J19</f>
        <v>0</v>
      </c>
      <c r="K13" s="90" t="str">
        <f>'1.IS'!K19</f>
        <v>0</v>
      </c>
      <c r="L13" s="89">
        <f>'1.IS'!L19</f>
        <v>0</v>
      </c>
      <c r="M13" s="90">
        <f>'1.IS'!M19</f>
        <v>0</v>
      </c>
      <c r="N13" s="90">
        <f>'1.IS'!N19</f>
        <v>0</v>
      </c>
      <c r="O13" s="90">
        <f>'1.IS'!O19</f>
        <v>0</v>
      </c>
      <c r="P13" s="91">
        <f>'1.IS'!P19</f>
        <v>0</v>
      </c>
      <c r="Q13" s="92"/>
      <c r="S13" s="21"/>
      <c r="T13" s="21"/>
      <c r="U13" s="21"/>
      <c r="V13" s="21"/>
      <c r="W13" s="21"/>
      <c r="X13" s="21"/>
      <c r="Y13" s="21"/>
      <c r="Z13" s="21"/>
    </row>
    <row r="14" ht="24.75" customHeight="1">
      <c r="A14" s="96" t="s">
        <v>53</v>
      </c>
      <c r="B14" s="97">
        <f t="shared" ref="B14:K14" si="4">B3+B4+B5+B6-B12+B13</f>
        <v>17844</v>
      </c>
      <c r="C14" s="98">
        <f t="shared" si="4"/>
        <v>19087</v>
      </c>
      <c r="D14" s="98">
        <f t="shared" si="4"/>
        <v>13269</v>
      </c>
      <c r="E14" s="98">
        <f t="shared" si="4"/>
        <v>29836</v>
      </c>
      <c r="F14" s="98">
        <f t="shared" si="4"/>
        <v>30657</v>
      </c>
      <c r="G14" s="98">
        <f t="shared" si="4"/>
        <v>31368</v>
      </c>
      <c r="H14" s="98">
        <f t="shared" si="4"/>
        <v>57597</v>
      </c>
      <c r="I14" s="98">
        <f t="shared" si="4"/>
        <v>65294</v>
      </c>
      <c r="J14" s="98">
        <f t="shared" si="4"/>
        <v>70217</v>
      </c>
      <c r="K14" s="98">
        <f t="shared" si="4"/>
        <v>95720</v>
      </c>
      <c r="L14" s="97">
        <f t="shared" ref="L14:P14" si="5">IFERROR(L3+L4+L5+L6-L12+L13,"")</f>
        <v>104888.4168</v>
      </c>
      <c r="M14" s="98">
        <f t="shared" si="5"/>
        <v>121222.8199</v>
      </c>
      <c r="N14" s="98">
        <f t="shared" si="5"/>
        <v>140287.705</v>
      </c>
      <c r="O14" s="98">
        <f t="shared" si="5"/>
        <v>157821.6139</v>
      </c>
      <c r="P14" s="99">
        <f t="shared" si="5"/>
        <v>177194.1677</v>
      </c>
      <c r="Q14" s="92"/>
      <c r="R14" s="21"/>
      <c r="S14" s="21"/>
      <c r="T14" s="21"/>
      <c r="U14" s="21"/>
      <c r="V14" s="21"/>
      <c r="W14" s="21"/>
      <c r="X14" s="21"/>
      <c r="Y14" s="21"/>
      <c r="Z14" s="21"/>
    </row>
    <row r="15" ht="24.75" customHeight="1">
      <c r="A15" s="100" t="s">
        <v>54</v>
      </c>
      <c r="B15" s="101">
        <f>IFERROR(B14/'1.IS'!B3,"")</f>
        <v>0.2379549001</v>
      </c>
      <c r="C15" s="102">
        <f>IFERROR(C14/'1.IS'!C3,"")</f>
        <v>0.2114387629</v>
      </c>
      <c r="D15" s="102">
        <f>IFERROR(D14/'1.IS'!D3,"")</f>
        <v>0.1196969014</v>
      </c>
      <c r="E15" s="102">
        <f>IFERROR(E14/'1.IS'!E3,"")</f>
        <v>0.2180691278</v>
      </c>
      <c r="F15" s="102">
        <f>IFERROR(F14/'1.IS'!F3,"")</f>
        <v>0.1894079342</v>
      </c>
      <c r="G15" s="102">
        <f>IFERROR(G14/'1.IS'!G3,"")</f>
        <v>0.1718540271</v>
      </c>
      <c r="H15" s="102">
        <f>IFERROR(H14/'1.IS'!H3,"")</f>
        <v>0.223558728</v>
      </c>
      <c r="I15" s="102">
        <f>IFERROR(I14/'1.IS'!I3,"")</f>
        <v>0.2308546295</v>
      </c>
      <c r="J15" s="102">
        <f>IFERROR(J14/'1.IS'!J3,"")</f>
        <v>0.2284267097</v>
      </c>
      <c r="K15" s="102">
        <f>IFERROR(K14/'1.IS'!K3,"")</f>
        <v>0.27347165</v>
      </c>
      <c r="L15" s="101">
        <f>IFERROR(L14/'1.IS'!L3,"")</f>
        <v>0.2699691706</v>
      </c>
      <c r="M15" s="102">
        <f>IFERROR(M14/'1.IS'!M3,"")</f>
        <v>0.2810917153</v>
      </c>
      <c r="N15" s="102">
        <f>IFERROR(N14/'1.IS'!N3,"")</f>
        <v>0.2930625306</v>
      </c>
      <c r="O15" s="102">
        <f>IFERROR(O14/'1.IS'!O3,"")</f>
        <v>0.297018969</v>
      </c>
      <c r="P15" s="103">
        <f>IFERROR(P14/'1.IS'!P3,"")</f>
        <v>0.3004305897</v>
      </c>
      <c r="Q15" s="92"/>
      <c r="R15" s="21"/>
      <c r="S15" s="21"/>
      <c r="T15" s="21"/>
      <c r="U15" s="21"/>
      <c r="V15" s="21"/>
      <c r="W15" s="21"/>
      <c r="X15" s="21"/>
      <c r="Y15" s="21"/>
      <c r="Z15" s="21"/>
    </row>
    <row r="16" ht="24.75" customHeight="1">
      <c r="A16" s="100" t="s">
        <v>18</v>
      </c>
      <c r="B16" s="104"/>
      <c r="C16" s="102">
        <f t="shared" ref="C16:P16" si="6">IFERROR((C14-B14)/B14,"")</f>
        <v>0.06965926922</v>
      </c>
      <c r="D16" s="102">
        <f t="shared" si="6"/>
        <v>-0.3048147954</v>
      </c>
      <c r="E16" s="102">
        <f t="shared" si="6"/>
        <v>1.24854925</v>
      </c>
      <c r="F16" s="102">
        <f t="shared" si="6"/>
        <v>0.02751709344</v>
      </c>
      <c r="G16" s="102">
        <f t="shared" si="6"/>
        <v>0.02319209316</v>
      </c>
      <c r="H16" s="102">
        <f t="shared" si="6"/>
        <v>0.8361706197</v>
      </c>
      <c r="I16" s="102">
        <f t="shared" si="6"/>
        <v>0.1336354324</v>
      </c>
      <c r="J16" s="102">
        <f t="shared" si="6"/>
        <v>0.07539743315</v>
      </c>
      <c r="K16" s="102">
        <f t="shared" si="6"/>
        <v>0.3632026432</v>
      </c>
      <c r="L16" s="101">
        <f t="shared" si="6"/>
        <v>0.09578371047</v>
      </c>
      <c r="M16" s="102">
        <f t="shared" si="6"/>
        <v>0.1557312389</v>
      </c>
      <c r="N16" s="102">
        <f t="shared" si="6"/>
        <v>0.1572714213</v>
      </c>
      <c r="O16" s="102">
        <f t="shared" si="6"/>
        <v>0.124985357</v>
      </c>
      <c r="P16" s="103">
        <f t="shared" si="6"/>
        <v>0.1227496876</v>
      </c>
      <c r="Q16" s="92"/>
      <c r="R16" s="21"/>
      <c r="S16" s="21"/>
      <c r="T16" s="21"/>
      <c r="U16" s="21"/>
      <c r="V16" s="21"/>
      <c r="W16" s="21"/>
      <c r="X16" s="21"/>
      <c r="Y16" s="21"/>
      <c r="Z16" s="21"/>
    </row>
    <row r="17" ht="24.75" customHeight="1">
      <c r="A17" s="100" t="s">
        <v>55</v>
      </c>
      <c r="B17" s="105">
        <f>IFERROR(B14/'1.IS'!B25,"")</f>
        <v>1.287575946</v>
      </c>
      <c r="C17" s="106">
        <f>IFERROR(C14/'1.IS'!C25,"")</f>
        <v>1.365882073</v>
      </c>
      <c r="D17" s="106">
        <f>IFERROR(D14/'1.IS'!D25,"")</f>
        <v>0.9429577705</v>
      </c>
      <c r="E17" s="106">
        <f>IFERROR(E14/'1.IS'!E25,"")</f>
        <v>2.121188423</v>
      </c>
      <c r="F17" s="106">
        <f>IFERROR(F14/'1.IS'!F25,"")</f>
        <v>2.194312267</v>
      </c>
      <c r="G17" s="106">
        <f>IFERROR(G14/'1.IS'!G25,"")</f>
        <v>2.282803289</v>
      </c>
      <c r="H17" s="106">
        <f>IFERROR(H14/'1.IS'!H25,"")</f>
        <v>4.249760201</v>
      </c>
      <c r="I17" s="106">
        <f>IFERROR(I14/'1.IS'!I25,"")</f>
        <v>4.961927198</v>
      </c>
      <c r="J17" s="106">
        <f>IFERROR(J14/'1.IS'!J25,"")</f>
        <v>5.519336582</v>
      </c>
      <c r="K17" s="106">
        <f>IFERROR(K14/'1.IS'!K25,"")</f>
        <v>7.690206475</v>
      </c>
      <c r="L17" s="105">
        <f>IFERROR(L14/'1.IS'!L25,"")</f>
        <v>8.598778557</v>
      </c>
      <c r="M17" s="106">
        <f>IFERROR(M14/'1.IS'!M25,"")</f>
        <v>10.14069081</v>
      </c>
      <c r="N17" s="106">
        <f>IFERROR(N14/'1.IS'!N25,"")</f>
        <v>11.97503231</v>
      </c>
      <c r="O17" s="106">
        <f>IFERROR(O14/'1.IS'!O25,"")</f>
        <v>13.74666939</v>
      </c>
      <c r="P17" s="107">
        <f>IFERROR(P14/'1.IS'!P25,"")</f>
        <v>15.74904976</v>
      </c>
      <c r="Q17" s="108"/>
      <c r="R17" s="21"/>
      <c r="S17" s="21"/>
      <c r="T17" s="21"/>
      <c r="U17" s="21"/>
      <c r="V17" s="21"/>
      <c r="W17" s="21"/>
      <c r="X17" s="21"/>
      <c r="Y17" s="21"/>
      <c r="Z17" s="21"/>
    </row>
    <row r="18" ht="24.75" customHeight="1">
      <c r="A18" s="100" t="s">
        <v>18</v>
      </c>
      <c r="B18" s="109"/>
      <c r="C18" s="110">
        <f t="shared" ref="C18:P18" si="7">IFERROR((C17-B17)/B17,"")</f>
        <v>0.06081670606</v>
      </c>
      <c r="D18" s="110">
        <f t="shared" si="7"/>
        <v>-0.3096345659</v>
      </c>
      <c r="E18" s="110">
        <f t="shared" si="7"/>
        <v>1.249505216</v>
      </c>
      <c r="F18" s="110">
        <f t="shared" si="7"/>
        <v>0.03447305451</v>
      </c>
      <c r="G18" s="110">
        <f t="shared" si="7"/>
        <v>0.0403274519</v>
      </c>
      <c r="H18" s="110">
        <f t="shared" si="7"/>
        <v>0.8616410009</v>
      </c>
      <c r="I18" s="110">
        <f t="shared" si="7"/>
        <v>0.1675781606</v>
      </c>
      <c r="J18" s="110">
        <f t="shared" si="7"/>
        <v>0.1123372758</v>
      </c>
      <c r="K18" s="110">
        <f t="shared" si="7"/>
        <v>0.3933208024</v>
      </c>
      <c r="L18" s="109">
        <f t="shared" si="7"/>
        <v>0.1181466433</v>
      </c>
      <c r="M18" s="110">
        <f t="shared" si="7"/>
        <v>0.1793175907</v>
      </c>
      <c r="N18" s="110">
        <f t="shared" si="7"/>
        <v>0.1808892054</v>
      </c>
      <c r="O18" s="110">
        <f t="shared" si="7"/>
        <v>0.1479442418</v>
      </c>
      <c r="P18" s="111">
        <f t="shared" si="7"/>
        <v>0.1456629465</v>
      </c>
      <c r="Q18" s="108"/>
      <c r="R18" s="21"/>
      <c r="S18" s="21"/>
      <c r="T18" s="21"/>
      <c r="U18" s="21"/>
      <c r="V18" s="21"/>
      <c r="W18" s="21"/>
      <c r="X18" s="21"/>
      <c r="Y18" s="21"/>
      <c r="Z18" s="21"/>
    </row>
    <row r="19" ht="24.75" customHeight="1">
      <c r="A19" s="112" t="s">
        <v>56</v>
      </c>
      <c r="B19" s="113">
        <f>IFERROR(VLOOKUP("Net Change in Cash*",'9.TIKR_CF'!$A:$K,COLUMN(B19),FALSE),"0")</f>
        <v>-1798</v>
      </c>
      <c r="C19" s="114">
        <f>IFERROR(VLOOKUP("Net Change in Cash*",'9.TIKR_CF'!$A:$K,COLUMN(C19),FALSE),"0")</f>
        <v>-3631</v>
      </c>
      <c r="D19" s="114">
        <f>IFERROR(VLOOKUP("Net Change in Cash*",'9.TIKR_CF'!$A:$K,COLUMN(D19),FALSE),"0")</f>
        <v>-2203</v>
      </c>
      <c r="E19" s="114">
        <f>IFERROR(VLOOKUP("Net Change in Cash*",'9.TIKR_CF'!$A:$K,COLUMN(E19),FALSE),"0")</f>
        <v>5986</v>
      </c>
      <c r="F19" s="114">
        <f>IFERROR(VLOOKUP("Net Change in Cash*",'9.TIKR_CF'!$A:$K,COLUMN(F19),FALSE),"0")</f>
        <v>1797</v>
      </c>
      <c r="G19" s="114">
        <f>IFERROR(VLOOKUP("Net Change in Cash*",'9.TIKR_CF'!$A:$K,COLUMN(G19),FALSE),"0")</f>
        <v>7967</v>
      </c>
      <c r="H19" s="114">
        <f>IFERROR(VLOOKUP("Net Change in Cash*",'9.TIKR_CF'!$A:$K,COLUMN(H19),FALSE),"0")</f>
        <v>-5520</v>
      </c>
      <c r="I19" s="114">
        <f>IFERROR(VLOOKUP("Net Change in Cash*",'9.TIKR_CF'!$A:$K,COLUMN(I19),FALSE),"0")</f>
        <v>934</v>
      </c>
      <c r="J19" s="114">
        <f>IFERROR(VLOOKUP("Net Change in Cash*",'9.TIKR_CF'!$A:$K,COLUMN(J19),FALSE),"0")</f>
        <v>2169</v>
      </c>
      <c r="K19" s="114">
        <f>IFERROR(VLOOKUP("Net Change in Cash*",'9.TIKR_CF'!$A:$K,COLUMN(K19),FALSE),"0")</f>
        <v>-582</v>
      </c>
      <c r="L19" s="113">
        <f>IF('4.Valoración'!L4&gt;0,IFERROR('4.Valoración'!L4-'4.Valoración'!K4,0),IFERROR('4.Valoración'!K4-'4.Valoración'!L4,0))</f>
        <v>5325</v>
      </c>
      <c r="M19" s="114">
        <f>IF('4.Valoración'!M4&gt;0,IFERROR('4.Valoración'!M4-'4.Valoración'!L4,0),IFERROR('4.Valoración'!L4-'4.Valoración'!M4,0))</f>
        <v>12900</v>
      </c>
      <c r="N19" s="114">
        <f>IF('4.Valoración'!N4&gt;0,IFERROR('4.Valoración'!N4-'4.Valoración'!M4,0),IFERROR('4.Valoración'!M4-'4.Valoración'!N4,0))</f>
        <v>15000</v>
      </c>
      <c r="O19" s="114">
        <f>IF('4.Valoración'!O4&gt;0,IFERROR('4.Valoración'!O4-'4.Valoración'!N4,0),IFERROR('4.Valoración'!N4-'4.Valoración'!O4,0))</f>
        <v>14400</v>
      </c>
      <c r="P19" s="115">
        <f>IF('4.Valoración'!P4&gt;0,IFERROR('4.Valoración'!P4-'4.Valoración'!O4,0),IFERROR('4.Valoración'!O4-'4.Valoración'!P4,0))</f>
        <v>15900</v>
      </c>
      <c r="Q19" s="108"/>
      <c r="R19" s="21"/>
      <c r="S19" s="21"/>
      <c r="T19" s="21"/>
      <c r="U19" s="21"/>
      <c r="V19" s="21"/>
      <c r="W19" s="21"/>
      <c r="X19" s="21"/>
      <c r="Y19" s="21"/>
      <c r="Z19" s="21"/>
    </row>
    <row r="20" ht="24.75" customHeight="1">
      <c r="A20" s="4"/>
      <c r="B20" s="116"/>
      <c r="C20" s="116"/>
      <c r="D20" s="116"/>
      <c r="E20" s="116"/>
      <c r="F20" s="116"/>
      <c r="G20" s="116"/>
      <c r="H20" s="116"/>
      <c r="I20" s="116"/>
      <c r="J20" s="116"/>
      <c r="K20" s="116"/>
      <c r="L20" s="116"/>
      <c r="M20" s="116"/>
      <c r="N20" s="116"/>
      <c r="O20" s="116"/>
      <c r="P20" s="116"/>
      <c r="Q20" s="55"/>
      <c r="R20" s="21"/>
      <c r="S20" s="21"/>
      <c r="T20" s="21"/>
      <c r="U20" s="21"/>
      <c r="V20" s="21"/>
      <c r="W20" s="21"/>
      <c r="X20" s="21"/>
      <c r="Y20" s="21"/>
      <c r="Z20" s="21"/>
    </row>
    <row r="21" ht="34.5" customHeight="1">
      <c r="A21" s="77" t="s">
        <v>57</v>
      </c>
      <c r="B21" s="78">
        <f>'1.IS'!B$2</f>
        <v>2015</v>
      </c>
      <c r="C21" s="78">
        <f>'1.IS'!C$2</f>
        <v>2016</v>
      </c>
      <c r="D21" s="78">
        <f>'1.IS'!D$2</f>
        <v>2017</v>
      </c>
      <c r="E21" s="78">
        <f>'1.IS'!E$2</f>
        <v>2018</v>
      </c>
      <c r="F21" s="78">
        <f>'1.IS'!F$2</f>
        <v>2019</v>
      </c>
      <c r="G21" s="78">
        <f>'1.IS'!G$2</f>
        <v>2020</v>
      </c>
      <c r="H21" s="78">
        <f>'1.IS'!H$2</f>
        <v>2021</v>
      </c>
      <c r="I21" s="78">
        <f>'1.IS'!I$2</f>
        <v>2022</v>
      </c>
      <c r="J21" s="78">
        <f>'1.IS'!J$2</f>
        <v>2023</v>
      </c>
      <c r="K21" s="78">
        <f>'1.IS'!K$2</f>
        <v>2024</v>
      </c>
      <c r="L21" s="79" t="str">
        <f>'1.IS'!L$2</f>
        <v>2025e</v>
      </c>
      <c r="M21" s="79" t="str">
        <f>'1.IS'!M$2</f>
        <v>2026e</v>
      </c>
      <c r="N21" s="79" t="str">
        <f>'1.IS'!N$2</f>
        <v>2027e</v>
      </c>
      <c r="O21" s="79" t="str">
        <f>'1.IS'!O$2</f>
        <v>2028e</v>
      </c>
      <c r="P21" s="79" t="str">
        <f>'1.IS'!P$2</f>
        <v>2029e</v>
      </c>
      <c r="Q21" s="117" t="str">
        <f>"Promedio "&amp;CHAR(10)&amp;$B$2&amp;"-"&amp;$K$2</f>
        <v>Promedio 
2015-2024</v>
      </c>
      <c r="R21" s="21"/>
      <c r="S21" s="21"/>
      <c r="T21" s="21"/>
      <c r="U21" s="21"/>
      <c r="V21" s="21"/>
      <c r="W21" s="21"/>
      <c r="X21" s="21"/>
      <c r="Y21" s="21"/>
      <c r="Z21" s="21"/>
    </row>
    <row r="22" ht="24.75" customHeight="1">
      <c r="A22" s="4" t="s">
        <v>58</v>
      </c>
      <c r="B22" s="101">
        <f>IFERROR(ABS(B4)/'1.IS'!B$3,"")</f>
        <v>0.05510141487</v>
      </c>
      <c r="C22" s="102">
        <f>IFERROR(ABS(C4)/'1.IS'!C$3,"")</f>
        <v>0.05834588798</v>
      </c>
      <c r="D22" s="102">
        <f>IFERROR(ABS(D4)/'1.IS'!D$3,"")</f>
        <v>0.05505389924</v>
      </c>
      <c r="E22" s="102">
        <f>IFERROR(ABS(E4)/'1.IS'!E$3,"")</f>
        <v>0.05967007506</v>
      </c>
      <c r="F22" s="102">
        <f>IFERROR(ABS(F4)/'1.IS'!F$3,"")</f>
        <v>0.06707155081</v>
      </c>
      <c r="G22" s="102">
        <f>IFERROR(ABS(G4)/'1.IS'!G$3,"")</f>
        <v>0.07070186876</v>
      </c>
      <c r="H22" s="102">
        <f>IFERROR(ABS(H4)/'1.IS'!H$3,"")</f>
        <v>0.03987393115</v>
      </c>
      <c r="I22" s="102">
        <f>IFERROR(ABS(I4)/'1.IS'!I$3,"")</f>
        <v>0.04764245004</v>
      </c>
      <c r="J22" s="102">
        <f>IFERROR(ABS(J4)/'1.IS'!J$3,"")</f>
        <v>0.03886217688</v>
      </c>
      <c r="K22" s="102">
        <f>IFERROR(ABS(K4)/'1.IS'!K$3,"")</f>
        <v>0.04374346462</v>
      </c>
      <c r="L22" s="118">
        <v>0.045</v>
      </c>
      <c r="M22" s="119">
        <f t="shared" ref="M22:P22" si="8">$L$22</f>
        <v>0.045</v>
      </c>
      <c r="N22" s="119">
        <f t="shared" si="8"/>
        <v>0.045</v>
      </c>
      <c r="O22" s="119">
        <f t="shared" si="8"/>
        <v>0.045</v>
      </c>
      <c r="P22" s="120">
        <f t="shared" si="8"/>
        <v>0.045</v>
      </c>
      <c r="Q22" s="121">
        <f t="shared" ref="Q22:Q25" si="9">IFERROR(AVERAGE(B22:K22),"")</f>
        <v>0.05360667194</v>
      </c>
      <c r="R22" s="21"/>
      <c r="S22" s="21"/>
      <c r="T22" s="21"/>
      <c r="U22" s="21"/>
      <c r="V22" s="21"/>
      <c r="W22" s="21"/>
      <c r="X22" s="21"/>
      <c r="Y22" s="21"/>
      <c r="Z22" s="21"/>
    </row>
    <row r="23" ht="24.75" customHeight="1">
      <c r="A23" s="4" t="s">
        <v>59</v>
      </c>
      <c r="B23" s="101">
        <f>IFERROR((B7+B8-B9)/'1.IS'!B$3,"")</f>
        <v>0.1348997853</v>
      </c>
      <c r="C23" s="102">
        <f>IFERROR((C7+C8-C9)/'1.IS'!C$3,"")</f>
        <v>0.1369638426</v>
      </c>
      <c r="D23" s="102">
        <f>IFERROR((D7+D8-D9)/'1.IS'!D$3,"")</f>
        <v>0.1438636056</v>
      </c>
      <c r="E23" s="102">
        <f>IFERROR((E7+E8-E9)/'1.IS'!E$3,"")</f>
        <v>0.1283959099</v>
      </c>
      <c r="F23" s="102">
        <f>IFERROR((F7+F8-F9)/'1.IS'!F$3,"")</f>
        <v>0.1282860797</v>
      </c>
      <c r="G23" s="102">
        <f>IFERROR((G7+G8-G9)/'1.IS'!G$3,"")</f>
        <v>0.1428227057</v>
      </c>
      <c r="H23" s="102">
        <f>IFERROR((H7+H8-H9)/'1.IS'!H$3,"")</f>
        <v>0.1336648075</v>
      </c>
      <c r="I23" s="102">
        <f>IFERROR((I7+I8-I9)/'1.IS'!I$3,"")</f>
        <v>0.1242062538</v>
      </c>
      <c r="J23" s="102">
        <f>IFERROR((J7+J8-J9)/'1.IS'!J$3,"")</f>
        <v>0.1316583928</v>
      </c>
      <c r="K23" s="102">
        <f>IFERROR((K7+K8-K9)/'1.IS'!K$3,"")</f>
        <v>0.1267163403</v>
      </c>
      <c r="L23" s="101">
        <f>IFERROR(L11/'1.IS'!L$3,"")</f>
        <v>0.1172269365</v>
      </c>
      <c r="M23" s="102">
        <f>IFERROR(M11/'1.IS'!M$3,"")</f>
        <v>0.1216399343</v>
      </c>
      <c r="N23" s="102">
        <f>IFERROR(N11/'1.IS'!N$3,"")</f>
        <v>0.1256156081</v>
      </c>
      <c r="O23" s="102">
        <f>IFERROR(O11/'1.IS'!O$3,"")</f>
        <v>0.1291972962</v>
      </c>
      <c r="P23" s="102">
        <f>IFERROR(P11/'1.IS'!P$3,"")</f>
        <v>0.1324240422</v>
      </c>
      <c r="Q23" s="121">
        <f t="shared" si="9"/>
        <v>0.1331477723</v>
      </c>
      <c r="R23" s="21"/>
      <c r="S23" s="21"/>
      <c r="T23" s="21"/>
      <c r="U23" s="21"/>
      <c r="V23" s="21"/>
      <c r="W23" s="21"/>
      <c r="X23" s="21"/>
      <c r="Y23" s="21"/>
      <c r="Z23" s="21"/>
    </row>
    <row r="24" ht="24.75" customHeight="1">
      <c r="A24" s="4" t="s">
        <v>60</v>
      </c>
      <c r="B24" s="101">
        <f>IFERROR(B14/'1.IS'!B$3,"")</f>
        <v>0.2379549001</v>
      </c>
      <c r="C24" s="102">
        <f>IFERROR(C14/'1.IS'!C$3,"")</f>
        <v>0.2114387629</v>
      </c>
      <c r="D24" s="102">
        <f>IFERROR(D14/'1.IS'!D$3,"")</f>
        <v>0.1196969014</v>
      </c>
      <c r="E24" s="102">
        <f>IFERROR(E14/'1.IS'!E$3,"")</f>
        <v>0.2180691278</v>
      </c>
      <c r="F24" s="102">
        <f>IFERROR(F14/'1.IS'!F$3,"")</f>
        <v>0.1894079342</v>
      </c>
      <c r="G24" s="102">
        <f>IFERROR(G14/'1.IS'!G$3,"")</f>
        <v>0.1718540271</v>
      </c>
      <c r="H24" s="102">
        <f>IFERROR(H14/'1.IS'!H$3,"")</f>
        <v>0.223558728</v>
      </c>
      <c r="I24" s="102">
        <f>IFERROR(I14/'1.IS'!I$3,"")</f>
        <v>0.2308546295</v>
      </c>
      <c r="J24" s="102">
        <f>IFERROR(J14/'1.IS'!J$3,"")</f>
        <v>0.2284267097</v>
      </c>
      <c r="K24" s="102">
        <f>IFERROR(K14/'1.IS'!K$3,"")</f>
        <v>0.27347165</v>
      </c>
      <c r="L24" s="101">
        <f>IFERROR(L14/'1.IS'!L$3,"")</f>
        <v>0.2699691706</v>
      </c>
      <c r="M24" s="102">
        <f>IFERROR(M14/'1.IS'!M$3,"")</f>
        <v>0.2810917153</v>
      </c>
      <c r="N24" s="102">
        <f>IFERROR(N14/'1.IS'!N$3,"")</f>
        <v>0.2930625306</v>
      </c>
      <c r="O24" s="102">
        <f>IFERROR(O14/'1.IS'!O$3,"")</f>
        <v>0.297018969</v>
      </c>
      <c r="P24" s="102">
        <f>IFERROR(P14/'1.IS'!P$3,"")</f>
        <v>0.3004305897</v>
      </c>
      <c r="Q24" s="121">
        <f t="shared" si="9"/>
        <v>0.2104733371</v>
      </c>
      <c r="R24" s="21"/>
      <c r="S24" s="21"/>
      <c r="T24" s="21"/>
      <c r="U24" s="21"/>
      <c r="V24" s="21"/>
      <c r="W24" s="21"/>
      <c r="X24" s="21"/>
      <c r="Y24" s="21"/>
      <c r="Z24" s="21"/>
    </row>
    <row r="25" ht="24.75" customHeight="1">
      <c r="A25" s="122" t="s">
        <v>61</v>
      </c>
      <c r="B25" s="123">
        <f t="shared" ref="B25:P25" si="10">IFERROR(B14/B3,"")</f>
        <v>0.7317913386</v>
      </c>
      <c r="C25" s="124">
        <f t="shared" si="10"/>
        <v>0.6401596458</v>
      </c>
      <c r="D25" s="124">
        <f t="shared" si="10"/>
        <v>0.3705079161</v>
      </c>
      <c r="E25" s="124">
        <f t="shared" si="10"/>
        <v>0.7167980012</v>
      </c>
      <c r="F25" s="124">
        <f t="shared" si="10"/>
        <v>0.644338889</v>
      </c>
      <c r="G25" s="124">
        <f t="shared" si="10"/>
        <v>0.5713348997</v>
      </c>
      <c r="H25" s="124">
        <f t="shared" si="10"/>
        <v>0.6472518458</v>
      </c>
      <c r="I25" s="124">
        <f t="shared" si="10"/>
        <v>0.7393140618</v>
      </c>
      <c r="J25" s="124">
        <f t="shared" si="10"/>
        <v>0.7296106568</v>
      </c>
      <c r="K25" s="124">
        <f t="shared" si="10"/>
        <v>0.7391677027</v>
      </c>
      <c r="L25" s="123">
        <f t="shared" si="10"/>
        <v>0.7063193048</v>
      </c>
      <c r="M25" s="124">
        <f t="shared" si="10"/>
        <v>0.7130754109</v>
      </c>
      <c r="N25" s="124">
        <f t="shared" si="10"/>
        <v>0.7194241284</v>
      </c>
      <c r="O25" s="124">
        <f t="shared" si="10"/>
        <v>0.7206466389</v>
      </c>
      <c r="P25" s="124">
        <f t="shared" si="10"/>
        <v>0.721768504</v>
      </c>
      <c r="Q25" s="125">
        <f t="shared" si="9"/>
        <v>0.6530274958</v>
      </c>
      <c r="R25" s="17"/>
      <c r="S25" s="17"/>
      <c r="T25" s="17"/>
      <c r="U25" s="17"/>
      <c r="V25" s="17"/>
      <c r="W25" s="17"/>
      <c r="X25" s="17"/>
      <c r="Y25" s="17"/>
      <c r="Z25" s="17"/>
    </row>
    <row r="26" ht="24.75" customHeight="1">
      <c r="A26" s="100"/>
      <c r="B26" s="110"/>
      <c r="C26" s="110"/>
      <c r="D26" s="110"/>
      <c r="E26" s="110"/>
      <c r="F26" s="110"/>
      <c r="G26" s="110"/>
      <c r="H26" s="110"/>
      <c r="I26" s="110"/>
      <c r="J26" s="110"/>
      <c r="K26" s="110"/>
      <c r="L26" s="110"/>
      <c r="M26" s="110"/>
      <c r="N26" s="110"/>
      <c r="O26" s="110"/>
      <c r="P26" s="110"/>
      <c r="Q26" s="126"/>
      <c r="R26" s="17"/>
      <c r="S26" s="17"/>
      <c r="T26" s="17"/>
      <c r="U26" s="17"/>
      <c r="V26" s="17"/>
      <c r="W26" s="17"/>
      <c r="X26" s="17"/>
      <c r="Y26" s="17"/>
      <c r="Z26" s="17"/>
    </row>
    <row r="27" ht="34.5" customHeight="1">
      <c r="A27" s="77" t="s">
        <v>62</v>
      </c>
      <c r="B27" s="78">
        <f>'1.IS'!B$2</f>
        <v>2015</v>
      </c>
      <c r="C27" s="78">
        <f>'1.IS'!C$2</f>
        <v>2016</v>
      </c>
      <c r="D27" s="78">
        <f>'1.IS'!D$2</f>
        <v>2017</v>
      </c>
      <c r="E27" s="78">
        <f>'1.IS'!E$2</f>
        <v>2018</v>
      </c>
      <c r="F27" s="78">
        <f>'1.IS'!F$2</f>
        <v>2019</v>
      </c>
      <c r="G27" s="78">
        <f>'1.IS'!G$2</f>
        <v>2020</v>
      </c>
      <c r="H27" s="78">
        <f>'1.IS'!H$2</f>
        <v>2021</v>
      </c>
      <c r="I27" s="78">
        <f>'1.IS'!I$2</f>
        <v>2022</v>
      </c>
      <c r="J27" s="78">
        <f>'1.IS'!J$2</f>
        <v>2023</v>
      </c>
      <c r="K27" s="78">
        <f>'1.IS'!K$2</f>
        <v>2024</v>
      </c>
      <c r="L27" s="127" t="str">
        <f>"Promedio "&amp;CHAR(10)&amp;$B$2&amp;"-"&amp;$K$2</f>
        <v>Promedio 
2015-2024</v>
      </c>
      <c r="M27" s="128"/>
      <c r="N27" s="110"/>
      <c r="O27" s="110"/>
      <c r="P27" s="110"/>
      <c r="Q27" s="126"/>
      <c r="R27" s="17"/>
      <c r="S27" s="17"/>
      <c r="T27" s="17"/>
      <c r="U27" s="17"/>
      <c r="V27" s="17"/>
      <c r="W27" s="17"/>
      <c r="X27" s="17"/>
      <c r="Y27" s="17"/>
      <c r="Z27" s="17"/>
    </row>
    <row r="28" ht="24.75" customHeight="1">
      <c r="A28" s="4" t="s">
        <v>63</v>
      </c>
      <c r="B28" s="101">
        <f>IF(B14&gt;0,IFERROR('TIKR_Cálculos'!B40/B$14,""),"-")</f>
        <v>0.3240865277</v>
      </c>
      <c r="C28" s="102">
        <f>IF(C14&gt;0,IFERROR('TIKR_Cálculos'!C40/C$14,""),"-")</f>
        <v>0.2465028553</v>
      </c>
      <c r="D28" s="102">
        <f>IF(D14&gt;0,IFERROR('TIKR_Cálculos'!D40/D$14,""),"-")</f>
        <v>0.5261888613</v>
      </c>
      <c r="E28" s="102">
        <f>IF(E14&gt;0,IFERROR('TIKR_Cálculos'!E40/E$14,""),"-")</f>
        <v>0.5689435581</v>
      </c>
      <c r="F28" s="102">
        <f>IF(F14&gt;0,IFERROR('TIKR_Cálculos'!F40/F$14,""),"-")</f>
        <v>0.4140000652</v>
      </c>
      <c r="G28" s="102">
        <f>IF(G14&gt;0,IFERROR('TIKR_Cálculos'!G40/G$14,""),"-")</f>
        <v>0.298903341</v>
      </c>
      <c r="H28" s="102">
        <f>IF(H14&gt;0,IFERROR('TIKR_Cálculos'!H40/H$14,""),"-")</f>
        <v>0.249440075</v>
      </c>
      <c r="I28" s="102">
        <f>IF(I14&gt;0,IFERROR('TIKR_Cálculos'!I40/I$14,""),"-")</f>
        <v>0.2758293258</v>
      </c>
      <c r="J28" s="102">
        <f>IF(J14&gt;0,IFERROR('TIKR_Cálculos'!J40/J$14,""),"-")</f>
        <v>0.2891749861</v>
      </c>
      <c r="K28" s="102">
        <f>IF(K14&gt;0,IFERROR('TIKR_Cálculos'!K40/K$14,""),"-")</f>
        <v>0.3888842457</v>
      </c>
      <c r="L28" s="129">
        <f t="shared" ref="L28:L32" si="11">IFERROR(AVERAGE(B28:K28),"")</f>
        <v>0.3581953841</v>
      </c>
      <c r="M28" s="130"/>
      <c r="N28" s="21"/>
      <c r="O28" s="110"/>
      <c r="P28" s="110"/>
      <c r="Q28" s="126"/>
      <c r="R28" s="17"/>
      <c r="S28" s="17"/>
      <c r="T28" s="17"/>
      <c r="U28" s="17"/>
      <c r="V28" s="17"/>
      <c r="W28" s="17"/>
      <c r="X28" s="17"/>
      <c r="Y28" s="17"/>
      <c r="Z28" s="17"/>
    </row>
    <row r="29" ht="24.75" customHeight="1">
      <c r="A29" s="4" t="s">
        <v>64</v>
      </c>
      <c r="B29" s="101">
        <f>IF(B14&gt;0,IFERROR('TIKR_Cálculos'!B43/B$14,""),"-")</f>
        <v>0.01322573414</v>
      </c>
      <c r="C29" s="102">
        <f>IF(C14&gt;0,IFERROR('TIKR_Cálculos'!C43/C$14,""),"-")</f>
        <v>0.05165819668</v>
      </c>
      <c r="D29" s="102">
        <f>IF(D14&gt;0,IFERROR('TIKR_Cálculos'!D43/D$14,""),"-")</f>
        <v>0.02162936167</v>
      </c>
      <c r="E29" s="102">
        <f>IF(E14&gt;0,IFERROR('TIKR_Cálculos'!E43/E$14,""),"-")</f>
        <v>0.04997318675</v>
      </c>
      <c r="F29" s="102">
        <f>IF(F14&gt;0,IFERROR('TIKR_Cálculos'!F43/F$14,""),"-")</f>
        <v>0.08203672897</v>
      </c>
      <c r="G29" s="102">
        <f>IF(G14&gt;0,IFERROR('TIKR_Cálculos'!G43/G$14,""),"-")</f>
        <v>0.02352716144</v>
      </c>
      <c r="H29" s="102">
        <f>IF(H14&gt;0,IFERROR('TIKR_Cálculos'!H43/H$14,""),"-")</f>
        <v>0.04545375627</v>
      </c>
      <c r="I29" s="102">
        <f>IF(I14&gt;0,IFERROR('TIKR_Cálculos'!I43/I$14,""),"-")</f>
        <v>0.1067326247</v>
      </c>
      <c r="J29" s="102">
        <f>IF(J14&gt;0,IFERROR('TIKR_Cálculos'!J43/J$14,""),"-")</f>
        <v>0.007049574889</v>
      </c>
      <c r="K29" s="102">
        <f>IF(K14&gt;0,IFERROR('TIKR_Cálculos'!K43/K$14,""),"-")</f>
        <v>0.03062055997</v>
      </c>
      <c r="L29" s="131">
        <f t="shared" si="11"/>
        <v>0.04319068855</v>
      </c>
      <c r="M29" s="130"/>
      <c r="N29" s="21"/>
      <c r="O29" s="110"/>
      <c r="P29" s="110"/>
      <c r="Q29" s="126"/>
      <c r="R29" s="17"/>
      <c r="S29" s="17"/>
      <c r="T29" s="17"/>
      <c r="U29" s="17"/>
      <c r="V29" s="17"/>
      <c r="W29" s="17"/>
      <c r="X29" s="17"/>
      <c r="Y29" s="17"/>
      <c r="Z29" s="17"/>
    </row>
    <row r="30" ht="24.75" customHeight="1">
      <c r="A30" s="4" t="s">
        <v>65</v>
      </c>
      <c r="B30" s="101">
        <f>IF(B14&gt;0,IFERROR('TIKR_Cálculos'!B41/B$14,""),"-")</f>
        <v>0</v>
      </c>
      <c r="C30" s="102">
        <f>IF(C14&gt;0,IFERROR('TIKR_Cálculos'!C41/C$14,""),"-")</f>
        <v>0</v>
      </c>
      <c r="D30" s="102">
        <f>IF(D14&gt;0,IFERROR('TIKR_Cálculos'!D41/D$14,""),"-")</f>
        <v>0</v>
      </c>
      <c r="E30" s="102">
        <f>IF(E14&gt;0,IFERROR('TIKR_Cálculos'!E41/E$14,""),"-")</f>
        <v>0</v>
      </c>
      <c r="F30" s="102">
        <f>IF(F14&gt;0,IFERROR('TIKR_Cálculos'!F41/F$14,""),"-")</f>
        <v>0</v>
      </c>
      <c r="G30" s="102">
        <f>IF(G14&gt;0,IFERROR('TIKR_Cálculos'!G41/G$14,""),"-")</f>
        <v>0</v>
      </c>
      <c r="H30" s="102">
        <f>IF(H14&gt;0,IFERROR('TIKR_Cálculos'!H41/H$14,""),"-")</f>
        <v>0</v>
      </c>
      <c r="I30" s="102">
        <f>IF(I14&gt;0,IFERROR('TIKR_Cálculos'!I41/I$14,""),"-")</f>
        <v>0</v>
      </c>
      <c r="J30" s="102">
        <f>IF(J14&gt;0,IFERROR('TIKR_Cálculos'!J41/J$14,""),"-")</f>
        <v>0</v>
      </c>
      <c r="K30" s="102">
        <f>IF(K14&gt;0,IFERROR('TIKR_Cálculos'!K41/K$14,""),"-")</f>
        <v>0.0769222733</v>
      </c>
      <c r="L30" s="131">
        <f t="shared" si="11"/>
        <v>0.00769222733</v>
      </c>
      <c r="M30" s="130"/>
      <c r="N30" s="21"/>
      <c r="O30" s="59"/>
      <c r="P30" s="59"/>
      <c r="Q30" s="59"/>
      <c r="R30" s="17"/>
      <c r="S30" s="17"/>
      <c r="T30" s="17"/>
      <c r="U30" s="17"/>
      <c r="V30" s="17"/>
      <c r="W30" s="17"/>
      <c r="X30" s="17"/>
      <c r="Y30" s="17"/>
      <c r="Z30" s="17"/>
    </row>
    <row r="31" ht="24.75" customHeight="1">
      <c r="A31" s="4" t="s">
        <v>66</v>
      </c>
      <c r="B31" s="101">
        <f>IF(B14&gt;0,IFERROR('TIKR_Cálculos'!B42/B$14,""),"-")</f>
        <v>0.09975341852</v>
      </c>
      <c r="C31" s="102">
        <f>IF(C14&gt;0,IFERROR('TIKR_Cálculos'!C42/C$14,""),"-")</f>
        <v>0.193482475</v>
      </c>
      <c r="D31" s="102">
        <f>IF(D14&gt;0,IFERROR('TIKR_Cálculos'!D42/D$14,""),"-")</f>
        <v>0.3652121486</v>
      </c>
      <c r="E31" s="102">
        <f>IF(E14&gt;0,IFERROR('TIKR_Cálculos'!E42/E$14,""),"-")</f>
        <v>0.3041627564</v>
      </c>
      <c r="F31" s="102">
        <f>IF(F14&gt;0,IFERROR('TIKR_Cálculos'!F42/F$14,""),"-")</f>
        <v>0.6000587142</v>
      </c>
      <c r="G31" s="102">
        <f>IF(G14&gt;0,IFERROR('TIKR_Cálculos'!G42/G$14,""),"-")</f>
        <v>0.9930183627</v>
      </c>
      <c r="H31" s="102">
        <f>IF(H14&gt;0,IFERROR('TIKR_Cálculos'!H42/H$14,""),"-")</f>
        <v>0.8728579614</v>
      </c>
      <c r="I31" s="102">
        <f>IF(I14&gt;0,IFERROR('TIKR_Cálculos'!I42/I$14,""),"-")</f>
        <v>0.9081385732</v>
      </c>
      <c r="J31" s="102">
        <f>IF(J14&gt;0,IFERROR('TIKR_Cálculos'!J42/J$14,""),"-")</f>
        <v>0.8759132404</v>
      </c>
      <c r="K31" s="102">
        <f>IF(K14&gt;0,IFERROR('TIKR_Cálculos'!K42/K$14,""),"-")</f>
        <v>0.6500417885</v>
      </c>
      <c r="L31" s="131">
        <f t="shared" si="11"/>
        <v>0.5862639439</v>
      </c>
      <c r="M31" s="130"/>
      <c r="N31" s="21"/>
      <c r="O31" s="59"/>
      <c r="P31" s="59"/>
      <c r="Q31" s="59"/>
      <c r="R31" s="17"/>
      <c r="S31" s="17"/>
      <c r="T31" s="17"/>
      <c r="U31" s="17"/>
      <c r="V31" s="17"/>
      <c r="W31" s="17"/>
      <c r="X31" s="17"/>
      <c r="Y31" s="17"/>
      <c r="Z31" s="17"/>
    </row>
    <row r="32" ht="24.75" customHeight="1">
      <c r="A32" s="132" t="s">
        <v>67</v>
      </c>
      <c r="B32" s="133">
        <f>IF(B14&gt;0,IFERROR(IF('TIKR_Cálculos'!B44&gt;0,'TIKR_Cálculos'!B44,0)/B14,""),"-")</f>
        <v>0.001288948666</v>
      </c>
      <c r="C32" s="134">
        <f>IF(C14&gt;0,IFERROR(IF('TIKR_Cálculos'!C44&gt;0,'TIKR_Cálculos'!C44,0)/C14,""),"-")</f>
        <v>0.06994289307</v>
      </c>
      <c r="D32" s="134">
        <f>IF(D14&gt;0,IFERROR(IF('TIKR_Cálculos'!D44&gt;0,'TIKR_Cálculos'!D44,0)/D14,""),"-")</f>
        <v>0.006481272138</v>
      </c>
      <c r="E32" s="134">
        <f>IF(E14&gt;0,IFERROR(IF('TIKR_Cálculos'!E44&gt;0,'TIKR_Cálculos'!E44,0)/E14,""),"-")</f>
        <v>0.002044509988</v>
      </c>
      <c r="F32" s="134">
        <f>IF(F14&gt;0,IFERROR(IF('TIKR_Cálculos'!F44&gt;0,'TIKR_Cálculos'!F44,0)/F14,""),"-")</f>
        <v>0.008741886029</v>
      </c>
      <c r="G32" s="134">
        <f>IF(G14&gt;0,IFERROR(IF('TIKR_Cálculos'!G44&gt;0,'TIKR_Cálculos'!G44,0)/G14,""),"-")</f>
        <v>0</v>
      </c>
      <c r="H32" s="134">
        <f>IF(H14&gt;0,IFERROR(IF('TIKR_Cálculos'!H44&gt;0,'TIKR_Cálculos'!H44,0)/H14,""),"-")</f>
        <v>0.02145945101</v>
      </c>
      <c r="I32" s="134">
        <f>IF(I14&gt;0,IFERROR(IF('TIKR_Cálculos'!I44&gt;0,'TIKR_Cálculos'!I44,0)/I14,""),"-")</f>
        <v>0.01831715012</v>
      </c>
      <c r="J32" s="134">
        <f>IF(J14&gt;0,IFERROR(IF('TIKR_Cálculos'!J44&gt;0,'TIKR_Cálculos'!J44,0)/J14,""),"-")</f>
        <v>0.01082358973</v>
      </c>
      <c r="K32" s="134">
        <f>IF(K14&gt;0,IFERROR(IF('TIKR_Cálculos'!K44&gt;0,'TIKR_Cálculos'!K44,0)/K14,""),"-")</f>
        <v>0</v>
      </c>
      <c r="L32" s="125">
        <f t="shared" si="11"/>
        <v>0.01390997008</v>
      </c>
      <c r="M32" s="130"/>
      <c r="N32" s="17"/>
      <c r="O32" s="59"/>
      <c r="P32" s="59"/>
      <c r="Q32" s="59"/>
      <c r="R32" s="17"/>
      <c r="S32" s="17"/>
      <c r="T32" s="17"/>
      <c r="U32" s="17"/>
      <c r="V32" s="17"/>
      <c r="W32" s="17"/>
      <c r="X32" s="17"/>
      <c r="Y32" s="17"/>
      <c r="Z32" s="17"/>
    </row>
    <row r="33" ht="24.75" customHeight="1">
      <c r="A33" s="81" t="s">
        <v>68</v>
      </c>
      <c r="B33" s="126">
        <f t="shared" ref="B33:L33" si="12">SUM(B28:B32)</f>
        <v>0.438354629</v>
      </c>
      <c r="C33" s="126">
        <f t="shared" si="12"/>
        <v>0.5615864201</v>
      </c>
      <c r="D33" s="126">
        <f t="shared" si="12"/>
        <v>0.9195116437</v>
      </c>
      <c r="E33" s="126">
        <f t="shared" si="12"/>
        <v>0.9251240113</v>
      </c>
      <c r="F33" s="126">
        <f t="shared" si="12"/>
        <v>1.104837394</v>
      </c>
      <c r="G33" s="126">
        <f t="shared" si="12"/>
        <v>1.315448865</v>
      </c>
      <c r="H33" s="126">
        <f t="shared" si="12"/>
        <v>1.189211244</v>
      </c>
      <c r="I33" s="126">
        <f t="shared" si="12"/>
        <v>1.309017674</v>
      </c>
      <c r="J33" s="126">
        <f t="shared" si="12"/>
        <v>1.182961391</v>
      </c>
      <c r="K33" s="126">
        <f t="shared" si="12"/>
        <v>1.146468868</v>
      </c>
      <c r="L33" s="126">
        <f t="shared" si="12"/>
        <v>1.009252214</v>
      </c>
      <c r="M33" s="135"/>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10"/>
      <c r="O35" s="110"/>
      <c r="P35" s="110"/>
      <c r="Q35" s="126"/>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10"/>
      <c r="O36" s="110"/>
      <c r="P36" s="110"/>
      <c r="Q36" s="126"/>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10"/>
      <c r="P37" s="110"/>
      <c r="Q37" s="126"/>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10"/>
      <c r="P38" s="110"/>
      <c r="Q38" s="126"/>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6"/>
      <c r="M40" s="126"/>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10"/>
      <c r="O41" s="110"/>
      <c r="P41" s="110"/>
      <c r="Q41" s="126"/>
      <c r="R41" s="17"/>
      <c r="S41" s="17"/>
      <c r="T41" s="17"/>
      <c r="U41" s="17"/>
      <c r="V41" s="17"/>
      <c r="W41" s="17"/>
      <c r="X41" s="17"/>
      <c r="Y41" s="17"/>
      <c r="Z41" s="17"/>
    </row>
    <row r="42" ht="24.75" customHeight="1">
      <c r="A42" s="17"/>
      <c r="B42" s="59"/>
      <c r="C42" s="59"/>
      <c r="D42" s="59"/>
      <c r="E42" s="59"/>
      <c r="F42" s="59"/>
      <c r="G42" s="59"/>
      <c r="H42" s="59"/>
      <c r="I42" s="59"/>
      <c r="J42" s="59"/>
      <c r="K42" s="59"/>
      <c r="L42" s="135"/>
      <c r="M42" s="126"/>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5"/>
      <c r="M43" s="126"/>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8"/>
      <c r="M63" s="128"/>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5"/>
      <c r="M64" s="135"/>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5"/>
      <c r="M65" s="135"/>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5"/>
      <c r="M66" s="135"/>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5"/>
      <c r="M67" s="135"/>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5"/>
      <c r="M68" s="135"/>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6" t="str">
        <f>IF('1.IS'!A1&lt;&gt;"",'1.IS'!A1,"")</f>
        <v/>
      </c>
      <c r="B1" s="10" t="s">
        <v>69</v>
      </c>
      <c r="C1" s="59"/>
      <c r="D1" s="59"/>
      <c r="E1" s="59"/>
      <c r="F1" s="59"/>
      <c r="G1" s="59"/>
      <c r="H1" s="59"/>
      <c r="I1" s="59"/>
      <c r="J1" s="59"/>
      <c r="K1" s="59"/>
      <c r="L1" s="59"/>
      <c r="M1" s="59"/>
      <c r="N1" s="59"/>
      <c r="O1" s="11" t="s">
        <v>14</v>
      </c>
      <c r="Q1" s="59"/>
      <c r="R1" s="59"/>
      <c r="S1" s="59"/>
      <c r="T1" s="59"/>
      <c r="U1" s="59"/>
      <c r="V1" s="136"/>
      <c r="W1" s="17"/>
      <c r="X1" s="17"/>
      <c r="Y1" s="17"/>
      <c r="Z1" s="17"/>
    </row>
    <row r="2" ht="34.5" customHeight="1">
      <c r="A2" s="77" t="s">
        <v>70</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80"/>
      <c r="S2" s="21"/>
      <c r="T2" s="21"/>
      <c r="U2" s="21"/>
      <c r="V2" s="21"/>
      <c r="W2" s="21"/>
      <c r="X2" s="21"/>
      <c r="Y2" s="21"/>
      <c r="Z2" s="21"/>
    </row>
    <row r="3" ht="24.75" customHeight="1">
      <c r="A3" s="137" t="s">
        <v>71</v>
      </c>
      <c r="B3" s="89">
        <f>IFERROR('1.IS'!B9*(1-'1.IS'!B17),"")</f>
        <v>16202.94841</v>
      </c>
      <c r="C3" s="90">
        <f>IFERROR('1.IS'!C9*(1-'1.IS'!C17),"")</f>
        <v>19250.3724</v>
      </c>
      <c r="D3" s="90">
        <f>IFERROR('1.IS'!D9*(1-'1.IS'!D17),"")</f>
        <v>14963.42943</v>
      </c>
      <c r="E3" s="90">
        <f>IFERROR('1.IS'!E9*(1-'1.IS'!E17),"")</f>
        <v>28632.44827</v>
      </c>
      <c r="F3" s="90">
        <f>IFERROR('1.IS'!F9*(1-'1.IS'!F17),"")</f>
        <v>30967.29693</v>
      </c>
      <c r="G3" s="90">
        <f>IFERROR('1.IS'!G9*(1-'1.IS'!G17),"")</f>
        <v>33725.6736</v>
      </c>
      <c r="H3" s="90">
        <f>IFERROR('1.IS'!H9*(1-'1.IS'!H17),"")</f>
        <v>64225.231</v>
      </c>
      <c r="I3" s="90">
        <f>IFERROR('1.IS'!I9*(1-'1.IS'!I17),"")</f>
        <v>63755.16412</v>
      </c>
      <c r="J3" s="90">
        <f>IFERROR('1.IS'!J9*(1-'1.IS'!J17),"")</f>
        <v>72853.71547</v>
      </c>
      <c r="K3" s="90">
        <f>IFERROR('1.IS'!K9*(1-'1.IS'!K17),"")</f>
        <v>95190.04019</v>
      </c>
      <c r="L3" s="138">
        <f>IFERROR('1.IS'!L9*(1-'1.IS'!L17),"")</f>
        <v>105829.3459</v>
      </c>
      <c r="M3" s="139">
        <f>IFERROR('1.IS'!M9*(1-'1.IS'!M17),"")</f>
        <v>119266.7601</v>
      </c>
      <c r="N3" s="139">
        <f>IFERROR('1.IS'!N9*(1-'1.IS'!N17),"")</f>
        <v>135177.3769</v>
      </c>
      <c r="O3" s="139">
        <f>IFERROR('1.IS'!O9*(1-'1.IS'!O17),"")</f>
        <v>152259.9694</v>
      </c>
      <c r="P3" s="140">
        <f>IFERROR('1.IS'!P9*(1-'1.IS'!P17),"")</f>
        <v>170973.7819</v>
      </c>
      <c r="Q3" s="139"/>
      <c r="R3" s="139"/>
      <c r="S3" s="21"/>
      <c r="T3" s="21"/>
      <c r="U3" s="21"/>
      <c r="V3" s="141"/>
      <c r="W3" s="21"/>
      <c r="X3" s="21"/>
      <c r="Y3" s="21"/>
      <c r="Z3" s="21"/>
    </row>
    <row r="4" ht="24.75" customHeight="1">
      <c r="A4" s="142" t="s">
        <v>72</v>
      </c>
      <c r="B4" s="87">
        <f>IFERROR(VLOOKUP("Cash And Equivalents*",'8.TIKR_BS'!$A:$K,COLUMN(B4),FALSE),"0")</f>
        <v>15409</v>
      </c>
      <c r="C4" s="88">
        <f>IFERROR(VLOOKUP("Cash And Equivalents*",'8.TIKR_BS'!$A:$K,COLUMN(C4),FALSE),"0")</f>
        <v>12918</v>
      </c>
      <c r="D4" s="88">
        <f>IFERROR(VLOOKUP("Cash And Equivalents*",'8.TIKR_BS'!$A:$K,COLUMN(D4),FALSE),"0")</f>
        <v>10715</v>
      </c>
      <c r="E4" s="88">
        <f>IFERROR(VLOOKUP("Cash And Equivalents*",'8.TIKR_BS'!$A:$K,COLUMN(E4),FALSE),"0")</f>
        <v>16701</v>
      </c>
      <c r="F4" s="88">
        <f>IFERROR(VLOOKUP("Cash And Equivalents*",'8.TIKR_BS'!$A:$K,COLUMN(F4),FALSE),"0")</f>
        <v>18498</v>
      </c>
      <c r="G4" s="88">
        <f>IFERROR(VLOOKUP("Cash And Equivalents*",'8.TIKR_BS'!$A:$K,COLUMN(G4),FALSE),"0")</f>
        <v>26465</v>
      </c>
      <c r="H4" s="88">
        <f>IFERROR(VLOOKUP("Cash And Equivalents*",'8.TIKR_BS'!$A:$K,COLUMN(H4),FALSE),"0")</f>
        <v>20945</v>
      </c>
      <c r="I4" s="88">
        <f>IFERROR(VLOOKUP("Cash And Equivalents*",'8.TIKR_BS'!$A:$K,COLUMN(I4),FALSE),"0")</f>
        <v>21879</v>
      </c>
      <c r="J4" s="88">
        <f>IFERROR(VLOOKUP("Cash And Equivalents*",'8.TIKR_BS'!$A:$K,COLUMN(J4),FALSE),"0")</f>
        <v>24048</v>
      </c>
      <c r="K4" s="88">
        <f>IFERROR(VLOOKUP("Cash And Equivalents*",'8.TIKR_BS'!$A:$K,COLUMN(K4),FALSE),"0")</f>
        <v>23466</v>
      </c>
      <c r="L4" s="138">
        <f>IFERROR('TIKR_Cálculos'!C32,0)</f>
        <v>24957.57207</v>
      </c>
      <c r="M4" s="139">
        <f>IFERROR('TIKR_Cálculos'!D32,0)</f>
        <v>27702.905</v>
      </c>
      <c r="N4" s="139">
        <f>IFERROR('TIKR_Cálculos'!E32,0)</f>
        <v>30750.22455</v>
      </c>
      <c r="O4" s="139">
        <f>IFERROR('TIKR_Cálculos'!F32,0)</f>
        <v>34132.74924</v>
      </c>
      <c r="P4" s="140">
        <f>IFERROR('TIKR_Cálculos'!G32,0)</f>
        <v>37887.35166</v>
      </c>
      <c r="Q4" s="139"/>
      <c r="R4" s="139"/>
      <c r="S4" s="21"/>
      <c r="T4" s="21"/>
      <c r="U4" s="21"/>
      <c r="V4" s="141"/>
      <c r="W4" s="21"/>
      <c r="X4" s="21"/>
      <c r="Y4" s="21"/>
      <c r="Z4" s="21"/>
    </row>
    <row r="5" ht="24.75" customHeight="1">
      <c r="A5" s="142" t="s">
        <v>73</v>
      </c>
      <c r="B5" s="87">
        <f>IFERROR(VLOOKUP("Total Cash And Short Term Investments*",'8.TIKR_BS'!$A:$K,COLUMN(B5),FALSE)-B4,"0")</f>
        <v>56517</v>
      </c>
      <c r="C5" s="88">
        <f>IFERROR(VLOOKUP("Total Cash And Short Term Investments*",'8.TIKR_BS'!$A:$K,COLUMN(C5),FALSE)-C4,"0")</f>
        <v>73415</v>
      </c>
      <c r="D5" s="88">
        <f>IFERROR(VLOOKUP("Total Cash And Short Term Investments*",'8.TIKR_BS'!$A:$K,COLUMN(D5),FALSE)-D4,"0")</f>
        <v>91156</v>
      </c>
      <c r="E5" s="88">
        <f>IFERROR(VLOOKUP("Total Cash And Short Term Investments*",'8.TIKR_BS'!$A:$K,COLUMN(E5),FALSE)-E4,"0")</f>
        <v>92439</v>
      </c>
      <c r="F5" s="88">
        <f>IFERROR(VLOOKUP("Total Cash And Short Term Investments*",'8.TIKR_BS'!$A:$K,COLUMN(F5),FALSE)-F4,"0")</f>
        <v>101177</v>
      </c>
      <c r="G5" s="88">
        <f>IFERROR(VLOOKUP("Total Cash And Short Term Investments*",'8.TIKR_BS'!$A:$K,COLUMN(G5),FALSE)-G4,"0")</f>
        <v>110229</v>
      </c>
      <c r="H5" s="88">
        <f>IFERROR(VLOOKUP("Total Cash And Short Term Investments*",'8.TIKR_BS'!$A:$K,COLUMN(H5),FALSE)-H4,"0")</f>
        <v>118704</v>
      </c>
      <c r="I5" s="88">
        <f>IFERROR(VLOOKUP("Total Cash And Short Term Investments*",'8.TIKR_BS'!$A:$K,COLUMN(I5),FALSE)-I4,"0")</f>
        <v>91883</v>
      </c>
      <c r="J5" s="88">
        <f>IFERROR(VLOOKUP("Total Cash And Short Term Investments*",'8.TIKR_BS'!$A:$K,COLUMN(J5),FALSE)-J4,"0")</f>
        <v>86868</v>
      </c>
      <c r="K5" s="88">
        <f>IFERROR(VLOOKUP("Total Cash And Short Term Investments*",'8.TIKR_BS'!$A:$K,COLUMN(K5),FALSE)-K4,"0")</f>
        <v>72191</v>
      </c>
      <c r="L5" s="138">
        <f>IFERROR('TIKR_Cálculos'!C33,0)</f>
        <v>76779.68487</v>
      </c>
      <c r="M5" s="139">
        <f>IFERROR('TIKR_Cálculos'!D33,0)</f>
        <v>85225.45021</v>
      </c>
      <c r="N5" s="139">
        <f>IFERROR('TIKR_Cálculos'!E33,0)</f>
        <v>94600.24973</v>
      </c>
      <c r="O5" s="139">
        <f>IFERROR('TIKR_Cálculos'!F33,0)</f>
        <v>105006.2772</v>
      </c>
      <c r="P5" s="140">
        <f>IFERROR('TIKR_Cálculos'!G33,0)</f>
        <v>116556.9677</v>
      </c>
      <c r="Q5" s="139"/>
      <c r="R5" s="139"/>
      <c r="S5" s="21"/>
      <c r="T5" s="21"/>
      <c r="U5" s="21"/>
      <c r="V5" s="141"/>
      <c r="W5" s="21"/>
      <c r="X5" s="21"/>
      <c r="Y5" s="21"/>
      <c r="Z5" s="21"/>
    </row>
    <row r="6" ht="24.75" customHeight="1">
      <c r="A6" s="142" t="s">
        <v>74</v>
      </c>
      <c r="B6" s="87">
        <f>IFERROR(VLOOKUP("Short-term Borrowings*",'8.TIKR_BS'!$A:$K,COLUMN(B6),FALSE),"0")+IFERROR(VLOOKUP("Current Portion of Long-Term Debt*",'8.TIKR_BS'!$A:$K,COLUMN(B6),FALSE),"0")+IFERROR(VLOOKUP("Finance Division Debt Current*",'8.TIKR_BS'!$A:$K,COLUMN(B6),FALSE),"0")</f>
        <v>5428</v>
      </c>
      <c r="C6" s="88">
        <f>IFERROR(VLOOKUP("Short-term Borrowings*",'8.TIKR_BS'!$A:$K,COLUMN(C6),FALSE),"0")+IFERROR(VLOOKUP("Current Portion of Long-Term Debt*",'8.TIKR_BS'!$A:$K,COLUMN(C6),FALSE),"0")+IFERROR(VLOOKUP("Finance Division Debt Current*",'8.TIKR_BS'!$A:$K,COLUMN(C6),FALSE),"0")</f>
        <v>0</v>
      </c>
      <c r="D6" s="88">
        <f>IFERROR(VLOOKUP("Short-term Borrowings*",'8.TIKR_BS'!$A:$K,COLUMN(D6),FALSE),"0")+IFERROR(VLOOKUP("Current Portion of Long-Term Debt*",'8.TIKR_BS'!$A:$K,COLUMN(D6),FALSE),"0")+IFERROR(VLOOKUP("Finance Division Debt Current*",'8.TIKR_BS'!$A:$K,COLUMN(D6),FALSE),"0")</f>
        <v>0</v>
      </c>
      <c r="E6" s="88">
        <f>IFERROR(VLOOKUP("Short-term Borrowings*",'8.TIKR_BS'!$A:$K,COLUMN(E6),FALSE),"0")+IFERROR(VLOOKUP("Current Portion of Long-Term Debt*",'8.TIKR_BS'!$A:$K,COLUMN(E6),FALSE),"0")+IFERROR(VLOOKUP("Finance Division Debt Current*",'8.TIKR_BS'!$A:$K,COLUMN(E6),FALSE),"0")</f>
        <v>0</v>
      </c>
      <c r="F6" s="88">
        <f>IFERROR(VLOOKUP("Short-term Borrowings*",'8.TIKR_BS'!$A:$K,COLUMN(F6),FALSE),"0")+IFERROR(VLOOKUP("Current Portion of Long-Term Debt*",'8.TIKR_BS'!$A:$K,COLUMN(F6),FALSE),"0")+IFERROR(VLOOKUP("Finance Division Debt Current*",'8.TIKR_BS'!$A:$K,COLUMN(F6),FALSE),"0")</f>
        <v>0</v>
      </c>
      <c r="G6" s="88">
        <f>IFERROR(VLOOKUP("Short-term Borrowings*",'8.TIKR_BS'!$A:$K,COLUMN(G6),FALSE),"0")+IFERROR(VLOOKUP("Current Portion of Long-Term Debt*",'8.TIKR_BS'!$A:$K,COLUMN(G6),FALSE),"0")+IFERROR(VLOOKUP("Finance Division Debt Current*",'8.TIKR_BS'!$A:$K,COLUMN(G6),FALSE),"0")</f>
        <v>999</v>
      </c>
      <c r="H6" s="88">
        <f>IFERROR(VLOOKUP("Short-term Borrowings*",'8.TIKR_BS'!$A:$K,COLUMN(H6),FALSE),"0")+IFERROR(VLOOKUP("Current Portion of Long-Term Debt*",'8.TIKR_BS'!$A:$K,COLUMN(H6),FALSE),"0")+IFERROR(VLOOKUP("Finance Division Debt Current*",'8.TIKR_BS'!$A:$K,COLUMN(H6),FALSE),"0")</f>
        <v>0</v>
      </c>
      <c r="I6" s="88">
        <f>IFERROR(VLOOKUP("Short-term Borrowings*",'8.TIKR_BS'!$A:$K,COLUMN(I6),FALSE),"0")+IFERROR(VLOOKUP("Current Portion of Long-Term Debt*",'8.TIKR_BS'!$A:$K,COLUMN(I6),FALSE),"0")+IFERROR(VLOOKUP("Finance Division Debt Current*",'8.TIKR_BS'!$A:$K,COLUMN(I6),FALSE),"0")</f>
        <v>0</v>
      </c>
      <c r="J6" s="88">
        <f>IFERROR(VLOOKUP("Short-term Borrowings*",'8.TIKR_BS'!$A:$K,COLUMN(J6),FALSE),"0")+IFERROR(VLOOKUP("Current Portion of Long-Term Debt*",'8.TIKR_BS'!$A:$K,COLUMN(J6),FALSE),"0")+IFERROR(VLOOKUP("Finance Division Debt Current*",'8.TIKR_BS'!$A:$K,COLUMN(J6),FALSE),"0")</f>
        <v>1000</v>
      </c>
      <c r="K6" s="88">
        <f>IFERROR(VLOOKUP("Short-term Borrowings*",'8.TIKR_BS'!$A:$K,COLUMN(K6),FALSE),"0")+IFERROR(VLOOKUP("Current Portion of Long-Term Debt*",'8.TIKR_BS'!$A:$K,COLUMN(K6),FALSE),"0")+IFERROR(VLOOKUP("Finance Division Debt Current*",'8.TIKR_BS'!$A:$K,COLUMN(K6),FALSE),"0")</f>
        <v>999</v>
      </c>
      <c r="L6" s="138">
        <f>IFERROR('TIKR_Cálculos'!C35,0)</f>
        <v>1062.499552</v>
      </c>
      <c r="M6" s="139">
        <f>IFERROR('TIKR_Cálculos'!D35,0)</f>
        <v>1216.329454</v>
      </c>
      <c r="N6" s="139">
        <f>IFERROR('TIKR_Cálculos'!E35,0)</f>
        <v>1395.201432</v>
      </c>
      <c r="O6" s="139">
        <f>IFERROR('TIKR_Cálculos'!F35,0)</f>
        <v>1566.918532</v>
      </c>
      <c r="P6" s="140">
        <f>IFERROR('TIKR_Cálculos'!G35,0)</f>
        <v>1756.522829</v>
      </c>
      <c r="Q6" s="139"/>
      <c r="R6" s="139"/>
      <c r="S6" s="21"/>
      <c r="T6" s="21"/>
      <c r="U6" s="21"/>
      <c r="V6" s="141"/>
      <c r="W6" s="21"/>
      <c r="X6" s="21"/>
      <c r="Y6" s="21"/>
      <c r="Z6" s="21"/>
    </row>
    <row r="7" ht="24.75" customHeight="1">
      <c r="A7" s="142" t="s">
        <v>75</v>
      </c>
      <c r="B7" s="87">
        <f>IFERROR(VLOOKUP("Long-term Borrowings*",'8.TIKR_BS'!$A:$K,COLUMN(B7),FALSE),"0")+IFERROR(VLOOKUP("Long-Term Debt*",'8.TIKR_BS'!$A:$K,COLUMN(B7),FALSE),"0")+IFERROR(VLOOKUP("Finance Division Debt Non Current*",'8.TIKR_BS'!$A:$K,COLUMN(B7),FALSE),"0")</f>
        <v>1995</v>
      </c>
      <c r="C7" s="88">
        <f>IFERROR(VLOOKUP("Long-term Borrowings*",'8.TIKR_BS'!$A:$K,COLUMN(C7),FALSE),"0")+IFERROR(VLOOKUP("Long-Term Debt*",'8.TIKR_BS'!$A:$K,COLUMN(C7),FALSE),"0")+IFERROR(VLOOKUP("Finance Division Debt Non Current*",'8.TIKR_BS'!$A:$K,COLUMN(C7),FALSE),"0")</f>
        <v>3935</v>
      </c>
      <c r="D7" s="88">
        <f>IFERROR(VLOOKUP("Long-term Borrowings*",'8.TIKR_BS'!$A:$K,COLUMN(D7),FALSE),"0")+IFERROR(VLOOKUP("Long-Term Debt*",'8.TIKR_BS'!$A:$K,COLUMN(D7),FALSE),"0")+IFERROR(VLOOKUP("Finance Division Debt Non Current*",'8.TIKR_BS'!$A:$K,COLUMN(D7),FALSE),"0")</f>
        <v>3943</v>
      </c>
      <c r="E7" s="88">
        <f>IFERROR(VLOOKUP("Long-term Borrowings*",'8.TIKR_BS'!$A:$K,COLUMN(E7),FALSE),"0")+IFERROR(VLOOKUP("Long-Term Debt*",'8.TIKR_BS'!$A:$K,COLUMN(E7),FALSE),"0")+IFERROR(VLOOKUP("Finance Division Debt Non Current*",'8.TIKR_BS'!$A:$K,COLUMN(E7),FALSE),"0")</f>
        <v>3950</v>
      </c>
      <c r="F7" s="88">
        <f>IFERROR(VLOOKUP("Long-term Borrowings*",'8.TIKR_BS'!$A:$K,COLUMN(F7),FALSE),"0")+IFERROR(VLOOKUP("Long-Term Debt*",'8.TIKR_BS'!$A:$K,COLUMN(F7),FALSE),"0")+IFERROR(VLOOKUP("Finance Division Debt Non Current*",'8.TIKR_BS'!$A:$K,COLUMN(F7),FALSE),"0")</f>
        <v>3958</v>
      </c>
      <c r="G7" s="88">
        <f>IFERROR(VLOOKUP("Long-term Borrowings*",'8.TIKR_BS'!$A:$K,COLUMN(G7),FALSE),"0")+IFERROR(VLOOKUP("Long-Term Debt*",'8.TIKR_BS'!$A:$K,COLUMN(G7),FALSE),"0")+IFERROR(VLOOKUP("Finance Division Debt Non Current*",'8.TIKR_BS'!$A:$K,COLUMN(G7),FALSE),"0")</f>
        <v>12832</v>
      </c>
      <c r="H7" s="88">
        <f>IFERROR(VLOOKUP("Long-term Borrowings*",'8.TIKR_BS'!$A:$K,COLUMN(H7),FALSE),"0")+IFERROR(VLOOKUP("Long-Term Debt*",'8.TIKR_BS'!$A:$K,COLUMN(H7),FALSE),"0")+IFERROR(VLOOKUP("Finance Division Debt Non Current*",'8.TIKR_BS'!$A:$K,COLUMN(H7),FALSE),"0")</f>
        <v>12844</v>
      </c>
      <c r="I7" s="88">
        <f>IFERROR(VLOOKUP("Long-term Borrowings*",'8.TIKR_BS'!$A:$K,COLUMN(I7),FALSE),"0")+IFERROR(VLOOKUP("Long-Term Debt*",'8.TIKR_BS'!$A:$K,COLUMN(I7),FALSE),"0")+IFERROR(VLOOKUP("Finance Division Debt Non Current*",'8.TIKR_BS'!$A:$K,COLUMN(I7),FALSE),"0")</f>
        <v>12857</v>
      </c>
      <c r="J7" s="88">
        <f>IFERROR(VLOOKUP("Long-term Borrowings*",'8.TIKR_BS'!$A:$K,COLUMN(J7),FALSE),"0")+IFERROR(VLOOKUP("Long-Term Debt*",'8.TIKR_BS'!$A:$K,COLUMN(J7),FALSE),"0")+IFERROR(VLOOKUP("Finance Division Debt Non Current*",'8.TIKR_BS'!$A:$K,COLUMN(J7),FALSE),"0")</f>
        <v>11870</v>
      </c>
      <c r="K7" s="88">
        <f>IFERROR(VLOOKUP("Long-term Borrowings*",'8.TIKR_BS'!$A:$K,COLUMN(K7),FALSE),"0")+IFERROR(VLOOKUP("Long-Term Debt*",'8.TIKR_BS'!$A:$K,COLUMN(K7),FALSE),"0")+IFERROR(VLOOKUP("Finance Division Debt Non Current*",'8.TIKR_BS'!$A:$K,COLUMN(K7),FALSE),"0")</f>
        <v>10883</v>
      </c>
      <c r="L7" s="138">
        <f>IFERROR('TIKR_Cálculos'!C36,0)</f>
        <v>11574.75739</v>
      </c>
      <c r="M7" s="139">
        <f>IFERROR('TIKR_Cálculos'!D36,0)</f>
        <v>13250.56401</v>
      </c>
      <c r="N7" s="139">
        <f>IFERROR('TIKR_Cálculos'!E36,0)</f>
        <v>15199.17637</v>
      </c>
      <c r="O7" s="139">
        <f>IFERROR('TIKR_Cálculos'!F36,0)</f>
        <v>17069.84423</v>
      </c>
      <c r="P7" s="140">
        <f>IFERROR('TIKR_Cálculos'!G36,0)</f>
        <v>19135.37332</v>
      </c>
      <c r="Q7" s="139"/>
      <c r="R7" s="139"/>
      <c r="S7" s="139"/>
      <c r="T7" s="139"/>
      <c r="U7" s="139"/>
      <c r="V7" s="141"/>
      <c r="W7" s="21"/>
      <c r="X7" s="21"/>
      <c r="Y7" s="21"/>
      <c r="Z7" s="21"/>
    </row>
    <row r="8" ht="24.75" customHeight="1">
      <c r="A8" s="142" t="s">
        <v>76</v>
      </c>
      <c r="B8" s="87">
        <f>IFERROR(VLOOKUP("Current Portion of Capital Lease Obligations*",'8.TIKR_BS'!$A:$K,COLUMN(B8),FALSE),"0")</f>
        <v>225</v>
      </c>
      <c r="C8" s="88" t="str">
        <f>IFERROR(VLOOKUP("Current Portion of Capital Lease Obligations*",'8.TIKR_BS'!$A:$K,COLUMN(C8),FALSE),"0")</f>
        <v/>
      </c>
      <c r="D8" s="88" t="str">
        <f>IFERROR(VLOOKUP("Current Portion of Capital Lease Obligations*",'8.TIKR_BS'!$A:$K,COLUMN(D8),FALSE),"0")</f>
        <v/>
      </c>
      <c r="E8" s="88" t="str">
        <f>IFERROR(VLOOKUP("Current Portion of Capital Lease Obligations*",'8.TIKR_BS'!$A:$K,COLUMN(E8),FALSE),"0")</f>
        <v/>
      </c>
      <c r="F8" s="88">
        <f>IFERROR(VLOOKUP("Current Portion of Capital Lease Obligations*",'8.TIKR_BS'!$A:$K,COLUMN(F8),FALSE),"0")</f>
        <v>1314</v>
      </c>
      <c r="G8" s="88">
        <f>IFERROR(VLOOKUP("Current Portion of Capital Lease Obligations*",'8.TIKR_BS'!$A:$K,COLUMN(G8),FALSE),"0")</f>
        <v>1795</v>
      </c>
      <c r="H8" s="88">
        <f>IFERROR(VLOOKUP("Current Portion of Capital Lease Obligations*",'8.TIKR_BS'!$A:$K,COLUMN(H8),FALSE),"0")</f>
        <v>2302</v>
      </c>
      <c r="I8" s="88">
        <f>IFERROR(VLOOKUP("Current Portion of Capital Lease Obligations*",'8.TIKR_BS'!$A:$K,COLUMN(I8),FALSE),"0")</f>
        <v>2775</v>
      </c>
      <c r="J8" s="88">
        <f>IFERROR(VLOOKUP("Current Portion of Capital Lease Obligations*",'8.TIKR_BS'!$A:$K,COLUMN(J8),FALSE),"0")</f>
        <v>3074</v>
      </c>
      <c r="K8" s="88">
        <f>IFERROR(VLOOKUP("Current Portion of Capital Lease Obligations*",'8.TIKR_BS'!$A:$K,COLUMN(K8),FALSE),"0")</f>
        <v>3122</v>
      </c>
      <c r="L8" s="138">
        <f>IFERROR(K8*'1.IS'!L4+K8,"")</f>
        <v>3465.42</v>
      </c>
      <c r="M8" s="139">
        <f>IFERROR(L8*'1.IS'!M4+L8,"")</f>
        <v>3846.6162</v>
      </c>
      <c r="N8" s="139">
        <f>IFERROR(M8*'1.IS'!N4+M8,"")</f>
        <v>4269.743982</v>
      </c>
      <c r="O8" s="139">
        <f>IFERROR(N8*'1.IS'!O4+N8,"")</f>
        <v>4739.41582</v>
      </c>
      <c r="P8" s="140">
        <f>IFERROR(O8*'1.IS'!P4+O8,"")</f>
        <v>5260.75156</v>
      </c>
      <c r="Q8" s="139"/>
      <c r="R8" s="139"/>
      <c r="S8" s="139"/>
      <c r="T8" s="139"/>
      <c r="U8" s="139"/>
      <c r="V8" s="141"/>
      <c r="W8" s="21"/>
      <c r="X8" s="21"/>
      <c r="Y8" s="21"/>
      <c r="Z8" s="21"/>
    </row>
    <row r="9" ht="24.75" customHeight="1">
      <c r="A9" s="142" t="s">
        <v>77</v>
      </c>
      <c r="B9" s="87" t="str">
        <f>IFERROR(VLOOKUP("Capital Leases*",'8.TIKR_BS'!$A:$K,COLUMN(B9),FALSE),"0")</f>
        <v/>
      </c>
      <c r="C9" s="88" t="str">
        <f>IFERROR(VLOOKUP("Capital Leases*",'8.TIKR_BS'!$A:$K,COLUMN(C9),FALSE),"0")</f>
        <v/>
      </c>
      <c r="D9" s="88">
        <f>IFERROR(VLOOKUP("Capital Leases*",'8.TIKR_BS'!$A:$K,COLUMN(D9),FALSE),"0")</f>
        <v>26</v>
      </c>
      <c r="E9" s="88">
        <f>IFERROR(VLOOKUP("Capital Leases*",'8.TIKR_BS'!$A:$K,COLUMN(E9),FALSE),"0")</f>
        <v>62</v>
      </c>
      <c r="F9" s="88">
        <f>IFERROR(VLOOKUP("Capital Leases*",'8.TIKR_BS'!$A:$K,COLUMN(F9),FALSE),"0")</f>
        <v>10810</v>
      </c>
      <c r="G9" s="88">
        <f>IFERROR(VLOOKUP("Capital Leases*",'8.TIKR_BS'!$A:$K,COLUMN(G9),FALSE),"0")</f>
        <v>12246</v>
      </c>
      <c r="H9" s="88">
        <f>IFERROR(VLOOKUP("Capital Leases*",'8.TIKR_BS'!$A:$K,COLUMN(H9),FALSE),"0")</f>
        <v>13362</v>
      </c>
      <c r="I9" s="88">
        <f>IFERROR(VLOOKUP("Capital Leases*",'8.TIKR_BS'!$A:$K,COLUMN(I9),FALSE),"0")</f>
        <v>14345</v>
      </c>
      <c r="J9" s="88">
        <f>IFERROR(VLOOKUP("Capital Leases*",'8.TIKR_BS'!$A:$K,COLUMN(J9),FALSE),"0")</f>
        <v>13843</v>
      </c>
      <c r="K9" s="88">
        <f>IFERROR(VLOOKUP("Capital Leases*",'8.TIKR_BS'!$A:$K,COLUMN(K9),FALSE),"0")</f>
        <v>13133</v>
      </c>
      <c r="L9" s="138">
        <f>IFERROR(K9*'1.IS'!L4+K9,"")</f>
        <v>14577.63</v>
      </c>
      <c r="M9" s="139">
        <f>IFERROR(L9*'1.IS'!M4+L9,"")</f>
        <v>16181.1693</v>
      </c>
      <c r="N9" s="139">
        <f>IFERROR(M9*'1.IS'!N4+M9,"")</f>
        <v>17961.09792</v>
      </c>
      <c r="O9" s="139">
        <f>IFERROR(N9*'1.IS'!O4+N9,"")</f>
        <v>19936.81869</v>
      </c>
      <c r="P9" s="140">
        <f>IFERROR(O9*'1.IS'!P4+O9,"")</f>
        <v>22129.86875</v>
      </c>
      <c r="Q9" s="139"/>
      <c r="R9" s="139"/>
      <c r="S9" s="139"/>
      <c r="T9" s="139"/>
      <c r="U9" s="139"/>
      <c r="V9" s="141"/>
      <c r="W9" s="21"/>
      <c r="X9" s="21"/>
      <c r="Y9" s="21"/>
      <c r="Z9" s="21"/>
    </row>
    <row r="10" ht="24.75" customHeight="1">
      <c r="A10" s="142" t="s">
        <v>78</v>
      </c>
      <c r="B10" s="87">
        <f>IFERROR(VLOOKUP("Total Equity*",'8.TIKR_BS'!$A:$K,COLUMN(B10),FALSE),"0")</f>
        <v>120331</v>
      </c>
      <c r="C10" s="88">
        <f>IFERROR(VLOOKUP("Total Equity*",'8.TIKR_BS'!$A:$K,COLUMN(C10),FALSE),"0")</f>
        <v>139036</v>
      </c>
      <c r="D10" s="88">
        <f>IFERROR(VLOOKUP("Total Equity*",'8.TIKR_BS'!$A:$K,COLUMN(D10),FALSE),"0")</f>
        <v>152502</v>
      </c>
      <c r="E10" s="88">
        <f>IFERROR(VLOOKUP("Total Equity*",'8.TIKR_BS'!$A:$K,COLUMN(E10),FALSE),"0")</f>
        <v>177628</v>
      </c>
      <c r="F10" s="88">
        <f>IFERROR(VLOOKUP("Total Equity*",'8.TIKR_BS'!$A:$K,COLUMN(F10),FALSE),"0")</f>
        <v>201442</v>
      </c>
      <c r="G10" s="88">
        <f>IFERROR(VLOOKUP("Total Equity*",'8.TIKR_BS'!$A:$K,COLUMN(G10),FALSE),"0")</f>
        <v>222544</v>
      </c>
      <c r="H10" s="88">
        <f>IFERROR(VLOOKUP("Total Equity*",'8.TIKR_BS'!$A:$K,COLUMN(H10),FALSE),"0")</f>
        <v>251635</v>
      </c>
      <c r="I10" s="88">
        <f>IFERROR(VLOOKUP("Total Equity*",'8.TIKR_BS'!$A:$K,COLUMN(I10),FALSE),"0")</f>
        <v>256144</v>
      </c>
      <c r="J10" s="88">
        <f>IFERROR(VLOOKUP("Total Equity*",'8.TIKR_BS'!$A:$K,COLUMN(J10),FALSE),"0")</f>
        <v>283379</v>
      </c>
      <c r="K10" s="88">
        <f>IFERROR(VLOOKUP("Total Equity*",'8.TIKR_BS'!$A:$K,COLUMN(K10),FALSE),"0")</f>
        <v>325084</v>
      </c>
      <c r="L10" s="138">
        <f>IFERROR(K10+'1.IS'!L20+'1.IS'!L26*'4.Valoración'!L3-AVERAGE('2.FCF'!$J$30:$K$30)*'2.FCF'!L14,"")</f>
        <v>385990.441</v>
      </c>
      <c r="M10" s="139">
        <f>IFERROR(L10+'1.IS'!M20+'1.IS'!M26*'4.Valoración'!M3-AVERAGE('2.FCF'!$J$30:$K$30)*'2.FCF'!M14,"")</f>
        <v>460686.7554</v>
      </c>
      <c r="N10" s="139">
        <f>IFERROR(M10+'1.IS'!N20+'1.IS'!N26*'4.Valoración'!N3-AVERAGE('2.FCF'!$J$30:$K$30)*'2.FCF'!N14,"")</f>
        <v>551537.4645</v>
      </c>
      <c r="O10" s="139">
        <f>IFERROR(N10+'1.IS'!O20+'1.IS'!O26*'4.Valoración'!O3-AVERAGE('2.FCF'!$J$30:$K$30)*'2.FCF'!O14,"")</f>
        <v>659779.332</v>
      </c>
      <c r="P10" s="140">
        <f>IFERROR(O10+'1.IS'!P20+'1.IS'!P26*'4.Valoración'!P3-AVERAGE('2.FCF'!$J$30:$K$30)*'2.FCF'!P14,"")</f>
        <v>786975.8197</v>
      </c>
      <c r="Q10" s="139"/>
      <c r="R10" s="139"/>
      <c r="S10" s="139"/>
      <c r="T10" s="139"/>
      <c r="U10" s="139"/>
      <c r="V10" s="141"/>
      <c r="W10" s="21"/>
      <c r="X10" s="21"/>
      <c r="Y10" s="21"/>
      <c r="Z10" s="21"/>
    </row>
    <row r="11" ht="24.75" customHeight="1">
      <c r="A11" s="143" t="s">
        <v>79</v>
      </c>
      <c r="B11" s="144">
        <f t="shared" ref="B11:K11" si="1">B10+B6+B7+B8+B9-B5</f>
        <v>71462</v>
      </c>
      <c r="C11" s="145">
        <f t="shared" si="1"/>
        <v>69556</v>
      </c>
      <c r="D11" s="145">
        <f t="shared" si="1"/>
        <v>65315</v>
      </c>
      <c r="E11" s="145">
        <f t="shared" si="1"/>
        <v>89201</v>
      </c>
      <c r="F11" s="145">
        <f t="shared" si="1"/>
        <v>116347</v>
      </c>
      <c r="G11" s="145">
        <f t="shared" si="1"/>
        <v>140187</v>
      </c>
      <c r="H11" s="145">
        <f t="shared" si="1"/>
        <v>161439</v>
      </c>
      <c r="I11" s="145">
        <f t="shared" si="1"/>
        <v>194238</v>
      </c>
      <c r="J11" s="145">
        <f t="shared" si="1"/>
        <v>226298</v>
      </c>
      <c r="K11" s="145">
        <f t="shared" si="1"/>
        <v>281030</v>
      </c>
      <c r="L11" s="146">
        <f t="shared" ref="L11:P11" si="2">IFERROR(L10+L6+L7+L8+L9-L5,"")</f>
        <v>339891.0631</v>
      </c>
      <c r="M11" s="147">
        <f t="shared" si="2"/>
        <v>409955.9841</v>
      </c>
      <c r="N11" s="147">
        <f t="shared" si="2"/>
        <v>495762.4345</v>
      </c>
      <c r="O11" s="147">
        <f t="shared" si="2"/>
        <v>598086.0521</v>
      </c>
      <c r="P11" s="148">
        <f t="shared" si="2"/>
        <v>718701.3685</v>
      </c>
      <c r="Q11" s="139"/>
      <c r="R11" s="139"/>
      <c r="S11" s="139"/>
      <c r="T11" s="139"/>
      <c r="U11" s="139"/>
      <c r="V11" s="141"/>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6"/>
      <c r="W12" s="17"/>
      <c r="X12" s="17"/>
      <c r="Y12" s="17"/>
      <c r="Z12" s="17"/>
    </row>
    <row r="13" ht="34.5" customHeight="1">
      <c r="A13" s="149" t="s">
        <v>80</v>
      </c>
      <c r="B13" s="150">
        <f>'1.IS'!B$2</f>
        <v>2015</v>
      </c>
      <c r="C13" s="150">
        <f>'1.IS'!C$2</f>
        <v>2016</v>
      </c>
      <c r="D13" s="150">
        <f>'1.IS'!D$2</f>
        <v>2017</v>
      </c>
      <c r="E13" s="150">
        <f>'1.IS'!E$2</f>
        <v>2018</v>
      </c>
      <c r="F13" s="150">
        <f>'1.IS'!F$2</f>
        <v>2019</v>
      </c>
      <c r="G13" s="150">
        <f>'1.IS'!G$2</f>
        <v>2020</v>
      </c>
      <c r="H13" s="150">
        <f>'1.IS'!H$2</f>
        <v>2021</v>
      </c>
      <c r="I13" s="150">
        <f>'1.IS'!I$2</f>
        <v>2022</v>
      </c>
      <c r="J13" s="150">
        <f>'1.IS'!J$2</f>
        <v>2023</v>
      </c>
      <c r="K13" s="150">
        <f>'1.IS'!K$2</f>
        <v>2024</v>
      </c>
      <c r="L13" s="151" t="str">
        <f>'1.IS'!L$2</f>
        <v>2025e</v>
      </c>
      <c r="M13" s="151" t="str">
        <f>'1.IS'!M$2</f>
        <v>2026e</v>
      </c>
      <c r="N13" s="151" t="str">
        <f>'1.IS'!N$2</f>
        <v>2027e</v>
      </c>
      <c r="O13" s="151" t="str">
        <f>'1.IS'!O$2</f>
        <v>2028e</v>
      </c>
      <c r="P13" s="151" t="str">
        <f>'1.IS'!P$2</f>
        <v>2029e</v>
      </c>
      <c r="Q13" s="152" t="str">
        <f>"Promedio "&amp;CHAR(10)&amp;B$2&amp;" - "&amp;K$2</f>
        <v>Promedio 
2015 - 2024</v>
      </c>
      <c r="R13" s="153"/>
      <c r="S13" s="153"/>
      <c r="T13" s="153"/>
      <c r="U13" s="153"/>
      <c r="V13" s="153"/>
      <c r="W13" s="153"/>
      <c r="X13" s="153"/>
      <c r="Y13" s="153"/>
      <c r="Z13" s="153"/>
    </row>
    <row r="14" ht="24.75" customHeight="1">
      <c r="A14" s="154" t="s">
        <v>81</v>
      </c>
      <c r="B14" s="101">
        <f>IFERROR('1.IS'!B20/B10,"")</f>
        <v>0.140878078</v>
      </c>
      <c r="C14" s="102">
        <f>IFERROR('1.IS'!C20/C10,"")</f>
        <v>0.14485457</v>
      </c>
      <c r="D14" s="102">
        <f>IFERROR('1.IS'!D20/D10,"")</f>
        <v>0.1022019383</v>
      </c>
      <c r="E14" s="102">
        <f>IFERROR('1.IS'!E20/E10,"")</f>
        <v>0.169916905</v>
      </c>
      <c r="F14" s="102">
        <f>IFERROR('1.IS'!F20/F10,"")</f>
        <v>0.1636848324</v>
      </c>
      <c r="G14" s="102">
        <f>IFERROR('1.IS'!G20/G10,"")</f>
        <v>0.1579058523</v>
      </c>
      <c r="H14" s="102">
        <f>IFERROR('1.IS'!H20/H10,"")</f>
        <v>0.258970334</v>
      </c>
      <c r="I14" s="102">
        <f>IFERROR('1.IS'!I20/I10,"")</f>
        <v>0.2549464364</v>
      </c>
      <c r="J14" s="102">
        <f>IFERROR('1.IS'!J20/J10,"")</f>
        <v>0.2679379912</v>
      </c>
      <c r="K14" s="102">
        <f>IFERROR('1.IS'!K20/K10,"")</f>
        <v>0.3036230636</v>
      </c>
      <c r="L14" s="155">
        <f>IFERROR('1.IS'!L20/L10,"")</f>
        <v>0.2775868129</v>
      </c>
      <c r="M14" s="156">
        <f>IFERROR('1.IS'!M20/M10,"")</f>
        <v>0.2620432697</v>
      </c>
      <c r="N14" s="156">
        <f>IFERROR('1.IS'!N20/N10,"")</f>
        <v>0.2479981882</v>
      </c>
      <c r="O14" s="156">
        <f>IFERROR('1.IS'!O20/O10,"")</f>
        <v>0.2334646415</v>
      </c>
      <c r="P14" s="157">
        <f>IFERROR('1.IS'!P20/P10,"")</f>
        <v>0.2197531181</v>
      </c>
      <c r="Q14" s="121">
        <f t="shared" ref="Q14:Q16" si="4">IFERROR(AVERAGE(B14:K14),"")</f>
        <v>0.1964920001</v>
      </c>
      <c r="R14" s="135"/>
      <c r="S14" s="135"/>
      <c r="T14" s="135"/>
      <c r="U14" s="135"/>
      <c r="V14" s="116"/>
      <c r="W14" s="116"/>
      <c r="X14" s="116"/>
      <c r="Y14" s="116"/>
      <c r="Z14" s="116"/>
    </row>
    <row r="15" ht="24.75" customHeight="1">
      <c r="A15" s="96" t="s">
        <v>82</v>
      </c>
      <c r="B15" s="101">
        <f t="shared" ref="B15:P15" si="3">IFERROR(B3/B11,"")</f>
        <v>0.2267351657</v>
      </c>
      <c r="C15" s="102">
        <f t="shared" si="3"/>
        <v>0.2767607741</v>
      </c>
      <c r="D15" s="102">
        <f t="shared" si="3"/>
        <v>0.2290963703</v>
      </c>
      <c r="E15" s="102">
        <f t="shared" si="3"/>
        <v>0.320987974</v>
      </c>
      <c r="F15" s="102">
        <f t="shared" si="3"/>
        <v>0.266163261</v>
      </c>
      <c r="G15" s="102">
        <f t="shared" si="3"/>
        <v>0.2405763274</v>
      </c>
      <c r="H15" s="102">
        <f t="shared" si="3"/>
        <v>0.3978297127</v>
      </c>
      <c r="I15" s="102">
        <f t="shared" si="3"/>
        <v>0.32823219</v>
      </c>
      <c r="J15" s="102">
        <f t="shared" si="3"/>
        <v>0.3219370718</v>
      </c>
      <c r="K15" s="102">
        <f t="shared" si="3"/>
        <v>0.3387184293</v>
      </c>
      <c r="L15" s="109">
        <f t="shared" si="3"/>
        <v>0.3113625434</v>
      </c>
      <c r="M15" s="102">
        <f t="shared" si="3"/>
        <v>0.2909257693</v>
      </c>
      <c r="N15" s="102">
        <f t="shared" si="3"/>
        <v>0.2726656308</v>
      </c>
      <c r="O15" s="102">
        <f t="shared" si="3"/>
        <v>0.2545786995</v>
      </c>
      <c r="P15" s="103">
        <f t="shared" si="3"/>
        <v>0.2378926622</v>
      </c>
      <c r="Q15" s="121">
        <f t="shared" si="4"/>
        <v>0.2947037276</v>
      </c>
      <c r="R15" s="135"/>
      <c r="S15" s="135"/>
      <c r="T15" s="135"/>
      <c r="U15" s="135"/>
      <c r="V15" s="116"/>
      <c r="W15" s="116"/>
      <c r="X15" s="116"/>
      <c r="Y15" s="116"/>
      <c r="Z15" s="116"/>
    </row>
    <row r="16" ht="24.75" customHeight="1">
      <c r="A16" s="158" t="s">
        <v>83</v>
      </c>
      <c r="B16" s="133">
        <f>IF('2.FCF'!B14&gt;0,IFERROR('TIKR_Cálculos'!B12/'2.FCF'!B14,""),0%)</f>
        <v>0.3373122618</v>
      </c>
      <c r="C16" s="134">
        <f>IF('2.FCF'!C14&gt;0,IFERROR('TIKR_Cálculos'!C12/'2.FCF'!C14,""),0%)</f>
        <v>0.298161052</v>
      </c>
      <c r="D16" s="134">
        <f>IF('2.FCF'!D14&gt;0,IFERROR('TIKR_Cálculos'!D12/'2.FCF'!D14,""),0%)</f>
        <v>0.5478182229</v>
      </c>
      <c r="E16" s="134">
        <f>IF('2.FCF'!E14&gt;0,IFERROR('TIKR_Cálculos'!E12/'2.FCF'!E14,""),0%)</f>
        <v>0.6189167449</v>
      </c>
      <c r="F16" s="134">
        <f>IF('2.FCF'!F14&gt;0,IFERROR('TIKR_Cálculos'!F12/'2.FCF'!F14,""),0%)</f>
        <v>0.4960367942</v>
      </c>
      <c r="G16" s="134">
        <f>IF('2.FCF'!G14&gt;0,IFERROR('TIKR_Cálculos'!G12/'2.FCF'!G14,""),0%)</f>
        <v>0.3224305024</v>
      </c>
      <c r="H16" s="134">
        <f>IF('2.FCF'!H14&gt;0,IFERROR('TIKR_Cálculos'!H12/'2.FCF'!H14,""),0%)</f>
        <v>0.2948938313</v>
      </c>
      <c r="I16" s="134">
        <f>IF('2.FCF'!I14&gt;0,IFERROR('TIKR_Cálculos'!I12/'2.FCF'!I14,""),0%)</f>
        <v>0.3825619506</v>
      </c>
      <c r="J16" s="134">
        <f>IF('2.FCF'!J14&gt;0,IFERROR('TIKR_Cálculos'!J12/'2.FCF'!J14,""),0%)</f>
        <v>0.296224561</v>
      </c>
      <c r="K16" s="134">
        <f>IF('2.FCF'!K14&gt;0,IFERROR('TIKR_Cálculos'!K12/'2.FCF'!K14,""),0%)</f>
        <v>0.4195048057</v>
      </c>
      <c r="L16" s="123" t="s">
        <v>84</v>
      </c>
      <c r="M16" s="134" t="s">
        <v>84</v>
      </c>
      <c r="N16" s="134" t="s">
        <v>84</v>
      </c>
      <c r="O16" s="134" t="s">
        <v>84</v>
      </c>
      <c r="P16" s="159" t="s">
        <v>84</v>
      </c>
      <c r="Q16" s="160">
        <f t="shared" si="4"/>
        <v>0.4013860727</v>
      </c>
      <c r="R16" s="135"/>
      <c r="S16" s="135"/>
      <c r="T16" s="135"/>
      <c r="U16" s="135"/>
      <c r="V16" s="116"/>
      <c r="W16" s="116"/>
      <c r="X16" s="116"/>
      <c r="Y16" s="116"/>
      <c r="Z16" s="116"/>
    </row>
    <row r="17" ht="37.5" customHeight="1">
      <c r="A17" s="17"/>
      <c r="B17" s="161"/>
      <c r="C17" s="161"/>
      <c r="D17" s="161"/>
      <c r="E17" s="161"/>
      <c r="F17" s="162"/>
      <c r="G17" s="162"/>
      <c r="H17" s="161"/>
      <c r="I17" s="161"/>
      <c r="J17" s="161"/>
      <c r="K17" s="161"/>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3"/>
      <c r="L18" s="163"/>
      <c r="M18" s="59"/>
      <c r="N18" s="59"/>
      <c r="O18" s="59"/>
      <c r="P18" s="163"/>
      <c r="Q18" s="59"/>
      <c r="R18" s="59"/>
      <c r="S18" s="59"/>
      <c r="T18" s="59"/>
      <c r="U18" s="59"/>
      <c r="V18" s="59"/>
      <c r="W18" s="17"/>
      <c r="X18" s="17"/>
      <c r="Y18" s="17"/>
      <c r="Z18" s="17"/>
    </row>
    <row r="19" ht="17.25" customHeight="1">
      <c r="A19" s="3"/>
      <c r="B19" s="59"/>
      <c r="C19" s="59"/>
      <c r="D19" s="59"/>
      <c r="E19" s="59"/>
      <c r="F19" s="59"/>
      <c r="G19" s="59"/>
      <c r="H19" s="59"/>
      <c r="I19" s="59"/>
      <c r="J19" s="59"/>
      <c r="K19" s="59"/>
      <c r="L19" s="163"/>
      <c r="M19" s="163"/>
      <c r="N19" s="163"/>
      <c r="O19" s="163"/>
      <c r="P19" s="163"/>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6" t="str">
        <f>IF('1.IS'!A1&lt;&gt;"",'1.IS'!A1,"")</f>
        <v/>
      </c>
      <c r="B1" s="10" t="s">
        <v>85</v>
      </c>
      <c r="C1" s="11"/>
      <c r="D1" s="11"/>
      <c r="E1" s="11"/>
      <c r="F1" s="11"/>
      <c r="G1" s="11"/>
      <c r="H1" s="11"/>
      <c r="I1" s="11"/>
      <c r="J1" s="11"/>
      <c r="K1" s="11"/>
      <c r="L1" s="11"/>
      <c r="M1" s="11"/>
      <c r="N1" s="11"/>
      <c r="O1" s="11" t="s">
        <v>14</v>
      </c>
    </row>
    <row r="2" ht="34.5" customHeight="1">
      <c r="A2" s="77" t="s">
        <v>86</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21"/>
      <c r="R2" s="21"/>
      <c r="S2" s="21"/>
      <c r="T2" s="21"/>
      <c r="U2" s="21"/>
      <c r="V2" s="21"/>
      <c r="W2" s="21"/>
      <c r="X2" s="21"/>
      <c r="Y2" s="21"/>
      <c r="Z2" s="21"/>
    </row>
    <row r="3" ht="24.75" customHeight="1">
      <c r="A3" s="137" t="s">
        <v>87</v>
      </c>
      <c r="B3" s="164"/>
      <c r="C3" s="165"/>
      <c r="D3" s="165"/>
      <c r="E3" s="165"/>
      <c r="F3" s="165"/>
      <c r="G3" s="165"/>
      <c r="H3" s="166"/>
      <c r="I3" s="167"/>
      <c r="J3" s="167"/>
      <c r="K3" s="167">
        <f>$D$12*'1.IS'!K25</f>
        <v>2153331</v>
      </c>
      <c r="L3" s="168">
        <f>IFERROR($D$12*'1.IS'!L25,"")</f>
        <v>2110264.38</v>
      </c>
      <c r="M3" s="169">
        <f>IFERROR($D$12*'1.IS'!M25,"")</f>
        <v>2068059.092</v>
      </c>
      <c r="N3" s="169">
        <f>IFERROR($D$12*'1.IS'!N25,"")</f>
        <v>2026697.911</v>
      </c>
      <c r="O3" s="169">
        <f>IFERROR($D$12*'1.IS'!O25,"")</f>
        <v>1986163.952</v>
      </c>
      <c r="P3" s="170">
        <f>IFERROR($D$12*'1.IS'!P25,"")</f>
        <v>1946440.673</v>
      </c>
      <c r="Q3" s="21"/>
      <c r="R3" s="21"/>
      <c r="S3" s="21"/>
      <c r="T3" s="21"/>
      <c r="U3" s="21"/>
      <c r="V3" s="21"/>
      <c r="W3" s="21"/>
      <c r="X3" s="21"/>
      <c r="Y3" s="21"/>
      <c r="Z3" s="21"/>
    </row>
    <row r="4" ht="24.75" customHeight="1">
      <c r="A4" s="137" t="s">
        <v>88</v>
      </c>
      <c r="B4" s="89">
        <f>('3.ROIC'!B7+'3.ROIC'!B6)-('3.ROIC'!B4+'3.ROIC'!B5)</f>
        <v>-64503</v>
      </c>
      <c r="C4" s="90">
        <f>('3.ROIC'!C7+'3.ROIC'!C6)-('3.ROIC'!C4+'3.ROIC'!C5)</f>
        <v>-82398</v>
      </c>
      <c r="D4" s="90">
        <f>('3.ROIC'!D7+'3.ROIC'!D6)-('3.ROIC'!D4+'3.ROIC'!D5)</f>
        <v>-97928</v>
      </c>
      <c r="E4" s="90">
        <f>('3.ROIC'!E7+'3.ROIC'!E6)-('3.ROIC'!E4+'3.ROIC'!E5)</f>
        <v>-105190</v>
      </c>
      <c r="F4" s="90">
        <f>('3.ROIC'!F7+'3.ROIC'!F6)-('3.ROIC'!F4+'3.ROIC'!F5)</f>
        <v>-115717</v>
      </c>
      <c r="G4" s="90">
        <f>('3.ROIC'!G7+'3.ROIC'!G6)-('3.ROIC'!G4+'3.ROIC'!G5)</f>
        <v>-122863</v>
      </c>
      <c r="H4" s="90">
        <f>('3.ROIC'!H7+'3.ROIC'!H6)-('3.ROIC'!H4+'3.ROIC'!H5)</f>
        <v>-126805</v>
      </c>
      <c r="I4" s="90">
        <f>('3.ROIC'!I7+'3.ROIC'!I6)-('3.ROIC'!I4+'3.ROIC'!I5)</f>
        <v>-100905</v>
      </c>
      <c r="J4" s="90">
        <f>('3.ROIC'!J7+'3.ROIC'!J6)-('3.ROIC'!J4+'3.ROIC'!J5)</f>
        <v>-98046</v>
      </c>
      <c r="K4" s="139">
        <f>('3.ROIC'!K7+'3.ROIC'!K6)-('3.ROIC'!K4+'3.ROIC'!K5)</f>
        <v>-83775</v>
      </c>
      <c r="L4" s="138">
        <f>IFERROR(L5*'1.IS'!L5,"")</f>
        <v>-89100</v>
      </c>
      <c r="M4" s="139">
        <f>IFERROR(M5*'1.IS'!M5,"")</f>
        <v>-102000</v>
      </c>
      <c r="N4" s="139">
        <f>IFERROR(N5*'1.IS'!N5,"")</f>
        <v>-117000</v>
      </c>
      <c r="O4" s="139">
        <f>IFERROR(O5*'1.IS'!O5,"")</f>
        <v>-131400</v>
      </c>
      <c r="P4" s="140">
        <f>IFERROR(P5*'1.IS'!P5,"")</f>
        <v>-147300</v>
      </c>
      <c r="Q4" s="21"/>
      <c r="R4" s="21"/>
      <c r="S4" s="21"/>
      <c r="T4" s="21"/>
      <c r="U4" s="21"/>
      <c r="V4" s="21"/>
      <c r="W4" s="21"/>
      <c r="X4" s="21"/>
      <c r="Y4" s="21"/>
      <c r="Z4" s="21"/>
    </row>
    <row r="5" ht="24.75" customHeight="1">
      <c r="A5" s="4" t="s">
        <v>89</v>
      </c>
      <c r="B5" s="171">
        <f>IFERROR('4.Valoración'!B4/'1.IS'!B5,"")</f>
        <v>-2.645300197</v>
      </c>
      <c r="C5" s="172">
        <f>IFERROR('4.Valoración'!C4/'1.IS'!C5,"")</f>
        <v>-2.763549772</v>
      </c>
      <c r="D5" s="172">
        <f>IFERROR('4.Valoración'!D4/'1.IS'!D5,"")</f>
        <v>-2.734426046</v>
      </c>
      <c r="E5" s="172">
        <f>IFERROR('4.Valoración'!E4/'1.IS'!E5,"")</f>
        <v>-2.527147799</v>
      </c>
      <c r="F5" s="172">
        <f>IFERROR('4.Valoración'!F4/'1.IS'!F5,"")</f>
        <v>-2.432102398</v>
      </c>
      <c r="G5" s="172">
        <f>IFERROR('4.Valoración'!G4/'1.IS'!G5,"")</f>
        <v>-2.237819427</v>
      </c>
      <c r="H5" s="172">
        <f>IFERROR('4.Valoración'!H4/'1.IS'!H5,"")</f>
        <v>-1.424983425</v>
      </c>
      <c r="I5" s="172">
        <f>IFERROR('4.Valoración'!I4/'1.IS'!I5,"")</f>
        <v>-1.142532015</v>
      </c>
      <c r="J5" s="172">
        <f>IFERROR('4.Valoración'!J4/'1.IS'!J5,"")</f>
        <v>-1.018776172</v>
      </c>
      <c r="K5" s="172">
        <f>IFERROR('4.Valoración'!K4/'1.IS'!K5,"")</f>
        <v>-0.6469261836</v>
      </c>
      <c r="L5" s="173">
        <v>-0.6</v>
      </c>
      <c r="M5" s="174">
        <f t="shared" ref="M5:P5" si="1">L5</f>
        <v>-0.6</v>
      </c>
      <c r="N5" s="174">
        <f t="shared" si="1"/>
        <v>-0.6</v>
      </c>
      <c r="O5" s="174">
        <f t="shared" si="1"/>
        <v>-0.6</v>
      </c>
      <c r="P5" s="175">
        <f t="shared" si="1"/>
        <v>-0.6</v>
      </c>
      <c r="Q5" s="176" t="s">
        <v>29</v>
      </c>
      <c r="R5" s="21"/>
      <c r="S5" s="21"/>
      <c r="T5" s="21"/>
      <c r="U5" s="21"/>
      <c r="V5" s="21"/>
      <c r="W5" s="21"/>
      <c r="X5" s="21"/>
      <c r="Y5" s="21"/>
      <c r="Z5" s="21"/>
    </row>
    <row r="6" ht="24.75" customHeight="1">
      <c r="A6" s="177" t="s">
        <v>90</v>
      </c>
      <c r="B6" s="144"/>
      <c r="C6" s="145"/>
      <c r="D6" s="145"/>
      <c r="E6" s="145"/>
      <c r="F6" s="145"/>
      <c r="G6" s="145"/>
      <c r="H6" s="145"/>
      <c r="I6" s="145"/>
      <c r="J6" s="145"/>
      <c r="K6" s="145">
        <f>K3+K4</f>
        <v>2069556</v>
      </c>
      <c r="L6" s="144">
        <f t="shared" ref="L6:P6" si="2">IFERROR((L3+L4),"")</f>
        <v>2021164.38</v>
      </c>
      <c r="M6" s="145">
        <f t="shared" si="2"/>
        <v>1966059.092</v>
      </c>
      <c r="N6" s="145">
        <f t="shared" si="2"/>
        <v>1909697.911</v>
      </c>
      <c r="O6" s="145">
        <f t="shared" si="2"/>
        <v>1854763.952</v>
      </c>
      <c r="P6" s="178">
        <f t="shared" si="2"/>
        <v>1799140.673</v>
      </c>
      <c r="Q6" s="21"/>
      <c r="R6" s="21"/>
      <c r="S6" s="21"/>
      <c r="T6" s="21"/>
      <c r="U6" s="21"/>
      <c r="V6" s="21"/>
      <c r="W6" s="21"/>
      <c r="X6" s="21"/>
      <c r="Y6" s="21"/>
      <c r="Z6" s="21"/>
    </row>
    <row r="7" ht="24.75" hidden="1" customHeight="1">
      <c r="A7" s="4" t="s">
        <v>20</v>
      </c>
      <c r="B7" s="90">
        <f>'1.IS'!B5</f>
        <v>24384</v>
      </c>
      <c r="C7" s="90">
        <f>'1.IS'!C5</f>
        <v>29816</v>
      </c>
      <c r="D7" s="90">
        <f>'1.IS'!D5</f>
        <v>35813</v>
      </c>
      <c r="E7" s="90">
        <f>'1.IS'!E5</f>
        <v>41624</v>
      </c>
      <c r="F7" s="90">
        <f>'1.IS'!F5</f>
        <v>47579</v>
      </c>
      <c r="G7" s="90">
        <f>'1.IS'!G5</f>
        <v>54903</v>
      </c>
      <c r="H7" s="139">
        <f>'1.IS'!H5</f>
        <v>88987</v>
      </c>
      <c r="I7" s="139">
        <f>'1.IS'!I5</f>
        <v>88317</v>
      </c>
      <c r="J7" s="139">
        <f>'1.IS'!J5</f>
        <v>96239</v>
      </c>
      <c r="K7" s="139">
        <f>'1.IS'!K5</f>
        <v>129497</v>
      </c>
      <c r="L7" s="179">
        <f>'1.IS'!L5</f>
        <v>148500</v>
      </c>
      <c r="M7" s="90">
        <f>'1.IS'!M5</f>
        <v>170000</v>
      </c>
      <c r="N7" s="90">
        <f>'1.IS'!N5</f>
        <v>195000</v>
      </c>
      <c r="O7" s="90">
        <f>'1.IS'!O5</f>
        <v>219000</v>
      </c>
      <c r="P7" s="90">
        <f>'1.IS'!P5</f>
        <v>245500</v>
      </c>
      <c r="Q7" s="74"/>
      <c r="R7" s="21"/>
      <c r="S7" s="21"/>
      <c r="T7" s="21"/>
      <c r="U7" s="21"/>
      <c r="V7" s="21"/>
      <c r="W7" s="21"/>
      <c r="X7" s="21"/>
      <c r="Y7" s="21"/>
      <c r="Z7" s="21"/>
    </row>
    <row r="8" ht="24.75" hidden="1" customHeight="1">
      <c r="A8" s="4" t="s">
        <v>91</v>
      </c>
      <c r="B8" s="90">
        <f>'1.IS'!B9</f>
        <v>19360</v>
      </c>
      <c r="C8" s="90">
        <f>'1.IS'!C9</f>
        <v>23716</v>
      </c>
      <c r="D8" s="90">
        <f>'1.IS'!D9</f>
        <v>28914</v>
      </c>
      <c r="E8" s="90">
        <f>'1.IS'!E9</f>
        <v>32595</v>
      </c>
      <c r="F8" s="90">
        <f>'1.IS'!F9</f>
        <v>35928</v>
      </c>
      <c r="G8" s="90">
        <f>'1.IS'!G9</f>
        <v>41224</v>
      </c>
      <c r="H8" s="139">
        <f>'1.IS'!H9</f>
        <v>78714</v>
      </c>
      <c r="I8" s="139">
        <f>'1.IS'!I9</f>
        <v>74842</v>
      </c>
      <c r="J8" s="139">
        <f>'1.IS'!J9</f>
        <v>84293</v>
      </c>
      <c r="K8" s="139">
        <f>'1.IS'!K9</f>
        <v>114186</v>
      </c>
      <c r="L8" s="179">
        <f>'1.IS'!L9</f>
        <v>127046.0335</v>
      </c>
      <c r="M8" s="90">
        <f>'1.IS'!M9</f>
        <v>143177.383</v>
      </c>
      <c r="N8" s="90">
        <f>'1.IS'!N9</f>
        <v>162277.7634</v>
      </c>
      <c r="O8" s="90">
        <f>'1.IS'!O9</f>
        <v>182785.0773</v>
      </c>
      <c r="P8" s="90">
        <f>'1.IS'!P9</f>
        <v>205250.6385</v>
      </c>
      <c r="Q8" s="74"/>
      <c r="R8" s="21"/>
      <c r="S8" s="21"/>
      <c r="T8" s="21"/>
      <c r="U8" s="21"/>
      <c r="V8" s="21"/>
      <c r="W8" s="21"/>
      <c r="X8" s="21"/>
      <c r="Y8" s="21"/>
      <c r="Z8" s="21"/>
    </row>
    <row r="9" ht="24.75" hidden="1" customHeight="1">
      <c r="A9" s="4" t="s">
        <v>92</v>
      </c>
      <c r="B9" s="90">
        <f>'1.IS'!B20</f>
        <v>16952</v>
      </c>
      <c r="C9" s="90">
        <f>'1.IS'!C20</f>
        <v>20140</v>
      </c>
      <c r="D9" s="90">
        <f>'1.IS'!D20</f>
        <v>15586</v>
      </c>
      <c r="E9" s="90">
        <f>'1.IS'!E20</f>
        <v>30182</v>
      </c>
      <c r="F9" s="90">
        <f>'1.IS'!F20</f>
        <v>32973</v>
      </c>
      <c r="G9" s="90">
        <f>'1.IS'!G20</f>
        <v>35141</v>
      </c>
      <c r="H9" s="139">
        <f>'1.IS'!H20</f>
        <v>65166</v>
      </c>
      <c r="I9" s="139">
        <f>'1.IS'!I20</f>
        <v>65303</v>
      </c>
      <c r="J9" s="139">
        <f>'1.IS'!J20</f>
        <v>75928</v>
      </c>
      <c r="K9" s="139">
        <f>'1.IS'!K20</f>
        <v>98703</v>
      </c>
      <c r="L9" s="179">
        <f>'1.IS'!L20</f>
        <v>107145.8563</v>
      </c>
      <c r="M9" s="90">
        <f>'1.IS'!M20</f>
        <v>120719.8637</v>
      </c>
      <c r="N9" s="90">
        <f>'1.IS'!N20</f>
        <v>136780.2919</v>
      </c>
      <c r="O9" s="90">
        <f>'1.IS'!O20</f>
        <v>154035.1452</v>
      </c>
      <c r="P9" s="90">
        <f>'1.IS'!P20</f>
        <v>172940.3902</v>
      </c>
      <c r="Q9" s="74"/>
      <c r="R9" s="21"/>
      <c r="S9" s="21"/>
      <c r="T9" s="21"/>
      <c r="U9" s="21"/>
      <c r="V9" s="21"/>
      <c r="W9" s="21"/>
      <c r="X9" s="21"/>
      <c r="Y9" s="21"/>
      <c r="Z9" s="21"/>
    </row>
    <row r="10" ht="24.75" hidden="1" customHeight="1">
      <c r="A10" s="122" t="s">
        <v>93</v>
      </c>
      <c r="B10" s="147">
        <f>'2.FCF'!B14</f>
        <v>17844</v>
      </c>
      <c r="C10" s="147">
        <f>'2.FCF'!C14</f>
        <v>19087</v>
      </c>
      <c r="D10" s="147">
        <f>'2.FCF'!D14</f>
        <v>13269</v>
      </c>
      <c r="E10" s="147">
        <f>'2.FCF'!E14</f>
        <v>29836</v>
      </c>
      <c r="F10" s="147">
        <f>'2.FCF'!F14</f>
        <v>30657</v>
      </c>
      <c r="G10" s="147">
        <f>'2.FCF'!G14</f>
        <v>31368</v>
      </c>
      <c r="H10" s="147">
        <f>'2.FCF'!H14</f>
        <v>57597</v>
      </c>
      <c r="I10" s="147">
        <f>'2.FCF'!I14</f>
        <v>65294</v>
      </c>
      <c r="J10" s="147">
        <f>'2.FCF'!J14</f>
        <v>70217</v>
      </c>
      <c r="K10" s="147">
        <f>'2.FCF'!K14</f>
        <v>95720</v>
      </c>
      <c r="L10" s="146">
        <f>'2.FCF'!L14</f>
        <v>104888.4168</v>
      </c>
      <c r="M10" s="147">
        <f>'2.FCF'!M14</f>
        <v>121222.8199</v>
      </c>
      <c r="N10" s="147">
        <f>'2.FCF'!N14</f>
        <v>140287.705</v>
      </c>
      <c r="O10" s="147">
        <f>'2.FCF'!O14</f>
        <v>157821.6139</v>
      </c>
      <c r="P10" s="147">
        <f>'2.FCF'!P14</f>
        <v>177194.1677</v>
      </c>
      <c r="Q10" s="74"/>
      <c r="R10" s="21"/>
      <c r="S10" s="21"/>
      <c r="T10" s="21"/>
      <c r="U10" s="21"/>
      <c r="V10" s="21"/>
      <c r="W10" s="21"/>
      <c r="X10" s="21"/>
      <c r="Y10" s="21"/>
      <c r="Z10" s="21"/>
    </row>
    <row r="11" ht="15.0" customHeight="1">
      <c r="A11" s="100"/>
      <c r="B11" s="139"/>
      <c r="C11" s="139"/>
      <c r="D11" s="139"/>
      <c r="E11" s="139"/>
      <c r="F11" s="139"/>
      <c r="G11" s="139"/>
      <c r="H11" s="139"/>
      <c r="I11" s="139"/>
      <c r="J11" s="139"/>
      <c r="K11" s="139"/>
      <c r="L11" s="139"/>
      <c r="M11" s="139"/>
      <c r="N11" s="139"/>
      <c r="O11" s="139"/>
      <c r="P11" s="139"/>
      <c r="Q11" s="74"/>
      <c r="R11" s="21"/>
      <c r="S11" s="21"/>
      <c r="T11" s="21"/>
      <c r="U11" s="21"/>
      <c r="V11" s="21"/>
      <c r="W11" s="21"/>
      <c r="X11" s="21"/>
      <c r="Y11" s="21"/>
      <c r="Z11" s="21"/>
    </row>
    <row r="12" ht="24.75" customHeight="1">
      <c r="A12" s="180" t="s">
        <v>94</v>
      </c>
      <c r="B12" s="181"/>
      <c r="C12" s="181"/>
      <c r="D12" s="182">
        <v>173.0</v>
      </c>
      <c r="E12" s="139"/>
      <c r="F12" s="21"/>
      <c r="G12" s="21"/>
      <c r="H12" s="21"/>
      <c r="I12" s="21"/>
      <c r="J12" s="21"/>
      <c r="K12" s="21"/>
      <c r="L12" s="183"/>
      <c r="M12" s="21"/>
      <c r="N12" s="139"/>
      <c r="O12" s="139"/>
      <c r="P12" s="139"/>
      <c r="Q12" s="74"/>
      <c r="R12" s="21"/>
      <c r="S12" s="21"/>
      <c r="T12" s="21"/>
      <c r="U12" s="21"/>
      <c r="V12" s="21"/>
      <c r="W12" s="21"/>
      <c r="X12" s="21"/>
      <c r="Y12" s="21"/>
      <c r="Z12" s="21"/>
    </row>
    <row r="13" ht="15.0" customHeight="1">
      <c r="A13" s="100"/>
      <c r="B13" s="141"/>
      <c r="C13" s="141"/>
      <c r="D13" s="139"/>
      <c r="E13" s="139"/>
      <c r="F13" s="139"/>
      <c r="G13" s="139"/>
      <c r="H13" s="139"/>
      <c r="I13" s="139"/>
      <c r="J13" s="139"/>
      <c r="K13" s="139"/>
      <c r="L13" s="139"/>
      <c r="M13" s="139"/>
      <c r="N13" s="141"/>
      <c r="O13" s="141"/>
      <c r="P13" s="141"/>
      <c r="Q13" s="21"/>
      <c r="R13" s="21"/>
      <c r="S13" s="21"/>
      <c r="T13" s="21"/>
      <c r="U13" s="21"/>
      <c r="V13" s="21"/>
      <c r="W13" s="21"/>
      <c r="X13" s="21"/>
      <c r="Y13" s="21"/>
      <c r="Z13" s="21"/>
    </row>
    <row r="14" ht="34.5" customHeight="1">
      <c r="A14" s="184" t="s">
        <v>95</v>
      </c>
      <c r="B14" s="185" t="s">
        <v>96</v>
      </c>
      <c r="C14" s="185" t="s">
        <v>97</v>
      </c>
      <c r="D14" s="117" t="s">
        <v>98</v>
      </c>
      <c r="E14" s="128"/>
      <c r="F14" s="21"/>
      <c r="G14" s="55"/>
      <c r="H14" s="55"/>
      <c r="I14" s="55"/>
      <c r="J14" s="55"/>
      <c r="K14" s="55"/>
      <c r="L14" s="55"/>
      <c r="M14" s="55"/>
      <c r="N14" s="55"/>
      <c r="O14" s="55"/>
      <c r="P14" s="55"/>
      <c r="Q14" s="21"/>
      <c r="R14" s="21"/>
      <c r="S14" s="21"/>
      <c r="T14" s="21"/>
      <c r="U14" s="21"/>
      <c r="V14" s="21"/>
      <c r="W14" s="21"/>
      <c r="X14" s="21"/>
      <c r="Y14" s="21"/>
      <c r="Z14" s="21"/>
    </row>
    <row r="15" ht="24.75" customHeight="1">
      <c r="A15" s="186" t="s">
        <v>99</v>
      </c>
      <c r="B15" s="187">
        <f>IF(D12&lt;&gt;"",IFERROR(D12/'1.IS'!K23,""),"")</f>
        <v>21.81626698</v>
      </c>
      <c r="C15" s="187">
        <f>IF(D12&lt;&gt;"",IFERROR(D12/'1.IS'!L23,""),"")</f>
        <v>19.69524956</v>
      </c>
      <c r="D15" s="188">
        <v>25.0</v>
      </c>
      <c r="E15" s="189"/>
      <c r="F15" s="21"/>
      <c r="G15" s="55"/>
      <c r="H15" s="55"/>
      <c r="I15" s="55"/>
      <c r="J15" s="55"/>
      <c r="K15" s="55"/>
      <c r="L15" s="55"/>
      <c r="M15" s="55"/>
      <c r="N15" s="55"/>
      <c r="O15" s="55"/>
      <c r="P15" s="55"/>
      <c r="Q15" s="21"/>
      <c r="R15" s="21"/>
      <c r="S15" s="21"/>
      <c r="T15" s="21"/>
      <c r="U15" s="21"/>
      <c r="V15" s="21"/>
      <c r="W15" s="21"/>
      <c r="X15" s="21"/>
      <c r="Y15" s="21"/>
      <c r="Z15" s="21"/>
    </row>
    <row r="16" ht="24.75" customHeight="1">
      <c r="A16" s="81" t="s">
        <v>100</v>
      </c>
      <c r="B16" s="190">
        <f>IF(D12&lt;&gt;"",IFERROR(K6/K10,""),"")</f>
        <v>21.62093606</v>
      </c>
      <c r="C16" s="190">
        <f>IF(D12&lt;&gt;"",IFERROR(L6/L10,""),"")</f>
        <v>19.26966239</v>
      </c>
      <c r="D16" s="191">
        <f>D15</f>
        <v>25</v>
      </c>
      <c r="E16" s="192"/>
      <c r="F16" s="21"/>
      <c r="G16" s="193" t="s">
        <v>29</v>
      </c>
      <c r="J16" s="55"/>
      <c r="K16" s="55"/>
      <c r="L16" s="55"/>
      <c r="M16" s="55"/>
      <c r="N16" s="55"/>
      <c r="O16" s="55"/>
      <c r="P16" s="55"/>
      <c r="Q16" s="21"/>
      <c r="R16" s="21"/>
      <c r="S16" s="21"/>
      <c r="T16" s="21"/>
      <c r="U16" s="21"/>
      <c r="V16" s="21"/>
      <c r="W16" s="21"/>
      <c r="X16" s="21"/>
      <c r="Y16" s="21"/>
      <c r="Z16" s="21"/>
    </row>
    <row r="17" ht="24.75" customHeight="1">
      <c r="A17" s="137" t="s">
        <v>101</v>
      </c>
      <c r="B17" s="172">
        <f>IF(D12&lt;&gt;"",IFERROR(K6/K7,""),"")</f>
        <v>15.98149764</v>
      </c>
      <c r="C17" s="194">
        <f>IF(D12&lt;&gt;"",IFERROR(L6/L7,""),"")</f>
        <v>13.61053455</v>
      </c>
      <c r="D17" s="191">
        <f t="shared" ref="D17:D18" si="3">C17</f>
        <v>13.61053455</v>
      </c>
      <c r="E17" s="189"/>
      <c r="F17" s="21"/>
      <c r="J17" s="55"/>
      <c r="K17" s="55"/>
      <c r="L17" s="55"/>
      <c r="M17" s="55"/>
      <c r="N17" s="55"/>
      <c r="O17" s="55"/>
      <c r="P17" s="55"/>
      <c r="Q17" s="21"/>
      <c r="R17" s="21"/>
      <c r="S17" s="21"/>
      <c r="T17" s="21"/>
      <c r="U17" s="21"/>
      <c r="V17" s="21"/>
      <c r="W17" s="21"/>
      <c r="X17" s="21"/>
      <c r="Y17" s="21"/>
      <c r="Z17" s="21"/>
    </row>
    <row r="18" ht="24.75" customHeight="1">
      <c r="A18" s="122" t="s">
        <v>102</v>
      </c>
      <c r="B18" s="195">
        <f>IF(D12&lt;&gt;"",IFERROR(K6/K8,""),"")</f>
        <v>18.12442856</v>
      </c>
      <c r="C18" s="196">
        <f>IF(D12&lt;&gt;"",IFERROR(L6/L8,""),"")</f>
        <v>15.90891368</v>
      </c>
      <c r="D18" s="197">
        <f t="shared" si="3"/>
        <v>15.90891368</v>
      </c>
      <c r="E18" s="189"/>
      <c r="F18" s="21"/>
      <c r="G18" s="55"/>
      <c r="H18" s="55"/>
      <c r="I18" s="55"/>
      <c r="J18" s="55"/>
      <c r="K18" s="55"/>
      <c r="L18" s="55"/>
      <c r="M18" s="55"/>
      <c r="N18" s="55"/>
      <c r="O18" s="55"/>
      <c r="P18" s="55"/>
      <c r="Q18" s="74"/>
      <c r="R18" s="21"/>
      <c r="S18" s="21"/>
      <c r="T18" s="21"/>
      <c r="U18" s="21"/>
      <c r="V18" s="21"/>
      <c r="W18" s="21"/>
      <c r="X18" s="21"/>
      <c r="Y18" s="21"/>
      <c r="Z18" s="21"/>
    </row>
    <row r="19">
      <c r="A19" s="100"/>
      <c r="B19" s="172"/>
      <c r="C19" s="194"/>
      <c r="D19" s="198"/>
      <c r="E19" s="189"/>
      <c r="F19" s="21"/>
      <c r="G19" s="55"/>
      <c r="H19" s="55"/>
      <c r="I19" s="55"/>
      <c r="J19" s="55"/>
      <c r="K19" s="55"/>
      <c r="L19" s="55"/>
      <c r="M19" s="55"/>
      <c r="N19" s="55"/>
      <c r="O19" s="55"/>
      <c r="P19" s="55"/>
      <c r="Q19" s="74"/>
      <c r="R19" s="21"/>
      <c r="S19" s="21"/>
      <c r="T19" s="21"/>
      <c r="U19" s="21"/>
      <c r="V19" s="21"/>
      <c r="W19" s="21"/>
      <c r="X19" s="21"/>
      <c r="Y19" s="21"/>
      <c r="Z19" s="21"/>
    </row>
    <row r="20" ht="34.5" customHeight="1">
      <c r="A20" s="184" t="s">
        <v>103</v>
      </c>
      <c r="B20" s="185" t="str">
        <f t="shared" ref="B20:F20" si="4">L2</f>
        <v>2025e</v>
      </c>
      <c r="C20" s="185" t="str">
        <f t="shared" si="4"/>
        <v>2026e</v>
      </c>
      <c r="D20" s="185" t="str">
        <f t="shared" si="4"/>
        <v>2027e</v>
      </c>
      <c r="E20" s="185" t="str">
        <f t="shared" si="4"/>
        <v>2028e</v>
      </c>
      <c r="F20" s="199" t="str">
        <f t="shared" si="4"/>
        <v>2029e</v>
      </c>
      <c r="G20" s="21"/>
      <c r="H20" s="200" t="str">
        <f>"Retorno Anualizado"&amp;CHAR(10)&amp;"valorando por..."</f>
        <v>Retorno Anualizado
valorando por...</v>
      </c>
      <c r="I20" s="201"/>
      <c r="J20" s="201"/>
      <c r="K20" s="185" t="str">
        <f>"CAGR"&amp;CHAR(10)&amp;"5 años"</f>
        <v>CAGR
5 años</v>
      </c>
      <c r="L20" s="21"/>
      <c r="M20" s="21"/>
      <c r="N20" s="21"/>
      <c r="O20" s="55"/>
      <c r="P20" s="55"/>
      <c r="Q20" s="21"/>
      <c r="R20" s="21"/>
      <c r="S20" s="21"/>
      <c r="T20" s="21"/>
      <c r="U20" s="21"/>
      <c r="V20" s="21"/>
      <c r="W20" s="21"/>
      <c r="X20" s="21"/>
      <c r="Y20" s="21"/>
      <c r="Z20" s="21"/>
    </row>
    <row r="21" ht="24.75" customHeight="1">
      <c r="A21" s="100" t="s">
        <v>104</v>
      </c>
      <c r="B21" s="108">
        <f>IF(D12&lt;&gt;"",IFERROR(IF(--L4&lt;0,(L9*$D$15-L4),IF(--L4&gt;0,L9*$D$15))/'1.IS'!L25,""),"")</f>
        <v>226.9005406</v>
      </c>
      <c r="C21" s="108">
        <f>IF(D12&lt;&gt;"",IFERROR(IF(--M4&lt;0,(M9*$D$15-M4),IF(--M4&gt;0,M9*$D$15))/'1.IS'!M25,""),"")</f>
        <v>260.9980596</v>
      </c>
      <c r="D21" s="108">
        <f>IF(D12&lt;&gt;"",IFERROR(IF(--N4&lt;0,(N9*$D$15-N4),IF(--N4&gt;0,N9*$D$15))/'1.IS'!N25,""),"")</f>
        <v>301.8781237</v>
      </c>
      <c r="E21" s="108">
        <f>IF(D12&lt;&gt;"",IFERROR(IF(--O4&lt;0,(O9*$D$15-O4),IF(--O4&gt;0,O9*$D$15))/'1.IS'!O25,""),"")</f>
        <v>346.8667339</v>
      </c>
      <c r="F21" s="202">
        <f>IF(D12&lt;&gt;"",IFERROR(IF(--P4&lt;0,(P9*$D$15-P4),IF(--P4&gt;0,P9*$D$15))/'1.IS'!P25,""),"")</f>
        <v>397.3663818</v>
      </c>
      <c r="G21" s="21"/>
      <c r="H21" s="100" t="s">
        <v>104</v>
      </c>
      <c r="I21" s="100"/>
      <c r="J21" s="100"/>
      <c r="K21" s="203">
        <f t="shared" ref="K21:K24" si="5">IFERROR((F21/$D$12)^(1/5)-1,"")</f>
        <v>0.1809431836</v>
      </c>
      <c r="L21" s="21"/>
      <c r="M21" s="21"/>
      <c r="N21" s="21"/>
      <c r="O21" s="55"/>
      <c r="P21" s="55"/>
      <c r="Q21" s="21"/>
      <c r="R21" s="21"/>
      <c r="S21" s="21"/>
      <c r="T21" s="21"/>
      <c r="U21" s="21"/>
      <c r="V21" s="21"/>
      <c r="W21" s="21"/>
      <c r="X21" s="21"/>
      <c r="Y21" s="21"/>
      <c r="Z21" s="21"/>
    </row>
    <row r="22" ht="24.75" customHeight="1">
      <c r="A22" s="204" t="s">
        <v>105</v>
      </c>
      <c r="B22" s="205">
        <f>IF(D12&lt;&gt;"",IFERROR(((L10*$D$16)-L4)/'1.IS'!L25,""),"")</f>
        <v>222.2739041</v>
      </c>
      <c r="C22" s="205">
        <f>IF(D12&lt;&gt;"",IFERROR(((M10*$D$16)-M4)/'1.IS'!M25,""),"")</f>
        <v>262.0499085</v>
      </c>
      <c r="D22" s="205">
        <f>IF(D12&lt;&gt;"",IFERROR(((N10*$D$16)-N4)/'1.IS'!N25,""),"")</f>
        <v>309.3629894</v>
      </c>
      <c r="E22" s="205">
        <f>IF(D12&lt;&gt;"",IFERROR(((O10*$D$16)-O4)/'1.IS'!O25,""),"")</f>
        <v>355.1120135</v>
      </c>
      <c r="F22" s="206">
        <f>IF(D12&lt;&gt;"",IFERROR(((P10*$D$16)-P4)/'1.IS'!P25,""),"")</f>
        <v>406.8182947</v>
      </c>
      <c r="G22" s="21"/>
      <c r="H22" s="204" t="s">
        <v>100</v>
      </c>
      <c r="I22" s="207"/>
      <c r="J22" s="207"/>
      <c r="K22" s="208">
        <f t="shared" si="5"/>
        <v>0.1865085562</v>
      </c>
      <c r="L22" s="21"/>
      <c r="M22" s="21"/>
      <c r="N22" s="21"/>
      <c r="O22" s="55"/>
      <c r="P22" s="55"/>
      <c r="Q22" s="21"/>
      <c r="R22" s="21"/>
      <c r="S22" s="21"/>
      <c r="T22" s="21"/>
      <c r="U22" s="21"/>
      <c r="V22" s="21"/>
      <c r="W22" s="21"/>
      <c r="X22" s="21"/>
      <c r="Y22" s="21"/>
      <c r="Z22" s="21"/>
    </row>
    <row r="23" ht="24.75" customHeight="1">
      <c r="A23" s="4" t="s">
        <v>101</v>
      </c>
      <c r="B23" s="108">
        <f>IF(D12&lt;&gt;"",IFERROR(((L7*$D$17)-L4)/'1.IS'!L25,""),"")</f>
        <v>173</v>
      </c>
      <c r="C23" s="108">
        <f>IF(D12&lt;&gt;"",IFERROR(((M7*$D$17)-M4)/'1.IS'!M25,""),"")</f>
        <v>202.0889164</v>
      </c>
      <c r="D23" s="108">
        <f>IF(D12&lt;&gt;"",IFERROR(((N7*$D$17)-N4)/'1.IS'!N25,""),"")</f>
        <v>236.5386476</v>
      </c>
      <c r="E23" s="108">
        <f>IF(D12&lt;&gt;"",IFERROR(((O7*$D$17)-O4)/'1.IS'!O25,""),"")</f>
        <v>271.0725475</v>
      </c>
      <c r="F23" s="202">
        <f>IF(D12&lt;&gt;"",IFERROR(((P7*$D$17)-P4)/'1.IS'!P25,""),"")</f>
        <v>310.0750648</v>
      </c>
      <c r="G23" s="21"/>
      <c r="H23" s="4" t="s">
        <v>101</v>
      </c>
      <c r="I23" s="4"/>
      <c r="J23" s="4"/>
      <c r="K23" s="203">
        <f t="shared" si="5"/>
        <v>0.123787373</v>
      </c>
      <c r="L23" s="21"/>
      <c r="M23" s="21"/>
      <c r="N23" s="21"/>
      <c r="O23" s="55"/>
      <c r="P23" s="55"/>
      <c r="Q23" s="21"/>
      <c r="R23" s="21"/>
      <c r="S23" s="21"/>
      <c r="T23" s="21"/>
      <c r="U23" s="21"/>
      <c r="V23" s="21"/>
      <c r="W23" s="21"/>
      <c r="X23" s="21"/>
      <c r="Y23" s="21"/>
      <c r="Z23" s="21"/>
    </row>
    <row r="24" ht="24.75" customHeight="1">
      <c r="A24" s="100" t="s">
        <v>102</v>
      </c>
      <c r="B24" s="108">
        <f>IF(D12&lt;&gt;"",IFERROR(((L8*$D$18)-L4)/'1.IS'!L25,""),"")</f>
        <v>173</v>
      </c>
      <c r="C24" s="108">
        <f>IF(D12&lt;&gt;"",IFERROR(((M8*$D$18)-M4)/'1.IS'!M25,""),"")</f>
        <v>199.0778784</v>
      </c>
      <c r="D24" s="108">
        <f>IF(D12&lt;&gt;"",IFERROR(((N8*$D$18)-N4)/'1.IS'!N25,""),"")</f>
        <v>230.3592877</v>
      </c>
      <c r="E24" s="108">
        <f>IF(D12&lt;&gt;"",IFERROR(((O8*$D$18)-O4)/'1.IS'!O25,""),"")</f>
        <v>264.7319111</v>
      </c>
      <c r="F24" s="202">
        <f>IF(D12&lt;&gt;"",IFERROR(((P8*$D$18)-P4)/'1.IS'!P25,""),"")</f>
        <v>303.3138126</v>
      </c>
      <c r="G24" s="21"/>
      <c r="H24" s="100" t="s">
        <v>102</v>
      </c>
      <c r="I24" s="100"/>
      <c r="J24" s="100"/>
      <c r="K24" s="203">
        <f t="shared" si="5"/>
        <v>0.118843175</v>
      </c>
      <c r="L24" s="21"/>
      <c r="M24" s="21"/>
      <c r="N24" s="21"/>
      <c r="O24" s="55"/>
      <c r="P24" s="55"/>
      <c r="Q24" s="21"/>
      <c r="R24" s="21"/>
      <c r="S24" s="21"/>
      <c r="T24" s="21"/>
      <c r="U24" s="21"/>
      <c r="V24" s="21"/>
      <c r="W24" s="21"/>
      <c r="X24" s="21"/>
      <c r="Y24" s="21"/>
      <c r="Z24" s="21"/>
    </row>
    <row r="25" ht="24.75" customHeight="1">
      <c r="A25" s="209" t="s">
        <v>106</v>
      </c>
      <c r="B25" s="210">
        <f t="shared" ref="B25:F25" si="6">IFERROR(AVERAGE(B21:B24),"")</f>
        <v>198.7936112</v>
      </c>
      <c r="C25" s="210">
        <f t="shared" si="6"/>
        <v>231.0536907</v>
      </c>
      <c r="D25" s="210">
        <f t="shared" si="6"/>
        <v>269.5347621</v>
      </c>
      <c r="E25" s="210">
        <f t="shared" si="6"/>
        <v>309.4458015</v>
      </c>
      <c r="F25" s="211">
        <f t="shared" si="6"/>
        <v>354.3933885</v>
      </c>
      <c r="G25" s="21"/>
      <c r="H25" s="212" t="s">
        <v>106</v>
      </c>
      <c r="I25" s="212"/>
      <c r="J25" s="212"/>
      <c r="K25" s="213">
        <f>IFERROR(AVERAGE(K21:K24),"")</f>
        <v>0.1525205719</v>
      </c>
      <c r="L25" s="21"/>
      <c r="M25" s="21"/>
      <c r="N25" s="21"/>
      <c r="O25" s="55"/>
      <c r="P25" s="55"/>
      <c r="Q25" s="21"/>
      <c r="R25" s="21"/>
      <c r="S25" s="21"/>
      <c r="T25" s="21"/>
      <c r="U25" s="21"/>
      <c r="V25" s="21"/>
      <c r="W25" s="21"/>
      <c r="X25" s="21"/>
      <c r="Y25" s="21"/>
      <c r="Z25" s="21"/>
    </row>
    <row r="26" ht="24.75" customHeight="1">
      <c r="A26" s="212" t="s">
        <v>107</v>
      </c>
      <c r="B26" s="214">
        <f t="shared" ref="B26:F26" si="7">IFERROR((B22/$D$12)-1,"")</f>
        <v>0.2848202552</v>
      </c>
      <c r="C26" s="214">
        <f t="shared" si="7"/>
        <v>0.5147393553</v>
      </c>
      <c r="D26" s="214">
        <f t="shared" si="7"/>
        <v>0.7882253724</v>
      </c>
      <c r="E26" s="214">
        <f t="shared" si="7"/>
        <v>1.052670598</v>
      </c>
      <c r="F26" s="215">
        <f t="shared" si="7"/>
        <v>1.351550836</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4"/>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4"/>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4"/>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100"/>
      <c r="B43" s="21"/>
      <c r="C43" s="185" t="s">
        <v>108</v>
      </c>
      <c r="D43" s="200" t="s">
        <v>109</v>
      </c>
      <c r="E43" s="201"/>
      <c r="F43" s="17"/>
      <c r="G43" s="59"/>
      <c r="H43" s="59"/>
      <c r="I43" s="59"/>
      <c r="J43" s="59"/>
      <c r="K43" s="59"/>
      <c r="L43" s="59"/>
      <c r="M43" s="59"/>
      <c r="N43" s="59"/>
      <c r="O43" s="59"/>
      <c r="P43" s="59"/>
      <c r="Q43" s="17"/>
      <c r="R43" s="17"/>
      <c r="S43" s="17"/>
      <c r="T43" s="17"/>
      <c r="U43" s="17"/>
      <c r="V43" s="17"/>
      <c r="W43" s="17"/>
      <c r="X43" s="17"/>
      <c r="Y43" s="17"/>
      <c r="Z43" s="17"/>
    </row>
    <row r="44" ht="24.75" customHeight="1">
      <c r="A44" s="216" t="s">
        <v>110</v>
      </c>
      <c r="B44" s="217">
        <v>0.15</v>
      </c>
      <c r="C44" s="218">
        <f>IFERROR(F22/((1+B44)^5),"")</f>
        <v>202.2605916</v>
      </c>
      <c r="D44" s="219">
        <f>IFERROR((C44-D12)/D12,"")</f>
        <v>0.1691363677</v>
      </c>
      <c r="E44" s="220"/>
      <c r="F44" s="11"/>
      <c r="G44" s="221"/>
      <c r="H44" s="11"/>
      <c r="I44" s="11"/>
      <c r="J44" s="11"/>
      <c r="K44" s="11"/>
      <c r="L44" s="11"/>
      <c r="M44" s="11"/>
      <c r="N44" s="11"/>
      <c r="O44" s="11"/>
      <c r="P44" s="11"/>
    </row>
    <row r="45" ht="15.75" customHeight="1">
      <c r="A45" s="222"/>
      <c r="B45" s="11"/>
      <c r="C45" s="11"/>
      <c r="D45" s="11"/>
      <c r="E45" s="11"/>
      <c r="F45" s="11"/>
      <c r="G45" s="11"/>
      <c r="H45" s="11"/>
      <c r="I45" s="11"/>
      <c r="J45" s="11"/>
      <c r="K45" s="11"/>
      <c r="L45" s="11"/>
      <c r="M45" s="11"/>
      <c r="N45" s="11"/>
      <c r="O45" s="11"/>
      <c r="P45" s="11"/>
    </row>
    <row r="46" ht="15.75" customHeight="1">
      <c r="A46" s="222"/>
      <c r="B46" s="11"/>
      <c r="C46" s="11"/>
      <c r="D46" s="11"/>
      <c r="E46" s="11"/>
      <c r="F46" s="11"/>
      <c r="G46" s="11"/>
      <c r="H46" s="11"/>
      <c r="I46" s="11"/>
      <c r="J46" s="11"/>
      <c r="K46" s="11"/>
      <c r="L46" s="11"/>
      <c r="M46" s="11"/>
      <c r="N46" s="11"/>
      <c r="O46" s="11"/>
      <c r="P46" s="11"/>
    </row>
    <row r="47" ht="15.75" customHeight="1">
      <c r="A47" s="222"/>
      <c r="B47" s="11"/>
      <c r="C47" s="11"/>
      <c r="D47" s="11"/>
      <c r="E47" s="11"/>
      <c r="F47" s="11"/>
      <c r="G47" s="11"/>
      <c r="H47" s="11"/>
      <c r="I47" s="11"/>
      <c r="J47" s="11"/>
      <c r="K47" s="11"/>
      <c r="L47" s="11"/>
      <c r="M47" s="11"/>
      <c r="N47" s="11"/>
      <c r="O47" s="11"/>
      <c r="P47" s="11"/>
    </row>
    <row r="48" ht="15.75" customHeight="1">
      <c r="A48" s="222"/>
      <c r="B48" s="11"/>
      <c r="C48" s="11"/>
      <c r="D48" s="11"/>
      <c r="E48" s="11"/>
      <c r="F48" s="11"/>
      <c r="G48" s="11"/>
      <c r="H48" s="11"/>
      <c r="I48" s="11"/>
      <c r="J48" s="11"/>
      <c r="K48" s="11"/>
      <c r="L48" s="11"/>
      <c r="M48" s="11"/>
      <c r="N48" s="11"/>
      <c r="O48" s="11"/>
      <c r="P48" s="11"/>
    </row>
    <row r="49" ht="15.75" customHeight="1">
      <c r="A49" s="222"/>
      <c r="B49" s="11"/>
      <c r="C49" s="11"/>
      <c r="D49" s="11"/>
      <c r="E49" s="11"/>
      <c r="F49" s="11"/>
      <c r="G49" s="11"/>
      <c r="H49" s="11"/>
      <c r="I49" s="11"/>
      <c r="J49" s="11"/>
      <c r="K49" s="11"/>
      <c r="L49" s="11"/>
      <c r="M49" s="11"/>
      <c r="N49" s="11"/>
      <c r="O49" s="11"/>
      <c r="P49" s="11"/>
    </row>
    <row r="50" ht="15.75" customHeight="1">
      <c r="A50" s="222"/>
      <c r="B50" s="11"/>
      <c r="C50" s="11"/>
      <c r="D50" s="11"/>
      <c r="E50" s="11"/>
      <c r="F50" s="11"/>
      <c r="G50" s="11"/>
      <c r="H50" s="11"/>
      <c r="I50" s="11"/>
      <c r="J50" s="11"/>
      <c r="K50" s="11"/>
      <c r="L50" s="11"/>
      <c r="M50" s="11"/>
      <c r="N50" s="11"/>
      <c r="O50" s="11"/>
      <c r="P50" s="11"/>
    </row>
    <row r="51" ht="15.75" customHeight="1">
      <c r="A51" s="222"/>
      <c r="B51" s="11"/>
      <c r="C51" s="11"/>
      <c r="D51" s="11"/>
      <c r="E51" s="11"/>
      <c r="F51" s="11"/>
      <c r="G51" s="11"/>
      <c r="H51" s="11"/>
      <c r="I51" s="11"/>
      <c r="J51" s="11"/>
      <c r="K51" s="11"/>
      <c r="L51" s="11"/>
      <c r="M51" s="11"/>
      <c r="N51" s="11"/>
      <c r="O51" s="11"/>
      <c r="P51" s="11"/>
    </row>
    <row r="52" ht="15.75" customHeight="1">
      <c r="A52" s="222"/>
      <c r="B52" s="11"/>
      <c r="C52" s="11"/>
      <c r="D52" s="11"/>
      <c r="E52" s="11"/>
      <c r="F52" s="11"/>
      <c r="G52" s="11"/>
      <c r="H52" s="11"/>
      <c r="I52" s="11"/>
      <c r="J52" s="11"/>
      <c r="K52" s="11"/>
      <c r="L52" s="11"/>
      <c r="M52" s="11"/>
      <c r="N52" s="11"/>
      <c r="O52" s="11"/>
      <c r="P52" s="11"/>
    </row>
    <row r="53" ht="15.75" customHeight="1">
      <c r="A53" s="222"/>
      <c r="B53" s="11"/>
      <c r="C53" s="11"/>
      <c r="D53" s="11"/>
      <c r="E53" s="11"/>
      <c r="F53" s="11"/>
      <c r="G53" s="11"/>
      <c r="H53" s="11"/>
      <c r="I53" s="11"/>
      <c r="J53" s="11"/>
      <c r="K53" s="11"/>
      <c r="L53" s="11"/>
      <c r="M53" s="11"/>
      <c r="N53" s="11"/>
      <c r="O53" s="11"/>
      <c r="P53" s="11"/>
    </row>
    <row r="54" ht="15.75" customHeight="1">
      <c r="A54" s="222"/>
      <c r="B54" s="11"/>
      <c r="C54" s="11"/>
      <c r="D54" s="11"/>
      <c r="E54" s="11"/>
      <c r="F54" s="11"/>
      <c r="G54" s="11"/>
      <c r="H54" s="11"/>
      <c r="I54" s="11"/>
      <c r="J54" s="11"/>
      <c r="K54" s="11"/>
      <c r="L54" s="11"/>
      <c r="M54" s="11"/>
      <c r="N54" s="11"/>
      <c r="O54" s="11"/>
      <c r="P54" s="11"/>
    </row>
    <row r="55" ht="15.75" customHeight="1">
      <c r="A55" s="222"/>
      <c r="B55" s="11"/>
      <c r="C55" s="11"/>
      <c r="D55" s="11"/>
      <c r="E55" s="11"/>
      <c r="F55" s="11"/>
      <c r="G55" s="11"/>
      <c r="H55" s="11"/>
      <c r="I55" s="11"/>
      <c r="J55" s="11"/>
      <c r="K55" s="11"/>
      <c r="L55" s="11"/>
      <c r="M55" s="11"/>
      <c r="N55" s="11"/>
      <c r="O55" s="11"/>
      <c r="P55" s="11"/>
    </row>
    <row r="56" ht="15.75" customHeight="1">
      <c r="A56" s="222"/>
      <c r="B56" s="11"/>
      <c r="C56" s="11"/>
      <c r="D56" s="11"/>
      <c r="E56" s="11"/>
      <c r="F56" s="11"/>
      <c r="G56" s="11"/>
      <c r="H56" s="11"/>
      <c r="I56" s="11"/>
      <c r="J56" s="11"/>
      <c r="K56" s="11"/>
      <c r="L56" s="11"/>
      <c r="M56" s="11"/>
      <c r="N56" s="11"/>
      <c r="O56" s="11"/>
      <c r="P56" s="11"/>
    </row>
    <row r="57" ht="15.75" customHeight="1">
      <c r="A57" s="222"/>
      <c r="B57" s="11"/>
      <c r="C57" s="11"/>
      <c r="D57" s="11"/>
      <c r="E57" s="11"/>
      <c r="F57" s="11"/>
      <c r="G57" s="11"/>
      <c r="H57" s="11"/>
      <c r="I57" s="11"/>
      <c r="J57" s="11"/>
      <c r="K57" s="11"/>
      <c r="L57" s="11"/>
      <c r="M57" s="11"/>
      <c r="N57" s="11"/>
      <c r="O57" s="11"/>
      <c r="P57" s="11"/>
    </row>
    <row r="58" ht="15.75" customHeight="1">
      <c r="A58" s="222"/>
      <c r="B58" s="11"/>
      <c r="C58" s="11"/>
      <c r="D58" s="11"/>
      <c r="E58" s="11"/>
      <c r="F58" s="11"/>
      <c r="G58" s="11"/>
      <c r="H58" s="11"/>
      <c r="I58" s="11"/>
      <c r="J58" s="11"/>
      <c r="K58" s="11"/>
      <c r="L58" s="11"/>
      <c r="M58" s="11"/>
      <c r="N58" s="11"/>
      <c r="O58" s="11"/>
      <c r="P58" s="11"/>
    </row>
    <row r="59" ht="15.75" customHeight="1">
      <c r="A59" s="222"/>
      <c r="B59" s="11"/>
      <c r="C59" s="11"/>
      <c r="D59" s="11"/>
      <c r="E59" s="11"/>
      <c r="F59" s="11"/>
      <c r="G59" s="11"/>
      <c r="H59" s="11"/>
      <c r="I59" s="11"/>
      <c r="J59" s="11"/>
      <c r="K59" s="11"/>
      <c r="L59" s="11"/>
      <c r="M59" s="11"/>
      <c r="N59" s="11"/>
      <c r="O59" s="11"/>
      <c r="P59" s="11"/>
    </row>
    <row r="60" ht="15.75" customHeight="1">
      <c r="A60" s="222"/>
      <c r="B60" s="11"/>
      <c r="C60" s="11"/>
      <c r="D60" s="11"/>
      <c r="E60" s="11"/>
      <c r="F60" s="11"/>
      <c r="G60" s="11"/>
      <c r="H60" s="11"/>
      <c r="I60" s="11"/>
      <c r="J60" s="11"/>
      <c r="K60" s="11"/>
      <c r="L60" s="11"/>
      <c r="M60" s="11"/>
      <c r="N60" s="11"/>
      <c r="O60" s="11"/>
      <c r="P60" s="11"/>
    </row>
    <row r="61" ht="15.75" customHeight="1">
      <c r="A61" s="222"/>
      <c r="B61" s="11"/>
      <c r="C61" s="11"/>
      <c r="D61" s="11"/>
      <c r="E61" s="11"/>
      <c r="F61" s="11"/>
      <c r="G61" s="11"/>
      <c r="H61" s="11"/>
      <c r="I61" s="11"/>
      <c r="J61" s="11"/>
      <c r="K61" s="11"/>
      <c r="L61" s="11"/>
      <c r="M61" s="11"/>
      <c r="N61" s="11"/>
      <c r="O61" s="11"/>
      <c r="P61" s="11"/>
    </row>
    <row r="62" ht="15.75" customHeight="1">
      <c r="A62" s="222"/>
      <c r="B62" s="11"/>
      <c r="C62" s="11"/>
      <c r="D62" s="11"/>
      <c r="E62" s="11"/>
      <c r="F62" s="11"/>
      <c r="G62" s="11"/>
      <c r="H62" s="11"/>
      <c r="I62" s="11"/>
      <c r="J62" s="11"/>
      <c r="K62" s="11"/>
      <c r="L62" s="11"/>
      <c r="M62" s="11"/>
      <c r="N62" s="11"/>
      <c r="O62" s="11"/>
      <c r="P62" s="11"/>
    </row>
    <row r="63" ht="15.75" customHeight="1">
      <c r="A63" s="222"/>
      <c r="B63" s="11"/>
      <c r="C63" s="11"/>
      <c r="D63" s="11"/>
      <c r="E63" s="11"/>
      <c r="F63" s="11"/>
      <c r="G63" s="11"/>
      <c r="H63" s="11"/>
      <c r="I63" s="11"/>
      <c r="J63" s="11"/>
      <c r="K63" s="11"/>
      <c r="L63" s="11"/>
      <c r="M63" s="11"/>
      <c r="N63" s="11"/>
      <c r="O63" s="11"/>
      <c r="P63" s="11"/>
    </row>
    <row r="64" ht="15.75" customHeight="1">
      <c r="A64" s="222"/>
      <c r="B64" s="11"/>
      <c r="C64" s="11"/>
      <c r="D64" s="11"/>
      <c r="E64" s="11"/>
      <c r="F64" s="11"/>
      <c r="G64" s="11"/>
      <c r="H64" s="11"/>
      <c r="I64" s="11"/>
      <c r="J64" s="11"/>
      <c r="K64" s="11"/>
      <c r="L64" s="11"/>
      <c r="M64" s="11"/>
      <c r="N64" s="11"/>
      <c r="O64" s="11"/>
      <c r="P64" s="11"/>
    </row>
    <row r="65" ht="15.75" customHeight="1">
      <c r="A65" s="222"/>
      <c r="B65" s="11"/>
      <c r="C65" s="11"/>
      <c r="D65" s="11"/>
      <c r="E65" s="11"/>
      <c r="F65" s="11"/>
      <c r="G65" s="11"/>
      <c r="H65" s="11"/>
      <c r="I65" s="11"/>
      <c r="J65" s="11"/>
      <c r="K65" s="11"/>
      <c r="L65" s="11"/>
      <c r="M65" s="11"/>
      <c r="N65" s="11"/>
      <c r="O65" s="11"/>
      <c r="P65" s="11"/>
    </row>
    <row r="66" ht="15.75" customHeight="1">
      <c r="A66" s="222"/>
      <c r="B66" s="11"/>
      <c r="C66" s="11"/>
      <c r="D66" s="11"/>
      <c r="E66" s="11"/>
      <c r="F66" s="11"/>
      <c r="G66" s="11"/>
      <c r="H66" s="11"/>
      <c r="I66" s="11"/>
      <c r="J66" s="11"/>
      <c r="K66" s="11"/>
      <c r="L66" s="11"/>
      <c r="M66" s="11"/>
      <c r="N66" s="11"/>
      <c r="O66" s="11"/>
      <c r="P66" s="11"/>
    </row>
    <row r="67" ht="15.75" customHeight="1">
      <c r="A67" s="222"/>
      <c r="B67" s="11"/>
      <c r="C67" s="11"/>
      <c r="D67" s="11"/>
      <c r="E67" s="11"/>
      <c r="F67" s="11"/>
      <c r="G67" s="11"/>
      <c r="H67" s="11"/>
      <c r="I67" s="11"/>
      <c r="J67" s="11"/>
      <c r="K67" s="11"/>
      <c r="L67" s="11"/>
      <c r="M67" s="11"/>
      <c r="N67" s="11"/>
      <c r="O67" s="11"/>
      <c r="P67" s="11"/>
    </row>
    <row r="68" ht="15.75" customHeight="1">
      <c r="A68" s="222"/>
      <c r="B68" s="11"/>
      <c r="C68" s="11"/>
      <c r="D68" s="11"/>
      <c r="E68" s="11"/>
      <c r="F68" s="11"/>
      <c r="G68" s="11"/>
      <c r="H68" s="11"/>
      <c r="I68" s="11"/>
      <c r="J68" s="11"/>
      <c r="K68" s="11"/>
      <c r="L68" s="11"/>
      <c r="M68" s="11"/>
      <c r="N68" s="11"/>
      <c r="O68" s="11"/>
      <c r="P68" s="11"/>
    </row>
    <row r="69" ht="15.75" customHeight="1">
      <c r="A69" s="222"/>
      <c r="B69" s="11"/>
      <c r="C69" s="11"/>
      <c r="D69" s="11"/>
      <c r="E69" s="11"/>
      <c r="F69" s="11"/>
      <c r="G69" s="11"/>
      <c r="H69" s="11"/>
      <c r="I69" s="11"/>
      <c r="J69" s="11"/>
      <c r="K69" s="11"/>
      <c r="L69" s="11"/>
      <c r="M69" s="11"/>
      <c r="N69" s="11"/>
      <c r="O69" s="11"/>
      <c r="P69" s="11"/>
    </row>
    <row r="70" ht="15.75" customHeight="1">
      <c r="A70" s="222"/>
      <c r="B70" s="11"/>
      <c r="C70" s="11"/>
      <c r="D70" s="11"/>
      <c r="E70" s="11"/>
      <c r="F70" s="11"/>
      <c r="G70" s="11"/>
      <c r="H70" s="11"/>
      <c r="I70" s="11"/>
      <c r="J70" s="11"/>
      <c r="K70" s="11"/>
      <c r="L70" s="11"/>
      <c r="M70" s="11"/>
      <c r="N70" s="11"/>
      <c r="O70" s="11"/>
      <c r="P70" s="11"/>
    </row>
    <row r="71" ht="15.75" customHeight="1">
      <c r="A71" s="222"/>
      <c r="B71" s="11"/>
      <c r="C71" s="11"/>
      <c r="D71" s="11"/>
      <c r="E71" s="11"/>
      <c r="F71" s="11"/>
      <c r="G71" s="11"/>
      <c r="H71" s="11"/>
      <c r="I71" s="11"/>
      <c r="J71" s="11"/>
      <c r="K71" s="11"/>
      <c r="L71" s="11"/>
      <c r="M71" s="11"/>
      <c r="N71" s="11"/>
      <c r="O71" s="11"/>
      <c r="P71" s="11"/>
    </row>
    <row r="72" ht="15.75" customHeight="1">
      <c r="A72" s="222"/>
      <c r="B72" s="11"/>
      <c r="C72" s="11"/>
      <c r="D72" s="11"/>
      <c r="E72" s="11"/>
      <c r="F72" s="11"/>
      <c r="G72" s="11"/>
      <c r="H72" s="11"/>
      <c r="I72" s="11"/>
      <c r="J72" s="11"/>
      <c r="K72" s="11"/>
      <c r="L72" s="11"/>
      <c r="M72" s="11"/>
      <c r="N72" s="11"/>
      <c r="O72" s="11"/>
      <c r="P72" s="11"/>
    </row>
    <row r="73" ht="15.75" customHeight="1">
      <c r="A73" s="222"/>
      <c r="B73" s="11"/>
      <c r="C73" s="11"/>
      <c r="D73" s="11"/>
      <c r="E73" s="11"/>
      <c r="F73" s="11"/>
      <c r="G73" s="11"/>
      <c r="H73" s="11"/>
      <c r="I73" s="11"/>
      <c r="J73" s="11"/>
      <c r="K73" s="11"/>
      <c r="L73" s="11"/>
      <c r="M73" s="11"/>
      <c r="N73" s="11"/>
      <c r="O73" s="11"/>
      <c r="P73" s="11"/>
    </row>
    <row r="74" ht="15.75" customHeight="1">
      <c r="A74" s="222"/>
      <c r="B74" s="11"/>
      <c r="C74" s="11"/>
      <c r="D74" s="11"/>
      <c r="E74" s="11"/>
      <c r="F74" s="11"/>
      <c r="G74" s="11"/>
      <c r="H74" s="11"/>
      <c r="I74" s="11"/>
      <c r="J74" s="11"/>
      <c r="K74" s="11"/>
      <c r="L74" s="11"/>
      <c r="M74" s="11"/>
      <c r="N74" s="11"/>
      <c r="O74" s="11"/>
      <c r="P74" s="11"/>
    </row>
    <row r="75" ht="15.75" customHeight="1">
      <c r="A75" s="222"/>
      <c r="B75" s="11"/>
      <c r="C75" s="11"/>
      <c r="D75" s="11"/>
      <c r="E75" s="11"/>
      <c r="F75" s="11"/>
      <c r="G75" s="11"/>
      <c r="H75" s="11"/>
      <c r="I75" s="11"/>
      <c r="J75" s="11"/>
      <c r="K75" s="11"/>
      <c r="L75" s="11"/>
      <c r="M75" s="11"/>
      <c r="N75" s="11"/>
      <c r="O75" s="11"/>
      <c r="P75" s="11"/>
    </row>
    <row r="76" ht="15.75" customHeight="1">
      <c r="A76" s="222"/>
      <c r="B76" s="11"/>
      <c r="C76" s="11"/>
      <c r="D76" s="11"/>
      <c r="E76" s="11"/>
      <c r="F76" s="11"/>
      <c r="G76" s="11"/>
      <c r="H76" s="11"/>
      <c r="I76" s="11"/>
      <c r="J76" s="11"/>
      <c r="K76" s="11"/>
      <c r="L76" s="11"/>
      <c r="M76" s="11"/>
      <c r="N76" s="11"/>
      <c r="O76" s="11"/>
      <c r="P76" s="11"/>
    </row>
    <row r="77" ht="15.75" customHeight="1">
      <c r="A77" s="222"/>
      <c r="B77" s="11"/>
      <c r="C77" s="11"/>
      <c r="D77" s="11"/>
      <c r="E77" s="11"/>
      <c r="F77" s="11"/>
      <c r="G77" s="11"/>
      <c r="H77" s="11"/>
      <c r="I77" s="11"/>
      <c r="J77" s="11"/>
      <c r="K77" s="11"/>
      <c r="L77" s="11"/>
      <c r="M77" s="11"/>
      <c r="N77" s="11"/>
      <c r="O77" s="11"/>
      <c r="P77" s="11"/>
    </row>
    <row r="78" ht="15.75" customHeight="1">
      <c r="A78" s="222"/>
      <c r="B78" s="11"/>
      <c r="C78" s="11"/>
      <c r="D78" s="11"/>
      <c r="E78" s="11"/>
      <c r="F78" s="11"/>
      <c r="G78" s="11"/>
      <c r="H78" s="11"/>
      <c r="I78" s="11"/>
      <c r="J78" s="11"/>
      <c r="K78" s="11"/>
      <c r="L78" s="11"/>
      <c r="M78" s="11"/>
      <c r="N78" s="11"/>
      <c r="O78" s="11"/>
      <c r="P78" s="11"/>
    </row>
    <row r="79" ht="15.75" customHeight="1">
      <c r="A79" s="222"/>
      <c r="B79" s="11"/>
      <c r="C79" s="11"/>
      <c r="D79" s="11"/>
      <c r="E79" s="11"/>
      <c r="F79" s="11"/>
      <c r="G79" s="11"/>
      <c r="H79" s="11"/>
      <c r="I79" s="11"/>
      <c r="J79" s="11"/>
      <c r="K79" s="11"/>
      <c r="L79" s="11"/>
      <c r="M79" s="11"/>
      <c r="N79" s="11"/>
      <c r="O79" s="11"/>
      <c r="P79" s="11"/>
    </row>
    <row r="80" ht="15.75" customHeight="1">
      <c r="A80" s="222"/>
      <c r="B80" s="11"/>
      <c r="C80" s="11"/>
      <c r="D80" s="11"/>
      <c r="E80" s="11"/>
      <c r="F80" s="11"/>
      <c r="G80" s="11"/>
      <c r="H80" s="11"/>
      <c r="I80" s="11"/>
      <c r="J80" s="11"/>
      <c r="K80" s="11"/>
      <c r="L80" s="11"/>
      <c r="M80" s="11"/>
      <c r="N80" s="11"/>
      <c r="O80" s="11"/>
      <c r="P80" s="11"/>
    </row>
    <row r="81" ht="15.75" customHeight="1">
      <c r="A81" s="222"/>
      <c r="B81" s="11"/>
      <c r="C81" s="11"/>
      <c r="D81" s="11"/>
      <c r="E81" s="11"/>
      <c r="F81" s="11"/>
      <c r="G81" s="11"/>
      <c r="H81" s="11"/>
      <c r="I81" s="11"/>
      <c r="J81" s="11"/>
      <c r="K81" s="11"/>
      <c r="L81" s="11"/>
      <c r="M81" s="11"/>
      <c r="N81" s="11"/>
      <c r="O81" s="11"/>
      <c r="P81" s="11"/>
    </row>
    <row r="82" ht="15.75" customHeight="1">
      <c r="A82" s="222"/>
      <c r="B82" s="11"/>
      <c r="C82" s="11"/>
      <c r="D82" s="11"/>
      <c r="E82" s="11"/>
      <c r="F82" s="11"/>
      <c r="G82" s="11"/>
      <c r="H82" s="11"/>
      <c r="I82" s="11"/>
      <c r="J82" s="11"/>
      <c r="K82" s="11"/>
      <c r="L82" s="11"/>
      <c r="M82" s="11"/>
      <c r="N82" s="11"/>
      <c r="O82" s="11"/>
      <c r="P82" s="11"/>
    </row>
    <row r="83" ht="15.75" customHeight="1">
      <c r="A83" s="222"/>
      <c r="B83" s="11"/>
      <c r="C83" s="11"/>
      <c r="D83" s="11"/>
      <c r="E83" s="11"/>
      <c r="F83" s="11"/>
      <c r="G83" s="11"/>
      <c r="H83" s="11"/>
      <c r="I83" s="11"/>
      <c r="J83" s="11"/>
      <c r="K83" s="11"/>
      <c r="L83" s="11"/>
      <c r="M83" s="11"/>
      <c r="N83" s="11"/>
      <c r="O83" s="11"/>
      <c r="P83" s="11"/>
    </row>
    <row r="84" ht="15.75" customHeight="1">
      <c r="A84" s="222"/>
      <c r="B84" s="11"/>
      <c r="C84" s="11"/>
      <c r="D84" s="11"/>
      <c r="E84" s="11"/>
      <c r="F84" s="11"/>
      <c r="G84" s="11"/>
      <c r="H84" s="11"/>
      <c r="I84" s="11"/>
      <c r="J84" s="11"/>
      <c r="K84" s="11"/>
      <c r="L84" s="11"/>
      <c r="M84" s="11"/>
      <c r="N84" s="11"/>
      <c r="O84" s="11"/>
      <c r="P84" s="11"/>
    </row>
    <row r="85" ht="15.75" customHeight="1">
      <c r="A85" s="222"/>
      <c r="B85" s="11"/>
      <c r="C85" s="11"/>
      <c r="D85" s="11"/>
      <c r="E85" s="11"/>
      <c r="F85" s="11"/>
      <c r="G85" s="11"/>
      <c r="H85" s="11"/>
      <c r="I85" s="11"/>
      <c r="J85" s="11"/>
      <c r="K85" s="11"/>
      <c r="L85" s="11"/>
      <c r="M85" s="11"/>
      <c r="N85" s="11"/>
      <c r="O85" s="11"/>
      <c r="P85" s="11"/>
    </row>
    <row r="86" ht="15.75" customHeight="1">
      <c r="A86" s="222"/>
      <c r="B86" s="11"/>
      <c r="C86" s="11"/>
      <c r="D86" s="11"/>
      <c r="E86" s="11"/>
      <c r="F86" s="11"/>
      <c r="G86" s="11"/>
      <c r="H86" s="11"/>
      <c r="I86" s="11"/>
      <c r="J86" s="11"/>
      <c r="K86" s="11"/>
      <c r="L86" s="11"/>
      <c r="M86" s="11"/>
      <c r="N86" s="11"/>
      <c r="O86" s="11"/>
      <c r="P86" s="11"/>
    </row>
    <row r="87" ht="15.75" customHeight="1">
      <c r="A87" s="222"/>
      <c r="B87" s="11"/>
      <c r="C87" s="11"/>
      <c r="D87" s="11"/>
      <c r="E87" s="11"/>
      <c r="F87" s="11"/>
      <c r="G87" s="11"/>
      <c r="H87" s="11"/>
      <c r="I87" s="11"/>
      <c r="J87" s="11"/>
      <c r="K87" s="11"/>
      <c r="L87" s="11"/>
      <c r="M87" s="11"/>
      <c r="N87" s="11"/>
      <c r="O87" s="11"/>
      <c r="P87" s="11"/>
    </row>
    <row r="88" ht="15.75" customHeight="1">
      <c r="A88" s="222"/>
      <c r="B88" s="11"/>
      <c r="C88" s="11"/>
      <c r="D88" s="11"/>
      <c r="E88" s="11"/>
      <c r="F88" s="11"/>
      <c r="G88" s="11"/>
      <c r="H88" s="11"/>
      <c r="I88" s="11"/>
      <c r="J88" s="11"/>
      <c r="K88" s="11"/>
      <c r="L88" s="11"/>
      <c r="M88" s="11"/>
      <c r="N88" s="11"/>
      <c r="O88" s="11"/>
      <c r="P88" s="11"/>
    </row>
    <row r="89" ht="15.75" customHeight="1">
      <c r="A89" s="222"/>
      <c r="B89" s="11"/>
      <c r="C89" s="11"/>
      <c r="D89" s="11"/>
      <c r="E89" s="11"/>
      <c r="F89" s="11"/>
      <c r="G89" s="11"/>
      <c r="H89" s="11"/>
      <c r="I89" s="11"/>
      <c r="J89" s="11"/>
      <c r="K89" s="11"/>
      <c r="L89" s="11"/>
      <c r="M89" s="11"/>
      <c r="N89" s="11"/>
      <c r="O89" s="11"/>
      <c r="P89" s="11"/>
    </row>
    <row r="90" ht="15.75" customHeight="1">
      <c r="A90" s="222"/>
      <c r="B90" s="11"/>
      <c r="C90" s="11"/>
      <c r="D90" s="11"/>
      <c r="E90" s="11"/>
      <c r="F90" s="11"/>
      <c r="G90" s="11"/>
      <c r="H90" s="11"/>
      <c r="I90" s="11"/>
      <c r="J90" s="11"/>
      <c r="K90" s="11"/>
      <c r="L90" s="11"/>
      <c r="M90" s="11"/>
      <c r="N90" s="11"/>
      <c r="O90" s="11"/>
      <c r="P90" s="11"/>
    </row>
    <row r="91" ht="15.75" customHeight="1">
      <c r="A91" s="222"/>
      <c r="B91" s="11"/>
      <c r="C91" s="11"/>
      <c r="D91" s="11"/>
      <c r="E91" s="11"/>
      <c r="F91" s="11"/>
      <c r="G91" s="11"/>
      <c r="H91" s="11"/>
      <c r="I91" s="11"/>
      <c r="J91" s="11"/>
      <c r="K91" s="11"/>
      <c r="L91" s="11"/>
      <c r="M91" s="11"/>
      <c r="N91" s="11"/>
      <c r="O91" s="11"/>
      <c r="P91" s="11"/>
    </row>
    <row r="92" ht="15.75" customHeight="1">
      <c r="A92" s="222"/>
      <c r="B92" s="11"/>
      <c r="C92" s="11"/>
      <c r="D92" s="11"/>
      <c r="E92" s="11"/>
      <c r="F92" s="11"/>
      <c r="G92" s="11"/>
      <c r="H92" s="11"/>
      <c r="I92" s="11"/>
      <c r="J92" s="11"/>
      <c r="K92" s="11"/>
      <c r="L92" s="11"/>
      <c r="M92" s="11"/>
      <c r="N92" s="11"/>
      <c r="O92" s="11"/>
      <c r="P92" s="11"/>
    </row>
    <row r="93" ht="15.75" customHeight="1">
      <c r="A93" s="222"/>
      <c r="B93" s="11"/>
      <c r="C93" s="11"/>
      <c r="D93" s="11"/>
      <c r="E93" s="11"/>
      <c r="F93" s="11"/>
      <c r="G93" s="11"/>
      <c r="H93" s="11"/>
      <c r="I93" s="11"/>
      <c r="J93" s="11"/>
      <c r="K93" s="11"/>
      <c r="L93" s="11"/>
      <c r="M93" s="11"/>
      <c r="N93" s="11"/>
      <c r="O93" s="11"/>
      <c r="P93" s="11"/>
    </row>
    <row r="94" ht="15.75" customHeight="1">
      <c r="A94" s="222"/>
      <c r="B94" s="11"/>
      <c r="C94" s="11"/>
      <c r="D94" s="11"/>
      <c r="E94" s="11"/>
      <c r="F94" s="11"/>
      <c r="G94" s="11"/>
      <c r="H94" s="11"/>
      <c r="I94" s="11"/>
      <c r="J94" s="11"/>
      <c r="K94" s="11"/>
      <c r="L94" s="11"/>
      <c r="M94" s="11"/>
      <c r="N94" s="11"/>
      <c r="O94" s="11"/>
      <c r="P94" s="11"/>
    </row>
    <row r="95" ht="15.75" customHeight="1">
      <c r="A95" s="222"/>
      <c r="B95" s="11"/>
      <c r="C95" s="11"/>
      <c r="D95" s="11"/>
      <c r="E95" s="11"/>
      <c r="F95" s="11"/>
      <c r="G95" s="11"/>
      <c r="H95" s="11"/>
      <c r="I95" s="11"/>
      <c r="J95" s="11"/>
      <c r="K95" s="11"/>
      <c r="L95" s="11"/>
      <c r="M95" s="11"/>
      <c r="N95" s="11"/>
      <c r="O95" s="11"/>
      <c r="P95" s="11"/>
    </row>
    <row r="96" ht="15.75" customHeight="1">
      <c r="A96" s="222"/>
      <c r="B96" s="11"/>
      <c r="C96" s="11"/>
      <c r="D96" s="11"/>
      <c r="E96" s="11"/>
      <c r="F96" s="11"/>
      <c r="G96" s="11"/>
      <c r="H96" s="11"/>
      <c r="I96" s="11"/>
      <c r="J96" s="11"/>
      <c r="K96" s="11"/>
      <c r="L96" s="11"/>
      <c r="M96" s="11"/>
      <c r="N96" s="11"/>
      <c r="O96" s="11"/>
      <c r="P96" s="11"/>
    </row>
    <row r="97" ht="15.75" customHeight="1">
      <c r="A97" s="222"/>
      <c r="B97" s="11"/>
      <c r="C97" s="11"/>
      <c r="D97" s="11"/>
      <c r="E97" s="11"/>
      <c r="F97" s="11"/>
      <c r="G97" s="11"/>
      <c r="H97" s="11"/>
      <c r="I97" s="11"/>
      <c r="J97" s="11"/>
      <c r="K97" s="11"/>
      <c r="L97" s="11"/>
      <c r="M97" s="11"/>
      <c r="N97" s="11"/>
      <c r="O97" s="11"/>
      <c r="P97" s="11"/>
    </row>
    <row r="98" ht="15.75" customHeight="1">
      <c r="A98" s="222"/>
      <c r="B98" s="11"/>
      <c r="C98" s="11"/>
      <c r="D98" s="11"/>
      <c r="E98" s="11"/>
      <c r="F98" s="11"/>
      <c r="G98" s="11"/>
      <c r="H98" s="11"/>
      <c r="I98" s="11"/>
      <c r="J98" s="11"/>
      <c r="K98" s="11"/>
      <c r="L98" s="11"/>
      <c r="M98" s="11"/>
      <c r="N98" s="11"/>
      <c r="O98" s="11"/>
      <c r="P98" s="11"/>
    </row>
    <row r="99" ht="15.75" customHeight="1">
      <c r="A99" s="222"/>
      <c r="B99" s="11"/>
      <c r="C99" s="11"/>
      <c r="D99" s="11"/>
      <c r="E99" s="11"/>
      <c r="F99" s="11"/>
      <c r="G99" s="11"/>
      <c r="H99" s="11"/>
      <c r="I99" s="11"/>
      <c r="J99" s="11"/>
      <c r="K99" s="11"/>
      <c r="L99" s="11"/>
      <c r="M99" s="11"/>
      <c r="N99" s="11"/>
      <c r="O99" s="11"/>
      <c r="P99" s="11"/>
    </row>
    <row r="100" ht="15.75" customHeight="1">
      <c r="A100" s="222"/>
      <c r="B100" s="11"/>
      <c r="C100" s="11"/>
      <c r="D100" s="11"/>
      <c r="E100" s="11"/>
      <c r="F100" s="11"/>
      <c r="G100" s="11"/>
      <c r="H100" s="11"/>
      <c r="I100" s="11"/>
      <c r="J100" s="11"/>
      <c r="K100" s="11"/>
      <c r="L100" s="11"/>
      <c r="M100" s="11"/>
      <c r="N100" s="11"/>
      <c r="O100" s="11"/>
      <c r="P100" s="11"/>
    </row>
    <row r="101" ht="15.75" customHeight="1">
      <c r="A101" s="222"/>
      <c r="B101" s="11"/>
      <c r="C101" s="11"/>
      <c r="D101" s="11"/>
      <c r="E101" s="11"/>
      <c r="F101" s="11"/>
      <c r="G101" s="11"/>
      <c r="H101" s="11"/>
      <c r="I101" s="11"/>
      <c r="J101" s="11"/>
      <c r="K101" s="11"/>
      <c r="L101" s="11"/>
      <c r="M101" s="11"/>
      <c r="N101" s="11"/>
      <c r="O101" s="11"/>
      <c r="P101" s="11"/>
    </row>
    <row r="102" ht="15.75" customHeight="1">
      <c r="A102" s="222"/>
      <c r="B102" s="11"/>
      <c r="C102" s="11"/>
      <c r="D102" s="11"/>
      <c r="E102" s="11"/>
      <c r="F102" s="11"/>
      <c r="G102" s="11"/>
      <c r="H102" s="11"/>
      <c r="I102" s="11"/>
      <c r="J102" s="11"/>
      <c r="K102" s="11"/>
      <c r="L102" s="11"/>
      <c r="M102" s="11"/>
      <c r="N102" s="11"/>
      <c r="O102" s="11"/>
      <c r="P102" s="11"/>
    </row>
    <row r="103" ht="15.75" customHeight="1">
      <c r="A103" s="222"/>
      <c r="B103" s="11"/>
      <c r="C103" s="11"/>
      <c r="D103" s="11"/>
      <c r="E103" s="11"/>
      <c r="F103" s="11"/>
      <c r="G103" s="11"/>
      <c r="H103" s="11"/>
      <c r="I103" s="11"/>
      <c r="J103" s="11"/>
      <c r="K103" s="11"/>
      <c r="L103" s="11"/>
      <c r="M103" s="11"/>
      <c r="N103" s="11"/>
      <c r="O103" s="11"/>
      <c r="P103" s="11"/>
    </row>
    <row r="104" ht="15.75" customHeight="1">
      <c r="A104" s="222"/>
      <c r="B104" s="11"/>
      <c r="C104" s="11"/>
      <c r="D104" s="11"/>
      <c r="E104" s="11"/>
      <c r="F104" s="11"/>
      <c r="G104" s="11"/>
      <c r="H104" s="11"/>
      <c r="I104" s="11"/>
      <c r="J104" s="11"/>
      <c r="K104" s="11"/>
      <c r="L104" s="11"/>
      <c r="M104" s="11"/>
      <c r="N104" s="11"/>
      <c r="O104" s="11"/>
      <c r="P104" s="11"/>
    </row>
    <row r="105" ht="15.75" customHeight="1">
      <c r="A105" s="222"/>
      <c r="B105" s="11"/>
      <c r="C105" s="11"/>
      <c r="D105" s="11"/>
      <c r="E105" s="11"/>
      <c r="F105" s="11"/>
      <c r="G105" s="11"/>
      <c r="H105" s="11"/>
      <c r="I105" s="11"/>
      <c r="J105" s="11"/>
      <c r="K105" s="11"/>
      <c r="L105" s="11"/>
      <c r="M105" s="11"/>
      <c r="N105" s="11"/>
      <c r="O105" s="11"/>
      <c r="P105" s="11"/>
    </row>
    <row r="106" ht="15.75" customHeight="1">
      <c r="A106" s="222"/>
      <c r="B106" s="11"/>
      <c r="C106" s="11"/>
      <c r="D106" s="11"/>
      <c r="E106" s="11"/>
      <c r="F106" s="11"/>
      <c r="G106" s="11"/>
      <c r="H106" s="11"/>
      <c r="I106" s="11"/>
      <c r="J106" s="11"/>
      <c r="K106" s="11"/>
      <c r="L106" s="11"/>
      <c r="M106" s="11"/>
      <c r="N106" s="11"/>
      <c r="O106" s="11"/>
      <c r="P106" s="11"/>
    </row>
    <row r="107" ht="15.75" customHeight="1">
      <c r="A107" s="222"/>
      <c r="B107" s="11"/>
      <c r="C107" s="11"/>
      <c r="D107" s="11"/>
      <c r="E107" s="11"/>
      <c r="F107" s="11"/>
      <c r="G107" s="11"/>
      <c r="H107" s="11"/>
      <c r="I107" s="11"/>
      <c r="J107" s="11"/>
      <c r="K107" s="11"/>
      <c r="L107" s="11"/>
      <c r="M107" s="11"/>
      <c r="N107" s="11"/>
      <c r="O107" s="11"/>
      <c r="P107" s="11"/>
    </row>
    <row r="108" ht="15.75" customHeight="1">
      <c r="A108" s="222"/>
      <c r="B108" s="11"/>
      <c r="C108" s="11"/>
      <c r="D108" s="11"/>
      <c r="E108" s="11"/>
      <c r="F108" s="11"/>
      <c r="G108" s="11"/>
      <c r="H108" s="11"/>
      <c r="I108" s="11"/>
      <c r="J108" s="11"/>
      <c r="K108" s="11"/>
      <c r="L108" s="11"/>
      <c r="M108" s="11"/>
      <c r="N108" s="11"/>
      <c r="O108" s="11"/>
      <c r="P108" s="11"/>
    </row>
    <row r="109" ht="15.75" customHeight="1">
      <c r="A109" s="222"/>
      <c r="B109" s="11"/>
      <c r="C109" s="11"/>
      <c r="D109" s="11"/>
      <c r="E109" s="11"/>
      <c r="F109" s="11"/>
      <c r="G109" s="11"/>
      <c r="H109" s="11"/>
      <c r="I109" s="11"/>
      <c r="J109" s="11"/>
      <c r="K109" s="11"/>
      <c r="L109" s="11"/>
      <c r="M109" s="11"/>
      <c r="N109" s="11"/>
      <c r="O109" s="11"/>
      <c r="P109" s="11"/>
    </row>
    <row r="110" ht="15.75" customHeight="1">
      <c r="A110" s="222"/>
      <c r="B110" s="11"/>
      <c r="C110" s="11"/>
      <c r="D110" s="11"/>
      <c r="E110" s="11"/>
      <c r="F110" s="11"/>
      <c r="G110" s="11"/>
      <c r="H110" s="11"/>
      <c r="I110" s="11"/>
      <c r="J110" s="11"/>
      <c r="K110" s="11"/>
      <c r="L110" s="11"/>
      <c r="M110" s="11"/>
      <c r="N110" s="11"/>
      <c r="O110" s="11"/>
      <c r="P110" s="11"/>
    </row>
    <row r="111" ht="15.75" customHeight="1">
      <c r="A111" s="222"/>
      <c r="B111" s="11"/>
      <c r="C111" s="11"/>
      <c r="D111" s="11"/>
      <c r="E111" s="11"/>
      <c r="F111" s="11"/>
      <c r="G111" s="11"/>
      <c r="H111" s="11"/>
      <c r="I111" s="11"/>
      <c r="J111" s="11"/>
      <c r="K111" s="11"/>
      <c r="L111" s="11"/>
      <c r="M111" s="11"/>
      <c r="N111" s="11"/>
      <c r="O111" s="11"/>
      <c r="P111" s="11"/>
    </row>
    <row r="112" ht="15.75" customHeight="1">
      <c r="A112" s="222"/>
      <c r="B112" s="11"/>
      <c r="C112" s="11"/>
      <c r="D112" s="11"/>
      <c r="E112" s="11"/>
      <c r="F112" s="11"/>
      <c r="G112" s="11"/>
      <c r="H112" s="11"/>
      <c r="I112" s="11"/>
      <c r="J112" s="11"/>
      <c r="K112" s="11"/>
      <c r="L112" s="11"/>
      <c r="M112" s="11"/>
      <c r="N112" s="11"/>
      <c r="O112" s="11"/>
      <c r="P112" s="11"/>
    </row>
    <row r="113" ht="15.75" customHeight="1">
      <c r="A113" s="222"/>
      <c r="B113" s="11"/>
      <c r="C113" s="11"/>
      <c r="D113" s="11"/>
      <c r="E113" s="11"/>
      <c r="F113" s="11"/>
      <c r="G113" s="11"/>
      <c r="H113" s="11"/>
      <c r="I113" s="11"/>
      <c r="J113" s="11"/>
      <c r="K113" s="11"/>
      <c r="L113" s="11"/>
      <c r="M113" s="11"/>
      <c r="N113" s="11"/>
      <c r="O113" s="11"/>
      <c r="P113" s="11"/>
    </row>
    <row r="114" ht="15.75" customHeight="1">
      <c r="A114" s="222"/>
      <c r="B114" s="11"/>
      <c r="C114" s="11"/>
      <c r="D114" s="11"/>
      <c r="E114" s="11"/>
      <c r="F114" s="11"/>
      <c r="G114" s="11"/>
      <c r="H114" s="11"/>
      <c r="I114" s="11"/>
      <c r="J114" s="11"/>
      <c r="K114" s="11"/>
      <c r="L114" s="11"/>
      <c r="M114" s="11"/>
      <c r="N114" s="11"/>
      <c r="O114" s="11"/>
      <c r="P114" s="11"/>
    </row>
    <row r="115" ht="15.75" customHeight="1">
      <c r="A115" s="222"/>
      <c r="B115" s="11"/>
      <c r="C115" s="11"/>
      <c r="D115" s="11"/>
      <c r="E115" s="11"/>
      <c r="F115" s="11"/>
      <c r="G115" s="11"/>
      <c r="H115" s="11"/>
      <c r="I115" s="11"/>
      <c r="J115" s="11"/>
      <c r="K115" s="11"/>
      <c r="L115" s="11"/>
      <c r="M115" s="11"/>
      <c r="N115" s="11"/>
      <c r="O115" s="11"/>
      <c r="P115" s="11"/>
    </row>
    <row r="116" ht="15.75" customHeight="1">
      <c r="A116" s="222"/>
      <c r="B116" s="11"/>
      <c r="C116" s="11"/>
      <c r="D116" s="11"/>
      <c r="E116" s="11"/>
      <c r="F116" s="11"/>
      <c r="G116" s="11"/>
      <c r="H116" s="11"/>
      <c r="I116" s="11"/>
      <c r="J116" s="11"/>
      <c r="K116" s="11"/>
      <c r="L116" s="11"/>
      <c r="M116" s="11"/>
      <c r="N116" s="11"/>
      <c r="O116" s="11"/>
      <c r="P116" s="11"/>
    </row>
    <row r="117" ht="15.75" customHeight="1">
      <c r="A117" s="222"/>
      <c r="B117" s="11"/>
      <c r="C117" s="11"/>
      <c r="D117" s="11"/>
      <c r="E117" s="11"/>
      <c r="F117" s="11"/>
      <c r="G117" s="11"/>
      <c r="H117" s="11"/>
      <c r="I117" s="11"/>
      <c r="J117" s="11"/>
      <c r="K117" s="11"/>
      <c r="L117" s="11"/>
      <c r="M117" s="11"/>
      <c r="N117" s="11"/>
      <c r="O117" s="11"/>
      <c r="P117" s="11"/>
    </row>
    <row r="118" ht="15.75" customHeight="1">
      <c r="A118" s="222"/>
      <c r="B118" s="11"/>
      <c r="C118" s="11"/>
      <c r="D118" s="11"/>
      <c r="E118" s="11"/>
      <c r="F118" s="11"/>
      <c r="G118" s="11"/>
      <c r="H118" s="11"/>
      <c r="I118" s="11"/>
      <c r="J118" s="11"/>
      <c r="K118" s="11"/>
      <c r="L118" s="11"/>
      <c r="M118" s="11"/>
      <c r="N118" s="11"/>
      <c r="O118" s="11"/>
      <c r="P118" s="11"/>
    </row>
    <row r="119" ht="15.75" customHeight="1">
      <c r="A119" s="222"/>
      <c r="B119" s="11"/>
      <c r="C119" s="11"/>
      <c r="D119" s="11"/>
      <c r="E119" s="11"/>
      <c r="F119" s="11"/>
      <c r="G119" s="11"/>
      <c r="H119" s="11"/>
      <c r="I119" s="11"/>
      <c r="J119" s="11"/>
      <c r="K119" s="11"/>
      <c r="L119" s="11"/>
      <c r="M119" s="11"/>
      <c r="N119" s="11"/>
      <c r="O119" s="11"/>
      <c r="P119" s="11"/>
    </row>
    <row r="120" ht="15.75" customHeight="1">
      <c r="A120" s="222"/>
      <c r="B120" s="11"/>
      <c r="C120" s="11"/>
      <c r="D120" s="11"/>
      <c r="E120" s="11"/>
      <c r="F120" s="11"/>
      <c r="G120" s="11"/>
      <c r="H120" s="11"/>
      <c r="I120" s="11"/>
      <c r="J120" s="11"/>
      <c r="K120" s="11"/>
      <c r="L120" s="11"/>
      <c r="M120" s="11"/>
      <c r="N120" s="11"/>
      <c r="O120" s="11"/>
      <c r="P120" s="11"/>
    </row>
    <row r="121" ht="15.75" customHeight="1">
      <c r="A121" s="222"/>
      <c r="B121" s="11"/>
      <c r="C121" s="11"/>
      <c r="D121" s="11"/>
      <c r="E121" s="11"/>
      <c r="F121" s="11"/>
      <c r="G121" s="11"/>
      <c r="H121" s="11"/>
      <c r="I121" s="11"/>
      <c r="J121" s="11"/>
      <c r="K121" s="11"/>
      <c r="L121" s="11"/>
      <c r="M121" s="11"/>
      <c r="N121" s="11"/>
      <c r="O121" s="11"/>
      <c r="P121" s="11"/>
    </row>
    <row r="122" ht="15.75" customHeight="1">
      <c r="A122" s="222"/>
      <c r="B122" s="11"/>
      <c r="C122" s="11"/>
      <c r="D122" s="11"/>
      <c r="E122" s="11"/>
      <c r="F122" s="11"/>
      <c r="G122" s="11"/>
      <c r="H122" s="11"/>
      <c r="I122" s="11"/>
      <c r="J122" s="11"/>
      <c r="K122" s="11"/>
      <c r="L122" s="11"/>
      <c r="M122" s="11"/>
      <c r="N122" s="11"/>
      <c r="O122" s="11"/>
      <c r="P122" s="11"/>
    </row>
    <row r="123" ht="15.75" customHeight="1">
      <c r="A123" s="222"/>
      <c r="B123" s="11"/>
      <c r="C123" s="11"/>
      <c r="D123" s="11"/>
      <c r="E123" s="11"/>
      <c r="F123" s="11"/>
      <c r="G123" s="11"/>
      <c r="H123" s="11"/>
      <c r="I123" s="11"/>
      <c r="J123" s="11"/>
      <c r="K123" s="11"/>
      <c r="L123" s="11"/>
      <c r="M123" s="11"/>
      <c r="N123" s="11"/>
      <c r="O123" s="11"/>
      <c r="P123" s="11"/>
    </row>
    <row r="124" ht="15.75" customHeight="1">
      <c r="A124" s="222"/>
      <c r="B124" s="11"/>
      <c r="C124" s="11"/>
      <c r="D124" s="11"/>
      <c r="E124" s="11"/>
      <c r="F124" s="11"/>
      <c r="G124" s="11"/>
      <c r="H124" s="11"/>
      <c r="I124" s="11"/>
      <c r="J124" s="11"/>
      <c r="K124" s="11"/>
      <c r="L124" s="11"/>
      <c r="M124" s="11"/>
      <c r="N124" s="11"/>
      <c r="O124" s="11"/>
      <c r="P124" s="11"/>
    </row>
    <row r="125" ht="15.75" customHeight="1">
      <c r="A125" s="222"/>
      <c r="B125" s="11"/>
      <c r="C125" s="11"/>
      <c r="D125" s="11"/>
      <c r="E125" s="11"/>
      <c r="F125" s="11"/>
      <c r="G125" s="11"/>
      <c r="H125" s="11"/>
      <c r="I125" s="11"/>
      <c r="J125" s="11"/>
      <c r="K125" s="11"/>
      <c r="L125" s="11"/>
      <c r="M125" s="11"/>
      <c r="N125" s="11"/>
      <c r="O125" s="11"/>
      <c r="P125" s="11"/>
    </row>
    <row r="126" ht="15.75" customHeight="1">
      <c r="A126" s="222"/>
      <c r="B126" s="11"/>
      <c r="C126" s="11"/>
      <c r="D126" s="11"/>
      <c r="E126" s="11"/>
      <c r="F126" s="11"/>
      <c r="G126" s="11"/>
      <c r="H126" s="11"/>
      <c r="I126" s="11"/>
      <c r="J126" s="11"/>
      <c r="K126" s="11"/>
      <c r="L126" s="11"/>
      <c r="M126" s="11"/>
      <c r="N126" s="11"/>
      <c r="O126" s="11"/>
      <c r="P126" s="11"/>
    </row>
    <row r="127" ht="15.75" customHeight="1">
      <c r="A127" s="222"/>
      <c r="B127" s="11"/>
      <c r="C127" s="11"/>
      <c r="D127" s="11"/>
      <c r="E127" s="11"/>
      <c r="F127" s="11"/>
      <c r="G127" s="11"/>
      <c r="H127" s="11"/>
      <c r="I127" s="11"/>
      <c r="J127" s="11"/>
      <c r="K127" s="11"/>
      <c r="L127" s="11"/>
      <c r="M127" s="11"/>
      <c r="N127" s="11"/>
      <c r="O127" s="11"/>
      <c r="P127" s="11"/>
    </row>
    <row r="128" ht="15.75" customHeight="1">
      <c r="A128" s="222"/>
      <c r="B128" s="11"/>
      <c r="C128" s="11"/>
      <c r="D128" s="11"/>
      <c r="E128" s="11"/>
      <c r="F128" s="11"/>
      <c r="G128" s="11"/>
      <c r="H128" s="11"/>
      <c r="I128" s="11"/>
      <c r="J128" s="11"/>
      <c r="K128" s="11"/>
      <c r="L128" s="11"/>
      <c r="M128" s="11"/>
      <c r="N128" s="11"/>
      <c r="O128" s="11"/>
      <c r="P128" s="11"/>
    </row>
    <row r="129" ht="15.75" customHeight="1">
      <c r="A129" s="222"/>
      <c r="B129" s="11"/>
      <c r="C129" s="11"/>
      <c r="D129" s="11"/>
      <c r="E129" s="11"/>
      <c r="F129" s="11"/>
      <c r="G129" s="11"/>
      <c r="H129" s="11"/>
      <c r="I129" s="11"/>
      <c r="J129" s="11"/>
      <c r="K129" s="11"/>
      <c r="L129" s="11"/>
      <c r="M129" s="11"/>
      <c r="N129" s="11"/>
      <c r="O129" s="11"/>
      <c r="P129" s="11"/>
    </row>
    <row r="130" ht="15.75" customHeight="1">
      <c r="A130" s="222"/>
      <c r="B130" s="11"/>
      <c r="C130" s="11"/>
      <c r="D130" s="11"/>
      <c r="E130" s="11"/>
      <c r="F130" s="11"/>
      <c r="G130" s="11"/>
      <c r="H130" s="11"/>
      <c r="I130" s="11"/>
      <c r="J130" s="11"/>
      <c r="K130" s="11"/>
      <c r="L130" s="11"/>
      <c r="M130" s="11"/>
      <c r="N130" s="11"/>
      <c r="O130" s="11"/>
      <c r="P130" s="11"/>
    </row>
    <row r="131" ht="15.75" customHeight="1">
      <c r="A131" s="222"/>
      <c r="B131" s="11"/>
      <c r="C131" s="11"/>
      <c r="D131" s="11"/>
      <c r="E131" s="11"/>
      <c r="F131" s="11"/>
      <c r="G131" s="11"/>
      <c r="H131" s="11"/>
      <c r="I131" s="11"/>
      <c r="J131" s="11"/>
      <c r="K131" s="11"/>
      <c r="L131" s="11"/>
      <c r="M131" s="11"/>
      <c r="N131" s="11"/>
      <c r="O131" s="11"/>
      <c r="P131" s="11"/>
    </row>
    <row r="132" ht="15.75" customHeight="1">
      <c r="A132" s="222"/>
      <c r="B132" s="11"/>
      <c r="C132" s="11"/>
      <c r="D132" s="11"/>
      <c r="E132" s="11"/>
      <c r="F132" s="11"/>
      <c r="G132" s="11"/>
      <c r="H132" s="11"/>
      <c r="I132" s="11"/>
      <c r="J132" s="11"/>
      <c r="K132" s="11"/>
      <c r="L132" s="11"/>
      <c r="M132" s="11"/>
      <c r="N132" s="11"/>
      <c r="O132" s="11"/>
      <c r="P132" s="11"/>
    </row>
    <row r="133" ht="15.75" customHeight="1">
      <c r="A133" s="222"/>
      <c r="B133" s="11"/>
      <c r="C133" s="11"/>
      <c r="D133" s="11"/>
      <c r="E133" s="11"/>
      <c r="F133" s="11"/>
      <c r="G133" s="11"/>
      <c r="H133" s="11"/>
      <c r="I133" s="11"/>
      <c r="J133" s="11"/>
      <c r="K133" s="11"/>
      <c r="L133" s="11"/>
      <c r="M133" s="11"/>
      <c r="N133" s="11"/>
      <c r="O133" s="11"/>
      <c r="P133" s="11"/>
    </row>
    <row r="134" ht="15.75" customHeight="1">
      <c r="A134" s="222"/>
      <c r="B134" s="11"/>
      <c r="C134" s="11"/>
      <c r="D134" s="11"/>
      <c r="E134" s="11"/>
      <c r="F134" s="11"/>
      <c r="G134" s="11"/>
      <c r="H134" s="11"/>
      <c r="I134" s="11"/>
      <c r="J134" s="11"/>
      <c r="K134" s="11"/>
      <c r="L134" s="11"/>
      <c r="M134" s="11"/>
      <c r="N134" s="11"/>
      <c r="O134" s="11"/>
      <c r="P134" s="11"/>
    </row>
    <row r="135" ht="15.75" customHeight="1">
      <c r="A135" s="222"/>
      <c r="B135" s="11"/>
      <c r="C135" s="11"/>
      <c r="D135" s="11"/>
      <c r="E135" s="11"/>
      <c r="F135" s="11"/>
      <c r="G135" s="11"/>
      <c r="H135" s="11"/>
      <c r="I135" s="11"/>
      <c r="J135" s="11"/>
      <c r="K135" s="11"/>
      <c r="L135" s="11"/>
      <c r="M135" s="11"/>
      <c r="N135" s="11"/>
      <c r="O135" s="11"/>
      <c r="P135" s="11"/>
    </row>
    <row r="136" ht="15.75" customHeight="1">
      <c r="A136" s="222"/>
      <c r="B136" s="11"/>
      <c r="C136" s="11"/>
      <c r="D136" s="11"/>
      <c r="E136" s="11"/>
      <c r="F136" s="11"/>
      <c r="G136" s="11"/>
      <c r="H136" s="11"/>
      <c r="I136" s="11"/>
      <c r="J136" s="11"/>
      <c r="K136" s="11"/>
      <c r="L136" s="11"/>
      <c r="M136" s="11"/>
      <c r="N136" s="11"/>
      <c r="O136" s="11"/>
      <c r="P136" s="11"/>
    </row>
    <row r="137" ht="15.75" customHeight="1">
      <c r="A137" s="222"/>
      <c r="B137" s="11"/>
      <c r="C137" s="11"/>
      <c r="D137" s="11"/>
      <c r="E137" s="11"/>
      <c r="F137" s="11"/>
      <c r="G137" s="11"/>
      <c r="H137" s="11"/>
      <c r="I137" s="11"/>
      <c r="J137" s="11"/>
      <c r="K137" s="11"/>
      <c r="L137" s="11"/>
      <c r="M137" s="11"/>
      <c r="N137" s="11"/>
      <c r="O137" s="11"/>
      <c r="P137" s="11"/>
    </row>
    <row r="138" ht="15.75" customHeight="1">
      <c r="A138" s="222"/>
      <c r="B138" s="11"/>
      <c r="C138" s="11"/>
      <c r="D138" s="11"/>
      <c r="E138" s="11"/>
      <c r="F138" s="11"/>
      <c r="G138" s="11"/>
      <c r="H138" s="11"/>
      <c r="I138" s="11"/>
      <c r="J138" s="11"/>
      <c r="K138" s="11"/>
      <c r="L138" s="11"/>
      <c r="M138" s="11"/>
      <c r="N138" s="11"/>
      <c r="O138" s="11"/>
      <c r="P138" s="11"/>
    </row>
    <row r="139" ht="15.75" customHeight="1">
      <c r="A139" s="222"/>
      <c r="B139" s="11"/>
      <c r="C139" s="11"/>
      <c r="D139" s="11"/>
      <c r="E139" s="11"/>
      <c r="F139" s="11"/>
      <c r="G139" s="11"/>
      <c r="H139" s="11"/>
      <c r="I139" s="11"/>
      <c r="J139" s="11"/>
      <c r="K139" s="11"/>
      <c r="L139" s="11"/>
      <c r="M139" s="11"/>
      <c r="N139" s="11"/>
      <c r="O139" s="11"/>
      <c r="P139" s="11"/>
    </row>
    <row r="140" ht="15.75" customHeight="1">
      <c r="A140" s="222"/>
      <c r="B140" s="11"/>
      <c r="C140" s="11"/>
      <c r="D140" s="11"/>
      <c r="E140" s="11"/>
      <c r="F140" s="11"/>
      <c r="G140" s="11"/>
      <c r="H140" s="11"/>
      <c r="I140" s="11"/>
      <c r="J140" s="11"/>
      <c r="K140" s="11"/>
      <c r="L140" s="11"/>
      <c r="M140" s="11"/>
      <c r="N140" s="11"/>
      <c r="O140" s="11"/>
      <c r="P140" s="11"/>
    </row>
    <row r="141" ht="15.75" customHeight="1">
      <c r="A141" s="222"/>
      <c r="B141" s="11"/>
      <c r="C141" s="11"/>
      <c r="D141" s="11"/>
      <c r="E141" s="11"/>
      <c r="F141" s="11"/>
      <c r="G141" s="11"/>
      <c r="H141" s="11"/>
      <c r="I141" s="11"/>
      <c r="J141" s="11"/>
      <c r="K141" s="11"/>
      <c r="L141" s="11"/>
      <c r="M141" s="11"/>
      <c r="N141" s="11"/>
      <c r="O141" s="11"/>
      <c r="P141" s="11"/>
    </row>
    <row r="142" ht="15.75" customHeight="1">
      <c r="A142" s="222"/>
      <c r="B142" s="11"/>
      <c r="C142" s="11"/>
      <c r="D142" s="11"/>
      <c r="E142" s="11"/>
      <c r="F142" s="11"/>
      <c r="G142" s="11"/>
      <c r="H142" s="11"/>
      <c r="I142" s="11"/>
      <c r="J142" s="11"/>
      <c r="K142" s="11"/>
      <c r="L142" s="11"/>
      <c r="M142" s="11"/>
      <c r="N142" s="11"/>
      <c r="O142" s="11"/>
      <c r="P142" s="11"/>
    </row>
    <row r="143" ht="15.75" customHeight="1">
      <c r="A143" s="222"/>
      <c r="B143" s="11"/>
      <c r="C143" s="11"/>
      <c r="D143" s="11"/>
      <c r="E143" s="11"/>
      <c r="F143" s="11"/>
      <c r="G143" s="11"/>
      <c r="H143" s="11"/>
      <c r="I143" s="11"/>
      <c r="J143" s="11"/>
      <c r="K143" s="11"/>
      <c r="L143" s="11"/>
      <c r="M143" s="11"/>
      <c r="N143" s="11"/>
      <c r="O143" s="11"/>
      <c r="P143" s="11"/>
    </row>
    <row r="144" ht="15.75" customHeight="1">
      <c r="A144" s="222"/>
      <c r="B144" s="11"/>
      <c r="C144" s="11"/>
      <c r="D144" s="11"/>
      <c r="E144" s="11"/>
      <c r="F144" s="11"/>
      <c r="G144" s="11"/>
      <c r="H144" s="11"/>
      <c r="I144" s="11"/>
      <c r="J144" s="11"/>
      <c r="K144" s="11"/>
      <c r="L144" s="11"/>
      <c r="M144" s="11"/>
      <c r="N144" s="11"/>
      <c r="O144" s="11"/>
      <c r="P144" s="11"/>
    </row>
    <row r="145" ht="15.75" customHeight="1">
      <c r="A145" s="222"/>
      <c r="B145" s="11"/>
      <c r="C145" s="11"/>
      <c r="D145" s="11"/>
      <c r="E145" s="11"/>
      <c r="F145" s="11"/>
      <c r="G145" s="11"/>
      <c r="H145" s="11"/>
      <c r="I145" s="11"/>
      <c r="J145" s="11"/>
      <c r="K145" s="11"/>
      <c r="L145" s="11"/>
      <c r="M145" s="11"/>
      <c r="N145" s="11"/>
      <c r="O145" s="11"/>
      <c r="P145" s="11"/>
    </row>
    <row r="146" ht="15.75" customHeight="1">
      <c r="A146" s="222"/>
      <c r="B146" s="11"/>
      <c r="C146" s="11"/>
      <c r="D146" s="11"/>
      <c r="E146" s="11"/>
      <c r="F146" s="11"/>
      <c r="G146" s="11"/>
      <c r="H146" s="11"/>
      <c r="I146" s="11"/>
      <c r="J146" s="11"/>
      <c r="K146" s="11"/>
      <c r="L146" s="11"/>
      <c r="M146" s="11"/>
      <c r="N146" s="11"/>
      <c r="O146" s="11"/>
      <c r="P146" s="11"/>
    </row>
    <row r="147" ht="15.75" customHeight="1">
      <c r="A147" s="222"/>
      <c r="B147" s="11"/>
      <c r="C147" s="11"/>
      <c r="D147" s="11"/>
      <c r="E147" s="11"/>
      <c r="F147" s="11"/>
      <c r="G147" s="11"/>
      <c r="H147" s="11"/>
      <c r="I147" s="11"/>
      <c r="J147" s="11"/>
      <c r="K147" s="11"/>
      <c r="L147" s="11"/>
      <c r="M147" s="11"/>
      <c r="N147" s="11"/>
      <c r="O147" s="11"/>
      <c r="P147" s="11"/>
    </row>
    <row r="148" ht="15.75" customHeight="1">
      <c r="A148" s="222"/>
      <c r="B148" s="11"/>
      <c r="C148" s="11"/>
      <c r="D148" s="11"/>
      <c r="E148" s="11"/>
      <c r="F148" s="11"/>
      <c r="G148" s="11"/>
      <c r="H148" s="11"/>
      <c r="I148" s="11"/>
      <c r="J148" s="11"/>
      <c r="K148" s="11"/>
      <c r="L148" s="11"/>
      <c r="M148" s="11"/>
      <c r="N148" s="11"/>
      <c r="O148" s="11"/>
      <c r="P148" s="11"/>
    </row>
    <row r="149" ht="15.75" customHeight="1">
      <c r="A149" s="222"/>
      <c r="B149" s="11"/>
      <c r="C149" s="11"/>
      <c r="D149" s="11"/>
      <c r="E149" s="11"/>
      <c r="F149" s="11"/>
      <c r="G149" s="11"/>
      <c r="H149" s="11"/>
      <c r="I149" s="11"/>
      <c r="J149" s="11"/>
      <c r="K149" s="11"/>
      <c r="L149" s="11"/>
      <c r="M149" s="11"/>
      <c r="N149" s="11"/>
      <c r="O149" s="11"/>
      <c r="P149" s="11"/>
    </row>
    <row r="150" ht="15.75" customHeight="1">
      <c r="A150" s="222"/>
      <c r="B150" s="11"/>
      <c r="C150" s="11"/>
      <c r="D150" s="11"/>
      <c r="E150" s="11"/>
      <c r="F150" s="11"/>
      <c r="G150" s="11"/>
      <c r="H150" s="11"/>
      <c r="I150" s="11"/>
      <c r="J150" s="11"/>
      <c r="K150" s="11"/>
      <c r="L150" s="11"/>
      <c r="M150" s="11"/>
      <c r="N150" s="11"/>
      <c r="O150" s="11"/>
      <c r="P150" s="11"/>
    </row>
    <row r="151" ht="15.75" customHeight="1">
      <c r="A151" s="222"/>
      <c r="B151" s="11"/>
      <c r="C151" s="11"/>
      <c r="D151" s="11"/>
      <c r="E151" s="11"/>
      <c r="F151" s="11"/>
      <c r="G151" s="11"/>
      <c r="H151" s="11"/>
      <c r="I151" s="11"/>
      <c r="J151" s="11"/>
      <c r="K151" s="11"/>
      <c r="L151" s="11"/>
      <c r="M151" s="11"/>
      <c r="N151" s="11"/>
      <c r="O151" s="11"/>
      <c r="P151" s="11"/>
    </row>
    <row r="152" ht="15.75" customHeight="1">
      <c r="A152" s="222"/>
      <c r="B152" s="11"/>
      <c r="C152" s="11"/>
      <c r="D152" s="11"/>
      <c r="E152" s="11"/>
      <c r="F152" s="11"/>
      <c r="G152" s="11"/>
      <c r="H152" s="11"/>
      <c r="I152" s="11"/>
      <c r="J152" s="11"/>
      <c r="K152" s="11"/>
      <c r="L152" s="11"/>
      <c r="M152" s="11"/>
      <c r="N152" s="11"/>
      <c r="O152" s="11"/>
      <c r="P152" s="11"/>
    </row>
    <row r="153" ht="15.75" customHeight="1">
      <c r="A153" s="222"/>
      <c r="B153" s="11"/>
      <c r="C153" s="11"/>
      <c r="D153" s="11"/>
      <c r="E153" s="11"/>
      <c r="F153" s="11"/>
      <c r="G153" s="11"/>
      <c r="H153" s="11"/>
      <c r="I153" s="11"/>
      <c r="J153" s="11"/>
      <c r="K153" s="11"/>
      <c r="L153" s="11"/>
      <c r="M153" s="11"/>
      <c r="N153" s="11"/>
      <c r="O153" s="11"/>
      <c r="P153" s="11"/>
    </row>
    <row r="154" ht="15.75" customHeight="1">
      <c r="A154" s="222"/>
      <c r="B154" s="11"/>
      <c r="C154" s="11"/>
      <c r="D154" s="11"/>
      <c r="E154" s="11"/>
      <c r="F154" s="11"/>
      <c r="G154" s="11"/>
      <c r="H154" s="11"/>
      <c r="I154" s="11"/>
      <c r="J154" s="11"/>
      <c r="K154" s="11"/>
      <c r="L154" s="11"/>
      <c r="M154" s="11"/>
      <c r="N154" s="11"/>
      <c r="O154" s="11"/>
      <c r="P154" s="11"/>
    </row>
    <row r="155" ht="15.75" customHeight="1">
      <c r="A155" s="222"/>
      <c r="B155" s="11"/>
      <c r="C155" s="11"/>
      <c r="D155" s="11"/>
      <c r="E155" s="11"/>
      <c r="F155" s="11"/>
      <c r="G155" s="11"/>
      <c r="H155" s="11"/>
      <c r="I155" s="11"/>
      <c r="J155" s="11"/>
      <c r="K155" s="11"/>
      <c r="L155" s="11"/>
      <c r="M155" s="11"/>
      <c r="N155" s="11"/>
      <c r="O155" s="11"/>
      <c r="P155" s="11"/>
    </row>
    <row r="156" ht="15.75" customHeight="1">
      <c r="A156" s="222"/>
      <c r="B156" s="11"/>
      <c r="C156" s="11"/>
      <c r="D156" s="11"/>
      <c r="E156" s="11"/>
      <c r="F156" s="11"/>
      <c r="G156" s="11"/>
      <c r="H156" s="11"/>
      <c r="I156" s="11"/>
      <c r="J156" s="11"/>
      <c r="K156" s="11"/>
      <c r="L156" s="11"/>
      <c r="M156" s="11"/>
      <c r="N156" s="11"/>
      <c r="O156" s="11"/>
      <c r="P156" s="11"/>
    </row>
    <row r="157" ht="15.75" customHeight="1">
      <c r="A157" s="222"/>
      <c r="B157" s="11"/>
      <c r="C157" s="11"/>
      <c r="D157" s="11"/>
      <c r="E157" s="11"/>
      <c r="F157" s="11"/>
      <c r="G157" s="11"/>
      <c r="H157" s="11"/>
      <c r="I157" s="11"/>
      <c r="J157" s="11"/>
      <c r="K157" s="11"/>
      <c r="L157" s="11"/>
      <c r="M157" s="11"/>
      <c r="N157" s="11"/>
      <c r="O157" s="11"/>
      <c r="P157" s="11"/>
    </row>
    <row r="158" ht="15.75" customHeight="1">
      <c r="A158" s="222"/>
      <c r="B158" s="11"/>
      <c r="C158" s="11"/>
      <c r="D158" s="11"/>
      <c r="E158" s="11"/>
      <c r="F158" s="11"/>
      <c r="G158" s="11"/>
      <c r="H158" s="11"/>
      <c r="I158" s="11"/>
      <c r="J158" s="11"/>
      <c r="K158" s="11"/>
      <c r="L158" s="11"/>
      <c r="M158" s="11"/>
      <c r="N158" s="11"/>
      <c r="O158" s="11"/>
      <c r="P158" s="11"/>
    </row>
    <row r="159" ht="15.75" customHeight="1">
      <c r="A159" s="222"/>
      <c r="B159" s="11"/>
      <c r="C159" s="11"/>
      <c r="D159" s="11"/>
      <c r="E159" s="11"/>
      <c r="F159" s="11"/>
      <c r="G159" s="11"/>
      <c r="H159" s="11"/>
      <c r="I159" s="11"/>
      <c r="J159" s="11"/>
      <c r="K159" s="11"/>
      <c r="L159" s="11"/>
      <c r="M159" s="11"/>
      <c r="N159" s="11"/>
      <c r="O159" s="11"/>
      <c r="P159" s="11"/>
    </row>
    <row r="160" ht="15.75" customHeight="1">
      <c r="A160" s="222"/>
      <c r="B160" s="11"/>
      <c r="C160" s="11"/>
      <c r="D160" s="11"/>
      <c r="E160" s="11"/>
      <c r="F160" s="11"/>
      <c r="G160" s="11"/>
      <c r="H160" s="11"/>
      <c r="I160" s="11"/>
      <c r="J160" s="11"/>
      <c r="K160" s="11"/>
      <c r="L160" s="11"/>
      <c r="M160" s="11"/>
      <c r="N160" s="11"/>
      <c r="O160" s="11"/>
      <c r="P160" s="11"/>
    </row>
    <row r="161" ht="15.75" customHeight="1">
      <c r="A161" s="222"/>
      <c r="B161" s="11"/>
      <c r="C161" s="11"/>
      <c r="D161" s="11"/>
      <c r="E161" s="11"/>
      <c r="F161" s="11"/>
      <c r="G161" s="11"/>
      <c r="H161" s="11"/>
      <c r="I161" s="11"/>
      <c r="J161" s="11"/>
      <c r="K161" s="11"/>
      <c r="L161" s="11"/>
      <c r="M161" s="11"/>
      <c r="N161" s="11"/>
      <c r="O161" s="11"/>
      <c r="P161" s="11"/>
    </row>
    <row r="162" ht="15.75" customHeight="1">
      <c r="A162" s="222"/>
      <c r="B162" s="11"/>
      <c r="C162" s="11"/>
      <c r="D162" s="11"/>
      <c r="E162" s="11"/>
      <c r="F162" s="11"/>
      <c r="G162" s="11"/>
      <c r="H162" s="11"/>
      <c r="I162" s="11"/>
      <c r="J162" s="11"/>
      <c r="K162" s="11"/>
      <c r="L162" s="11"/>
      <c r="M162" s="11"/>
      <c r="N162" s="11"/>
      <c r="O162" s="11"/>
      <c r="P162" s="11"/>
    </row>
    <row r="163" ht="15.75" customHeight="1">
      <c r="A163" s="222"/>
      <c r="B163" s="11"/>
      <c r="C163" s="11"/>
      <c r="D163" s="11"/>
      <c r="E163" s="11"/>
      <c r="F163" s="11"/>
      <c r="G163" s="11"/>
      <c r="H163" s="11"/>
      <c r="I163" s="11"/>
      <c r="J163" s="11"/>
      <c r="K163" s="11"/>
      <c r="L163" s="11"/>
      <c r="M163" s="11"/>
      <c r="N163" s="11"/>
      <c r="O163" s="11"/>
      <c r="P163" s="11"/>
    </row>
    <row r="164" ht="15.75" customHeight="1">
      <c r="A164" s="222"/>
      <c r="B164" s="11"/>
      <c r="C164" s="11"/>
      <c r="D164" s="11"/>
      <c r="E164" s="11"/>
      <c r="F164" s="11"/>
      <c r="G164" s="11"/>
      <c r="H164" s="11"/>
      <c r="I164" s="11"/>
      <c r="J164" s="11"/>
      <c r="K164" s="11"/>
      <c r="L164" s="11"/>
      <c r="M164" s="11"/>
      <c r="N164" s="11"/>
      <c r="O164" s="11"/>
      <c r="P164" s="11"/>
    </row>
    <row r="165" ht="15.75" customHeight="1">
      <c r="A165" s="222"/>
      <c r="B165" s="11"/>
      <c r="C165" s="11"/>
      <c r="D165" s="11"/>
      <c r="E165" s="11"/>
      <c r="F165" s="11"/>
      <c r="G165" s="11"/>
      <c r="H165" s="11"/>
      <c r="I165" s="11"/>
      <c r="J165" s="11"/>
      <c r="K165" s="11"/>
      <c r="L165" s="11"/>
      <c r="M165" s="11"/>
      <c r="N165" s="11"/>
      <c r="O165" s="11"/>
      <c r="P165" s="11"/>
    </row>
    <row r="166" ht="15.75" customHeight="1">
      <c r="A166" s="222"/>
      <c r="B166" s="11"/>
      <c r="C166" s="11"/>
      <c r="D166" s="11"/>
      <c r="E166" s="11"/>
      <c r="F166" s="11"/>
      <c r="G166" s="11"/>
      <c r="H166" s="11"/>
      <c r="I166" s="11"/>
      <c r="J166" s="11"/>
      <c r="K166" s="11"/>
      <c r="L166" s="11"/>
      <c r="M166" s="11"/>
      <c r="N166" s="11"/>
      <c r="O166" s="11"/>
      <c r="P166" s="11"/>
    </row>
    <row r="167" ht="15.75" customHeight="1">
      <c r="A167" s="222"/>
      <c r="B167" s="11"/>
      <c r="C167" s="11"/>
      <c r="D167" s="11"/>
      <c r="E167" s="11"/>
      <c r="F167" s="11"/>
      <c r="G167" s="11"/>
      <c r="H167" s="11"/>
      <c r="I167" s="11"/>
      <c r="J167" s="11"/>
      <c r="K167" s="11"/>
      <c r="L167" s="11"/>
      <c r="M167" s="11"/>
      <c r="N167" s="11"/>
      <c r="O167" s="11"/>
      <c r="P167" s="11"/>
    </row>
    <row r="168" ht="15.75" customHeight="1">
      <c r="A168" s="222"/>
      <c r="B168" s="11"/>
      <c r="C168" s="11"/>
      <c r="D168" s="11"/>
      <c r="E168" s="11"/>
      <c r="F168" s="11"/>
      <c r="G168" s="11"/>
      <c r="H168" s="11"/>
      <c r="I168" s="11"/>
      <c r="J168" s="11"/>
      <c r="K168" s="11"/>
      <c r="L168" s="11"/>
      <c r="M168" s="11"/>
      <c r="N168" s="11"/>
      <c r="O168" s="11"/>
      <c r="P168" s="11"/>
    </row>
    <row r="169" ht="15.75" customHeight="1">
      <c r="A169" s="222"/>
      <c r="B169" s="11"/>
      <c r="C169" s="11"/>
      <c r="D169" s="11"/>
      <c r="E169" s="11"/>
      <c r="F169" s="11"/>
      <c r="G169" s="11"/>
      <c r="H169" s="11"/>
      <c r="I169" s="11"/>
      <c r="J169" s="11"/>
      <c r="K169" s="11"/>
      <c r="L169" s="11"/>
      <c r="M169" s="11"/>
      <c r="N169" s="11"/>
      <c r="O169" s="11"/>
      <c r="P169" s="11"/>
    </row>
    <row r="170" ht="15.75" customHeight="1">
      <c r="A170" s="222"/>
      <c r="B170" s="11"/>
      <c r="C170" s="11"/>
      <c r="D170" s="11"/>
      <c r="E170" s="11"/>
      <c r="F170" s="11"/>
      <c r="G170" s="11"/>
      <c r="H170" s="11"/>
      <c r="I170" s="11"/>
      <c r="J170" s="11"/>
      <c r="K170" s="11"/>
      <c r="L170" s="11"/>
      <c r="M170" s="11"/>
      <c r="N170" s="11"/>
      <c r="O170" s="11"/>
      <c r="P170" s="11"/>
    </row>
    <row r="171" ht="15.75" customHeight="1">
      <c r="A171" s="222"/>
      <c r="B171" s="11"/>
      <c r="C171" s="11"/>
      <c r="D171" s="11"/>
      <c r="E171" s="11"/>
      <c r="F171" s="11"/>
      <c r="G171" s="11"/>
      <c r="H171" s="11"/>
      <c r="I171" s="11"/>
      <c r="J171" s="11"/>
      <c r="K171" s="11"/>
      <c r="L171" s="11"/>
      <c r="M171" s="11"/>
      <c r="N171" s="11"/>
      <c r="O171" s="11"/>
      <c r="P171" s="11"/>
    </row>
    <row r="172" ht="15.75" customHeight="1">
      <c r="A172" s="222"/>
      <c r="B172" s="11"/>
      <c r="C172" s="11"/>
      <c r="D172" s="11"/>
      <c r="E172" s="11"/>
      <c r="F172" s="11"/>
      <c r="G172" s="11"/>
      <c r="H172" s="11"/>
      <c r="I172" s="11"/>
      <c r="J172" s="11"/>
      <c r="K172" s="11"/>
      <c r="L172" s="11"/>
      <c r="M172" s="11"/>
      <c r="N172" s="11"/>
      <c r="O172" s="11"/>
      <c r="P172" s="11"/>
    </row>
    <row r="173" ht="15.75" customHeight="1">
      <c r="A173" s="222"/>
      <c r="B173" s="11"/>
      <c r="C173" s="11"/>
      <c r="D173" s="11"/>
      <c r="E173" s="11"/>
      <c r="F173" s="11"/>
      <c r="G173" s="11"/>
      <c r="H173" s="11"/>
      <c r="I173" s="11"/>
      <c r="J173" s="11"/>
      <c r="K173" s="11"/>
      <c r="L173" s="11"/>
      <c r="M173" s="11"/>
      <c r="N173" s="11"/>
      <c r="O173" s="11"/>
      <c r="P173" s="11"/>
    </row>
    <row r="174" ht="15.75" customHeight="1">
      <c r="A174" s="222"/>
      <c r="B174" s="11"/>
      <c r="C174" s="11"/>
      <c r="D174" s="11"/>
      <c r="E174" s="11"/>
      <c r="F174" s="11"/>
      <c r="G174" s="11"/>
      <c r="H174" s="11"/>
      <c r="I174" s="11"/>
      <c r="J174" s="11"/>
      <c r="K174" s="11"/>
      <c r="L174" s="11"/>
      <c r="M174" s="11"/>
      <c r="N174" s="11"/>
      <c r="O174" s="11"/>
      <c r="P174" s="11"/>
    </row>
    <row r="175" ht="15.75" customHeight="1">
      <c r="A175" s="222"/>
      <c r="B175" s="11"/>
      <c r="C175" s="11"/>
      <c r="D175" s="11"/>
      <c r="E175" s="11"/>
      <c r="F175" s="11"/>
      <c r="G175" s="11"/>
      <c r="H175" s="11"/>
      <c r="I175" s="11"/>
      <c r="J175" s="11"/>
      <c r="K175" s="11"/>
      <c r="L175" s="11"/>
      <c r="M175" s="11"/>
      <c r="N175" s="11"/>
      <c r="O175" s="11"/>
      <c r="P175" s="11"/>
    </row>
    <row r="176" ht="15.75" customHeight="1">
      <c r="A176" s="222"/>
      <c r="B176" s="11"/>
      <c r="C176" s="11"/>
      <c r="D176" s="11"/>
      <c r="E176" s="11"/>
      <c r="F176" s="11"/>
      <c r="G176" s="11"/>
      <c r="H176" s="11"/>
      <c r="I176" s="11"/>
      <c r="J176" s="11"/>
      <c r="K176" s="11"/>
      <c r="L176" s="11"/>
      <c r="M176" s="11"/>
      <c r="N176" s="11"/>
      <c r="O176" s="11"/>
      <c r="P176" s="11"/>
    </row>
    <row r="177" ht="15.75" customHeight="1">
      <c r="A177" s="222"/>
      <c r="B177" s="11"/>
      <c r="C177" s="11"/>
      <c r="D177" s="11"/>
      <c r="E177" s="11"/>
      <c r="F177" s="11"/>
      <c r="G177" s="11"/>
      <c r="H177" s="11"/>
      <c r="I177" s="11"/>
      <c r="J177" s="11"/>
      <c r="K177" s="11"/>
      <c r="L177" s="11"/>
      <c r="M177" s="11"/>
      <c r="N177" s="11"/>
      <c r="O177" s="11"/>
      <c r="P177" s="11"/>
    </row>
    <row r="178" ht="15.75" customHeight="1">
      <c r="A178" s="222"/>
      <c r="B178" s="11"/>
      <c r="C178" s="11"/>
      <c r="D178" s="11"/>
      <c r="E178" s="11"/>
      <c r="F178" s="11"/>
      <c r="G178" s="11"/>
      <c r="H178" s="11"/>
      <c r="I178" s="11"/>
      <c r="J178" s="11"/>
      <c r="K178" s="11"/>
      <c r="L178" s="11"/>
      <c r="M178" s="11"/>
      <c r="N178" s="11"/>
      <c r="O178" s="11"/>
      <c r="P178" s="11"/>
    </row>
    <row r="179" ht="15.75" customHeight="1">
      <c r="A179" s="222"/>
      <c r="B179" s="11"/>
      <c r="C179" s="11"/>
      <c r="D179" s="11"/>
      <c r="E179" s="11"/>
      <c r="F179" s="11"/>
      <c r="G179" s="11"/>
      <c r="H179" s="11"/>
      <c r="I179" s="11"/>
      <c r="J179" s="11"/>
      <c r="K179" s="11"/>
      <c r="L179" s="11"/>
      <c r="M179" s="11"/>
      <c r="N179" s="11"/>
      <c r="O179" s="11"/>
      <c r="P179" s="11"/>
    </row>
    <row r="180" ht="15.75" customHeight="1">
      <c r="A180" s="222"/>
      <c r="B180" s="11"/>
      <c r="C180" s="11"/>
      <c r="D180" s="11"/>
      <c r="E180" s="11"/>
      <c r="F180" s="11"/>
      <c r="G180" s="11"/>
      <c r="H180" s="11"/>
      <c r="I180" s="11"/>
      <c r="J180" s="11"/>
      <c r="K180" s="11"/>
      <c r="L180" s="11"/>
      <c r="M180" s="11"/>
      <c r="N180" s="11"/>
      <c r="O180" s="11"/>
      <c r="P180" s="11"/>
    </row>
    <row r="181" ht="15.75" customHeight="1">
      <c r="A181" s="222"/>
      <c r="B181" s="11"/>
      <c r="C181" s="11"/>
      <c r="D181" s="11"/>
      <c r="E181" s="11"/>
      <c r="F181" s="11"/>
      <c r="G181" s="11"/>
      <c r="H181" s="11"/>
      <c r="I181" s="11"/>
      <c r="J181" s="11"/>
      <c r="K181" s="11"/>
      <c r="L181" s="11"/>
      <c r="M181" s="11"/>
      <c r="N181" s="11"/>
      <c r="O181" s="11"/>
      <c r="P181" s="11"/>
    </row>
    <row r="182" ht="15.75" customHeight="1">
      <c r="A182" s="222"/>
      <c r="B182" s="11"/>
      <c r="C182" s="11"/>
      <c r="D182" s="11"/>
      <c r="E182" s="11"/>
      <c r="F182" s="11"/>
      <c r="G182" s="11"/>
      <c r="H182" s="11"/>
      <c r="I182" s="11"/>
      <c r="J182" s="11"/>
      <c r="K182" s="11"/>
      <c r="L182" s="11"/>
      <c r="M182" s="11"/>
      <c r="N182" s="11"/>
      <c r="O182" s="11"/>
      <c r="P182" s="11"/>
    </row>
    <row r="183" ht="15.75" customHeight="1">
      <c r="A183" s="222"/>
      <c r="B183" s="11"/>
      <c r="C183" s="11"/>
      <c r="D183" s="11"/>
      <c r="E183" s="11"/>
      <c r="F183" s="11"/>
      <c r="G183" s="11"/>
      <c r="H183" s="11"/>
      <c r="I183" s="11"/>
      <c r="J183" s="11"/>
      <c r="K183" s="11"/>
      <c r="L183" s="11"/>
      <c r="M183" s="11"/>
      <c r="N183" s="11"/>
      <c r="O183" s="11"/>
      <c r="P183" s="11"/>
    </row>
    <row r="184" ht="15.75" customHeight="1">
      <c r="A184" s="222"/>
      <c r="B184" s="11"/>
      <c r="C184" s="11"/>
      <c r="D184" s="11"/>
      <c r="E184" s="11"/>
      <c r="F184" s="11"/>
      <c r="G184" s="11"/>
      <c r="H184" s="11"/>
      <c r="I184" s="11"/>
      <c r="J184" s="11"/>
      <c r="K184" s="11"/>
      <c r="L184" s="11"/>
      <c r="M184" s="11"/>
      <c r="N184" s="11"/>
      <c r="O184" s="11"/>
      <c r="P184" s="11"/>
    </row>
    <row r="185" ht="15.75" customHeight="1">
      <c r="A185" s="222"/>
      <c r="B185" s="11"/>
      <c r="C185" s="11"/>
      <c r="D185" s="11"/>
      <c r="E185" s="11"/>
      <c r="F185" s="11"/>
      <c r="G185" s="11"/>
      <c r="H185" s="11"/>
      <c r="I185" s="11"/>
      <c r="J185" s="11"/>
      <c r="K185" s="11"/>
      <c r="L185" s="11"/>
      <c r="M185" s="11"/>
      <c r="N185" s="11"/>
      <c r="O185" s="11"/>
      <c r="P185" s="11"/>
    </row>
    <row r="186" ht="15.75" customHeight="1">
      <c r="A186" s="222"/>
      <c r="B186" s="11"/>
      <c r="C186" s="11"/>
      <c r="D186" s="11"/>
      <c r="E186" s="11"/>
      <c r="F186" s="11"/>
      <c r="G186" s="11"/>
      <c r="H186" s="11"/>
      <c r="I186" s="11"/>
      <c r="J186" s="11"/>
      <c r="K186" s="11"/>
      <c r="L186" s="11"/>
      <c r="M186" s="11"/>
      <c r="N186" s="11"/>
      <c r="O186" s="11"/>
      <c r="P186" s="11"/>
    </row>
    <row r="187" ht="15.75" customHeight="1">
      <c r="A187" s="222"/>
      <c r="B187" s="11"/>
      <c r="C187" s="11"/>
      <c r="D187" s="11"/>
      <c r="E187" s="11"/>
      <c r="F187" s="11"/>
      <c r="G187" s="11"/>
      <c r="H187" s="11"/>
      <c r="I187" s="11"/>
      <c r="J187" s="11"/>
      <c r="K187" s="11"/>
      <c r="L187" s="11"/>
      <c r="M187" s="11"/>
      <c r="N187" s="11"/>
      <c r="O187" s="11"/>
      <c r="P187" s="11"/>
    </row>
    <row r="188" ht="15.75" customHeight="1">
      <c r="A188" s="222"/>
      <c r="B188" s="11"/>
      <c r="C188" s="11"/>
      <c r="D188" s="11"/>
      <c r="E188" s="11"/>
      <c r="F188" s="11"/>
      <c r="G188" s="11"/>
      <c r="H188" s="11"/>
      <c r="I188" s="11"/>
      <c r="J188" s="11"/>
      <c r="K188" s="11"/>
      <c r="L188" s="11"/>
      <c r="M188" s="11"/>
      <c r="N188" s="11"/>
      <c r="O188" s="11"/>
      <c r="P188" s="11"/>
    </row>
    <row r="189" ht="15.75" customHeight="1">
      <c r="A189" s="222"/>
      <c r="B189" s="11"/>
      <c r="C189" s="11"/>
      <c r="D189" s="11"/>
      <c r="E189" s="11"/>
      <c r="F189" s="11"/>
      <c r="G189" s="11"/>
      <c r="H189" s="11"/>
      <c r="I189" s="11"/>
      <c r="J189" s="11"/>
      <c r="K189" s="11"/>
      <c r="L189" s="11"/>
      <c r="M189" s="11"/>
      <c r="N189" s="11"/>
      <c r="O189" s="11"/>
      <c r="P189" s="11"/>
    </row>
    <row r="190" ht="15.75" customHeight="1">
      <c r="A190" s="222"/>
      <c r="B190" s="11"/>
      <c r="C190" s="11"/>
      <c r="D190" s="11"/>
      <c r="E190" s="11"/>
      <c r="F190" s="11"/>
      <c r="G190" s="11"/>
      <c r="H190" s="11"/>
      <c r="I190" s="11"/>
      <c r="J190" s="11"/>
      <c r="K190" s="11"/>
      <c r="L190" s="11"/>
      <c r="M190" s="11"/>
      <c r="N190" s="11"/>
      <c r="O190" s="11"/>
      <c r="P190" s="11"/>
    </row>
    <row r="191" ht="15.75" customHeight="1">
      <c r="A191" s="222"/>
      <c r="B191" s="11"/>
      <c r="C191" s="11"/>
      <c r="D191" s="11"/>
      <c r="E191" s="11"/>
      <c r="F191" s="11"/>
      <c r="G191" s="11"/>
      <c r="H191" s="11"/>
      <c r="I191" s="11"/>
      <c r="J191" s="11"/>
      <c r="K191" s="11"/>
      <c r="L191" s="11"/>
      <c r="M191" s="11"/>
      <c r="N191" s="11"/>
      <c r="O191" s="11"/>
      <c r="P191" s="11"/>
    </row>
    <row r="192" ht="15.75" customHeight="1">
      <c r="A192" s="222"/>
      <c r="B192" s="11"/>
      <c r="C192" s="11"/>
      <c r="D192" s="11"/>
      <c r="E192" s="11"/>
      <c r="F192" s="11"/>
      <c r="G192" s="11"/>
      <c r="H192" s="11"/>
      <c r="I192" s="11"/>
      <c r="J192" s="11"/>
      <c r="K192" s="11"/>
      <c r="L192" s="11"/>
      <c r="M192" s="11"/>
      <c r="N192" s="11"/>
      <c r="O192" s="11"/>
      <c r="P192" s="11"/>
    </row>
    <row r="193" ht="15.75" customHeight="1">
      <c r="A193" s="222"/>
      <c r="B193" s="11"/>
      <c r="C193" s="11"/>
      <c r="D193" s="11"/>
      <c r="E193" s="11"/>
      <c r="F193" s="11"/>
      <c r="G193" s="11"/>
      <c r="H193" s="11"/>
      <c r="I193" s="11"/>
      <c r="J193" s="11"/>
      <c r="K193" s="11"/>
      <c r="L193" s="11"/>
      <c r="M193" s="11"/>
      <c r="N193" s="11"/>
      <c r="O193" s="11"/>
      <c r="P193" s="11"/>
    </row>
    <row r="194" ht="15.75" customHeight="1">
      <c r="A194" s="222"/>
      <c r="B194" s="11"/>
      <c r="C194" s="11"/>
      <c r="D194" s="11"/>
      <c r="E194" s="11"/>
      <c r="F194" s="11"/>
      <c r="G194" s="11"/>
      <c r="H194" s="11"/>
      <c r="I194" s="11"/>
      <c r="J194" s="11"/>
      <c r="K194" s="11"/>
      <c r="L194" s="11"/>
      <c r="M194" s="11"/>
      <c r="N194" s="11"/>
      <c r="O194" s="11"/>
      <c r="P194" s="11"/>
    </row>
    <row r="195" ht="15.75" customHeight="1">
      <c r="A195" s="222"/>
      <c r="B195" s="11"/>
      <c r="C195" s="11"/>
      <c r="D195" s="11"/>
      <c r="E195" s="11"/>
      <c r="F195" s="11"/>
      <c r="G195" s="11"/>
      <c r="H195" s="11"/>
      <c r="I195" s="11"/>
      <c r="J195" s="11"/>
      <c r="K195" s="11"/>
      <c r="L195" s="11"/>
      <c r="M195" s="11"/>
      <c r="N195" s="11"/>
      <c r="O195" s="11"/>
      <c r="P195" s="11"/>
    </row>
    <row r="196" ht="15.75" customHeight="1">
      <c r="A196" s="222"/>
      <c r="B196" s="11"/>
      <c r="C196" s="11"/>
      <c r="D196" s="11"/>
      <c r="E196" s="11"/>
      <c r="F196" s="11"/>
      <c r="G196" s="11"/>
      <c r="H196" s="11"/>
      <c r="I196" s="11"/>
      <c r="J196" s="11"/>
      <c r="K196" s="11"/>
      <c r="L196" s="11"/>
      <c r="M196" s="11"/>
      <c r="N196" s="11"/>
      <c r="O196" s="11"/>
      <c r="P196" s="11"/>
    </row>
    <row r="197" ht="15.75" customHeight="1">
      <c r="A197" s="222"/>
      <c r="B197" s="11"/>
      <c r="C197" s="11"/>
      <c r="D197" s="11"/>
      <c r="E197" s="11"/>
      <c r="F197" s="11"/>
      <c r="G197" s="11"/>
      <c r="H197" s="11"/>
      <c r="I197" s="11"/>
      <c r="J197" s="11"/>
      <c r="K197" s="11"/>
      <c r="L197" s="11"/>
      <c r="M197" s="11"/>
      <c r="N197" s="11"/>
      <c r="O197" s="11"/>
      <c r="P197" s="11"/>
    </row>
    <row r="198" ht="15.75" customHeight="1">
      <c r="A198" s="222"/>
      <c r="B198" s="11"/>
      <c r="C198" s="11"/>
      <c r="D198" s="11"/>
      <c r="E198" s="11"/>
      <c r="F198" s="11"/>
      <c r="G198" s="11"/>
      <c r="H198" s="11"/>
      <c r="I198" s="11"/>
      <c r="J198" s="11"/>
      <c r="K198" s="11"/>
      <c r="L198" s="11"/>
      <c r="M198" s="11"/>
      <c r="N198" s="11"/>
      <c r="O198" s="11"/>
      <c r="P198" s="11"/>
    </row>
    <row r="199" ht="15.75" customHeight="1">
      <c r="A199" s="222"/>
      <c r="B199" s="11"/>
      <c r="C199" s="11"/>
      <c r="D199" s="11"/>
      <c r="E199" s="11"/>
      <c r="F199" s="11"/>
      <c r="G199" s="11"/>
      <c r="H199" s="11"/>
      <c r="I199" s="11"/>
      <c r="J199" s="11"/>
      <c r="K199" s="11"/>
      <c r="L199" s="11"/>
      <c r="M199" s="11"/>
      <c r="N199" s="11"/>
      <c r="O199" s="11"/>
      <c r="P199" s="11"/>
    </row>
    <row r="200" ht="15.75" customHeight="1">
      <c r="A200" s="222"/>
      <c r="B200" s="11"/>
      <c r="C200" s="11"/>
      <c r="D200" s="11"/>
      <c r="E200" s="11"/>
      <c r="F200" s="11"/>
      <c r="G200" s="11"/>
      <c r="H200" s="11"/>
      <c r="I200" s="11"/>
      <c r="J200" s="11"/>
      <c r="K200" s="11"/>
      <c r="L200" s="11"/>
      <c r="M200" s="11"/>
      <c r="N200" s="11"/>
      <c r="O200" s="11"/>
      <c r="P200" s="11"/>
    </row>
    <row r="201" ht="15.75" customHeight="1">
      <c r="A201" s="222"/>
      <c r="B201" s="11"/>
      <c r="C201" s="11"/>
      <c r="D201" s="11"/>
      <c r="E201" s="11"/>
      <c r="F201" s="11"/>
      <c r="G201" s="11"/>
      <c r="H201" s="11"/>
      <c r="I201" s="11"/>
      <c r="J201" s="11"/>
      <c r="K201" s="11"/>
      <c r="L201" s="11"/>
      <c r="M201" s="11"/>
      <c r="N201" s="11"/>
      <c r="O201" s="11"/>
      <c r="P201" s="11"/>
    </row>
    <row r="202" ht="15.75" customHeight="1">
      <c r="A202" s="222"/>
      <c r="B202" s="11"/>
      <c r="C202" s="11"/>
      <c r="D202" s="11"/>
      <c r="E202" s="11"/>
      <c r="F202" s="11"/>
      <c r="G202" s="11"/>
      <c r="H202" s="11"/>
      <c r="I202" s="11"/>
      <c r="J202" s="11"/>
      <c r="K202" s="11"/>
      <c r="L202" s="11"/>
      <c r="M202" s="11"/>
      <c r="N202" s="11"/>
      <c r="O202" s="11"/>
      <c r="P202" s="11"/>
    </row>
    <row r="203" ht="15.75" customHeight="1">
      <c r="A203" s="222"/>
      <c r="B203" s="11"/>
      <c r="C203" s="11"/>
      <c r="D203" s="11"/>
      <c r="E203" s="11"/>
      <c r="F203" s="11"/>
      <c r="G203" s="11"/>
      <c r="H203" s="11"/>
      <c r="I203" s="11"/>
      <c r="J203" s="11"/>
      <c r="K203" s="11"/>
      <c r="L203" s="11"/>
      <c r="M203" s="11"/>
      <c r="N203" s="11"/>
      <c r="O203" s="11"/>
      <c r="P203" s="11"/>
    </row>
    <row r="204" ht="15.75" customHeight="1">
      <c r="A204" s="222"/>
      <c r="B204" s="11"/>
      <c r="C204" s="11"/>
      <c r="D204" s="11"/>
      <c r="E204" s="11"/>
      <c r="F204" s="11"/>
      <c r="G204" s="11"/>
      <c r="H204" s="11"/>
      <c r="I204" s="11"/>
      <c r="J204" s="11"/>
      <c r="K204" s="11"/>
      <c r="L204" s="11"/>
      <c r="M204" s="11"/>
      <c r="N204" s="11"/>
      <c r="O204" s="11"/>
      <c r="P204" s="11"/>
    </row>
    <row r="205" ht="15.75" customHeight="1">
      <c r="A205" s="222"/>
      <c r="B205" s="11"/>
      <c r="C205" s="11"/>
      <c r="D205" s="11"/>
      <c r="E205" s="11"/>
      <c r="F205" s="11"/>
      <c r="G205" s="11"/>
      <c r="H205" s="11"/>
      <c r="I205" s="11"/>
      <c r="J205" s="11"/>
      <c r="K205" s="11"/>
      <c r="L205" s="11"/>
      <c r="M205" s="11"/>
      <c r="N205" s="11"/>
      <c r="O205" s="11"/>
      <c r="P205" s="11"/>
    </row>
    <row r="206" ht="15.75" customHeight="1">
      <c r="A206" s="222"/>
      <c r="B206" s="11"/>
      <c r="C206" s="11"/>
      <c r="D206" s="11"/>
      <c r="E206" s="11"/>
      <c r="F206" s="11"/>
      <c r="G206" s="11"/>
      <c r="H206" s="11"/>
      <c r="I206" s="11"/>
      <c r="J206" s="11"/>
      <c r="K206" s="11"/>
      <c r="L206" s="11"/>
      <c r="M206" s="11"/>
      <c r="N206" s="11"/>
      <c r="O206" s="11"/>
      <c r="P206" s="11"/>
    </row>
    <row r="207" ht="15.75" customHeight="1">
      <c r="A207" s="222"/>
      <c r="B207" s="11"/>
      <c r="C207" s="11"/>
      <c r="D207" s="11"/>
      <c r="E207" s="11"/>
      <c r="F207" s="11"/>
      <c r="G207" s="11"/>
      <c r="H207" s="11"/>
      <c r="I207" s="11"/>
      <c r="J207" s="11"/>
      <c r="K207" s="11"/>
      <c r="L207" s="11"/>
      <c r="M207" s="11"/>
      <c r="N207" s="11"/>
      <c r="O207" s="11"/>
      <c r="P207" s="11"/>
    </row>
    <row r="208" ht="15.75" customHeight="1">
      <c r="A208" s="222"/>
      <c r="B208" s="11"/>
      <c r="C208" s="11"/>
      <c r="D208" s="11"/>
      <c r="E208" s="11"/>
      <c r="F208" s="11"/>
      <c r="G208" s="11"/>
      <c r="H208" s="11"/>
      <c r="I208" s="11"/>
      <c r="J208" s="11"/>
      <c r="K208" s="11"/>
      <c r="L208" s="11"/>
      <c r="M208" s="11"/>
      <c r="N208" s="11"/>
      <c r="O208" s="11"/>
      <c r="P208" s="11"/>
    </row>
    <row r="209" ht="15.75" customHeight="1">
      <c r="A209" s="222"/>
      <c r="B209" s="11"/>
      <c r="C209" s="11"/>
      <c r="D209" s="11"/>
      <c r="E209" s="11"/>
      <c r="F209" s="11"/>
      <c r="G209" s="11"/>
      <c r="H209" s="11"/>
      <c r="I209" s="11"/>
      <c r="J209" s="11"/>
      <c r="K209" s="11"/>
      <c r="L209" s="11"/>
      <c r="M209" s="11"/>
      <c r="N209" s="11"/>
      <c r="O209" s="11"/>
      <c r="P209" s="11"/>
    </row>
    <row r="210" ht="15.75" customHeight="1">
      <c r="A210" s="222"/>
      <c r="B210" s="11"/>
      <c r="C210" s="11"/>
      <c r="D210" s="11"/>
      <c r="E210" s="11"/>
      <c r="F210" s="11"/>
      <c r="G210" s="11"/>
      <c r="H210" s="11"/>
      <c r="I210" s="11"/>
      <c r="J210" s="11"/>
      <c r="K210" s="11"/>
      <c r="L210" s="11"/>
      <c r="M210" s="11"/>
      <c r="N210" s="11"/>
      <c r="O210" s="11"/>
      <c r="P210" s="11"/>
    </row>
    <row r="211" ht="15.75" customHeight="1">
      <c r="A211" s="222"/>
      <c r="B211" s="11"/>
      <c r="C211" s="11"/>
      <c r="D211" s="11"/>
      <c r="E211" s="11"/>
      <c r="F211" s="11"/>
      <c r="G211" s="11"/>
      <c r="H211" s="11"/>
      <c r="I211" s="11"/>
      <c r="J211" s="11"/>
      <c r="K211" s="11"/>
      <c r="L211" s="11"/>
      <c r="M211" s="11"/>
      <c r="N211" s="11"/>
      <c r="O211" s="11"/>
      <c r="P211" s="11"/>
    </row>
    <row r="212" ht="15.75" customHeight="1">
      <c r="A212" s="222"/>
      <c r="B212" s="11"/>
      <c r="C212" s="11"/>
      <c r="D212" s="11"/>
      <c r="E212" s="11"/>
      <c r="F212" s="11"/>
      <c r="G212" s="11"/>
      <c r="H212" s="11"/>
      <c r="I212" s="11"/>
      <c r="J212" s="11"/>
      <c r="K212" s="11"/>
      <c r="L212" s="11"/>
      <c r="M212" s="11"/>
      <c r="N212" s="11"/>
      <c r="O212" s="11"/>
      <c r="P212" s="11"/>
    </row>
    <row r="213" ht="15.75" customHeight="1">
      <c r="A213" s="222"/>
      <c r="B213" s="11"/>
      <c r="C213" s="11"/>
      <c r="D213" s="11"/>
      <c r="E213" s="11"/>
      <c r="F213" s="11"/>
      <c r="G213" s="11"/>
      <c r="H213" s="11"/>
      <c r="I213" s="11"/>
      <c r="J213" s="11"/>
      <c r="K213" s="11"/>
      <c r="L213" s="11"/>
      <c r="M213" s="11"/>
      <c r="N213" s="11"/>
      <c r="O213" s="11"/>
      <c r="P213" s="11"/>
    </row>
    <row r="214" ht="15.75" customHeight="1">
      <c r="A214" s="222"/>
      <c r="B214" s="11"/>
      <c r="C214" s="11"/>
      <c r="D214" s="11"/>
      <c r="E214" s="11"/>
      <c r="F214" s="11"/>
      <c r="G214" s="11"/>
      <c r="H214" s="11"/>
      <c r="I214" s="11"/>
      <c r="J214" s="11"/>
      <c r="K214" s="11"/>
      <c r="L214" s="11"/>
      <c r="M214" s="11"/>
      <c r="N214" s="11"/>
      <c r="O214" s="11"/>
      <c r="P214" s="11"/>
    </row>
    <row r="215" ht="15.75" customHeight="1">
      <c r="A215" s="222"/>
      <c r="B215" s="11"/>
      <c r="C215" s="11"/>
      <c r="D215" s="11"/>
      <c r="E215" s="11"/>
      <c r="F215" s="11"/>
      <c r="G215" s="11"/>
      <c r="H215" s="11"/>
      <c r="I215" s="11"/>
      <c r="J215" s="11"/>
      <c r="K215" s="11"/>
      <c r="L215" s="11"/>
      <c r="M215" s="11"/>
      <c r="N215" s="11"/>
      <c r="O215" s="11"/>
      <c r="P215" s="11"/>
    </row>
    <row r="216" ht="15.75" customHeight="1">
      <c r="A216" s="222"/>
      <c r="B216" s="11"/>
      <c r="C216" s="11"/>
      <c r="D216" s="11"/>
      <c r="E216" s="11"/>
      <c r="F216" s="11"/>
      <c r="G216" s="11"/>
      <c r="H216" s="11"/>
      <c r="I216" s="11"/>
      <c r="J216" s="11"/>
      <c r="K216" s="11"/>
      <c r="L216" s="11"/>
      <c r="M216" s="11"/>
      <c r="N216" s="11"/>
      <c r="O216" s="11"/>
      <c r="P216" s="11"/>
    </row>
    <row r="217" ht="15.75" customHeight="1">
      <c r="A217" s="222"/>
      <c r="B217" s="11"/>
      <c r="C217" s="11"/>
      <c r="D217" s="11"/>
      <c r="E217" s="11"/>
      <c r="F217" s="11"/>
      <c r="G217" s="11"/>
      <c r="H217" s="11"/>
      <c r="I217" s="11"/>
      <c r="J217" s="11"/>
      <c r="K217" s="11"/>
      <c r="L217" s="11"/>
      <c r="M217" s="11"/>
      <c r="N217" s="11"/>
      <c r="O217" s="11"/>
      <c r="P217" s="11"/>
    </row>
    <row r="218" ht="15.75" customHeight="1">
      <c r="A218" s="222"/>
      <c r="B218" s="11"/>
      <c r="C218" s="11"/>
      <c r="D218" s="11"/>
      <c r="E218" s="11"/>
      <c r="F218" s="11"/>
      <c r="G218" s="11"/>
      <c r="H218" s="11"/>
      <c r="I218" s="11"/>
      <c r="J218" s="11"/>
      <c r="K218" s="11"/>
      <c r="L218" s="11"/>
      <c r="M218" s="11"/>
      <c r="N218" s="11"/>
      <c r="O218" s="11"/>
      <c r="P218" s="11"/>
    </row>
    <row r="219" ht="15.75" customHeight="1">
      <c r="A219" s="222"/>
      <c r="B219" s="11"/>
      <c r="C219" s="11"/>
      <c r="D219" s="11"/>
      <c r="E219" s="11"/>
      <c r="F219" s="11"/>
      <c r="G219" s="11"/>
      <c r="H219" s="11"/>
      <c r="I219" s="11"/>
      <c r="J219" s="11"/>
      <c r="K219" s="11"/>
      <c r="L219" s="11"/>
      <c r="M219" s="11"/>
      <c r="N219" s="11"/>
      <c r="O219" s="11"/>
      <c r="P219" s="11"/>
    </row>
    <row r="220" ht="15.75" customHeight="1">
      <c r="A220" s="222"/>
      <c r="B220" s="11"/>
      <c r="C220" s="11"/>
      <c r="D220" s="11"/>
      <c r="E220" s="11"/>
      <c r="F220" s="11"/>
      <c r="G220" s="11"/>
      <c r="H220" s="11"/>
      <c r="I220" s="11"/>
      <c r="J220" s="11"/>
      <c r="K220" s="11"/>
      <c r="L220" s="11"/>
      <c r="M220" s="11"/>
      <c r="N220" s="11"/>
      <c r="O220" s="11"/>
      <c r="P220" s="11"/>
    </row>
    <row r="221" ht="15.75" customHeight="1">
      <c r="A221" s="222"/>
      <c r="B221" s="11"/>
      <c r="C221" s="11"/>
      <c r="D221" s="11"/>
      <c r="E221" s="11"/>
      <c r="F221" s="11"/>
      <c r="G221" s="11"/>
      <c r="H221" s="11"/>
      <c r="I221" s="11"/>
      <c r="J221" s="11"/>
      <c r="K221" s="11"/>
      <c r="L221" s="11"/>
      <c r="M221" s="11"/>
      <c r="N221" s="11"/>
      <c r="O221" s="11"/>
      <c r="P221" s="11"/>
    </row>
    <row r="222" ht="15.75" customHeight="1">
      <c r="A222" s="222"/>
      <c r="B222" s="11"/>
      <c r="C222" s="11"/>
      <c r="D222" s="11"/>
      <c r="E222" s="11"/>
      <c r="F222" s="11"/>
      <c r="G222" s="11"/>
      <c r="H222" s="11"/>
      <c r="I222" s="11"/>
      <c r="J222" s="11"/>
      <c r="K222" s="11"/>
      <c r="L222" s="11"/>
      <c r="M222" s="11"/>
      <c r="N222" s="11"/>
      <c r="O222" s="11"/>
      <c r="P222" s="11"/>
    </row>
    <row r="223" ht="15.75" customHeight="1">
      <c r="A223" s="222"/>
      <c r="B223" s="11"/>
      <c r="C223" s="11"/>
      <c r="D223" s="11"/>
      <c r="E223" s="11"/>
      <c r="F223" s="11"/>
      <c r="G223" s="11"/>
      <c r="H223" s="11"/>
      <c r="I223" s="11"/>
      <c r="J223" s="11"/>
      <c r="K223" s="11"/>
      <c r="L223" s="11"/>
      <c r="M223" s="11"/>
      <c r="N223" s="11"/>
      <c r="O223" s="11"/>
      <c r="P223" s="11"/>
    </row>
    <row r="224" ht="15.75" customHeight="1">
      <c r="A224" s="222"/>
      <c r="B224" s="11"/>
      <c r="C224" s="11"/>
      <c r="D224" s="11"/>
      <c r="E224" s="11"/>
      <c r="F224" s="11"/>
      <c r="G224" s="11"/>
      <c r="H224" s="11"/>
      <c r="I224" s="11"/>
      <c r="J224" s="11"/>
      <c r="K224" s="11"/>
      <c r="L224" s="11"/>
      <c r="M224" s="11"/>
      <c r="N224" s="11"/>
      <c r="O224" s="11"/>
      <c r="P224" s="11"/>
    </row>
    <row r="225" ht="15.75" customHeight="1">
      <c r="A225" s="222"/>
      <c r="B225" s="11"/>
      <c r="C225" s="11"/>
      <c r="D225" s="11"/>
      <c r="E225" s="11"/>
      <c r="F225" s="11"/>
      <c r="G225" s="11"/>
      <c r="H225" s="11"/>
      <c r="I225" s="11"/>
      <c r="J225" s="11"/>
      <c r="K225" s="11"/>
      <c r="L225" s="11"/>
      <c r="M225" s="11"/>
      <c r="N225" s="11"/>
      <c r="O225" s="11"/>
      <c r="P225" s="11"/>
    </row>
    <row r="226" ht="15.75" customHeight="1">
      <c r="A226" s="222"/>
      <c r="B226" s="11"/>
      <c r="C226" s="11"/>
      <c r="D226" s="11"/>
      <c r="E226" s="11"/>
      <c r="F226" s="11"/>
      <c r="G226" s="11"/>
      <c r="H226" s="11"/>
      <c r="I226" s="11"/>
      <c r="J226" s="11"/>
      <c r="K226" s="11"/>
      <c r="L226" s="11"/>
      <c r="M226" s="11"/>
      <c r="N226" s="11"/>
      <c r="O226" s="11"/>
      <c r="P226" s="11"/>
    </row>
    <row r="227" ht="15.75" customHeight="1">
      <c r="A227" s="222"/>
      <c r="B227" s="11"/>
      <c r="C227" s="11"/>
      <c r="D227" s="11"/>
      <c r="E227" s="11"/>
      <c r="F227" s="11"/>
      <c r="G227" s="11"/>
      <c r="H227" s="11"/>
      <c r="I227" s="11"/>
      <c r="J227" s="11"/>
      <c r="K227" s="11"/>
      <c r="L227" s="11"/>
      <c r="M227" s="11"/>
      <c r="N227" s="11"/>
      <c r="O227" s="11"/>
      <c r="P227" s="11"/>
    </row>
    <row r="228" ht="15.75" customHeight="1">
      <c r="A228" s="222"/>
      <c r="B228" s="11"/>
      <c r="C228" s="11"/>
      <c r="D228" s="11"/>
      <c r="E228" s="11"/>
      <c r="F228" s="11"/>
      <c r="G228" s="11"/>
      <c r="H228" s="11"/>
      <c r="I228" s="11"/>
      <c r="J228" s="11"/>
      <c r="K228" s="11"/>
      <c r="L228" s="11"/>
      <c r="M228" s="11"/>
      <c r="N228" s="11"/>
      <c r="O228" s="11"/>
      <c r="P228" s="11"/>
    </row>
    <row r="229" ht="15.75" customHeight="1">
      <c r="A229" s="222"/>
      <c r="B229" s="11"/>
      <c r="C229" s="11"/>
      <c r="D229" s="11"/>
      <c r="E229" s="11"/>
      <c r="F229" s="11"/>
      <c r="G229" s="11"/>
      <c r="H229" s="11"/>
      <c r="I229" s="11"/>
      <c r="J229" s="11"/>
      <c r="K229" s="11"/>
      <c r="L229" s="11"/>
      <c r="M229" s="11"/>
      <c r="N229" s="11"/>
      <c r="O229" s="11"/>
      <c r="P229" s="11"/>
    </row>
    <row r="230" ht="15.75" customHeight="1">
      <c r="A230" s="222"/>
      <c r="B230" s="11"/>
      <c r="C230" s="11"/>
      <c r="D230" s="11"/>
      <c r="E230" s="11"/>
      <c r="F230" s="11"/>
      <c r="G230" s="11"/>
      <c r="H230" s="11"/>
      <c r="I230" s="11"/>
      <c r="J230" s="11"/>
      <c r="K230" s="11"/>
      <c r="L230" s="11"/>
      <c r="M230" s="11"/>
      <c r="N230" s="11"/>
      <c r="O230" s="11"/>
      <c r="P230" s="11"/>
    </row>
    <row r="231" ht="15.75" customHeight="1">
      <c r="A231" s="222"/>
      <c r="B231" s="11"/>
      <c r="C231" s="11"/>
      <c r="D231" s="11"/>
      <c r="E231" s="11"/>
      <c r="F231" s="11"/>
      <c r="G231" s="11"/>
      <c r="H231" s="11"/>
      <c r="I231" s="11"/>
      <c r="J231" s="11"/>
      <c r="K231" s="11"/>
      <c r="L231" s="11"/>
      <c r="M231" s="11"/>
      <c r="N231" s="11"/>
      <c r="O231" s="11"/>
      <c r="P231" s="11"/>
    </row>
    <row r="232" ht="15.75" customHeight="1">
      <c r="A232" s="222"/>
      <c r="B232" s="11"/>
      <c r="C232" s="11"/>
      <c r="D232" s="11"/>
      <c r="E232" s="11"/>
      <c r="F232" s="11"/>
      <c r="G232" s="11"/>
      <c r="H232" s="11"/>
      <c r="I232" s="11"/>
      <c r="J232" s="11"/>
      <c r="K232" s="11"/>
      <c r="L232" s="11"/>
      <c r="M232" s="11"/>
      <c r="N232" s="11"/>
      <c r="O232" s="11"/>
      <c r="P232" s="11"/>
    </row>
    <row r="233" ht="15.75" customHeight="1">
      <c r="A233" s="222"/>
      <c r="B233" s="11"/>
      <c r="C233" s="11"/>
      <c r="D233" s="11"/>
      <c r="E233" s="11"/>
      <c r="F233" s="11"/>
      <c r="G233" s="11"/>
      <c r="H233" s="11"/>
      <c r="I233" s="11"/>
      <c r="J233" s="11"/>
      <c r="K233" s="11"/>
      <c r="L233" s="11"/>
      <c r="M233" s="11"/>
      <c r="N233" s="11"/>
      <c r="O233" s="11"/>
      <c r="P233" s="11"/>
    </row>
    <row r="234" ht="15.75" customHeight="1">
      <c r="A234" s="222"/>
      <c r="B234" s="11"/>
      <c r="C234" s="11"/>
      <c r="D234" s="11"/>
      <c r="E234" s="11"/>
      <c r="F234" s="11"/>
      <c r="G234" s="11"/>
      <c r="H234" s="11"/>
      <c r="I234" s="11"/>
      <c r="J234" s="11"/>
      <c r="K234" s="11"/>
      <c r="L234" s="11"/>
      <c r="M234" s="11"/>
      <c r="N234" s="11"/>
      <c r="O234" s="11"/>
      <c r="P234" s="11"/>
    </row>
    <row r="235" ht="15.75" customHeight="1">
      <c r="A235" s="222"/>
      <c r="B235" s="11"/>
      <c r="C235" s="11"/>
      <c r="D235" s="11"/>
      <c r="E235" s="11"/>
      <c r="F235" s="11"/>
      <c r="G235" s="11"/>
      <c r="H235" s="11"/>
      <c r="I235" s="11"/>
      <c r="J235" s="11"/>
      <c r="K235" s="11"/>
      <c r="L235" s="11"/>
      <c r="M235" s="11"/>
      <c r="N235" s="11"/>
      <c r="O235" s="11"/>
      <c r="P235" s="11"/>
    </row>
    <row r="236" ht="15.75" customHeight="1">
      <c r="A236" s="222"/>
      <c r="B236" s="11"/>
      <c r="C236" s="11"/>
      <c r="D236" s="11"/>
      <c r="E236" s="11"/>
      <c r="F236" s="11"/>
      <c r="G236" s="11"/>
      <c r="H236" s="11"/>
      <c r="I236" s="11"/>
      <c r="J236" s="11"/>
      <c r="K236" s="11"/>
      <c r="L236" s="11"/>
      <c r="M236" s="11"/>
      <c r="N236" s="11"/>
      <c r="O236" s="11"/>
      <c r="P236" s="11"/>
    </row>
    <row r="237" ht="15.75" customHeight="1">
      <c r="A237" s="222"/>
      <c r="B237" s="11"/>
      <c r="C237" s="11"/>
      <c r="D237" s="11"/>
      <c r="E237" s="11"/>
      <c r="F237" s="11"/>
      <c r="G237" s="11"/>
      <c r="H237" s="11"/>
      <c r="I237" s="11"/>
      <c r="J237" s="11"/>
      <c r="K237" s="11"/>
      <c r="L237" s="11"/>
      <c r="M237" s="11"/>
      <c r="N237" s="11"/>
      <c r="O237" s="11"/>
      <c r="P237" s="11"/>
    </row>
    <row r="238" ht="15.75" customHeight="1">
      <c r="A238" s="222"/>
      <c r="B238" s="11"/>
      <c r="C238" s="11"/>
      <c r="D238" s="11"/>
      <c r="E238" s="11"/>
      <c r="F238" s="11"/>
      <c r="G238" s="11"/>
      <c r="H238" s="11"/>
      <c r="I238" s="11"/>
      <c r="J238" s="11"/>
      <c r="K238" s="11"/>
      <c r="L238" s="11"/>
      <c r="M238" s="11"/>
      <c r="N238" s="11"/>
      <c r="O238" s="11"/>
      <c r="P238" s="11"/>
    </row>
    <row r="239" ht="15.75" customHeight="1">
      <c r="A239" s="222"/>
      <c r="B239" s="11"/>
      <c r="C239" s="11"/>
      <c r="D239" s="11"/>
      <c r="E239" s="11"/>
      <c r="F239" s="11"/>
      <c r="G239" s="11"/>
      <c r="H239" s="11"/>
      <c r="I239" s="11"/>
      <c r="J239" s="11"/>
      <c r="K239" s="11"/>
      <c r="L239" s="11"/>
      <c r="M239" s="11"/>
      <c r="N239" s="11"/>
      <c r="O239" s="11"/>
      <c r="P239" s="11"/>
    </row>
    <row r="240" ht="15.75" customHeight="1">
      <c r="A240" s="222"/>
      <c r="B240" s="11"/>
      <c r="C240" s="11"/>
      <c r="D240" s="11"/>
      <c r="E240" s="11"/>
      <c r="F240" s="11"/>
      <c r="G240" s="11"/>
      <c r="H240" s="11"/>
      <c r="I240" s="11"/>
      <c r="J240" s="11"/>
      <c r="K240" s="11"/>
      <c r="L240" s="11"/>
      <c r="M240" s="11"/>
      <c r="N240" s="11"/>
      <c r="O240" s="11"/>
      <c r="P240" s="11"/>
    </row>
    <row r="241" ht="15.75" customHeight="1">
      <c r="A241" s="222"/>
      <c r="B241" s="11"/>
      <c r="C241" s="11"/>
      <c r="D241" s="11"/>
      <c r="E241" s="11"/>
      <c r="F241" s="11"/>
      <c r="G241" s="11"/>
      <c r="H241" s="11"/>
      <c r="I241" s="11"/>
      <c r="J241" s="11"/>
      <c r="K241" s="11"/>
      <c r="L241" s="11"/>
      <c r="M241" s="11"/>
      <c r="N241" s="11"/>
      <c r="O241" s="11"/>
      <c r="P241" s="11"/>
    </row>
    <row r="242" ht="15.75" customHeight="1">
      <c r="A242" s="222"/>
      <c r="B242" s="11"/>
      <c r="C242" s="11"/>
      <c r="D242" s="11"/>
      <c r="E242" s="11"/>
      <c r="F242" s="11"/>
      <c r="G242" s="11"/>
      <c r="H242" s="11"/>
      <c r="I242" s="11"/>
      <c r="J242" s="11"/>
      <c r="K242" s="11"/>
      <c r="L242" s="11"/>
      <c r="M242" s="11"/>
      <c r="N242" s="11"/>
      <c r="O242" s="11"/>
      <c r="P242" s="11"/>
    </row>
    <row r="243" ht="15.75" customHeight="1">
      <c r="A243" s="222"/>
      <c r="B243" s="11"/>
      <c r="C243" s="11"/>
      <c r="D243" s="11"/>
      <c r="E243" s="11"/>
      <c r="F243" s="11"/>
      <c r="G243" s="11"/>
      <c r="H243" s="11"/>
      <c r="I243" s="11"/>
      <c r="J243" s="11"/>
      <c r="K243" s="11"/>
      <c r="L243" s="11"/>
      <c r="M243" s="11"/>
      <c r="N243" s="11"/>
      <c r="O243" s="11"/>
      <c r="P243" s="11"/>
    </row>
    <row r="244" ht="15.75" customHeight="1">
      <c r="A244" s="222"/>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111</v>
      </c>
      <c r="C1" s="59"/>
      <c r="D1" s="59"/>
      <c r="E1" s="59"/>
      <c r="F1" s="59"/>
      <c r="H1" s="59"/>
      <c r="I1" s="59"/>
      <c r="J1" s="59"/>
      <c r="K1" s="59"/>
      <c r="L1" s="59"/>
      <c r="M1" s="59"/>
      <c r="N1" s="59"/>
      <c r="O1" s="59"/>
      <c r="P1" s="59"/>
      <c r="Q1" s="59"/>
      <c r="R1" s="17"/>
      <c r="S1" s="17"/>
      <c r="T1" s="17"/>
      <c r="U1" s="17"/>
      <c r="V1" s="17"/>
      <c r="W1" s="17"/>
      <c r="X1" s="17"/>
      <c r="Y1" s="17"/>
      <c r="Z1" s="17"/>
    </row>
    <row r="2" ht="39.75" customHeight="1">
      <c r="A2" s="77" t="s">
        <v>112</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17"/>
      <c r="M2" s="17"/>
      <c r="N2" s="110"/>
      <c r="O2" s="110"/>
      <c r="P2" s="110"/>
      <c r="Q2" s="126"/>
      <c r="R2" s="17"/>
      <c r="S2" s="17"/>
      <c r="T2" s="17"/>
      <c r="U2" s="17"/>
      <c r="V2" s="17"/>
      <c r="W2" s="17"/>
      <c r="X2" s="17"/>
      <c r="Y2" s="17"/>
      <c r="Z2" s="17"/>
    </row>
    <row r="3" ht="24.75" customHeight="1">
      <c r="A3" s="223" t="s">
        <v>113</v>
      </c>
      <c r="B3" s="224"/>
      <c r="C3" s="156"/>
      <c r="D3" s="156"/>
      <c r="E3" s="156"/>
      <c r="F3" s="156"/>
      <c r="G3" s="156"/>
      <c r="H3" s="156"/>
      <c r="I3" s="156"/>
      <c r="J3" s="156"/>
      <c r="K3" s="157"/>
      <c r="L3" s="17"/>
      <c r="M3" s="17"/>
      <c r="N3" s="110"/>
      <c r="O3" s="110"/>
      <c r="P3" s="110"/>
      <c r="Q3" s="126"/>
      <c r="R3" s="17"/>
      <c r="S3" s="17"/>
      <c r="T3" s="17"/>
      <c r="U3" s="17"/>
      <c r="V3" s="17"/>
      <c r="W3" s="17"/>
      <c r="X3" s="17"/>
      <c r="Y3" s="17"/>
      <c r="Z3" s="17"/>
    </row>
    <row r="4" ht="24.75" customHeight="1">
      <c r="A4" s="225" t="s">
        <v>114</v>
      </c>
      <c r="B4" s="101">
        <f>IFERROR(ABS(VLOOKUP("Asset Writedown*",'7.TIKR_IS'!$A:$K,COLUMN('2.FCF'!B7),FALSE)/'1.IS'!B3),0%)+IFERROR(ABS(VLOOKUP("Impairment of Goodwill*",'7.TIKR_IS'!$A:$K,COLUMN('2.FCF'!B7),FALSE)/'1.IS'!B3),0%)</f>
        <v>0</v>
      </c>
      <c r="C4" s="102">
        <f>IFERROR(ABS(VLOOKUP("Asset Writedown*",'7.TIKR_IS'!$A:$K,COLUMN('2.FCF'!C7),FALSE)/'1.IS'!C3),0%)+IFERROR(ABS(VLOOKUP("Impairment of Goodwill*",'7.TIKR_IS'!$A:$K,COLUMN('2.FCF'!C7),FALSE)/'1.IS'!C3),0%)</f>
        <v>0</v>
      </c>
      <c r="D4" s="102">
        <f>IFERROR(ABS(VLOOKUP("Asset Writedown*",'7.TIKR_IS'!$A:$K,COLUMN('2.FCF'!D7),FALSE)/'1.IS'!D3),0%)+IFERROR(ABS(VLOOKUP("Impairment of Goodwill*",'7.TIKR_IS'!$A:$K,COLUMN('2.FCF'!D7),FALSE)/'1.IS'!D3),0%)</f>
        <v>0</v>
      </c>
      <c r="E4" s="102">
        <f>IFERROR(ABS(VLOOKUP("Asset Writedown*",'7.TIKR_IS'!$A:$K,COLUMN('2.FCF'!E7),FALSE)/'1.IS'!E3),0%)+IFERROR(ABS(VLOOKUP("Impairment of Goodwill*",'7.TIKR_IS'!$A:$K,COLUMN('2.FCF'!E7),FALSE)/'1.IS'!E3),0%)</f>
        <v>0</v>
      </c>
      <c r="F4" s="102">
        <f>IFERROR(ABS(VLOOKUP("Asset Writedown*",'7.TIKR_IS'!$A:$K,COLUMN('2.FCF'!F7),FALSE)/'1.IS'!F3),0%)+IFERROR(ABS(VLOOKUP("Impairment of Goodwill*",'7.TIKR_IS'!$A:$K,COLUMN('2.FCF'!F7),FALSE)/'1.IS'!F3),0%)</f>
        <v>0</v>
      </c>
      <c r="G4" s="102">
        <f>IFERROR(ABS(VLOOKUP("Asset Writedown*",'7.TIKR_IS'!$A:$K,COLUMN('2.FCF'!G7),FALSE)/'1.IS'!G3),0%)+IFERROR(ABS(VLOOKUP("Impairment of Goodwill*",'7.TIKR_IS'!$A:$K,COLUMN('2.FCF'!G7),FALSE)/'1.IS'!G3),0%)</f>
        <v>0</v>
      </c>
      <c r="H4" s="102">
        <f>IFERROR(ABS(VLOOKUP("Asset Writedown*",'7.TIKR_IS'!$A:$K,COLUMN('2.FCF'!H7),FALSE)/'1.IS'!H3),0%)+IFERROR(ABS(VLOOKUP("Impairment of Goodwill*",'7.TIKR_IS'!$A:$K,COLUMN('2.FCF'!H7),FALSE)/'1.IS'!H3),0%)</f>
        <v>0</v>
      </c>
      <c r="I4" s="102">
        <f>IFERROR(ABS(VLOOKUP("Asset Writedown*",'7.TIKR_IS'!$A:$K,COLUMN('2.FCF'!I7),FALSE)/'1.IS'!I3),0%)+IFERROR(ABS(VLOOKUP("Impairment of Goodwill*",'7.TIKR_IS'!$A:$K,COLUMN('2.FCF'!I7),FALSE)/'1.IS'!I3),0%)</f>
        <v>0</v>
      </c>
      <c r="J4" s="102">
        <f>IFERROR(ABS(VLOOKUP("Asset Writedown*",'7.TIKR_IS'!$A:$K,COLUMN('2.FCF'!J7),FALSE)/'1.IS'!J3),0%)+IFERROR(ABS(VLOOKUP("Impairment of Goodwill*",'7.TIKR_IS'!$A:$K,COLUMN('2.FCF'!J7),FALSE)/'1.IS'!J3),0%)</f>
        <v>0</v>
      </c>
      <c r="K4" s="103">
        <f>IFERROR(ABS(VLOOKUP("Asset Writedown*",'7.TIKR_IS'!$A:$K,COLUMN('2.FCF'!K7),FALSE)/'1.IS'!K3),0%)+IFERROR(ABS(VLOOKUP("Impairment of Goodwill*",'7.TIKR_IS'!$A:$K,COLUMN('2.FCF'!K7),FALSE)/'1.IS'!K3),0%)</f>
        <v>0</v>
      </c>
      <c r="L4" s="17"/>
      <c r="M4" s="17"/>
      <c r="N4" s="21"/>
      <c r="O4" s="110"/>
      <c r="P4" s="110"/>
      <c r="Q4" s="126"/>
      <c r="R4" s="17"/>
      <c r="S4" s="17"/>
      <c r="T4" s="17"/>
      <c r="U4" s="17"/>
      <c r="V4" s="17"/>
      <c r="W4" s="17"/>
      <c r="X4" s="17"/>
      <c r="Y4" s="17"/>
      <c r="Z4" s="17"/>
    </row>
    <row r="5" ht="24.75" customHeight="1">
      <c r="A5" s="225" t="s">
        <v>115</v>
      </c>
      <c r="B5" s="101">
        <f>IFERROR(VLOOKUP("Divestitures*",'9.TIKR_CF'!$A:$K,COLUMN('2.FCF'!B2),FALSE)/'1.IS'!B3,0%)</f>
        <v>0</v>
      </c>
      <c r="C5" s="102">
        <f>IFERROR(VLOOKUP("Divestitures*",'9.TIKR_CF'!$A:$K,COLUMN('2.FCF'!C2),FALSE)/'1.IS'!C3,0%)</f>
        <v>0</v>
      </c>
      <c r="D5" s="102">
        <f>IFERROR(VLOOKUP("Divestitures*",'9.TIKR_CF'!$A:$K,COLUMN('2.FCF'!D2),FALSE)/'1.IS'!D3,0%)</f>
        <v>0</v>
      </c>
      <c r="E5" s="102">
        <f>IFERROR(VLOOKUP("Divestitures*",'9.TIKR_CF'!$A:$K,COLUMN('2.FCF'!E2),FALSE)/'1.IS'!E3,0%)</f>
        <v>0</v>
      </c>
      <c r="F5" s="102">
        <f>IFERROR(VLOOKUP("Divestitures*",'9.TIKR_CF'!$A:$K,COLUMN('2.FCF'!F2),FALSE)/'1.IS'!F3,0%)</f>
        <v>0</v>
      </c>
      <c r="G5" s="102">
        <f>IFERROR(VLOOKUP("Divestitures*",'9.TIKR_CF'!$A:$K,COLUMN('2.FCF'!G2),FALSE)/'1.IS'!G3,0%)</f>
        <v>0</v>
      </c>
      <c r="H5" s="102">
        <f>IFERROR(VLOOKUP("Divestitures*",'9.TIKR_CF'!$A:$K,COLUMN('2.FCF'!H2),FALSE)/'1.IS'!H3,0%)</f>
        <v>0</v>
      </c>
      <c r="I5" s="102">
        <f>IFERROR(VLOOKUP("Divestitures*",'9.TIKR_CF'!$A:$K,COLUMN('2.FCF'!I2),FALSE)/'1.IS'!I3,0%)</f>
        <v>0</v>
      </c>
      <c r="J5" s="102">
        <f>IFERROR(VLOOKUP("Divestitures*",'9.TIKR_CF'!$A:$K,COLUMN('2.FCF'!J2),FALSE)/'1.IS'!J3,0%)</f>
        <v>0</v>
      </c>
      <c r="K5" s="103">
        <f>IFERROR(VLOOKUP("Divestitures*",'9.TIKR_CF'!$A:$K,COLUMN('2.FCF'!K2),FALSE)/'1.IS'!K3,0%)</f>
        <v>0</v>
      </c>
      <c r="L5" s="17"/>
      <c r="M5" s="17"/>
      <c r="N5" s="21"/>
      <c r="O5" s="110"/>
      <c r="P5" s="110"/>
      <c r="Q5" s="126"/>
      <c r="R5" s="17"/>
      <c r="S5" s="17"/>
      <c r="T5" s="17"/>
      <c r="U5" s="17"/>
      <c r="V5" s="17"/>
      <c r="W5" s="17"/>
      <c r="X5" s="17"/>
      <c r="Y5" s="17"/>
      <c r="Z5" s="17"/>
    </row>
    <row r="6" ht="24.75" customHeight="1">
      <c r="A6" s="225" t="s">
        <v>116</v>
      </c>
      <c r="B6" s="101">
        <f>IFERROR(VLOOKUP("Stock-Based Compensation*",'9.TIKR_CF'!$A:$K,COLUMN('2.FCF'!B2),FALSE)/'1.IS'!B3,0%)</f>
        <v>0.06938350958</v>
      </c>
      <c r="C6" s="102">
        <f>IFERROR(VLOOKUP("Stock-Based Compensation*",'9.TIKR_CF'!$A:$K,COLUMN('2.FCF'!C2),FALSE)/'1.IS'!C3,0%)</f>
        <v>0.0742533676</v>
      </c>
      <c r="D6" s="102">
        <f>IFERROR(VLOOKUP("Stock-Based Compensation*",'9.TIKR_CF'!$A:$K,COLUMN('2.FCF'!D2),FALSE)/'1.IS'!D3,0%)</f>
        <v>0.06927066889</v>
      </c>
      <c r="E6" s="102">
        <f>IFERROR(VLOOKUP("Stock-Based Compensation*",'9.TIKR_CF'!$A:$K,COLUMN('2.FCF'!E2),FALSE)/'1.IS'!E3,0%)</f>
        <v>0.06836038854</v>
      </c>
      <c r="F6" s="102">
        <f>IFERROR(VLOOKUP("Stock-Based Compensation*",'9.TIKR_CF'!$A:$K,COLUMN('2.FCF'!F2),FALSE)/'1.IS'!F3,0%)</f>
        <v>0.06668849664</v>
      </c>
      <c r="G6" s="102">
        <f>IFERROR(VLOOKUP("Stock-Based Compensation*",'9.TIKR_CF'!$A:$K,COLUMN('2.FCF'!G2),FALSE)/'1.IS'!G3,0%)</f>
        <v>0.07117303194</v>
      </c>
      <c r="H6" s="102">
        <f>IFERROR(VLOOKUP("Stock-Based Compensation*",'9.TIKR_CF'!$A:$K,COLUMN('2.FCF'!H2),FALSE)/'1.IS'!H3,0%)</f>
        <v>0.05968086882</v>
      </c>
      <c r="I6" s="102">
        <f>IFERROR(VLOOKUP("Stock-Based Compensation*",'9.TIKR_CF'!$A:$K,COLUMN('2.FCF'!I2),FALSE)/'1.IS'!I3,0%)</f>
        <v>0.06845663211</v>
      </c>
      <c r="J6" s="102">
        <f>IFERROR(VLOOKUP("Stock-Based Compensation*",'9.TIKR_CF'!$A:$K,COLUMN('2.FCF'!J2),FALSE)/'1.IS'!J3,0%)</f>
        <v>0.07306583733</v>
      </c>
      <c r="K6" s="103">
        <f>IFERROR(VLOOKUP("Stock-Based Compensation*",'9.TIKR_CF'!$A:$K,COLUMN('2.FCF'!K2),FALSE)/'1.IS'!K3,0%)</f>
        <v>0.06509665217</v>
      </c>
      <c r="L6" s="17"/>
      <c r="M6" s="17"/>
      <c r="N6" s="21"/>
      <c r="O6" s="110"/>
      <c r="P6" s="110"/>
      <c r="Q6" s="126"/>
      <c r="R6" s="17"/>
      <c r="S6" s="17"/>
      <c r="T6" s="17"/>
      <c r="U6" s="17"/>
      <c r="V6" s="17"/>
      <c r="W6" s="17"/>
      <c r="X6" s="17"/>
      <c r="Y6" s="17"/>
      <c r="Z6" s="17"/>
    </row>
    <row r="7" ht="24.75" customHeight="1">
      <c r="A7" s="226" t="s">
        <v>117</v>
      </c>
      <c r="B7" s="133">
        <f>IFERROR(VLOOKUP("Issuance of Common Stock*",'9.TIKR_CF'!$A:$K,COLUMN('2.FCF'!B2),FALSE)/'1.IS'!B3,0%)</f>
        <v>0</v>
      </c>
      <c r="C7" s="134">
        <f>IFERROR(VLOOKUP("Issuance of Common Stock*",'9.TIKR_CF'!$A:$K,COLUMN('2.FCF'!C2),FALSE)/'1.IS'!C3,0%)</f>
        <v>0</v>
      </c>
      <c r="D7" s="134">
        <f>IFERROR(VLOOKUP("Issuance of Common Stock*",'9.TIKR_CF'!$A:$K,COLUMN('2.FCF'!D2),FALSE)/'1.IS'!D3,0%)</f>
        <v>0</v>
      </c>
      <c r="E7" s="134">
        <f>IFERROR(VLOOKUP("Issuance of Common Stock*",'9.TIKR_CF'!$A:$K,COLUMN('2.FCF'!E2),FALSE)/'1.IS'!E3,0%)</f>
        <v>0</v>
      </c>
      <c r="F7" s="134">
        <f>IFERROR(VLOOKUP("Issuance of Common Stock*",'9.TIKR_CF'!$A:$K,COLUMN('2.FCF'!F2),FALSE)/'1.IS'!F3,0%)</f>
        <v>0</v>
      </c>
      <c r="G7" s="134">
        <f>IFERROR(VLOOKUP("Issuance of Common Stock*",'9.TIKR_CF'!$A:$K,COLUMN('2.FCF'!G2),FALSE)/'1.IS'!G3,0%)</f>
        <v>0</v>
      </c>
      <c r="H7" s="134">
        <f>IFERROR(VLOOKUP("Issuance of Common Stock*",'9.TIKR_CF'!$A:$K,COLUMN('2.FCF'!H2),FALSE)/'1.IS'!H3,0%)</f>
        <v>0</v>
      </c>
      <c r="I7" s="134">
        <f>IFERROR(VLOOKUP("Issuance of Common Stock*",'9.TIKR_CF'!$A:$K,COLUMN('2.FCF'!I2),FALSE)/'1.IS'!I3,0%)</f>
        <v>0</v>
      </c>
      <c r="J7" s="134">
        <f>IFERROR(VLOOKUP("Issuance of Common Stock*",'9.TIKR_CF'!$A:$K,COLUMN('2.FCF'!J2),FALSE)/'1.IS'!J3,0%)</f>
        <v>0</v>
      </c>
      <c r="K7" s="159">
        <f>IFERROR(VLOOKUP("Issuance of Common Stock*",'9.TIKR_CF'!$A:$K,COLUMN('2.FCF'!K2),FALSE)/'1.IS'!K3,0%)</f>
        <v>0</v>
      </c>
      <c r="L7" s="17"/>
      <c r="M7" s="17"/>
      <c r="N7" s="21"/>
      <c r="O7" s="59"/>
      <c r="P7" s="59"/>
      <c r="Q7" s="59"/>
      <c r="R7" s="17"/>
      <c r="S7" s="17"/>
      <c r="T7" s="17"/>
      <c r="U7" s="17"/>
      <c r="V7" s="17"/>
      <c r="W7" s="17"/>
      <c r="X7" s="17"/>
      <c r="Y7" s="17"/>
      <c r="Z7" s="17"/>
    </row>
    <row r="8" ht="24.75" customHeight="1">
      <c r="A8" s="81"/>
      <c r="B8" s="126"/>
      <c r="C8" s="126"/>
      <c r="D8" s="126"/>
      <c r="E8" s="126"/>
      <c r="F8" s="126"/>
      <c r="G8" s="126"/>
      <c r="H8" s="126"/>
      <c r="I8" s="126"/>
      <c r="J8" s="126"/>
      <c r="K8" s="126"/>
      <c r="L8" s="126"/>
      <c r="M8" s="126"/>
      <c r="N8" s="59"/>
      <c r="O8" s="59"/>
      <c r="P8" s="59"/>
      <c r="Q8" s="59"/>
      <c r="R8" s="17"/>
      <c r="S8" s="17"/>
      <c r="T8" s="17"/>
      <c r="U8" s="17"/>
      <c r="V8" s="17"/>
      <c r="W8" s="17"/>
      <c r="X8" s="17"/>
      <c r="Y8" s="17"/>
      <c r="Z8" s="17"/>
    </row>
    <row r="9" ht="39.75" customHeight="1">
      <c r="A9" s="77" t="s">
        <v>118</v>
      </c>
      <c r="B9" s="78" t="s">
        <v>68</v>
      </c>
      <c r="C9" s="227"/>
      <c r="D9" s="227"/>
      <c r="E9" s="227"/>
      <c r="F9" s="227"/>
      <c r="G9" s="227"/>
      <c r="H9" s="227"/>
      <c r="I9" s="227"/>
      <c r="J9" s="227"/>
      <c r="K9" s="227"/>
      <c r="L9" s="17"/>
      <c r="M9" s="17"/>
      <c r="N9" s="110"/>
      <c r="O9" s="110"/>
      <c r="P9" s="110"/>
      <c r="Q9" s="126"/>
      <c r="R9" s="17"/>
      <c r="S9" s="17"/>
      <c r="T9" s="17"/>
      <c r="U9" s="17"/>
      <c r="V9" s="17"/>
      <c r="W9" s="17"/>
      <c r="X9" s="17"/>
      <c r="Y9" s="17"/>
      <c r="Z9" s="17"/>
    </row>
    <row r="10" ht="24.75" customHeight="1">
      <c r="A10" s="223" t="s">
        <v>119</v>
      </c>
      <c r="B10" s="228"/>
      <c r="C10" s="102"/>
      <c r="D10" s="102"/>
      <c r="E10" s="102"/>
      <c r="F10" s="102"/>
      <c r="G10" s="102"/>
      <c r="H10" s="102"/>
      <c r="I10" s="102"/>
      <c r="J10" s="102"/>
      <c r="K10" s="102"/>
      <c r="L10" s="135"/>
      <c r="M10" s="126"/>
      <c r="N10" s="21"/>
      <c r="O10" s="59"/>
      <c r="P10" s="59"/>
      <c r="Q10" s="59"/>
      <c r="R10" s="17"/>
      <c r="S10" s="17"/>
      <c r="T10" s="17"/>
      <c r="U10" s="17"/>
      <c r="V10" s="17"/>
      <c r="W10" s="17"/>
      <c r="X10" s="17"/>
      <c r="Y10" s="17"/>
      <c r="Z10" s="17"/>
    </row>
    <row r="11" ht="24.75" customHeight="1">
      <c r="A11" s="225" t="s">
        <v>120</v>
      </c>
      <c r="B11" s="229">
        <f>'TIKR_Cálculos'!L72</f>
        <v>0</v>
      </c>
      <c r="C11" s="102"/>
      <c r="D11" s="102"/>
      <c r="E11" s="102"/>
      <c r="F11" s="102"/>
      <c r="G11" s="102"/>
      <c r="H11" s="102"/>
      <c r="I11" s="102"/>
      <c r="J11" s="102"/>
      <c r="K11" s="102"/>
      <c r="L11" s="135"/>
      <c r="M11" s="126"/>
      <c r="N11" s="21"/>
      <c r="O11" s="59"/>
      <c r="P11" s="59"/>
      <c r="Q11" s="59"/>
      <c r="R11" s="17"/>
      <c r="S11" s="17"/>
      <c r="T11" s="17"/>
      <c r="U11" s="17"/>
      <c r="V11" s="17"/>
      <c r="W11" s="17"/>
      <c r="X11" s="17"/>
      <c r="Y11" s="17"/>
      <c r="Z11" s="17"/>
    </row>
    <row r="12" ht="24.75" customHeight="1">
      <c r="A12" s="225" t="s">
        <v>121</v>
      </c>
      <c r="B12" s="229">
        <f>'TIKR_Cálculos'!L73</f>
        <v>4</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25" t="s">
        <v>122</v>
      </c>
      <c r="B13" s="229">
        <f>'TIKR_Cálculos'!L74</f>
        <v>0</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25" t="s">
        <v>123</v>
      </c>
      <c r="B14" s="229">
        <f>'TIKR_Cálculos'!L75</f>
        <v>0</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26" t="s">
        <v>124</v>
      </c>
      <c r="B15" s="230">
        <f>'TIKR_Cálculos'!L76</f>
        <v>0</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1"/>
      <c r="C17" s="161"/>
      <c r="D17" s="161"/>
      <c r="E17" s="161"/>
      <c r="F17" s="161"/>
      <c r="G17" s="161"/>
      <c r="H17" s="161"/>
      <c r="I17" s="161"/>
      <c r="J17" s="161"/>
      <c r="K17" s="161"/>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8"/>
      <c r="M31" s="128"/>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5"/>
      <c r="M32" s="135"/>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5"/>
      <c r="M33" s="135"/>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5"/>
      <c r="M34" s="135"/>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5"/>
      <c r="M35" s="135"/>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5"/>
      <c r="M36" s="135"/>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125</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1"/>
      <c r="C52" s="231"/>
      <c r="D52" s="231"/>
      <c r="E52" s="231"/>
      <c r="F52" s="231"/>
      <c r="G52" s="231"/>
      <c r="H52" s="231"/>
      <c r="I52" s="55"/>
      <c r="J52" s="21"/>
      <c r="K52" s="21"/>
      <c r="L52" s="21"/>
      <c r="M52" s="21"/>
      <c r="N52" s="21"/>
      <c r="O52" s="21"/>
      <c r="P52" s="21"/>
      <c r="Q52" s="21"/>
      <c r="R52" s="21"/>
      <c r="S52" s="21"/>
      <c r="T52" s="21"/>
      <c r="U52" s="21"/>
      <c r="V52" s="21"/>
      <c r="W52" s="21"/>
      <c r="X52" s="21"/>
      <c r="Y52" s="21"/>
      <c r="Z52" s="21"/>
    </row>
    <row r="53" ht="17.25" customHeight="1">
      <c r="A53" s="21"/>
      <c r="B53" s="231"/>
      <c r="C53" s="231"/>
      <c r="D53" s="231"/>
      <c r="E53" s="231"/>
      <c r="F53" s="231"/>
      <c r="G53" s="231"/>
      <c r="H53" s="231"/>
      <c r="I53" s="55"/>
      <c r="J53" s="21"/>
      <c r="K53" s="21"/>
      <c r="L53" s="21"/>
      <c r="M53" s="21"/>
      <c r="N53" s="21"/>
      <c r="O53" s="21"/>
      <c r="P53" s="21"/>
      <c r="Q53" s="21"/>
      <c r="R53" s="21"/>
      <c r="S53" s="21"/>
      <c r="T53" s="21"/>
      <c r="U53" s="21"/>
      <c r="V53" s="21"/>
      <c r="W53" s="21"/>
      <c r="X53" s="21"/>
      <c r="Y53" s="21"/>
      <c r="Z53" s="21"/>
    </row>
    <row r="54" ht="17.25" customHeight="1">
      <c r="A54" s="21"/>
      <c r="B54" s="231"/>
      <c r="C54" s="231"/>
      <c r="D54" s="231"/>
      <c r="E54" s="231"/>
      <c r="F54" s="231"/>
      <c r="G54" s="231"/>
      <c r="H54" s="231"/>
      <c r="I54" s="55"/>
      <c r="J54" s="21"/>
      <c r="K54" s="21"/>
      <c r="L54" s="21"/>
      <c r="M54" s="21"/>
      <c r="N54" s="21"/>
      <c r="O54" s="21"/>
      <c r="P54" s="21"/>
      <c r="Q54" s="21"/>
      <c r="R54" s="21"/>
      <c r="S54" s="21"/>
      <c r="T54" s="21"/>
      <c r="U54" s="21"/>
      <c r="V54" s="21"/>
      <c r="W54" s="21"/>
      <c r="X54" s="21"/>
      <c r="Y54" s="21"/>
      <c r="Z54" s="21"/>
    </row>
    <row r="55" ht="17.25" customHeight="1">
      <c r="A55" s="21"/>
      <c r="B55" s="231"/>
      <c r="C55" s="231"/>
      <c r="D55" s="231"/>
      <c r="E55" s="231"/>
      <c r="F55" s="231"/>
      <c r="G55" s="231"/>
      <c r="H55" s="231"/>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32" t="s">
        <v>126</v>
      </c>
      <c r="B1" s="233">
        <v>42369.0</v>
      </c>
      <c r="C1" s="233">
        <v>42735.0</v>
      </c>
      <c r="D1" s="233">
        <v>43100.0</v>
      </c>
      <c r="E1" s="233">
        <v>43465.0</v>
      </c>
      <c r="F1" s="233">
        <v>43830.0</v>
      </c>
      <c r="G1" s="233">
        <v>44196.0</v>
      </c>
      <c r="H1" s="233">
        <v>44561.0</v>
      </c>
      <c r="I1" s="233">
        <v>44926.0</v>
      </c>
      <c r="J1" s="233">
        <v>45291.0</v>
      </c>
      <c r="K1" s="233">
        <v>45657.0</v>
      </c>
      <c r="L1" s="234" t="s">
        <v>96</v>
      </c>
    </row>
    <row r="2">
      <c r="A2" s="235"/>
      <c r="B2" s="236"/>
      <c r="C2" s="236"/>
      <c r="D2" s="236"/>
      <c r="E2" s="236"/>
      <c r="F2" s="236"/>
      <c r="G2" s="236"/>
      <c r="H2" s="236"/>
      <c r="I2" s="236"/>
      <c r="J2" s="236"/>
      <c r="K2" s="236"/>
      <c r="L2" s="236"/>
      <c r="M2" s="235"/>
      <c r="N2" s="235"/>
      <c r="O2" s="235"/>
      <c r="P2" s="235"/>
      <c r="Q2" s="235"/>
      <c r="R2" s="235"/>
      <c r="S2" s="235"/>
      <c r="T2" s="235"/>
      <c r="U2" s="235"/>
      <c r="V2" s="235"/>
      <c r="W2" s="235"/>
      <c r="X2" s="235"/>
      <c r="Y2" s="235"/>
      <c r="Z2" s="235"/>
    </row>
    <row r="3">
      <c r="A3" s="237" t="s">
        <v>127</v>
      </c>
      <c r="B3" s="238">
        <v>74989.0</v>
      </c>
      <c r="C3" s="238">
        <v>90272.0</v>
      </c>
      <c r="D3" s="238">
        <v>110855.0</v>
      </c>
      <c r="E3" s="238">
        <v>136819.0</v>
      </c>
      <c r="F3" s="238">
        <v>161857.0</v>
      </c>
      <c r="G3" s="238">
        <v>182527.0</v>
      </c>
      <c r="H3" s="238">
        <v>257637.0</v>
      </c>
      <c r="I3" s="238">
        <v>282836.0</v>
      </c>
      <c r="J3" s="238">
        <v>307394.0</v>
      </c>
      <c r="K3" s="238">
        <v>350018.0</v>
      </c>
      <c r="L3" s="238">
        <v>350018.0</v>
      </c>
    </row>
    <row r="4">
      <c r="A4" s="239" t="s">
        <v>128</v>
      </c>
      <c r="B4" s="240">
        <v>74989.0</v>
      </c>
      <c r="C4" s="240">
        <v>90272.0</v>
      </c>
      <c r="D4" s="240">
        <v>110855.0</v>
      </c>
      <c r="E4" s="240">
        <v>136819.0</v>
      </c>
      <c r="F4" s="240">
        <v>161857.0</v>
      </c>
      <c r="G4" s="240">
        <v>182527.0</v>
      </c>
      <c r="H4" s="240">
        <v>257637.0</v>
      </c>
      <c r="I4" s="240">
        <v>282836.0</v>
      </c>
      <c r="J4" s="240">
        <v>307394.0</v>
      </c>
      <c r="K4" s="240">
        <v>350018.0</v>
      </c>
      <c r="L4" s="240">
        <v>350018.0</v>
      </c>
    </row>
    <row r="5">
      <c r="A5" s="241" t="s">
        <v>129</v>
      </c>
      <c r="B5" s="242"/>
      <c r="C5" s="243" t="s">
        <v>130</v>
      </c>
      <c r="D5" s="243" t="s">
        <v>131</v>
      </c>
      <c r="E5" s="243" t="s">
        <v>132</v>
      </c>
      <c r="F5" s="243" t="s">
        <v>133</v>
      </c>
      <c r="G5" s="243" t="s">
        <v>134</v>
      </c>
      <c r="H5" s="243" t="s">
        <v>135</v>
      </c>
      <c r="I5" s="243" t="s">
        <v>136</v>
      </c>
      <c r="J5" s="243" t="s">
        <v>137</v>
      </c>
      <c r="K5" s="243" t="s">
        <v>138</v>
      </c>
      <c r="L5" s="244"/>
    </row>
    <row r="6">
      <c r="A6" s="237" t="s">
        <v>139</v>
      </c>
      <c r="B6" s="245">
        <v>-28164.0</v>
      </c>
      <c r="C6" s="245">
        <v>-35138.0</v>
      </c>
      <c r="D6" s="245">
        <v>-45583.0</v>
      </c>
      <c r="E6" s="245">
        <v>-59549.0</v>
      </c>
      <c r="F6" s="245">
        <v>-71896.0</v>
      </c>
      <c r="G6" s="245">
        <v>-84732.0</v>
      </c>
      <c r="H6" s="245">
        <v>-110939.0</v>
      </c>
      <c r="I6" s="245">
        <v>-126203.0</v>
      </c>
      <c r="J6" s="245">
        <v>-133332.0</v>
      </c>
      <c r="K6" s="245">
        <v>-146306.0</v>
      </c>
      <c r="L6" s="245">
        <v>-146306.0</v>
      </c>
    </row>
    <row r="7">
      <c r="A7" s="246" t="s">
        <v>140</v>
      </c>
      <c r="B7" s="247">
        <v>46825.0</v>
      </c>
      <c r="C7" s="247">
        <v>55134.0</v>
      </c>
      <c r="D7" s="247">
        <v>65272.0</v>
      </c>
      <c r="E7" s="247">
        <v>77270.0</v>
      </c>
      <c r="F7" s="247">
        <v>89961.0</v>
      </c>
      <c r="G7" s="247">
        <v>97795.0</v>
      </c>
      <c r="H7" s="247">
        <v>146698.0</v>
      </c>
      <c r="I7" s="247">
        <v>156633.0</v>
      </c>
      <c r="J7" s="247">
        <v>174062.0</v>
      </c>
      <c r="K7" s="247">
        <v>203712.0</v>
      </c>
      <c r="L7" s="247">
        <v>203712.0</v>
      </c>
    </row>
    <row r="8">
      <c r="A8" s="241" t="s">
        <v>129</v>
      </c>
      <c r="B8" s="242"/>
      <c r="C8" s="243" t="s">
        <v>141</v>
      </c>
      <c r="D8" s="243" t="s">
        <v>142</v>
      </c>
      <c r="E8" s="243" t="s">
        <v>142</v>
      </c>
      <c r="F8" s="243" t="s">
        <v>143</v>
      </c>
      <c r="G8" s="243" t="s">
        <v>137</v>
      </c>
      <c r="H8" s="243" t="s">
        <v>144</v>
      </c>
      <c r="I8" s="243" t="s">
        <v>145</v>
      </c>
      <c r="J8" s="243" t="s">
        <v>146</v>
      </c>
      <c r="K8" s="243" t="s">
        <v>147</v>
      </c>
      <c r="L8" s="244"/>
    </row>
    <row r="9">
      <c r="A9" s="241" t="s">
        <v>148</v>
      </c>
      <c r="B9" s="243" t="s">
        <v>149</v>
      </c>
      <c r="C9" s="243" t="s">
        <v>150</v>
      </c>
      <c r="D9" s="243" t="s">
        <v>151</v>
      </c>
      <c r="E9" s="243" t="s">
        <v>152</v>
      </c>
      <c r="F9" s="243" t="s">
        <v>153</v>
      </c>
      <c r="G9" s="243" t="s">
        <v>154</v>
      </c>
      <c r="H9" s="243" t="s">
        <v>155</v>
      </c>
      <c r="I9" s="243" t="s">
        <v>156</v>
      </c>
      <c r="J9" s="243" t="s">
        <v>157</v>
      </c>
      <c r="K9" s="243" t="s">
        <v>158</v>
      </c>
      <c r="L9" s="243" t="s">
        <v>158</v>
      </c>
    </row>
    <row r="10">
      <c r="A10" s="237" t="s">
        <v>159</v>
      </c>
      <c r="B10" s="245">
        <v>-15183.0</v>
      </c>
      <c r="C10" s="245">
        <v>-17470.0</v>
      </c>
      <c r="D10" s="245">
        <v>-19733.0</v>
      </c>
      <c r="E10" s="245">
        <v>-23256.0</v>
      </c>
      <c r="F10" s="245">
        <v>-28015.0</v>
      </c>
      <c r="G10" s="245">
        <v>-28998.0</v>
      </c>
      <c r="H10" s="245">
        <v>-36422.0</v>
      </c>
      <c r="I10" s="245">
        <v>-42291.0</v>
      </c>
      <c r="J10" s="245">
        <v>-44342.0</v>
      </c>
      <c r="K10" s="245">
        <v>-41996.0</v>
      </c>
      <c r="L10" s="245">
        <v>-41996.0</v>
      </c>
    </row>
    <row r="11">
      <c r="A11" s="237" t="s">
        <v>160</v>
      </c>
      <c r="B11" s="245">
        <v>-12282.0</v>
      </c>
      <c r="C11" s="245">
        <v>-13948.0</v>
      </c>
      <c r="D11" s="245">
        <v>-16625.0</v>
      </c>
      <c r="E11" s="245">
        <v>-21419.0</v>
      </c>
      <c r="F11" s="245">
        <v>-26018.0</v>
      </c>
      <c r="G11" s="245">
        <v>-27573.0</v>
      </c>
      <c r="H11" s="245">
        <v>-31562.0</v>
      </c>
      <c r="I11" s="245">
        <v>-39500.0</v>
      </c>
      <c r="J11" s="245">
        <v>-45427.0</v>
      </c>
      <c r="K11" s="245">
        <v>-47530.0</v>
      </c>
      <c r="L11" s="245">
        <v>-47530.0</v>
      </c>
    </row>
    <row r="12">
      <c r="A12" s="246" t="s">
        <v>161</v>
      </c>
      <c r="B12" s="248">
        <v>-27465.0</v>
      </c>
      <c r="C12" s="248">
        <v>-31418.0</v>
      </c>
      <c r="D12" s="248">
        <v>-36358.0</v>
      </c>
      <c r="E12" s="248">
        <v>-44675.0</v>
      </c>
      <c r="F12" s="248">
        <v>-54033.0</v>
      </c>
      <c r="G12" s="248">
        <v>-56571.0</v>
      </c>
      <c r="H12" s="248">
        <v>-67984.0</v>
      </c>
      <c r="I12" s="248">
        <v>-81791.0</v>
      </c>
      <c r="J12" s="248">
        <v>-89769.0</v>
      </c>
      <c r="K12" s="248">
        <v>-89526.0</v>
      </c>
      <c r="L12" s="248">
        <v>-89526.0</v>
      </c>
    </row>
    <row r="13">
      <c r="A13" s="239" t="s">
        <v>162</v>
      </c>
      <c r="B13" s="240">
        <v>19360.0</v>
      </c>
      <c r="C13" s="240">
        <v>23716.0</v>
      </c>
      <c r="D13" s="240">
        <v>28914.0</v>
      </c>
      <c r="E13" s="240">
        <v>32595.0</v>
      </c>
      <c r="F13" s="240">
        <v>35928.0</v>
      </c>
      <c r="G13" s="240">
        <v>41224.0</v>
      </c>
      <c r="H13" s="240">
        <v>78714.0</v>
      </c>
      <c r="I13" s="240">
        <v>74842.0</v>
      </c>
      <c r="J13" s="240">
        <v>84293.0</v>
      </c>
      <c r="K13" s="240">
        <v>114186.0</v>
      </c>
      <c r="L13" s="240">
        <v>114186.0</v>
      </c>
    </row>
    <row r="14">
      <c r="A14" s="241" t="s">
        <v>129</v>
      </c>
      <c r="B14" s="242"/>
      <c r="C14" s="243" t="s">
        <v>163</v>
      </c>
      <c r="D14" s="243" t="s">
        <v>164</v>
      </c>
      <c r="E14" s="243" t="s">
        <v>165</v>
      </c>
      <c r="F14" s="243" t="s">
        <v>166</v>
      </c>
      <c r="G14" s="243" t="s">
        <v>167</v>
      </c>
      <c r="H14" s="243" t="s">
        <v>168</v>
      </c>
      <c r="I14" s="249" t="s">
        <v>169</v>
      </c>
      <c r="J14" s="243" t="s">
        <v>170</v>
      </c>
      <c r="K14" s="243" t="s">
        <v>171</v>
      </c>
      <c r="L14" s="244"/>
    </row>
    <row r="15">
      <c r="A15" s="241" t="s">
        <v>172</v>
      </c>
      <c r="B15" s="243" t="s">
        <v>173</v>
      </c>
      <c r="C15" s="243" t="s">
        <v>174</v>
      </c>
      <c r="D15" s="243" t="s">
        <v>175</v>
      </c>
      <c r="E15" s="243" t="s">
        <v>176</v>
      </c>
      <c r="F15" s="243" t="s">
        <v>177</v>
      </c>
      <c r="G15" s="243" t="s">
        <v>178</v>
      </c>
      <c r="H15" s="243" t="s">
        <v>179</v>
      </c>
      <c r="I15" s="243" t="s">
        <v>180</v>
      </c>
      <c r="J15" s="243" t="s">
        <v>181</v>
      </c>
      <c r="K15" s="243" t="s">
        <v>182</v>
      </c>
      <c r="L15" s="243" t="s">
        <v>182</v>
      </c>
    </row>
    <row r="16">
      <c r="A16" s="237" t="s">
        <v>27</v>
      </c>
      <c r="B16" s="245">
        <v>-104.0</v>
      </c>
      <c r="C16" s="245">
        <v>-124.0</v>
      </c>
      <c r="D16" s="245">
        <v>-109.0</v>
      </c>
      <c r="E16" s="245">
        <v>-114.0</v>
      </c>
      <c r="F16" s="245">
        <v>-100.0</v>
      </c>
      <c r="G16" s="245">
        <v>-135.0</v>
      </c>
      <c r="H16" s="245">
        <v>-346.0</v>
      </c>
      <c r="I16" s="245">
        <v>-357.0</v>
      </c>
      <c r="J16" s="245">
        <v>-308.0</v>
      </c>
      <c r="K16" s="245">
        <v>-268.0</v>
      </c>
      <c r="L16" s="245">
        <v>-268.0</v>
      </c>
    </row>
    <row r="17">
      <c r="A17" s="237" t="s">
        <v>183</v>
      </c>
      <c r="B17" s="238">
        <v>999.0</v>
      </c>
      <c r="C17" s="238">
        <v>1220.0</v>
      </c>
      <c r="D17" s="238">
        <v>1312.0</v>
      </c>
      <c r="E17" s="238">
        <v>1878.0</v>
      </c>
      <c r="F17" s="238">
        <v>2427.0</v>
      </c>
      <c r="G17" s="238">
        <v>1865.0</v>
      </c>
      <c r="H17" s="238">
        <v>1499.0</v>
      </c>
      <c r="I17" s="238">
        <v>2174.0</v>
      </c>
      <c r="J17" s="238">
        <v>3865.0</v>
      </c>
      <c r="K17" s="238">
        <v>4482.0</v>
      </c>
      <c r="L17" s="238">
        <v>4482.0</v>
      </c>
    </row>
    <row r="18">
      <c r="A18" s="237" t="s">
        <v>184</v>
      </c>
      <c r="B18" s="250"/>
      <c r="C18" s="250"/>
      <c r="D18" s="250"/>
      <c r="E18" s="250"/>
      <c r="F18" s="250"/>
      <c r="G18" s="238">
        <v>401.0</v>
      </c>
      <c r="H18" s="238">
        <v>334.0</v>
      </c>
      <c r="I18" s="245">
        <v>-337.0</v>
      </c>
      <c r="J18" s="245">
        <v>-628.0</v>
      </c>
      <c r="K18" s="245">
        <v>-188.0</v>
      </c>
      <c r="L18" s="245">
        <v>-188.0</v>
      </c>
    </row>
    <row r="19">
      <c r="A19" s="237" t="s">
        <v>185</v>
      </c>
      <c r="B19" s="245">
        <v>-422.0</v>
      </c>
      <c r="C19" s="245">
        <v>-475.0</v>
      </c>
      <c r="D19" s="245">
        <v>-121.0</v>
      </c>
      <c r="E19" s="245">
        <v>-80.0</v>
      </c>
      <c r="F19" s="238">
        <v>103.0</v>
      </c>
      <c r="G19" s="245">
        <v>-344.0</v>
      </c>
      <c r="H19" s="245">
        <v>-240.0</v>
      </c>
      <c r="I19" s="245">
        <v>-654.0</v>
      </c>
      <c r="J19" s="245">
        <v>-1238.0</v>
      </c>
      <c r="K19" s="245">
        <v>-409.0</v>
      </c>
      <c r="L19" s="245">
        <v>-409.0</v>
      </c>
    </row>
    <row r="20">
      <c r="A20" s="237" t="s">
        <v>186</v>
      </c>
      <c r="B20" s="238">
        <v>152.0</v>
      </c>
      <c r="C20" s="238">
        <v>88.0</v>
      </c>
      <c r="D20" s="238">
        <v>126.0</v>
      </c>
      <c r="E20" s="245">
        <v>-825.0</v>
      </c>
      <c r="F20" s="245">
        <v>-224.0</v>
      </c>
      <c r="G20" s="245">
        <v>-1246.0</v>
      </c>
      <c r="H20" s="245">
        <v>-1497.0</v>
      </c>
      <c r="I20" s="238">
        <v>1179.0</v>
      </c>
      <c r="J20" s="238">
        <v>556.0</v>
      </c>
      <c r="K20" s="238">
        <v>1137.0</v>
      </c>
      <c r="L20" s="238">
        <v>1137.0</v>
      </c>
    </row>
    <row r="21" ht="15.75" customHeight="1">
      <c r="A21" s="246" t="s">
        <v>187</v>
      </c>
      <c r="B21" s="247">
        <v>19985.0</v>
      </c>
      <c r="C21" s="247">
        <v>24425.0</v>
      </c>
      <c r="D21" s="247">
        <v>30122.0</v>
      </c>
      <c r="E21" s="247">
        <v>33454.0</v>
      </c>
      <c r="F21" s="247">
        <v>38134.0</v>
      </c>
      <c r="G21" s="247">
        <v>41765.0</v>
      </c>
      <c r="H21" s="247">
        <v>78464.0</v>
      </c>
      <c r="I21" s="247">
        <v>76847.0</v>
      </c>
      <c r="J21" s="247">
        <v>86540.0</v>
      </c>
      <c r="K21" s="247">
        <v>118940.0</v>
      </c>
      <c r="L21" s="247">
        <v>118940.0</v>
      </c>
    </row>
    <row r="22" ht="15.75" customHeight="1">
      <c r="A22" s="237" t="s">
        <v>188</v>
      </c>
      <c r="B22" s="250"/>
      <c r="C22" s="250"/>
      <c r="D22" s="250"/>
      <c r="E22" s="250"/>
      <c r="F22" s="250"/>
      <c r="G22" s="250"/>
      <c r="H22" s="250"/>
      <c r="I22" s="250"/>
      <c r="J22" s="250"/>
      <c r="K22" s="245">
        <v>-1796.0</v>
      </c>
      <c r="L22" s="245">
        <v>-1796.0</v>
      </c>
    </row>
    <row r="23" ht="15.75" customHeight="1">
      <c r="A23" s="237" t="s">
        <v>189</v>
      </c>
      <c r="B23" s="245">
        <v>-334.0</v>
      </c>
      <c r="C23" s="245">
        <v>-275.0</v>
      </c>
      <c r="D23" s="245">
        <v>-193.0</v>
      </c>
      <c r="E23" s="238">
        <v>6530.0</v>
      </c>
      <c r="F23" s="238">
        <v>3188.0</v>
      </c>
      <c r="G23" s="238">
        <v>6317.0</v>
      </c>
      <c r="H23" s="238">
        <v>12270.0</v>
      </c>
      <c r="I23" s="245">
        <v>-5519.0</v>
      </c>
      <c r="J23" s="245">
        <v>-823.0</v>
      </c>
      <c r="K23" s="238">
        <v>2671.0</v>
      </c>
      <c r="L23" s="238">
        <v>2671.0</v>
      </c>
    </row>
    <row r="24" ht="15.75" customHeight="1">
      <c r="A24" s="237" t="s">
        <v>190</v>
      </c>
      <c r="B24" s="250"/>
      <c r="C24" s="250"/>
      <c r="D24" s="250"/>
      <c r="E24" s="250"/>
      <c r="F24" s="250"/>
      <c r="G24" s="250"/>
      <c r="H24" s="250"/>
      <c r="I24" s="250"/>
      <c r="J24" s="250"/>
      <c r="K24" s="250"/>
      <c r="L24" s="250"/>
    </row>
    <row r="25" ht="15.75" customHeight="1">
      <c r="A25" s="237" t="s">
        <v>191</v>
      </c>
      <c r="B25" s="250"/>
      <c r="C25" s="250"/>
      <c r="D25" s="250"/>
      <c r="E25" s="250"/>
      <c r="F25" s="250"/>
      <c r="G25" s="250"/>
      <c r="H25" s="250"/>
      <c r="I25" s="250"/>
      <c r="J25" s="250"/>
      <c r="K25" s="250"/>
      <c r="L25" s="250"/>
    </row>
    <row r="26" ht="15.75" customHeight="1">
      <c r="A26" s="237" t="s">
        <v>192</v>
      </c>
      <c r="B26" s="250"/>
      <c r="C26" s="250"/>
      <c r="D26" s="250"/>
      <c r="E26" s="250"/>
      <c r="F26" s="250"/>
      <c r="G26" s="250"/>
      <c r="H26" s="250"/>
      <c r="I26" s="250"/>
      <c r="J26" s="250"/>
      <c r="K26" s="250"/>
      <c r="L26" s="250"/>
    </row>
    <row r="27" ht="15.75" customHeight="1">
      <c r="A27" s="237" t="s">
        <v>193</v>
      </c>
      <c r="B27" s="250"/>
      <c r="C27" s="250"/>
      <c r="D27" s="245">
        <v>-2736.0</v>
      </c>
      <c r="E27" s="245">
        <v>-5071.0</v>
      </c>
      <c r="F27" s="245">
        <v>-1697.0</v>
      </c>
      <c r="G27" s="250"/>
      <c r="H27" s="250"/>
      <c r="I27" s="250"/>
      <c r="J27" s="250"/>
      <c r="K27" s="250"/>
      <c r="L27" s="250"/>
    </row>
    <row r="28" ht="15.75" customHeight="1">
      <c r="A28" s="237" t="s">
        <v>194</v>
      </c>
      <c r="B28" s="250"/>
      <c r="C28" s="250"/>
      <c r="D28" s="250"/>
      <c r="E28" s="250"/>
      <c r="F28" s="250"/>
      <c r="G28" s="250"/>
      <c r="H28" s="250"/>
      <c r="I28" s="250"/>
      <c r="J28" s="250"/>
      <c r="K28" s="250"/>
      <c r="L28" s="250"/>
    </row>
    <row r="29" ht="15.75" customHeight="1">
      <c r="A29" s="246" t="s">
        <v>195</v>
      </c>
      <c r="B29" s="247">
        <v>19651.0</v>
      </c>
      <c r="C29" s="247">
        <v>24150.0</v>
      </c>
      <c r="D29" s="247">
        <v>27193.0</v>
      </c>
      <c r="E29" s="247">
        <v>34913.0</v>
      </c>
      <c r="F29" s="247">
        <v>39625.0</v>
      </c>
      <c r="G29" s="247">
        <v>48082.0</v>
      </c>
      <c r="H29" s="247">
        <v>90734.0</v>
      </c>
      <c r="I29" s="247">
        <v>71328.0</v>
      </c>
      <c r="J29" s="247">
        <v>85717.0</v>
      </c>
      <c r="K29" s="247">
        <v>119815.0</v>
      </c>
      <c r="L29" s="247">
        <v>119815.0</v>
      </c>
    </row>
    <row r="30" ht="15.75" customHeight="1">
      <c r="A30" s="237" t="s">
        <v>196</v>
      </c>
      <c r="B30" s="245">
        <v>-3303.0</v>
      </c>
      <c r="C30" s="245">
        <v>-4672.0</v>
      </c>
      <c r="D30" s="245">
        <v>-14531.0</v>
      </c>
      <c r="E30" s="245">
        <v>-4177.0</v>
      </c>
      <c r="F30" s="245">
        <v>-5282.0</v>
      </c>
      <c r="G30" s="245">
        <v>-7813.0</v>
      </c>
      <c r="H30" s="245">
        <v>-14701.0</v>
      </c>
      <c r="I30" s="245">
        <v>-11356.0</v>
      </c>
      <c r="J30" s="245">
        <v>-11922.0</v>
      </c>
      <c r="K30" s="245">
        <v>-19697.0</v>
      </c>
      <c r="L30" s="245">
        <v>-19697.0</v>
      </c>
    </row>
    <row r="31" ht="15.75" customHeight="1">
      <c r="A31" s="246" t="s">
        <v>197</v>
      </c>
      <c r="B31" s="247">
        <v>16348.0</v>
      </c>
      <c r="C31" s="247">
        <v>19478.0</v>
      </c>
      <c r="D31" s="247">
        <v>12662.0</v>
      </c>
      <c r="E31" s="247">
        <v>30736.0</v>
      </c>
      <c r="F31" s="247">
        <v>34343.0</v>
      </c>
      <c r="G31" s="247">
        <v>40269.0</v>
      </c>
      <c r="H31" s="247">
        <v>76033.0</v>
      </c>
      <c r="I31" s="247">
        <v>59972.0</v>
      </c>
      <c r="J31" s="247">
        <v>73795.0</v>
      </c>
      <c r="K31" s="247">
        <v>100118.0</v>
      </c>
      <c r="L31" s="247">
        <v>100118.0</v>
      </c>
    </row>
    <row r="32" ht="15.75" customHeight="1">
      <c r="A32" s="237" t="s">
        <v>198</v>
      </c>
      <c r="B32" s="250"/>
      <c r="C32" s="250"/>
      <c r="D32" s="250"/>
      <c r="E32" s="250"/>
      <c r="F32" s="250"/>
      <c r="G32" s="250"/>
      <c r="H32" s="250"/>
      <c r="I32" s="250"/>
      <c r="J32" s="250"/>
      <c r="K32" s="250"/>
      <c r="L32" s="250"/>
    </row>
    <row r="33" ht="15.75" customHeight="1">
      <c r="A33" s="246" t="s">
        <v>199</v>
      </c>
      <c r="B33" s="247">
        <v>16348.0</v>
      </c>
      <c r="C33" s="247">
        <v>19478.0</v>
      </c>
      <c r="D33" s="247">
        <v>12662.0</v>
      </c>
      <c r="E33" s="247">
        <v>30736.0</v>
      </c>
      <c r="F33" s="247">
        <v>34343.0</v>
      </c>
      <c r="G33" s="247">
        <v>40269.0</v>
      </c>
      <c r="H33" s="247">
        <v>76033.0</v>
      </c>
      <c r="I33" s="247">
        <v>59972.0</v>
      </c>
      <c r="J33" s="247">
        <v>73795.0</v>
      </c>
      <c r="K33" s="247">
        <v>100118.0</v>
      </c>
      <c r="L33" s="247">
        <v>100118.0</v>
      </c>
    </row>
    <row r="34" ht="15.75" customHeight="1">
      <c r="A34" s="239" t="s">
        <v>36</v>
      </c>
      <c r="B34" s="240">
        <v>16348.0</v>
      </c>
      <c r="C34" s="240">
        <v>19478.0</v>
      </c>
      <c r="D34" s="240">
        <v>12662.0</v>
      </c>
      <c r="E34" s="240">
        <v>30736.0</v>
      </c>
      <c r="F34" s="240">
        <v>34343.0</v>
      </c>
      <c r="G34" s="240">
        <v>40269.0</v>
      </c>
      <c r="H34" s="240">
        <v>76033.0</v>
      </c>
      <c r="I34" s="240">
        <v>59972.0</v>
      </c>
      <c r="J34" s="240">
        <v>73795.0</v>
      </c>
      <c r="K34" s="240">
        <v>100118.0</v>
      </c>
      <c r="L34" s="240">
        <v>100118.0</v>
      </c>
    </row>
    <row r="35" ht="15.75" customHeight="1">
      <c r="A35" s="239" t="s">
        <v>200</v>
      </c>
      <c r="B35" s="240">
        <v>16348.0</v>
      </c>
      <c r="C35" s="240">
        <v>19478.0</v>
      </c>
      <c r="D35" s="240">
        <v>12662.0</v>
      </c>
      <c r="E35" s="240">
        <v>30736.0</v>
      </c>
      <c r="F35" s="240">
        <v>34343.0</v>
      </c>
      <c r="G35" s="240">
        <v>40269.0</v>
      </c>
      <c r="H35" s="240">
        <v>76033.0</v>
      </c>
      <c r="I35" s="240">
        <v>59972.0</v>
      </c>
      <c r="J35" s="240">
        <v>73795.0</v>
      </c>
      <c r="K35" s="240">
        <v>100118.0</v>
      </c>
      <c r="L35" s="240">
        <v>100118.0</v>
      </c>
    </row>
    <row r="36" ht="15.75" customHeight="1">
      <c r="A36" s="241" t="s">
        <v>201</v>
      </c>
      <c r="B36" s="243" t="s">
        <v>202</v>
      </c>
      <c r="C36" s="243" t="s">
        <v>203</v>
      </c>
      <c r="D36" s="243" t="s">
        <v>204</v>
      </c>
      <c r="E36" s="243" t="s">
        <v>163</v>
      </c>
      <c r="F36" s="243" t="s">
        <v>205</v>
      </c>
      <c r="G36" s="243" t="s">
        <v>206</v>
      </c>
      <c r="H36" s="243" t="s">
        <v>207</v>
      </c>
      <c r="I36" s="243" t="s">
        <v>205</v>
      </c>
      <c r="J36" s="243" t="s">
        <v>208</v>
      </c>
      <c r="K36" s="243" t="s">
        <v>209</v>
      </c>
      <c r="L36" s="243" t="s">
        <v>209</v>
      </c>
    </row>
    <row r="37" ht="15.75" customHeight="1">
      <c r="A37" s="239" t="s">
        <v>210</v>
      </c>
      <c r="B37" s="240">
        <v>16348.0</v>
      </c>
      <c r="C37" s="240">
        <v>19478.0</v>
      </c>
      <c r="D37" s="240">
        <v>12662.0</v>
      </c>
      <c r="E37" s="240">
        <v>30736.0</v>
      </c>
      <c r="F37" s="240">
        <v>34343.0</v>
      </c>
      <c r="G37" s="240">
        <v>40269.0</v>
      </c>
      <c r="H37" s="240">
        <v>76033.0</v>
      </c>
      <c r="I37" s="240">
        <v>59972.0</v>
      </c>
      <c r="J37" s="240">
        <v>73795.0</v>
      </c>
      <c r="K37" s="240">
        <v>100118.0</v>
      </c>
      <c r="L37" s="240">
        <v>100118.0</v>
      </c>
    </row>
    <row r="38" ht="15.75" customHeight="1">
      <c r="A38" s="241" t="s">
        <v>211</v>
      </c>
      <c r="B38" s="243" t="s">
        <v>202</v>
      </c>
      <c r="C38" s="243" t="s">
        <v>203</v>
      </c>
      <c r="D38" s="243" t="s">
        <v>204</v>
      </c>
      <c r="E38" s="243" t="s">
        <v>163</v>
      </c>
      <c r="F38" s="243" t="s">
        <v>205</v>
      </c>
      <c r="G38" s="243" t="s">
        <v>206</v>
      </c>
      <c r="H38" s="243" t="s">
        <v>207</v>
      </c>
      <c r="I38" s="243" t="s">
        <v>205</v>
      </c>
      <c r="J38" s="243" t="s">
        <v>208</v>
      </c>
      <c r="K38" s="243" t="s">
        <v>209</v>
      </c>
      <c r="L38" s="243" t="s">
        <v>209</v>
      </c>
    </row>
    <row r="39" ht="15.75" customHeight="1">
      <c r="A39" s="241" t="s">
        <v>212</v>
      </c>
      <c r="B39" s="251"/>
      <c r="C39" s="251"/>
      <c r="D39" s="251"/>
      <c r="E39" s="251"/>
      <c r="F39" s="251"/>
      <c r="G39" s="251"/>
      <c r="H39" s="251"/>
      <c r="I39" s="251"/>
      <c r="J39" s="251"/>
      <c r="K39" s="251"/>
      <c r="L39" s="251"/>
    </row>
    <row r="40" ht="15.75" customHeight="1">
      <c r="A40" s="237" t="s">
        <v>213</v>
      </c>
      <c r="B40" s="238">
        <v>1.18</v>
      </c>
      <c r="C40" s="238">
        <v>1.39</v>
      </c>
      <c r="D40" s="238">
        <v>0.9</v>
      </c>
      <c r="E40" s="238">
        <v>2.19</v>
      </c>
      <c r="F40" s="238">
        <v>2.46</v>
      </c>
      <c r="G40" s="238">
        <v>2.93</v>
      </c>
      <c r="H40" s="238">
        <v>5.61</v>
      </c>
      <c r="I40" s="238">
        <v>4.56</v>
      </c>
      <c r="J40" s="238">
        <v>5.8</v>
      </c>
      <c r="K40" s="238">
        <v>8.04</v>
      </c>
      <c r="L40" s="238">
        <v>8.04</v>
      </c>
    </row>
    <row r="41" ht="15.75" customHeight="1">
      <c r="A41" s="252" t="s">
        <v>129</v>
      </c>
      <c r="B41" s="253"/>
      <c r="C41" s="254" t="s">
        <v>214</v>
      </c>
      <c r="D41" s="255" t="s">
        <v>215</v>
      </c>
      <c r="E41" s="254" t="s">
        <v>216</v>
      </c>
      <c r="F41" s="254" t="s">
        <v>217</v>
      </c>
      <c r="G41" s="254" t="s">
        <v>218</v>
      </c>
      <c r="H41" s="254" t="s">
        <v>219</v>
      </c>
      <c r="I41" s="255" t="s">
        <v>220</v>
      </c>
      <c r="J41" s="254" t="s">
        <v>221</v>
      </c>
      <c r="K41" s="254" t="s">
        <v>222</v>
      </c>
      <c r="L41" s="256"/>
    </row>
    <row r="42" ht="15.75" customHeight="1">
      <c r="A42" s="237" t="s">
        <v>223</v>
      </c>
      <c r="B42" s="238">
        <v>13858.6</v>
      </c>
      <c r="C42" s="238">
        <v>13974.12</v>
      </c>
      <c r="D42" s="238">
        <v>14071.68</v>
      </c>
      <c r="E42" s="238">
        <v>14065.7</v>
      </c>
      <c r="F42" s="238">
        <v>13971.12</v>
      </c>
      <c r="G42" s="238">
        <v>13741.0</v>
      </c>
      <c r="H42" s="238">
        <v>13553.0</v>
      </c>
      <c r="I42" s="238">
        <v>13159.0</v>
      </c>
      <c r="J42" s="238">
        <v>12722.0</v>
      </c>
      <c r="K42" s="238">
        <v>12447.0</v>
      </c>
      <c r="L42" s="238">
        <v>12447.0</v>
      </c>
    </row>
    <row r="43" ht="15.75" customHeight="1">
      <c r="A43" s="252" t="s">
        <v>129</v>
      </c>
      <c r="B43" s="253"/>
      <c r="C43" s="254" t="s">
        <v>224</v>
      </c>
      <c r="D43" s="254" t="s">
        <v>225</v>
      </c>
      <c r="E43" s="255" t="s">
        <v>226</v>
      </c>
      <c r="F43" s="255" t="s">
        <v>227</v>
      </c>
      <c r="G43" s="255" t="s">
        <v>228</v>
      </c>
      <c r="H43" s="255" t="s">
        <v>229</v>
      </c>
      <c r="I43" s="255" t="s">
        <v>230</v>
      </c>
      <c r="J43" s="255" t="s">
        <v>231</v>
      </c>
      <c r="K43" s="255" t="s">
        <v>232</v>
      </c>
      <c r="L43" s="256"/>
    </row>
    <row r="44" ht="15.75" customHeight="1">
      <c r="A44" s="237" t="s">
        <v>233</v>
      </c>
      <c r="B44" s="238">
        <v>13692.52</v>
      </c>
      <c r="C44" s="238">
        <v>13755.56</v>
      </c>
      <c r="D44" s="238">
        <v>13858.02</v>
      </c>
      <c r="E44" s="238">
        <v>13902.8</v>
      </c>
      <c r="F44" s="238">
        <v>13851.92</v>
      </c>
      <c r="G44" s="238">
        <v>13616.0</v>
      </c>
      <c r="H44" s="238">
        <v>13353.0</v>
      </c>
      <c r="I44" s="238">
        <v>13063.0</v>
      </c>
      <c r="J44" s="238">
        <v>12630.0</v>
      </c>
      <c r="K44" s="238">
        <v>12319.0</v>
      </c>
      <c r="L44" s="238">
        <v>12319.0</v>
      </c>
    </row>
    <row r="45" ht="15.75" customHeight="1">
      <c r="A45" s="252" t="s">
        <v>129</v>
      </c>
      <c r="B45" s="253"/>
      <c r="C45" s="254" t="s">
        <v>234</v>
      </c>
      <c r="D45" s="254" t="s">
        <v>225</v>
      </c>
      <c r="E45" s="254" t="s">
        <v>235</v>
      </c>
      <c r="F45" s="255" t="s">
        <v>236</v>
      </c>
      <c r="G45" s="255" t="s">
        <v>237</v>
      </c>
      <c r="H45" s="255" t="s">
        <v>238</v>
      </c>
      <c r="I45" s="255" t="s">
        <v>232</v>
      </c>
      <c r="J45" s="255" t="s">
        <v>231</v>
      </c>
      <c r="K45" s="255" t="s">
        <v>239</v>
      </c>
      <c r="L45" s="256"/>
    </row>
    <row r="46" ht="15.75" customHeight="1">
      <c r="A46" s="257" t="s">
        <v>240</v>
      </c>
      <c r="B46" s="258"/>
      <c r="C46" s="258"/>
      <c r="D46" s="258"/>
      <c r="E46" s="258"/>
      <c r="F46" s="258"/>
      <c r="G46" s="258"/>
      <c r="H46" s="258"/>
      <c r="I46" s="258"/>
      <c r="J46" s="258"/>
      <c r="K46" s="259">
        <v>0.8</v>
      </c>
      <c r="L46" s="259">
        <v>0.8</v>
      </c>
    </row>
    <row r="47" ht="15.75" customHeight="1">
      <c r="A47" s="252" t="s">
        <v>129</v>
      </c>
      <c r="B47" s="256"/>
      <c r="C47" s="256"/>
      <c r="D47" s="256"/>
      <c r="E47" s="256"/>
      <c r="F47" s="256"/>
      <c r="G47" s="256"/>
      <c r="H47" s="256"/>
      <c r="I47" s="256"/>
      <c r="J47" s="256"/>
      <c r="K47" s="256"/>
      <c r="L47" s="256"/>
    </row>
    <row r="48" ht="15.75" customHeight="1">
      <c r="A48" s="237" t="s">
        <v>241</v>
      </c>
      <c r="B48" s="250"/>
      <c r="C48" s="250"/>
      <c r="D48" s="250"/>
      <c r="E48" s="250"/>
      <c r="F48" s="250"/>
      <c r="G48" s="250"/>
      <c r="H48" s="250"/>
      <c r="I48" s="250"/>
      <c r="J48" s="250"/>
      <c r="K48" s="238" t="s">
        <v>242</v>
      </c>
      <c r="L48" s="238" t="s">
        <v>242</v>
      </c>
    </row>
    <row r="49" ht="15.75" customHeight="1">
      <c r="A49" s="237" t="s">
        <v>243</v>
      </c>
      <c r="B49" s="238">
        <v>1.19</v>
      </c>
      <c r="C49" s="238">
        <v>1.42</v>
      </c>
      <c r="D49" s="238">
        <v>0.91</v>
      </c>
      <c r="E49" s="238">
        <v>2.21</v>
      </c>
      <c r="F49" s="238">
        <v>2.48</v>
      </c>
      <c r="G49" s="238">
        <v>2.96</v>
      </c>
      <c r="H49" s="238">
        <v>5.69</v>
      </c>
      <c r="I49" s="238">
        <v>4.59</v>
      </c>
      <c r="J49" s="238">
        <v>5.84</v>
      </c>
      <c r="K49" s="238">
        <v>8.13</v>
      </c>
      <c r="L49" s="238">
        <v>8.13</v>
      </c>
    </row>
    <row r="50" ht="15.75" customHeight="1">
      <c r="A50" s="237" t="s">
        <v>20</v>
      </c>
      <c r="B50" s="238">
        <v>24384.0</v>
      </c>
      <c r="C50" s="238">
        <v>29816.0</v>
      </c>
      <c r="D50" s="238">
        <v>35813.0</v>
      </c>
      <c r="E50" s="238">
        <v>41624.0</v>
      </c>
      <c r="F50" s="238">
        <v>47579.0</v>
      </c>
      <c r="G50" s="238">
        <v>54903.0</v>
      </c>
      <c r="H50" s="238">
        <v>88987.0</v>
      </c>
      <c r="I50" s="238">
        <v>88317.0</v>
      </c>
      <c r="J50" s="238">
        <v>96239.0</v>
      </c>
      <c r="K50" s="238">
        <v>129497.0</v>
      </c>
      <c r="L50" s="238">
        <v>129497.0</v>
      </c>
    </row>
    <row r="51" ht="15.75" customHeight="1">
      <c r="A51" s="252" t="s">
        <v>129</v>
      </c>
      <c r="B51" s="253"/>
      <c r="C51" s="254" t="s">
        <v>244</v>
      </c>
      <c r="D51" s="254" t="s">
        <v>245</v>
      </c>
      <c r="E51" s="254" t="s">
        <v>246</v>
      </c>
      <c r="F51" s="254" t="s">
        <v>247</v>
      </c>
      <c r="G51" s="254" t="s">
        <v>248</v>
      </c>
      <c r="H51" s="254" t="s">
        <v>249</v>
      </c>
      <c r="I51" s="255" t="s">
        <v>250</v>
      </c>
      <c r="J51" s="254" t="s">
        <v>251</v>
      </c>
      <c r="K51" s="254" t="s">
        <v>252</v>
      </c>
      <c r="L51" s="256"/>
    </row>
    <row r="52" ht="15.75" customHeight="1">
      <c r="A52" s="237" t="s">
        <v>253</v>
      </c>
      <c r="B52" s="238">
        <v>25118.0</v>
      </c>
      <c r="C52" s="238">
        <v>30713.0</v>
      </c>
      <c r="D52" s="238">
        <v>36913.0</v>
      </c>
      <c r="E52" s="250"/>
      <c r="F52" s="250"/>
      <c r="G52" s="238">
        <v>57789.0</v>
      </c>
      <c r="H52" s="238">
        <v>92412.0</v>
      </c>
      <c r="I52" s="238">
        <v>92055.0</v>
      </c>
      <c r="J52" s="238">
        <v>100783.0</v>
      </c>
      <c r="K52" s="238">
        <v>134226.0</v>
      </c>
      <c r="L52" s="238">
        <v>134226.0</v>
      </c>
    </row>
    <row r="53" ht="15.75" customHeight="1">
      <c r="A53" s="237" t="s">
        <v>254</v>
      </c>
      <c r="B53" s="238">
        <v>12282.0</v>
      </c>
      <c r="C53" s="238">
        <v>13948.0</v>
      </c>
      <c r="D53" s="238">
        <v>16625.0</v>
      </c>
      <c r="E53" s="238">
        <v>21419.0</v>
      </c>
      <c r="F53" s="238">
        <v>26018.0</v>
      </c>
      <c r="G53" s="238">
        <v>27573.0</v>
      </c>
      <c r="H53" s="238">
        <v>31562.0</v>
      </c>
      <c r="I53" s="238">
        <v>39500.0</v>
      </c>
      <c r="J53" s="238">
        <v>45427.0</v>
      </c>
      <c r="K53" s="238">
        <v>49326.0</v>
      </c>
      <c r="L53" s="238">
        <v>49326.0</v>
      </c>
    </row>
    <row r="54" ht="15.75" customHeight="1">
      <c r="A54" s="237" t="s">
        <v>255</v>
      </c>
      <c r="B54" s="238">
        <v>9047.0</v>
      </c>
      <c r="C54" s="238">
        <v>10485.0</v>
      </c>
      <c r="D54" s="238">
        <v>12893.0</v>
      </c>
      <c r="E54" s="238">
        <v>16333.0</v>
      </c>
      <c r="F54" s="238">
        <v>18464.0</v>
      </c>
      <c r="G54" s="238">
        <v>17946.0</v>
      </c>
      <c r="H54" s="238">
        <v>22912.0</v>
      </c>
      <c r="I54" s="238">
        <v>26567.0</v>
      </c>
      <c r="J54" s="238">
        <v>27917.0</v>
      </c>
      <c r="K54" s="238">
        <v>27808.0</v>
      </c>
      <c r="L54" s="238">
        <v>27808.0</v>
      </c>
    </row>
    <row r="55" ht="15.75" customHeight="1">
      <c r="A55" s="237" t="s">
        <v>256</v>
      </c>
      <c r="B55" s="238">
        <v>6136.0</v>
      </c>
      <c r="C55" s="238">
        <v>6985.0</v>
      </c>
      <c r="D55" s="238">
        <v>6840.0</v>
      </c>
      <c r="E55" s="238">
        <v>6923.0</v>
      </c>
      <c r="F55" s="238">
        <v>9551.0</v>
      </c>
      <c r="G55" s="238">
        <v>11052.0</v>
      </c>
      <c r="H55" s="238">
        <v>13510.0</v>
      </c>
      <c r="I55" s="238">
        <v>15724.0</v>
      </c>
      <c r="J55" s="238">
        <v>16425.0</v>
      </c>
      <c r="K55" s="238">
        <v>14188.0</v>
      </c>
      <c r="L55" s="238">
        <v>14188.0</v>
      </c>
    </row>
    <row r="56" ht="15.75" customHeight="1">
      <c r="A56" s="237" t="s">
        <v>257</v>
      </c>
      <c r="B56" s="238" t="s">
        <v>258</v>
      </c>
      <c r="C56" s="238" t="s">
        <v>259</v>
      </c>
      <c r="D56" s="238" t="s">
        <v>260</v>
      </c>
      <c r="E56" s="238" t="s">
        <v>261</v>
      </c>
      <c r="F56" s="238" t="s">
        <v>262</v>
      </c>
      <c r="G56" s="238" t="s">
        <v>246</v>
      </c>
      <c r="H56" s="238" t="s">
        <v>246</v>
      </c>
      <c r="I56" s="238" t="s">
        <v>263</v>
      </c>
      <c r="J56" s="238" t="s">
        <v>138</v>
      </c>
      <c r="K56" s="238" t="s">
        <v>143</v>
      </c>
      <c r="L56" s="238" t="s">
        <v>143</v>
      </c>
    </row>
    <row r="57" ht="15.75" customHeight="1">
      <c r="A57" s="241" t="s">
        <v>264</v>
      </c>
      <c r="B57" s="251"/>
      <c r="C57" s="251"/>
      <c r="D57" s="251"/>
      <c r="E57" s="251"/>
      <c r="F57" s="251"/>
      <c r="G57" s="251"/>
      <c r="H57" s="251"/>
      <c r="I57" s="251"/>
      <c r="J57" s="251"/>
      <c r="K57" s="251"/>
      <c r="L57" s="251"/>
    </row>
    <row r="58" ht="15.75" customHeight="1">
      <c r="A58" s="237" t="s">
        <v>265</v>
      </c>
      <c r="B58" s="238">
        <v>528447.56</v>
      </c>
      <c r="C58" s="238">
        <v>539069.53</v>
      </c>
      <c r="D58" s="238">
        <v>729458.19</v>
      </c>
      <c r="E58" s="238">
        <v>723465.25</v>
      </c>
      <c r="F58" s="238">
        <v>922946.26</v>
      </c>
      <c r="G58" s="238">
        <v>1185281.04</v>
      </c>
      <c r="H58" s="238">
        <v>1921854.65</v>
      </c>
      <c r="I58" s="238">
        <v>1145003.89</v>
      </c>
      <c r="J58" s="238">
        <v>1755459.04</v>
      </c>
      <c r="K58" s="238">
        <v>2323530.06</v>
      </c>
      <c r="L58" s="238">
        <v>2323530.06</v>
      </c>
    </row>
    <row r="59" ht="15.75" customHeight="1">
      <c r="A59" s="237" t="s">
        <v>266</v>
      </c>
      <c r="B59" s="238" t="s">
        <v>267</v>
      </c>
      <c r="C59" s="238" t="s">
        <v>268</v>
      </c>
      <c r="D59" s="238" t="s">
        <v>269</v>
      </c>
      <c r="E59" s="238" t="s">
        <v>270</v>
      </c>
      <c r="F59" s="238" t="s">
        <v>271</v>
      </c>
      <c r="G59" s="238" t="s">
        <v>272</v>
      </c>
      <c r="H59" s="238" t="s">
        <v>273</v>
      </c>
      <c r="I59" s="238" t="s">
        <v>274</v>
      </c>
      <c r="J59" s="238" t="s">
        <v>275</v>
      </c>
      <c r="K59" s="238" t="s">
        <v>276</v>
      </c>
      <c r="L59" s="238" t="s">
        <v>276</v>
      </c>
    </row>
    <row r="60" ht="15.75" customHeight="1">
      <c r="A60" s="237" t="s">
        <v>277</v>
      </c>
      <c r="B60" s="238">
        <v>468528.56</v>
      </c>
      <c r="C60" s="238">
        <v>459951.53</v>
      </c>
      <c r="D60" s="238">
        <v>633279.19</v>
      </c>
      <c r="E60" s="238">
        <v>621035.25</v>
      </c>
      <c r="F60" s="238">
        <v>816642.26</v>
      </c>
      <c r="G60" s="238">
        <v>1079780.04</v>
      </c>
      <c r="H60" s="238">
        <v>1807517.65</v>
      </c>
      <c r="I60" s="238">
        <v>1058080.89</v>
      </c>
      <c r="J60" s="238">
        <v>1665970.04</v>
      </c>
      <c r="K60" s="238">
        <v>2259589.06</v>
      </c>
      <c r="L60" s="238">
        <v>2259589.06</v>
      </c>
    </row>
    <row r="61" ht="15.75" customHeight="1">
      <c r="A61" s="260" t="s">
        <v>278</v>
      </c>
      <c r="B61" s="251"/>
      <c r="C61" s="251"/>
      <c r="D61" s="251"/>
      <c r="E61" s="251"/>
      <c r="F61" s="251"/>
      <c r="G61" s="251"/>
      <c r="H61" s="251"/>
      <c r="I61" s="251"/>
      <c r="J61" s="251"/>
      <c r="K61" s="251"/>
      <c r="L61" s="251"/>
    </row>
    <row r="62" ht="15.75" customHeight="1">
      <c r="A62" s="260" t="s">
        <v>279</v>
      </c>
      <c r="B62" s="251"/>
      <c r="C62" s="251"/>
      <c r="D62" s="251"/>
      <c r="E62" s="251"/>
      <c r="F62" s="251"/>
      <c r="G62" s="251"/>
      <c r="H62" s="251"/>
      <c r="I62" s="251"/>
      <c r="J62" s="251"/>
      <c r="K62" s="251"/>
      <c r="L62" s="251"/>
    </row>
    <row r="63" ht="15.75" customHeight="1">
      <c r="A63" s="261" t="s">
        <v>280</v>
      </c>
      <c r="B63" s="251"/>
      <c r="C63" s="251"/>
      <c r="D63" s="251"/>
      <c r="E63" s="251"/>
      <c r="F63" s="251"/>
      <c r="G63" s="251"/>
      <c r="H63" s="251"/>
      <c r="I63" s="251"/>
      <c r="J63" s="251"/>
      <c r="K63" s="251"/>
      <c r="L63" s="251"/>
    </row>
    <row r="64" ht="15.75" customHeight="1">
      <c r="A64" s="261" t="s">
        <v>281</v>
      </c>
      <c r="B64" s="251"/>
      <c r="C64" s="251"/>
      <c r="D64" s="251"/>
      <c r="E64" s="251"/>
      <c r="F64" s="251"/>
      <c r="G64" s="251"/>
      <c r="H64" s="251"/>
      <c r="I64" s="251"/>
      <c r="J64" s="251"/>
      <c r="K64" s="251"/>
      <c r="L64" s="251"/>
    </row>
    <row r="65" ht="15.75" customHeight="1">
      <c r="B65" s="11"/>
      <c r="C65" s="11"/>
      <c r="D65" s="11"/>
      <c r="E65" s="11"/>
      <c r="F65" s="11"/>
      <c r="G65" s="11"/>
      <c r="H65" s="11"/>
      <c r="I65" s="11"/>
      <c r="J65" s="11"/>
      <c r="K65" s="11"/>
      <c r="L65" s="11"/>
    </row>
    <row r="66" ht="15.75" customHeight="1">
      <c r="B66" s="251"/>
      <c r="C66" s="251"/>
      <c r="D66" s="251"/>
      <c r="E66" s="251"/>
      <c r="F66" s="251"/>
      <c r="G66" s="251"/>
      <c r="H66" s="251"/>
      <c r="I66" s="251"/>
      <c r="J66" s="251"/>
      <c r="K66" s="251"/>
      <c r="L66" s="251"/>
    </row>
    <row r="67" ht="15.75" customHeight="1">
      <c r="B67" s="251"/>
      <c r="C67" s="251"/>
      <c r="D67" s="251"/>
      <c r="E67" s="251"/>
      <c r="F67" s="251"/>
      <c r="G67" s="251"/>
      <c r="H67" s="251"/>
      <c r="I67" s="251"/>
      <c r="J67" s="251"/>
      <c r="K67" s="251"/>
      <c r="L67" s="251"/>
    </row>
    <row r="68" ht="15.75" customHeight="1">
      <c r="B68" s="251"/>
      <c r="C68" s="251"/>
      <c r="D68" s="251"/>
      <c r="E68" s="251"/>
      <c r="F68" s="251"/>
      <c r="G68" s="251"/>
      <c r="H68" s="251"/>
      <c r="I68" s="251"/>
      <c r="J68" s="251"/>
      <c r="K68" s="251"/>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4"/>
    <hyperlink r:id="rId4" ref="B41"/>
    <hyperlink r:id="rId5" ref="B43"/>
    <hyperlink r:id="rId6" ref="B45"/>
    <hyperlink r:id="rId7" ref="B51"/>
    <hyperlink r:id="rId8" ref="A63"/>
    <hyperlink r:id="rId9" ref="A64"/>
  </hyperlinks>
  <printOptions/>
  <pageMargins bottom="0.75" footer="0.0" header="0.0" left="0.7" right="0.7" top="0.75"/>
  <pageSetup paperSize="9" orientation="portrait"/>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2" t="s">
        <v>282</v>
      </c>
      <c r="B1" s="233">
        <v>42369.0</v>
      </c>
      <c r="C1" s="233">
        <v>42735.0</v>
      </c>
      <c r="D1" s="233">
        <v>43100.0</v>
      </c>
      <c r="E1" s="233">
        <v>43465.0</v>
      </c>
      <c r="F1" s="233">
        <v>43830.0</v>
      </c>
      <c r="G1" s="233">
        <v>44196.0</v>
      </c>
      <c r="H1" s="233">
        <v>44561.0</v>
      </c>
      <c r="I1" s="233">
        <v>44926.0</v>
      </c>
      <c r="J1" s="233">
        <v>45291.0</v>
      </c>
      <c r="K1" s="233">
        <v>45657.0</v>
      </c>
      <c r="L1" s="234" t="s">
        <v>96</v>
      </c>
    </row>
    <row r="2">
      <c r="A2" s="235"/>
      <c r="B2" s="236"/>
      <c r="C2" s="236"/>
      <c r="D2" s="236"/>
      <c r="E2" s="236"/>
      <c r="F2" s="236"/>
      <c r="G2" s="236"/>
      <c r="H2" s="236"/>
      <c r="I2" s="236"/>
      <c r="J2" s="236"/>
      <c r="K2" s="236"/>
      <c r="L2" s="236"/>
    </row>
    <row r="3">
      <c r="A3" s="237" t="s">
        <v>283</v>
      </c>
      <c r="B3" s="238">
        <v>15409.0</v>
      </c>
      <c r="C3" s="238">
        <v>12918.0</v>
      </c>
      <c r="D3" s="238">
        <v>10715.0</v>
      </c>
      <c r="E3" s="238">
        <v>16701.0</v>
      </c>
      <c r="F3" s="238">
        <v>18498.0</v>
      </c>
      <c r="G3" s="238">
        <v>26465.0</v>
      </c>
      <c r="H3" s="238">
        <v>20945.0</v>
      </c>
      <c r="I3" s="238">
        <v>21879.0</v>
      </c>
      <c r="J3" s="238">
        <v>24048.0</v>
      </c>
      <c r="K3" s="238">
        <v>23466.0</v>
      </c>
      <c r="L3" s="238">
        <v>23466.0</v>
      </c>
    </row>
    <row r="4">
      <c r="A4" s="237" t="s">
        <v>284</v>
      </c>
      <c r="B4" s="238">
        <v>56517.0</v>
      </c>
      <c r="C4" s="238">
        <v>73415.0</v>
      </c>
      <c r="D4" s="238">
        <v>91156.0</v>
      </c>
      <c r="E4" s="238">
        <v>92439.0</v>
      </c>
      <c r="F4" s="238">
        <v>101177.0</v>
      </c>
      <c r="G4" s="238">
        <v>110229.0</v>
      </c>
      <c r="H4" s="238">
        <v>118704.0</v>
      </c>
      <c r="I4" s="238">
        <v>91883.0</v>
      </c>
      <c r="J4" s="238">
        <v>86868.0</v>
      </c>
      <c r="K4" s="238">
        <v>72191.0</v>
      </c>
      <c r="L4" s="238">
        <v>72191.0</v>
      </c>
    </row>
    <row r="5">
      <c r="A5" s="239" t="s">
        <v>285</v>
      </c>
      <c r="B5" s="240">
        <v>71926.0</v>
      </c>
      <c r="C5" s="240">
        <v>86333.0</v>
      </c>
      <c r="D5" s="240">
        <v>101871.0</v>
      </c>
      <c r="E5" s="240">
        <v>109140.0</v>
      </c>
      <c r="F5" s="240">
        <v>119675.0</v>
      </c>
      <c r="G5" s="240">
        <v>136694.0</v>
      </c>
      <c r="H5" s="240">
        <v>139649.0</v>
      </c>
      <c r="I5" s="240">
        <v>113762.0</v>
      </c>
      <c r="J5" s="240">
        <v>110916.0</v>
      </c>
      <c r="K5" s="240">
        <v>95657.0</v>
      </c>
      <c r="L5" s="240">
        <v>95657.0</v>
      </c>
    </row>
    <row r="6">
      <c r="A6" s="237" t="s">
        <v>286</v>
      </c>
      <c r="B6" s="238">
        <v>11556.0</v>
      </c>
      <c r="C6" s="238">
        <v>14137.0</v>
      </c>
      <c r="D6" s="238">
        <v>18336.0</v>
      </c>
      <c r="E6" s="238">
        <v>20838.0</v>
      </c>
      <c r="F6" s="238">
        <v>25326.0</v>
      </c>
      <c r="G6" s="238">
        <v>30930.0</v>
      </c>
      <c r="H6" s="238">
        <v>39304.0</v>
      </c>
      <c r="I6" s="238">
        <v>40258.0</v>
      </c>
      <c r="J6" s="238">
        <v>47964.0</v>
      </c>
      <c r="K6" s="238">
        <v>52340.0</v>
      </c>
      <c r="L6" s="238">
        <v>52340.0</v>
      </c>
    </row>
    <row r="7">
      <c r="A7" s="237" t="s">
        <v>287</v>
      </c>
      <c r="B7" s="238">
        <v>1903.0</v>
      </c>
      <c r="C7" s="238">
        <v>95.0</v>
      </c>
      <c r="D7" s="238">
        <v>369.0</v>
      </c>
      <c r="E7" s="238">
        <v>355.0</v>
      </c>
      <c r="F7" s="238">
        <v>2166.0</v>
      </c>
      <c r="G7" s="238">
        <v>454.0</v>
      </c>
      <c r="H7" s="250"/>
      <c r="I7" s="250"/>
      <c r="J7" s="250"/>
      <c r="K7" s="250"/>
      <c r="L7" s="250"/>
    </row>
    <row r="8">
      <c r="A8" s="237" t="s">
        <v>288</v>
      </c>
      <c r="B8" s="250"/>
      <c r="C8" s="238">
        <v>1400.0</v>
      </c>
      <c r="D8" s="250"/>
      <c r="E8" s="250"/>
      <c r="F8" s="250"/>
      <c r="G8" s="250"/>
      <c r="H8" s="250"/>
      <c r="I8" s="250"/>
      <c r="J8" s="250"/>
      <c r="K8" s="250"/>
      <c r="L8" s="250"/>
    </row>
    <row r="9">
      <c r="A9" s="239" t="s">
        <v>289</v>
      </c>
      <c r="B9" s="240">
        <v>13459.0</v>
      </c>
      <c r="C9" s="240">
        <v>15632.0</v>
      </c>
      <c r="D9" s="240">
        <v>18705.0</v>
      </c>
      <c r="E9" s="240">
        <v>21193.0</v>
      </c>
      <c r="F9" s="240">
        <v>27492.0</v>
      </c>
      <c r="G9" s="240">
        <v>31384.0</v>
      </c>
      <c r="H9" s="240">
        <v>39304.0</v>
      </c>
      <c r="I9" s="240">
        <v>40258.0</v>
      </c>
      <c r="J9" s="240">
        <v>47964.0</v>
      </c>
      <c r="K9" s="240">
        <v>52340.0</v>
      </c>
      <c r="L9" s="240">
        <v>52340.0</v>
      </c>
    </row>
    <row r="10">
      <c r="A10" s="237" t="s">
        <v>290</v>
      </c>
      <c r="B10" s="238">
        <v>491.0</v>
      </c>
      <c r="C10" s="238">
        <v>268.0</v>
      </c>
      <c r="D10" s="238">
        <v>749.0</v>
      </c>
      <c r="E10" s="238">
        <v>1107.0</v>
      </c>
      <c r="F10" s="238">
        <v>999.0</v>
      </c>
      <c r="G10" s="238">
        <v>728.0</v>
      </c>
      <c r="H10" s="238">
        <v>1170.0</v>
      </c>
      <c r="I10" s="250"/>
      <c r="J10" s="250"/>
      <c r="K10" s="250"/>
      <c r="L10" s="250"/>
    </row>
    <row r="11">
      <c r="A11" s="237" t="s">
        <v>291</v>
      </c>
      <c r="B11" s="238">
        <v>2648.0</v>
      </c>
      <c r="C11" s="250"/>
      <c r="D11" s="250"/>
      <c r="E11" s="250"/>
      <c r="F11" s="250"/>
      <c r="G11" s="250"/>
      <c r="H11" s="250"/>
      <c r="I11" s="250"/>
      <c r="J11" s="250"/>
      <c r="K11" s="250"/>
      <c r="L11" s="250"/>
    </row>
    <row r="12">
      <c r="A12" s="237" t="s">
        <v>292</v>
      </c>
      <c r="B12" s="250"/>
      <c r="C12" s="250"/>
      <c r="D12" s="250"/>
      <c r="E12" s="250"/>
      <c r="F12" s="250"/>
      <c r="G12" s="250"/>
      <c r="H12" s="250"/>
      <c r="I12" s="250"/>
      <c r="J12" s="250"/>
      <c r="K12" s="250"/>
      <c r="L12" s="250"/>
    </row>
    <row r="13">
      <c r="A13" s="237" t="s">
        <v>293</v>
      </c>
      <c r="B13" s="238">
        <v>1140.0</v>
      </c>
      <c r="C13" s="250"/>
      <c r="D13" s="238">
        <v>15.0</v>
      </c>
      <c r="E13" s="238">
        <v>327.0</v>
      </c>
      <c r="F13" s="250"/>
      <c r="G13" s="250"/>
      <c r="H13" s="250"/>
      <c r="I13" s="250"/>
      <c r="J13" s="250"/>
      <c r="K13" s="250"/>
      <c r="L13" s="250"/>
    </row>
    <row r="14">
      <c r="A14" s="237" t="s">
        <v>294</v>
      </c>
      <c r="B14" s="238">
        <v>450.0</v>
      </c>
      <c r="C14" s="238">
        <v>3175.0</v>
      </c>
      <c r="D14" s="238">
        <v>2968.0</v>
      </c>
      <c r="E14" s="238">
        <v>3909.0</v>
      </c>
      <c r="F14" s="238">
        <v>4412.0</v>
      </c>
      <c r="G14" s="238">
        <v>5490.0</v>
      </c>
      <c r="H14" s="238">
        <v>8020.0</v>
      </c>
      <c r="I14" s="238">
        <v>10775.0</v>
      </c>
      <c r="J14" s="238">
        <v>12650.0</v>
      </c>
      <c r="K14" s="238">
        <v>15714.0</v>
      </c>
      <c r="L14" s="238">
        <v>15714.0</v>
      </c>
    </row>
    <row r="15">
      <c r="A15" s="239" t="s">
        <v>295</v>
      </c>
      <c r="B15" s="240">
        <v>90114.0</v>
      </c>
      <c r="C15" s="240">
        <v>105408.0</v>
      </c>
      <c r="D15" s="240">
        <v>124308.0</v>
      </c>
      <c r="E15" s="240">
        <v>135676.0</v>
      </c>
      <c r="F15" s="240">
        <v>152578.0</v>
      </c>
      <c r="G15" s="240">
        <v>174296.0</v>
      </c>
      <c r="H15" s="240">
        <v>188143.0</v>
      </c>
      <c r="I15" s="240">
        <v>164795.0</v>
      </c>
      <c r="J15" s="240">
        <v>171530.0</v>
      </c>
      <c r="K15" s="240">
        <v>163711.0</v>
      </c>
      <c r="L15" s="240">
        <v>163711.0</v>
      </c>
    </row>
    <row r="16">
      <c r="A16" s="237" t="s">
        <v>296</v>
      </c>
      <c r="B16" s="238">
        <v>40146.0</v>
      </c>
      <c r="C16" s="238">
        <v>47527.0</v>
      </c>
      <c r="D16" s="238">
        <v>59647.0</v>
      </c>
      <c r="E16" s="238">
        <v>82507.0</v>
      </c>
      <c r="F16" s="238">
        <v>115148.0</v>
      </c>
      <c r="G16" s="238">
        <v>138673.0</v>
      </c>
      <c r="H16" s="238">
        <v>159972.0</v>
      </c>
      <c r="I16" s="238">
        <v>186091.0</v>
      </c>
      <c r="J16" s="238">
        <v>215894.0</v>
      </c>
      <c r="K16" s="238">
        <v>264014.0</v>
      </c>
      <c r="L16" s="238">
        <v>264014.0</v>
      </c>
    </row>
    <row r="17">
      <c r="A17" s="237" t="s">
        <v>297</v>
      </c>
      <c r="B17" s="245">
        <v>-11130.0</v>
      </c>
      <c r="C17" s="245">
        <v>-13293.0</v>
      </c>
      <c r="D17" s="245">
        <v>-17264.0</v>
      </c>
      <c r="E17" s="245">
        <v>-22788.0</v>
      </c>
      <c r="F17" s="245">
        <v>-30561.0</v>
      </c>
      <c r="G17" s="245">
        <v>-41713.0</v>
      </c>
      <c r="H17" s="245">
        <v>-49414.0</v>
      </c>
      <c r="I17" s="245">
        <v>-59042.0</v>
      </c>
      <c r="J17" s="245">
        <v>-67458.0</v>
      </c>
      <c r="K17" s="245">
        <v>-79390.0</v>
      </c>
      <c r="L17" s="245">
        <v>-79390.0</v>
      </c>
    </row>
    <row r="18">
      <c r="A18" s="239" t="s">
        <v>298</v>
      </c>
      <c r="B18" s="240">
        <v>29016.0</v>
      </c>
      <c r="C18" s="240">
        <v>34234.0</v>
      </c>
      <c r="D18" s="240">
        <v>42383.0</v>
      </c>
      <c r="E18" s="240">
        <v>59719.0</v>
      </c>
      <c r="F18" s="240">
        <v>84587.0</v>
      </c>
      <c r="G18" s="240">
        <v>96960.0</v>
      </c>
      <c r="H18" s="240">
        <v>110558.0</v>
      </c>
      <c r="I18" s="240">
        <v>127049.0</v>
      </c>
      <c r="J18" s="240">
        <v>148436.0</v>
      </c>
      <c r="K18" s="240">
        <v>184624.0</v>
      </c>
      <c r="L18" s="240">
        <v>184624.0</v>
      </c>
    </row>
    <row r="19">
      <c r="A19" s="237" t="s">
        <v>299</v>
      </c>
      <c r="B19" s="238">
        <v>5183.0</v>
      </c>
      <c r="C19" s="238">
        <v>5878.0</v>
      </c>
      <c r="D19" s="238">
        <v>7813.0</v>
      </c>
      <c r="E19" s="238">
        <v>13859.0</v>
      </c>
      <c r="F19" s="238">
        <v>13078.0</v>
      </c>
      <c r="G19" s="238">
        <v>20703.0</v>
      </c>
      <c r="H19" s="238">
        <v>29549.0</v>
      </c>
      <c r="I19" s="238">
        <v>30492.0</v>
      </c>
      <c r="J19" s="238">
        <v>31929.0</v>
      </c>
      <c r="K19" s="238">
        <v>40882.0</v>
      </c>
      <c r="L19" s="238">
        <v>40882.0</v>
      </c>
    </row>
    <row r="20">
      <c r="A20" s="237" t="s">
        <v>300</v>
      </c>
      <c r="B20" s="238">
        <v>15869.0</v>
      </c>
      <c r="C20" s="238">
        <v>16468.0</v>
      </c>
      <c r="D20" s="238">
        <v>16747.0</v>
      </c>
      <c r="E20" s="238">
        <v>17888.0</v>
      </c>
      <c r="F20" s="238">
        <v>20624.0</v>
      </c>
      <c r="G20" s="238">
        <v>21175.0</v>
      </c>
      <c r="H20" s="238">
        <v>22956.0</v>
      </c>
      <c r="I20" s="238">
        <v>28960.0</v>
      </c>
      <c r="J20" s="238">
        <v>29198.0</v>
      </c>
      <c r="K20" s="238">
        <v>31885.0</v>
      </c>
      <c r="L20" s="238">
        <v>31885.0</v>
      </c>
    </row>
    <row r="21" ht="15.75" customHeight="1">
      <c r="A21" s="237" t="s">
        <v>301</v>
      </c>
      <c r="B21" s="238">
        <v>3847.0</v>
      </c>
      <c r="C21" s="238">
        <v>3307.0</v>
      </c>
      <c r="D21" s="238">
        <v>2692.0</v>
      </c>
      <c r="E21" s="238">
        <v>2220.0</v>
      </c>
      <c r="F21" s="238">
        <v>1979.0</v>
      </c>
      <c r="G21" s="238">
        <v>1445.0</v>
      </c>
      <c r="H21" s="238">
        <v>1417.0</v>
      </c>
      <c r="I21" s="250"/>
      <c r="J21" s="250"/>
      <c r="K21" s="250"/>
      <c r="L21" s="250"/>
    </row>
    <row r="22" ht="15.75" customHeight="1">
      <c r="A22" s="237" t="s">
        <v>302</v>
      </c>
      <c r="B22" s="238">
        <v>1336.0</v>
      </c>
      <c r="C22" s="250"/>
      <c r="D22" s="250"/>
      <c r="E22" s="250"/>
      <c r="F22" s="250"/>
      <c r="G22" s="250"/>
      <c r="H22" s="250"/>
      <c r="I22" s="250"/>
      <c r="J22" s="250"/>
      <c r="K22" s="250"/>
      <c r="L22" s="250"/>
    </row>
    <row r="23" ht="15.75" customHeight="1">
      <c r="A23" s="237" t="s">
        <v>303</v>
      </c>
      <c r="B23" s="238">
        <v>251.0</v>
      </c>
      <c r="C23" s="238">
        <v>383.0</v>
      </c>
      <c r="D23" s="238">
        <v>680.0</v>
      </c>
      <c r="E23" s="238">
        <v>737.0</v>
      </c>
      <c r="F23" s="238">
        <v>721.0</v>
      </c>
      <c r="G23" s="238">
        <v>1084.0</v>
      </c>
      <c r="H23" s="238">
        <v>1284.0</v>
      </c>
      <c r="I23" s="238">
        <v>5261.0</v>
      </c>
      <c r="J23" s="238">
        <v>12169.0</v>
      </c>
      <c r="K23" s="238">
        <v>17180.0</v>
      </c>
      <c r="L23" s="238">
        <v>17180.0</v>
      </c>
    </row>
    <row r="24" ht="15.75" customHeight="1">
      <c r="A24" s="237" t="s">
        <v>304</v>
      </c>
      <c r="B24" s="238">
        <v>1845.0</v>
      </c>
      <c r="C24" s="238">
        <v>1819.0</v>
      </c>
      <c r="D24" s="238">
        <v>2672.0</v>
      </c>
      <c r="E24" s="238">
        <v>2693.0</v>
      </c>
      <c r="F24" s="238">
        <v>2342.0</v>
      </c>
      <c r="G24" s="238">
        <v>3953.0</v>
      </c>
      <c r="H24" s="238">
        <v>5361.0</v>
      </c>
      <c r="I24" s="238">
        <v>8707.0</v>
      </c>
      <c r="J24" s="238">
        <v>9130.0</v>
      </c>
      <c r="K24" s="238">
        <v>11974.0</v>
      </c>
      <c r="L24" s="238">
        <v>11974.0</v>
      </c>
    </row>
    <row r="25" ht="15.75" customHeight="1">
      <c r="A25" s="246" t="s">
        <v>305</v>
      </c>
      <c r="B25" s="247">
        <v>147461.0</v>
      </c>
      <c r="C25" s="247">
        <v>167497.0</v>
      </c>
      <c r="D25" s="247">
        <v>197295.0</v>
      </c>
      <c r="E25" s="247">
        <v>232792.0</v>
      </c>
      <c r="F25" s="247">
        <v>275909.0</v>
      </c>
      <c r="G25" s="247">
        <v>319616.0</v>
      </c>
      <c r="H25" s="247">
        <v>359268.0</v>
      </c>
      <c r="I25" s="247">
        <v>365264.0</v>
      </c>
      <c r="J25" s="247">
        <v>402392.0</v>
      </c>
      <c r="K25" s="247">
        <v>450256.0</v>
      </c>
      <c r="L25" s="247">
        <v>450256.0</v>
      </c>
    </row>
    <row r="26" ht="15.75" customHeight="1">
      <c r="A26" s="237" t="s">
        <v>306</v>
      </c>
      <c r="B26" s="238">
        <v>1931.0</v>
      </c>
      <c r="C26" s="238">
        <v>2041.0</v>
      </c>
      <c r="D26" s="238">
        <v>3137.0</v>
      </c>
      <c r="E26" s="238">
        <v>4378.0</v>
      </c>
      <c r="F26" s="238">
        <v>5561.0</v>
      </c>
      <c r="G26" s="238">
        <v>5589.0</v>
      </c>
      <c r="H26" s="238">
        <v>6037.0</v>
      </c>
      <c r="I26" s="238">
        <v>5128.0</v>
      </c>
      <c r="J26" s="238">
        <v>7493.0</v>
      </c>
      <c r="K26" s="238">
        <v>7987.0</v>
      </c>
      <c r="L26" s="238">
        <v>7987.0</v>
      </c>
    </row>
    <row r="27" ht="15.75" customHeight="1">
      <c r="A27" s="237" t="s">
        <v>307</v>
      </c>
      <c r="B27" s="238">
        <v>7399.0</v>
      </c>
      <c r="C27" s="238">
        <v>8864.0</v>
      </c>
      <c r="D27" s="238">
        <v>10395.0</v>
      </c>
      <c r="E27" s="238">
        <v>12630.0</v>
      </c>
      <c r="F27" s="238">
        <v>16187.0</v>
      </c>
      <c r="G27" s="238">
        <v>20445.0</v>
      </c>
      <c r="H27" s="238">
        <v>27912.0</v>
      </c>
      <c r="I27" s="238">
        <v>31743.0</v>
      </c>
      <c r="J27" s="238">
        <v>36142.0</v>
      </c>
      <c r="K27" s="238">
        <v>41541.0</v>
      </c>
      <c r="L27" s="238">
        <v>41541.0</v>
      </c>
    </row>
    <row r="28" ht="15.75" customHeight="1">
      <c r="A28" s="237" t="s">
        <v>308</v>
      </c>
      <c r="B28" s="238">
        <v>4428.0</v>
      </c>
      <c r="C28" s="250"/>
      <c r="D28" s="250"/>
      <c r="E28" s="250"/>
      <c r="F28" s="250"/>
      <c r="G28" s="250"/>
      <c r="H28" s="250"/>
      <c r="I28" s="250"/>
      <c r="J28" s="250"/>
      <c r="K28" s="250"/>
      <c r="L28" s="250"/>
    </row>
    <row r="29" ht="15.75" customHeight="1">
      <c r="A29" s="237" t="s">
        <v>309</v>
      </c>
      <c r="B29" s="238">
        <v>1000.0</v>
      </c>
      <c r="C29" s="250"/>
      <c r="D29" s="250"/>
      <c r="E29" s="250"/>
      <c r="F29" s="250"/>
      <c r="G29" s="238">
        <v>999.0</v>
      </c>
      <c r="H29" s="250"/>
      <c r="I29" s="250"/>
      <c r="J29" s="238">
        <v>1000.0</v>
      </c>
      <c r="K29" s="238">
        <v>999.0</v>
      </c>
      <c r="L29" s="238">
        <v>999.0</v>
      </c>
    </row>
    <row r="30" ht="15.75" customHeight="1">
      <c r="A30" s="237" t="s">
        <v>310</v>
      </c>
      <c r="B30" s="238">
        <v>225.0</v>
      </c>
      <c r="C30" s="250"/>
      <c r="D30" s="250"/>
      <c r="E30" s="250"/>
      <c r="F30" s="238">
        <v>1314.0</v>
      </c>
      <c r="G30" s="238">
        <v>1795.0</v>
      </c>
      <c r="H30" s="238">
        <v>2302.0</v>
      </c>
      <c r="I30" s="238">
        <v>2775.0</v>
      </c>
      <c r="J30" s="238">
        <v>3074.0</v>
      </c>
      <c r="K30" s="238">
        <v>3122.0</v>
      </c>
      <c r="L30" s="238">
        <v>3122.0</v>
      </c>
    </row>
    <row r="31" ht="15.75" customHeight="1">
      <c r="A31" s="237" t="s">
        <v>311</v>
      </c>
      <c r="B31" s="238">
        <v>302.0</v>
      </c>
      <c r="C31" s="238">
        <v>554.0</v>
      </c>
      <c r="D31" s="238">
        <v>881.0</v>
      </c>
      <c r="E31" s="238">
        <v>69.0</v>
      </c>
      <c r="F31" s="238">
        <v>274.0</v>
      </c>
      <c r="G31" s="238">
        <v>1485.0</v>
      </c>
      <c r="H31" s="250"/>
      <c r="I31" s="238">
        <v>1632.0</v>
      </c>
      <c r="J31" s="238">
        <v>2748.0</v>
      </c>
      <c r="K31" s="238">
        <v>2905.0</v>
      </c>
      <c r="L31" s="238">
        <v>2905.0</v>
      </c>
    </row>
    <row r="32" ht="15.75" customHeight="1">
      <c r="A32" s="237" t="s">
        <v>312</v>
      </c>
      <c r="B32" s="238">
        <v>788.0</v>
      </c>
      <c r="C32" s="238">
        <v>1099.0</v>
      </c>
      <c r="D32" s="238">
        <v>1432.0</v>
      </c>
      <c r="E32" s="238">
        <v>1784.0</v>
      </c>
      <c r="F32" s="238">
        <v>1908.0</v>
      </c>
      <c r="G32" s="238">
        <v>2543.0</v>
      </c>
      <c r="H32" s="238">
        <v>3288.0</v>
      </c>
      <c r="I32" s="238">
        <v>3908.0</v>
      </c>
      <c r="J32" s="238">
        <v>4137.0</v>
      </c>
      <c r="K32" s="238">
        <v>5036.0</v>
      </c>
      <c r="L32" s="238">
        <v>5036.0</v>
      </c>
    </row>
    <row r="33" ht="15.75" customHeight="1">
      <c r="A33" s="237" t="s">
        <v>313</v>
      </c>
      <c r="B33" s="238">
        <v>3237.0</v>
      </c>
      <c r="C33" s="238">
        <v>4198.0</v>
      </c>
      <c r="D33" s="238">
        <v>8338.0</v>
      </c>
      <c r="E33" s="238">
        <v>15759.0</v>
      </c>
      <c r="F33" s="238">
        <v>19977.0</v>
      </c>
      <c r="G33" s="238">
        <v>23978.0</v>
      </c>
      <c r="H33" s="238">
        <v>24715.0</v>
      </c>
      <c r="I33" s="238">
        <v>24114.0</v>
      </c>
      <c r="J33" s="238">
        <v>27220.0</v>
      </c>
      <c r="K33" s="238">
        <v>27532.0</v>
      </c>
      <c r="L33" s="238">
        <v>27532.0</v>
      </c>
    </row>
    <row r="34" ht="15.75" customHeight="1">
      <c r="A34" s="239" t="s">
        <v>314</v>
      </c>
      <c r="B34" s="240">
        <v>19310.0</v>
      </c>
      <c r="C34" s="240">
        <v>16756.0</v>
      </c>
      <c r="D34" s="240">
        <v>24183.0</v>
      </c>
      <c r="E34" s="240">
        <v>34620.0</v>
      </c>
      <c r="F34" s="240">
        <v>45221.0</v>
      </c>
      <c r="G34" s="240">
        <v>56834.0</v>
      </c>
      <c r="H34" s="240">
        <v>64254.0</v>
      </c>
      <c r="I34" s="240">
        <v>69300.0</v>
      </c>
      <c r="J34" s="240">
        <v>81814.0</v>
      </c>
      <c r="K34" s="240">
        <v>89122.0</v>
      </c>
      <c r="L34" s="240">
        <v>89122.0</v>
      </c>
    </row>
    <row r="35" ht="15.75" customHeight="1">
      <c r="A35" s="237" t="s">
        <v>315</v>
      </c>
      <c r="B35" s="238">
        <v>1995.0</v>
      </c>
      <c r="C35" s="238">
        <v>3935.0</v>
      </c>
      <c r="D35" s="238">
        <v>3943.0</v>
      </c>
      <c r="E35" s="238">
        <v>3950.0</v>
      </c>
      <c r="F35" s="238">
        <v>3958.0</v>
      </c>
      <c r="G35" s="238">
        <v>12832.0</v>
      </c>
      <c r="H35" s="238">
        <v>12844.0</v>
      </c>
      <c r="I35" s="238">
        <v>12857.0</v>
      </c>
      <c r="J35" s="238">
        <v>11870.0</v>
      </c>
      <c r="K35" s="238">
        <v>10883.0</v>
      </c>
      <c r="L35" s="238">
        <v>10883.0</v>
      </c>
    </row>
    <row r="36" ht="15.75" customHeight="1">
      <c r="A36" s="237" t="s">
        <v>316</v>
      </c>
      <c r="B36" s="250"/>
      <c r="C36" s="250"/>
      <c r="D36" s="238">
        <v>26.0</v>
      </c>
      <c r="E36" s="238">
        <v>62.0</v>
      </c>
      <c r="F36" s="238">
        <v>10810.0</v>
      </c>
      <c r="G36" s="238">
        <v>12246.0</v>
      </c>
      <c r="H36" s="238">
        <v>13362.0</v>
      </c>
      <c r="I36" s="238">
        <v>14345.0</v>
      </c>
      <c r="J36" s="238">
        <v>13843.0</v>
      </c>
      <c r="K36" s="238">
        <v>13133.0</v>
      </c>
      <c r="L36" s="238">
        <v>13133.0</v>
      </c>
    </row>
    <row r="37" ht="15.75" customHeight="1">
      <c r="A37" s="237" t="s">
        <v>317</v>
      </c>
      <c r="B37" s="238">
        <v>151.0</v>
      </c>
      <c r="C37" s="238">
        <v>202.0</v>
      </c>
      <c r="D37" s="238">
        <v>340.0</v>
      </c>
      <c r="E37" s="238">
        <v>396.0</v>
      </c>
      <c r="F37" s="238">
        <v>358.0</v>
      </c>
      <c r="G37" s="238">
        <v>481.0</v>
      </c>
      <c r="H37" s="238">
        <v>535.0</v>
      </c>
      <c r="I37" s="238">
        <v>599.0</v>
      </c>
      <c r="J37" s="250"/>
      <c r="K37" s="250"/>
      <c r="L37" s="250"/>
    </row>
    <row r="38" ht="15.75" customHeight="1">
      <c r="A38" s="237" t="s">
        <v>318</v>
      </c>
      <c r="B38" s="238">
        <v>189.0</v>
      </c>
      <c r="C38" s="238">
        <v>226.0</v>
      </c>
      <c r="D38" s="238">
        <v>430.0</v>
      </c>
      <c r="E38" s="238">
        <v>1264.0</v>
      </c>
      <c r="F38" s="238">
        <v>1701.0</v>
      </c>
      <c r="G38" s="238">
        <v>3561.0</v>
      </c>
      <c r="H38" s="238">
        <v>5257.0</v>
      </c>
      <c r="I38" s="238">
        <v>514.0</v>
      </c>
      <c r="J38" s="250"/>
      <c r="K38" s="250"/>
      <c r="L38" s="250"/>
    </row>
    <row r="39" ht="15.75" customHeight="1">
      <c r="A39" s="237" t="s">
        <v>319</v>
      </c>
      <c r="B39" s="238">
        <v>5485.0</v>
      </c>
      <c r="C39" s="238">
        <v>7342.0</v>
      </c>
      <c r="D39" s="238">
        <v>15871.0</v>
      </c>
      <c r="E39" s="238">
        <v>14872.0</v>
      </c>
      <c r="F39" s="238">
        <v>12419.0</v>
      </c>
      <c r="G39" s="238">
        <v>11118.0</v>
      </c>
      <c r="H39" s="238">
        <v>11381.0</v>
      </c>
      <c r="I39" s="238">
        <v>11505.0</v>
      </c>
      <c r="J39" s="238">
        <v>11486.0</v>
      </c>
      <c r="K39" s="238">
        <v>12034.0</v>
      </c>
      <c r="L39" s="238">
        <v>12034.0</v>
      </c>
    </row>
    <row r="40" ht="15.75" customHeight="1">
      <c r="A40" s="246" t="s">
        <v>320</v>
      </c>
      <c r="B40" s="247">
        <v>27130.0</v>
      </c>
      <c r="C40" s="247">
        <v>28461.0</v>
      </c>
      <c r="D40" s="247">
        <v>44793.0</v>
      </c>
      <c r="E40" s="247">
        <v>55164.0</v>
      </c>
      <c r="F40" s="247">
        <v>74467.0</v>
      </c>
      <c r="G40" s="247">
        <v>97072.0</v>
      </c>
      <c r="H40" s="247">
        <v>107633.0</v>
      </c>
      <c r="I40" s="247">
        <v>109120.0</v>
      </c>
      <c r="J40" s="247">
        <v>119013.0</v>
      </c>
      <c r="K40" s="247">
        <v>125172.0</v>
      </c>
      <c r="L40" s="247">
        <v>125172.0</v>
      </c>
    </row>
    <row r="41" ht="15.75" customHeight="1">
      <c r="A41" s="237" t="s">
        <v>321</v>
      </c>
      <c r="B41" s="250"/>
      <c r="C41" s="250"/>
      <c r="D41" s="250"/>
      <c r="E41" s="250"/>
      <c r="F41" s="250"/>
      <c r="G41" s="250"/>
      <c r="H41" s="250"/>
      <c r="I41" s="250"/>
      <c r="J41" s="250"/>
      <c r="K41" s="250"/>
      <c r="L41" s="250"/>
    </row>
    <row r="42" ht="15.75" customHeight="1">
      <c r="A42" s="237" t="s">
        <v>322</v>
      </c>
      <c r="B42" s="250"/>
      <c r="C42" s="250"/>
      <c r="D42" s="250"/>
      <c r="E42" s="250"/>
      <c r="F42" s="250"/>
      <c r="G42" s="250"/>
      <c r="H42" s="250"/>
      <c r="I42" s="250"/>
      <c r="J42" s="250"/>
      <c r="K42" s="250"/>
      <c r="L42" s="250"/>
    </row>
    <row r="43" ht="15.75" customHeight="1">
      <c r="A43" s="239" t="s">
        <v>323</v>
      </c>
      <c r="B43" s="262"/>
      <c r="C43" s="262"/>
      <c r="D43" s="262"/>
      <c r="E43" s="262"/>
      <c r="F43" s="262"/>
      <c r="G43" s="262"/>
      <c r="H43" s="262"/>
      <c r="I43" s="262"/>
      <c r="J43" s="262"/>
      <c r="K43" s="262"/>
      <c r="L43" s="262"/>
    </row>
    <row r="44" ht="15.75" customHeight="1">
      <c r="A44" s="237" t="s">
        <v>324</v>
      </c>
      <c r="B44" s="238">
        <v>32982.0</v>
      </c>
      <c r="C44" s="238">
        <v>36307.0</v>
      </c>
      <c r="D44" s="238">
        <v>40247.0</v>
      </c>
      <c r="E44" s="238">
        <v>45049.0</v>
      </c>
      <c r="F44" s="238">
        <v>50552.0</v>
      </c>
      <c r="G44" s="238">
        <v>58510.0</v>
      </c>
      <c r="H44" s="238">
        <v>61774.0</v>
      </c>
      <c r="I44" s="238">
        <v>68184.0</v>
      </c>
      <c r="J44" s="238">
        <v>76534.0</v>
      </c>
      <c r="K44" s="238">
        <v>84800.0</v>
      </c>
      <c r="L44" s="238">
        <v>84800.0</v>
      </c>
    </row>
    <row r="45" ht="15.75" customHeight="1">
      <c r="A45" s="237" t="s">
        <v>325</v>
      </c>
      <c r="B45" s="250"/>
      <c r="C45" s="250"/>
      <c r="D45" s="250"/>
      <c r="E45" s="250"/>
      <c r="F45" s="250"/>
      <c r="G45" s="250"/>
      <c r="H45" s="250"/>
      <c r="I45" s="250"/>
      <c r="J45" s="250"/>
      <c r="K45" s="250"/>
      <c r="L45" s="250"/>
    </row>
    <row r="46" ht="15.75" customHeight="1">
      <c r="A46" s="237" t="s">
        <v>326</v>
      </c>
      <c r="B46" s="238">
        <v>89223.0</v>
      </c>
      <c r="C46" s="238">
        <v>105131.0</v>
      </c>
      <c r="D46" s="238">
        <v>113247.0</v>
      </c>
      <c r="E46" s="238">
        <v>134885.0</v>
      </c>
      <c r="F46" s="238">
        <v>152122.0</v>
      </c>
      <c r="G46" s="238">
        <v>163401.0</v>
      </c>
      <c r="H46" s="238">
        <v>191484.0</v>
      </c>
      <c r="I46" s="238">
        <v>195563.0</v>
      </c>
      <c r="J46" s="238">
        <v>211247.0</v>
      </c>
      <c r="K46" s="238">
        <v>245084.0</v>
      </c>
      <c r="L46" s="238">
        <v>245084.0</v>
      </c>
    </row>
    <row r="47" ht="15.75" customHeight="1">
      <c r="A47" s="237" t="s">
        <v>327</v>
      </c>
      <c r="B47" s="245">
        <v>-1874.0</v>
      </c>
      <c r="C47" s="245">
        <v>-2402.0</v>
      </c>
      <c r="D47" s="245">
        <v>-992.0</v>
      </c>
      <c r="E47" s="245">
        <v>-2306.0</v>
      </c>
      <c r="F47" s="245">
        <v>-1232.0</v>
      </c>
      <c r="G47" s="238">
        <v>633.0</v>
      </c>
      <c r="H47" s="245">
        <v>-1623.0</v>
      </c>
      <c r="I47" s="245">
        <v>-7603.0</v>
      </c>
      <c r="J47" s="245">
        <v>-4402.0</v>
      </c>
      <c r="K47" s="245">
        <v>-4800.0</v>
      </c>
      <c r="L47" s="245">
        <v>-4800.0</v>
      </c>
    </row>
    <row r="48" ht="15.75" customHeight="1">
      <c r="A48" s="239" t="s">
        <v>328</v>
      </c>
      <c r="B48" s="240">
        <v>120331.0</v>
      </c>
      <c r="C48" s="240">
        <v>139036.0</v>
      </c>
      <c r="D48" s="240">
        <v>152502.0</v>
      </c>
      <c r="E48" s="240">
        <v>177628.0</v>
      </c>
      <c r="F48" s="240">
        <v>201442.0</v>
      </c>
      <c r="G48" s="240">
        <v>222544.0</v>
      </c>
      <c r="H48" s="240">
        <v>251635.0</v>
      </c>
      <c r="I48" s="240">
        <v>256144.0</v>
      </c>
      <c r="J48" s="240">
        <v>283379.0</v>
      </c>
      <c r="K48" s="240">
        <v>325084.0</v>
      </c>
      <c r="L48" s="240">
        <v>325084.0</v>
      </c>
    </row>
    <row r="49" ht="15.75" customHeight="1">
      <c r="A49" s="246" t="s">
        <v>329</v>
      </c>
      <c r="B49" s="247">
        <v>120331.0</v>
      </c>
      <c r="C49" s="247">
        <v>139036.0</v>
      </c>
      <c r="D49" s="247">
        <v>152502.0</v>
      </c>
      <c r="E49" s="247">
        <v>177628.0</v>
      </c>
      <c r="F49" s="247">
        <v>201442.0</v>
      </c>
      <c r="G49" s="247">
        <v>222544.0</v>
      </c>
      <c r="H49" s="247">
        <v>251635.0</v>
      </c>
      <c r="I49" s="247">
        <v>256144.0</v>
      </c>
      <c r="J49" s="247">
        <v>283379.0</v>
      </c>
      <c r="K49" s="247">
        <v>325084.0</v>
      </c>
      <c r="L49" s="247">
        <v>325084.0</v>
      </c>
    </row>
    <row r="50" ht="15.75" customHeight="1">
      <c r="A50" s="246" t="s">
        <v>330</v>
      </c>
      <c r="B50" s="247">
        <v>147461.0</v>
      </c>
      <c r="C50" s="247">
        <v>167497.0</v>
      </c>
      <c r="D50" s="247">
        <v>197295.0</v>
      </c>
      <c r="E50" s="247">
        <v>232792.0</v>
      </c>
      <c r="F50" s="247">
        <v>275909.0</v>
      </c>
      <c r="G50" s="247">
        <v>319616.0</v>
      </c>
      <c r="H50" s="247">
        <v>359268.0</v>
      </c>
      <c r="I50" s="247">
        <v>365264.0</v>
      </c>
      <c r="J50" s="247">
        <v>402392.0</v>
      </c>
      <c r="K50" s="247">
        <v>450256.0</v>
      </c>
      <c r="L50" s="247">
        <v>450256.0</v>
      </c>
    </row>
    <row r="51" ht="15.75" customHeight="1">
      <c r="A51" s="241" t="s">
        <v>212</v>
      </c>
      <c r="B51" s="251"/>
      <c r="C51" s="251"/>
      <c r="D51" s="251"/>
      <c r="E51" s="251"/>
      <c r="F51" s="251"/>
      <c r="G51" s="251"/>
      <c r="H51" s="251"/>
      <c r="I51" s="251"/>
      <c r="J51" s="251"/>
      <c r="K51" s="251"/>
      <c r="L51" s="251"/>
    </row>
    <row r="52" ht="15.75" customHeight="1">
      <c r="A52" s="237" t="s">
        <v>331</v>
      </c>
      <c r="B52" s="238">
        <v>13766.4</v>
      </c>
      <c r="C52" s="238">
        <v>13828.41</v>
      </c>
      <c r="D52" s="238">
        <v>13905.95</v>
      </c>
      <c r="E52" s="238">
        <v>13903.73</v>
      </c>
      <c r="F52" s="238">
        <v>13745.72</v>
      </c>
      <c r="G52" s="238">
        <v>13482.73</v>
      </c>
      <c r="H52" s="238">
        <v>13219.43</v>
      </c>
      <c r="I52" s="238">
        <v>12807.0</v>
      </c>
      <c r="J52" s="238">
        <v>12433.0</v>
      </c>
      <c r="K52" s="238">
        <v>12190.0</v>
      </c>
      <c r="L52" s="238">
        <v>12190.0</v>
      </c>
    </row>
    <row r="53" ht="15.75" customHeight="1">
      <c r="A53" s="237" t="s">
        <v>332</v>
      </c>
      <c r="B53" s="238">
        <v>8.75</v>
      </c>
      <c r="C53" s="238">
        <v>10.06</v>
      </c>
      <c r="D53" s="238">
        <v>10.97</v>
      </c>
      <c r="E53" s="238">
        <v>12.77</v>
      </c>
      <c r="F53" s="238">
        <v>14.63</v>
      </c>
      <c r="G53" s="238">
        <v>16.48</v>
      </c>
      <c r="H53" s="238">
        <v>19.0</v>
      </c>
      <c r="I53" s="238">
        <v>19.93</v>
      </c>
      <c r="J53" s="238">
        <v>22.74</v>
      </c>
      <c r="K53" s="238">
        <v>26.62</v>
      </c>
      <c r="L53" s="238">
        <v>26.62</v>
      </c>
    </row>
    <row r="54" ht="15.75" customHeight="1">
      <c r="A54" s="237" t="s">
        <v>333</v>
      </c>
      <c r="B54" s="238">
        <v>100615.0</v>
      </c>
      <c r="C54" s="238">
        <v>119261.0</v>
      </c>
      <c r="D54" s="238">
        <v>133063.0</v>
      </c>
      <c r="E54" s="238">
        <v>157520.0</v>
      </c>
      <c r="F54" s="238">
        <v>178839.0</v>
      </c>
      <c r="G54" s="238">
        <v>199924.0</v>
      </c>
      <c r="H54" s="238">
        <v>227262.0</v>
      </c>
      <c r="I54" s="238">
        <v>227184.0</v>
      </c>
      <c r="J54" s="238">
        <v>254181.0</v>
      </c>
      <c r="K54" s="238">
        <v>293199.0</v>
      </c>
      <c r="L54" s="238">
        <v>293199.0</v>
      </c>
    </row>
    <row r="55" ht="15.75" customHeight="1">
      <c r="A55" s="237" t="s">
        <v>334</v>
      </c>
      <c r="B55" s="238">
        <v>7.32</v>
      </c>
      <c r="C55" s="238">
        <v>8.63</v>
      </c>
      <c r="D55" s="238">
        <v>9.58</v>
      </c>
      <c r="E55" s="238">
        <v>11.32</v>
      </c>
      <c r="F55" s="238">
        <v>12.99</v>
      </c>
      <c r="G55" s="238">
        <v>14.8</v>
      </c>
      <c r="H55" s="238">
        <v>17.16</v>
      </c>
      <c r="I55" s="238">
        <v>17.68</v>
      </c>
      <c r="J55" s="238">
        <v>20.4</v>
      </c>
      <c r="K55" s="238">
        <v>24.01</v>
      </c>
      <c r="L55" s="238">
        <v>24.01</v>
      </c>
    </row>
    <row r="56" ht="15.75" customHeight="1">
      <c r="A56" s="237" t="s">
        <v>335</v>
      </c>
      <c r="B56" s="238">
        <v>7648.0</v>
      </c>
      <c r="C56" s="238">
        <v>3935.0</v>
      </c>
      <c r="D56" s="238">
        <v>3969.0</v>
      </c>
      <c r="E56" s="238">
        <v>4012.0</v>
      </c>
      <c r="F56" s="238">
        <v>16082.0</v>
      </c>
      <c r="G56" s="238">
        <v>27872.0</v>
      </c>
      <c r="H56" s="238">
        <v>28508.0</v>
      </c>
      <c r="I56" s="238">
        <v>29977.0</v>
      </c>
      <c r="J56" s="238">
        <v>29787.0</v>
      </c>
      <c r="K56" s="238">
        <v>28137.0</v>
      </c>
      <c r="L56" s="238">
        <v>28137.0</v>
      </c>
    </row>
    <row r="57" ht="15.75" customHeight="1">
      <c r="A57" s="237" t="s">
        <v>336</v>
      </c>
      <c r="B57" s="245">
        <v>-64278.0</v>
      </c>
      <c r="C57" s="245">
        <v>-82398.0</v>
      </c>
      <c r="D57" s="245">
        <v>-97902.0</v>
      </c>
      <c r="E57" s="245">
        <v>-105128.0</v>
      </c>
      <c r="F57" s="245">
        <v>-103593.0</v>
      </c>
      <c r="G57" s="245">
        <v>-108822.0</v>
      </c>
      <c r="H57" s="245">
        <v>-111141.0</v>
      </c>
      <c r="I57" s="245">
        <v>-83785.0</v>
      </c>
      <c r="J57" s="245">
        <v>-81129.0</v>
      </c>
      <c r="K57" s="245">
        <v>-67520.0</v>
      </c>
      <c r="L57" s="245">
        <v>-67520.0</v>
      </c>
    </row>
    <row r="58" ht="15.75" customHeight="1">
      <c r="A58" s="237" t="s">
        <v>337</v>
      </c>
      <c r="B58" s="263"/>
      <c r="C58" s="263"/>
      <c r="D58" s="263"/>
      <c r="E58" s="263"/>
      <c r="F58" s="263"/>
      <c r="G58" s="263"/>
      <c r="H58" s="263"/>
      <c r="I58" s="263"/>
      <c r="J58" s="263"/>
      <c r="K58" s="263"/>
      <c r="L58" s="263"/>
    </row>
    <row r="59" ht="15.75" customHeight="1">
      <c r="A59" s="237" t="s">
        <v>338</v>
      </c>
      <c r="B59" s="263"/>
      <c r="C59" s="263"/>
      <c r="D59" s="263"/>
      <c r="E59" s="263"/>
      <c r="F59" s="263"/>
      <c r="G59" s="263"/>
      <c r="H59" s="263"/>
      <c r="I59" s="263"/>
      <c r="J59" s="250"/>
      <c r="K59" s="250"/>
      <c r="L59" s="250"/>
    </row>
    <row r="60" ht="15.75" customHeight="1">
      <c r="A60" s="237" t="s">
        <v>339</v>
      </c>
      <c r="B60" s="250"/>
      <c r="C60" s="250"/>
      <c r="D60" s="250"/>
      <c r="E60" s="250"/>
      <c r="F60" s="250"/>
      <c r="G60" s="250"/>
      <c r="H60" s="250"/>
      <c r="I60" s="250"/>
      <c r="J60" s="250"/>
      <c r="K60" s="250"/>
      <c r="L60" s="250"/>
    </row>
    <row r="61" ht="15.75" customHeight="1">
      <c r="A61" s="237" t="s">
        <v>340</v>
      </c>
      <c r="B61" s="263"/>
      <c r="C61" s="263"/>
      <c r="D61" s="263"/>
      <c r="E61" s="263"/>
      <c r="F61" s="263"/>
      <c r="G61" s="263"/>
      <c r="H61" s="263"/>
      <c r="I61" s="263"/>
      <c r="J61" s="250"/>
      <c r="K61" s="250"/>
      <c r="L61" s="250"/>
    </row>
    <row r="62" ht="15.75" customHeight="1">
      <c r="A62" s="237" t="s">
        <v>341</v>
      </c>
      <c r="B62" s="263"/>
      <c r="C62" s="263"/>
      <c r="D62" s="263"/>
      <c r="E62" s="263"/>
      <c r="F62" s="263"/>
      <c r="G62" s="263"/>
      <c r="H62" s="263"/>
      <c r="I62" s="263"/>
      <c r="J62" s="263"/>
      <c r="K62" s="263"/>
      <c r="L62" s="263"/>
    </row>
    <row r="63" ht="15.75" customHeight="1">
      <c r="A63" s="260" t="s">
        <v>278</v>
      </c>
      <c r="B63" s="251"/>
      <c r="C63" s="251"/>
      <c r="D63" s="251"/>
      <c r="E63" s="251"/>
      <c r="F63" s="251"/>
      <c r="G63" s="251"/>
      <c r="H63" s="251"/>
      <c r="I63" s="251"/>
      <c r="J63" s="251"/>
      <c r="K63" s="251"/>
      <c r="L63" s="251"/>
    </row>
    <row r="64" ht="15.75" customHeight="1">
      <c r="A64" s="260" t="s">
        <v>279</v>
      </c>
      <c r="B64" s="251"/>
      <c r="C64" s="251"/>
      <c r="D64" s="251"/>
      <c r="E64" s="251"/>
      <c r="F64" s="251"/>
      <c r="G64" s="251"/>
      <c r="H64" s="251"/>
      <c r="I64" s="251"/>
      <c r="J64" s="251"/>
      <c r="K64" s="251"/>
      <c r="L64" s="251"/>
    </row>
    <row r="65" ht="15.75" customHeight="1">
      <c r="A65" s="261" t="s">
        <v>342</v>
      </c>
      <c r="B65" s="251"/>
      <c r="C65" s="251"/>
      <c r="D65" s="251"/>
      <c r="E65" s="251"/>
      <c r="F65" s="251"/>
      <c r="G65" s="251"/>
      <c r="H65" s="251"/>
      <c r="I65" s="251"/>
      <c r="J65" s="251"/>
      <c r="K65" s="251"/>
      <c r="L65" s="251"/>
    </row>
    <row r="66" ht="15.75" customHeight="1">
      <c r="A66" s="261" t="s">
        <v>343</v>
      </c>
      <c r="B66" s="11"/>
      <c r="C66" s="11"/>
      <c r="D66" s="11"/>
      <c r="E66" s="11"/>
      <c r="F66" s="11"/>
      <c r="G66" s="11"/>
      <c r="H66" s="11"/>
      <c r="I66" s="11"/>
      <c r="J66" s="251"/>
      <c r="K66" s="251"/>
      <c r="L66" s="251"/>
    </row>
    <row r="67" ht="15.75" customHeight="1">
      <c r="B67" s="11"/>
      <c r="C67" s="251"/>
      <c r="D67" s="11"/>
      <c r="E67" s="11"/>
      <c r="F67" s="11"/>
      <c r="G67" s="11"/>
      <c r="H67" s="251"/>
      <c r="I67" s="251"/>
      <c r="J67" s="251"/>
      <c r="K67" s="251"/>
      <c r="L67" s="11"/>
    </row>
    <row r="68" ht="15.75" customHeight="1">
      <c r="B68" s="251"/>
      <c r="C68" s="251"/>
      <c r="D68" s="251"/>
      <c r="E68" s="251"/>
      <c r="F68" s="251"/>
      <c r="G68" s="251"/>
      <c r="H68" s="251"/>
      <c r="I68" s="251"/>
      <c r="J68" s="251"/>
      <c r="K68" s="251"/>
      <c r="L68" s="11"/>
    </row>
    <row r="69" ht="15.75" customHeight="1">
      <c r="B69" s="251"/>
      <c r="C69" s="251"/>
      <c r="D69" s="251"/>
      <c r="E69" s="251"/>
      <c r="F69" s="251"/>
      <c r="G69" s="251"/>
      <c r="H69" s="251"/>
      <c r="I69" s="251"/>
      <c r="J69" s="251"/>
      <c r="K69" s="251"/>
      <c r="L69" s="25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8"/>
    <hyperlink r:id="rId2" ref="C58"/>
    <hyperlink r:id="rId3" ref="D58"/>
    <hyperlink r:id="rId4" ref="E58"/>
    <hyperlink r:id="rId5" ref="F58"/>
    <hyperlink r:id="rId6" ref="G58"/>
    <hyperlink r:id="rId7" ref="H58"/>
    <hyperlink r:id="rId8" ref="I58"/>
    <hyperlink r:id="rId9" ref="J58"/>
    <hyperlink r:id="rId10" ref="K58"/>
    <hyperlink r:id="rId11" ref="L58"/>
    <hyperlink r:id="rId12" ref="B59"/>
    <hyperlink r:id="rId13" ref="C59"/>
    <hyperlink r:id="rId14" ref="D59"/>
    <hyperlink r:id="rId15" ref="E59"/>
    <hyperlink r:id="rId16" ref="F59"/>
    <hyperlink r:id="rId17" ref="G59"/>
    <hyperlink r:id="rId18" ref="H59"/>
    <hyperlink r:id="rId19" ref="I59"/>
    <hyperlink r:id="rId20" ref="B61"/>
    <hyperlink r:id="rId21" ref="C61"/>
    <hyperlink r:id="rId22" ref="D61"/>
    <hyperlink r:id="rId23" ref="E61"/>
    <hyperlink r:id="rId24" ref="F61"/>
    <hyperlink r:id="rId25" ref="G61"/>
    <hyperlink r:id="rId26" ref="H61"/>
    <hyperlink r:id="rId27" ref="I61"/>
    <hyperlink r:id="rId28" ref="B62"/>
    <hyperlink r:id="rId29" ref="C62"/>
    <hyperlink r:id="rId30" ref="D62"/>
    <hyperlink r:id="rId31" ref="E62"/>
    <hyperlink r:id="rId32" ref="F62"/>
    <hyperlink r:id="rId33" ref="G62"/>
    <hyperlink r:id="rId34" ref="H62"/>
    <hyperlink r:id="rId35" ref="I62"/>
    <hyperlink r:id="rId36" ref="J62"/>
    <hyperlink r:id="rId37" ref="K62"/>
    <hyperlink r:id="rId38" ref="L62"/>
    <hyperlink r:id="rId39" ref="A65"/>
    <hyperlink r:id="rId40" ref="A66"/>
  </hyperlinks>
  <printOptions/>
  <pageMargins bottom="0.75" footer="0.0" header="0.0" left="0.7" right="0.7" top="0.75"/>
  <pageSetup paperSize="9" orientation="portrait"/>
  <drawing r:id="rId41"/>
</worksheet>
</file>