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  <extLst>
    <ext uri="GoogleSheetsCustomDataVersion2">
      <go:sheetsCustomData xmlns:go="http://customooxmlschemas.google.com/" r:id="rId13" roundtripDataChecksum="GFbBpKNT8lyjGjpx23H28HOwG+wgVfz0aQsLv2PULE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8">
      <text>
        <t xml:space="preserve">======
ID#AAABlpwQ-LA
Autor    (2025-06-13 11:00:31)
Return on Equity / Retorno sobre el valor en libros
ROE = Net Income / Total Equity</t>
      </text>
    </comment>
    <comment authorId="0" ref="R3">
      <text>
        <t xml:space="preserve">======
ID#AAABlpwQ-K0
    (2025-06-13 11:00:31)
Crecimiento anual estimado de ventas para los próximos 5 años fiscales
Por defecto usa el del año fiscal más reciente</t>
      </text>
    </comment>
    <comment authorId="0" ref="A9">
      <text>
        <t xml:space="preserve">======
ID#AAABlpwQ-Kg
    (2025-06-13 11:00:31)
Número total de acciones diluidas</t>
      </text>
    </comment>
    <comment authorId="0" ref="A3">
      <text>
        <t xml:space="preserve">======
ID#AAABlpwQ-KY
    (2025-06-13 11:00:31)
Sales = Revenue = Net Revenue = Ventas =  Ventas Netas = Cifra de negocio</t>
      </text>
    </comment>
    <comment authorId="0" ref="R5">
      <text>
        <t xml:space="preserve">======
ID#AAABlpwQ-KU
    (2025-06-13 11:00:31)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11">
      <text>
        <t xml:space="preserve">======
ID#AAABlpwQ-Kc
    (2025-06-13 11:00:31)
Número total de acciones diluidas</t>
      </text>
    </comment>
    <comment authorId="0" ref="R6">
      <text>
        <t xml:space="preserve">======
ID#AAABlpwQ-KQ
IDC    (2025-06-13 11:00:31)
Por defecto usa la media de los 6 últimos años fiscales</t>
      </text>
    </comment>
    <comment authorId="0" ref="R4">
      <text>
        <t xml:space="preserve">======
ID#AAABlpwQ-KA
    (2025-06-13 11:00:31)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21">
      <text>
        <t xml:space="preserve">======
ID#AAABlpwQ-Js
Autor    (2025-06-13 11:00:31)
Es el ratio más usado para medir el nivel de deuda de las financieras
Se calcula dividiendo "Total Liabilities" entre "Total Shareholders' Equity"
Para saber si es "alto" o "bajo", debes compararlo con el de sus competidores</t>
      </text>
    </comment>
    <comment authorId="0" ref="A17">
      <text>
        <t xml:space="preserve">======
ID#AAABlpwQ-Jk
Autor    (2025-06-13 11:00:31)
Return on Assets / Retorno sobre los activos
ROA = Net Income / Total Assets</t>
      </text>
    </comment>
  </commentList>
  <extLst>
    <ext uri="GoogleSheetsCustomDataVersion2">
      <go:sheetsCustomData xmlns:go="http://customooxmlschemas.google.com/" r:id="rId1" roundtripDataSignature="AMtx7mjOfV+9s2giYazQuOHyqfn+QdNLY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======
ID#AAABlpwQ-Kk
    (2025-06-13 11:00:31)
Se calculan con las estimaciones del primer año disponible</t>
      </text>
    </comment>
    <comment authorId="0" ref="H15">
      <text>
        <t xml:space="preserve">======
ID#AAABlpwQ-J4
IDC    (2025-06-13 11:00:31)
CAGR = Compounded Annual Growth Rate
Es decir, el porcentaje de retorno anualizado esperado para la inversión</t>
      </text>
    </comment>
    <comment authorId="0" ref="B11">
      <text>
        <t xml:space="preserve">======
ID#AAABlpwQ-J0
    (2025-06-13 11:00:31)
Last Twelve Months - Últimos 12 meses
Estos múltiplos se calculan con los datos financieros del último año fiscal disponible</t>
      </text>
    </comment>
  </commentList>
  <extLst>
    <ext uri="GoogleSheetsCustomDataVersion2">
      <go:sheetsCustomData xmlns:go="http://customooxmlschemas.google.com/" r:id="rId1" roundtripDataSignature="AMtx7mg/x/E8QziV8tI+xjPofXHnQAjr2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2">
      <text>
        <t xml:space="preserve">======
ID#AAABlpwQ-Kw
IDC    (2025-06-13 11:00:31)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  <comment authorId="0" ref="A4">
      <text>
        <t xml:space="preserve">======
ID#AAABlpwQ-KI
Autor    (2025-06-13 11:00:31)
Pagos en acciones / Stock-based compensation</t>
      </text>
    </comment>
    <comment authorId="0" ref="A2">
      <text>
        <t xml:space="preserve">======
ID#AAABlpwQ-J8
IDC    (2025-06-13 11:00:31)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5">
      <text>
        <t xml:space="preserve">======
ID#AAABlpwQ-Jw
Autor    (2025-06-13 11:00:31)
Amplilaciones de capital</t>
      </text>
    </comment>
  </commentList>
  <extLst>
    <ext uri="GoogleSheetsCustomDataVersion2">
      <go:sheetsCustomData xmlns:go="http://customooxmlschemas.google.com/" r:id="rId1" roundtripDataSignature="AMtx7mh6hnHWGzO42o/NoJHSZKF60TZVC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ID#AAABlpwQ-LE
    (2025-06-13 11:00:31)
Solo para empresas con posición de caja neta (Caja &gt; Deuda financiera neta)
La caja neta REDUCE el EV de la empresa</t>
      </text>
    </comment>
    <comment authorId="0" ref="C12">
      <text>
        <t xml:space="preserve">======
ID#AAABlpwQ-K8
    (2025-06-13 11:00:31)
En caso de existir acciones preferentes y/o intereses minoritarios, también hay que incluir la valoración a mercado de estas partidas y sumárselas al EV</t>
      </text>
    </comment>
    <comment authorId="0" ref="B10">
      <text>
        <t xml:space="preserve">======
ID#AAABlpwQ-K4
    (2025-06-13 11:00:31)
Si el resultado es negativo, implica que la compañía tiene caja neta (más caja que deuda)</t>
      </text>
    </comment>
    <comment authorId="0" ref="D25">
      <text>
        <t xml:space="preserve">======
ID#AAABlpwQ-Ks
    (2025-06-13 11:00:31)
Deuda financiera total = Short Term Debt + Long Term Debt
Los operating leases también incluimos tanto a Corto Plazo como a Largo Plazo, en los casos que aparezcan detallados en el balance</t>
      </text>
    </comment>
    <comment authorId="0" ref="C10">
      <text>
        <t xml:space="preserve">======
ID#AAABlpwQ-KM
    (2025-06-13 11:00:31)
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25">
      <text>
        <t xml:space="preserve">======
ID#AAABlpwQ-KE
    (2025-06-13 11:00:31)
T = Tax Rate = Effective Tax Rate</t>
      </text>
    </comment>
    <comment authorId="0" ref="D3">
      <text>
        <t xml:space="preserve">======
ID#AAABlpwQ-Jo
Ojo, hay que incluir TODOS los gastos de ventas y operativos del negocio    (2025-06-13 11:00:31)
- Costes de ventas (Cost of sales o Costs of goods sold)
- Operating Costs (incluyendo SG&amp;A, R&amp;D y todos los gastos operativos que correspondan)</t>
      </text>
    </comment>
  </commentList>
  <extLst>
    <ext uri="GoogleSheetsCustomDataVersion2">
      <go:sheetsCustomData xmlns:go="http://customooxmlschemas.google.com/" r:id="rId1" roundtripDataSignature="AMtx7mgbBJd4aZ6jQB2SCtjUhy26RYRNO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======
ID#AAABlpwQ-Ko
Autor    (2025-06-13 11:00:31)
Número positivo = repago neto de deuda
Número negativo = emisión neta de deuda</t>
      </text>
    </comment>
  </commentList>
  <extLst>
    <ext uri="GoogleSheetsCustomDataVersion2">
      <go:sheetsCustomData xmlns:go="http://customooxmlschemas.google.com/" r:id="rId1" roundtripDataSignature="AMtx7mjAtf88ICKD31K3wa9oeDb1fP1pHA=="/>
    </ext>
  </extLst>
</comments>
</file>

<file path=xl/sharedStrings.xml><?xml version="1.0" encoding="utf-8"?>
<sst xmlns="http://schemas.openxmlformats.org/spreadsheetml/2006/main" count="469" uniqueCount="386">
  <si>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</si>
  <si>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</si>
  <si>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</si>
  <si>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</si>
  <si>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</si>
  <si>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</si>
  <si>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</si>
  <si>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</si>
  <si>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</si>
  <si>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</si>
  <si>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</si>
  <si>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</si>
  <si>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</si>
  <si>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</si>
  <si>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</si>
  <si>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</si>
  <si>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</si>
  <si>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</si>
  <si>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</si>
  <si>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</si>
  <si>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</si>
  <si>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</si>
  <si>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</si>
  <si>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</si>
  <si>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</si>
  <si>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</si>
  <si>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</si>
  <si>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</si>
  <si>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</si>
  <si>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</si>
  <si>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</si>
  <si>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</si>
  <si>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</si>
  <si>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</si>
  <si>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</si>
  <si>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</si>
  <si>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</si>
  <si>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</si>
  <si>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</si>
  <si>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</si>
  <si>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</si>
  <si>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</si>
  <si>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</si>
  <si>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</si>
  <si>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</si>
  <si>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</si>
  <si>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</si>
  <si>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</si>
  <si>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</si>
  <si>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</si>
  <si>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</si>
  <si>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</si>
  <si>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</si>
  <si>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</si>
  <si>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</si>
  <si>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</si>
  <si>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</si>
  <si>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</si>
  <si>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</si>
  <si>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</si>
  <si>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</si>
  <si>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</si>
  <si>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</si>
  <si>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</si>
  <si>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</si>
  <si>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</si>
  <si>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Interest Income On Loans</t>
  </si>
  <si>
    <t>Interest Income</t>
  </si>
  <si>
    <t>Interest On Deposits</t>
  </si>
  <si>
    <t>Interest Expense</t>
  </si>
  <si>
    <t>Net Interest Income</t>
  </si>
  <si>
    <t>% Change YoY</t>
  </si>
  <si>
    <t>5,9 %</t>
  </si>
  <si>
    <t>8,7 %</t>
  </si>
  <si>
    <t>9,9 %</t>
  </si>
  <si>
    <t>4,0 %</t>
  </si>
  <si>
    <t>(4,7 %)</t>
  </si>
  <si>
    <t>(4,1 %)</t>
  </si>
  <si>
    <t>27,5 %</t>
  </si>
  <si>
    <t>33,8 %</t>
  </si>
  <si>
    <t>3,7 %</t>
  </si>
  <si>
    <t>Service Charges On Deposits</t>
  </si>
  <si>
    <t>Trust Income</t>
  </si>
  <si>
    <t>Credit Card Fee</t>
  </si>
  <si>
    <t>Total Mortgage Banking Activities</t>
  </si>
  <si>
    <t>Income From Trading Activities</t>
  </si>
  <si>
    <t>Gain (Loss) on Sale of Assets</t>
  </si>
  <si>
    <t>Gain (Loss) on Sale of Invest. &amp; Securities</t>
  </si>
  <si>
    <t>Income (Loss) on Equity Invest.</t>
  </si>
  <si>
    <t>Total Other Non Interest Income</t>
  </si>
  <si>
    <t>Non Interest Income Total</t>
  </si>
  <si>
    <t>Revenues Before Provison For Loan Losses</t>
  </si>
  <si>
    <t>Provision For Loan Losses</t>
  </si>
  <si>
    <t>Total Revenues</t>
  </si>
  <si>
    <t>2,2 %</t>
  </si>
  <si>
    <t>3,9 %</t>
  </si>
  <si>
    <t>9,5 %</t>
  </si>
  <si>
    <t>6,2 %</t>
  </si>
  <si>
    <t>(7,0 %)</t>
  </si>
  <si>
    <t>27,7 %</t>
  </si>
  <si>
    <t>(6,6 %)</t>
  </si>
  <si>
    <t>19,1 %</t>
  </si>
  <si>
    <t>14,5 %</t>
  </si>
  <si>
    <t>Compensation And Benefits</t>
  </si>
  <si>
    <t>Amort. of Goodwill &amp; Intang. Assets</t>
  </si>
  <si>
    <t>Occupancy Expense</t>
  </si>
  <si>
    <t>Selling General &amp; Admin Expenses</t>
  </si>
  <si>
    <t>Total Other Non Interest Expense</t>
  </si>
  <si>
    <t>Non Interest Expense</t>
  </si>
  <si>
    <t>EBT Excl. Unusual Items</t>
  </si>
  <si>
    <t>3,2 %</t>
  </si>
  <si>
    <t>2,9 %</t>
  </si>
  <si>
    <t>15,9 %</t>
  </si>
  <si>
    <t>10,5 %</t>
  </si>
  <si>
    <t>(18,1 %)</t>
  </si>
  <si>
    <t>61,3 %</t>
  </si>
  <si>
    <t>(22,5 %)</t>
  </si>
  <si>
    <t>35,3 %</t>
  </si>
  <si>
    <t>21,3 %</t>
  </si>
  <si>
    <t>Merger &amp; Restructuring Charges</t>
  </si>
  <si>
    <t>Asset Writedown</t>
  </si>
  <si>
    <t>Insurance Settlements</t>
  </si>
  <si>
    <t>Legal Settlements</t>
  </si>
  <si>
    <t>Other Unusual Items</t>
  </si>
  <si>
    <t>EBT Incl. Unusual Items</t>
  </si>
  <si>
    <t>Income Tax Expense</t>
  </si>
  <si>
    <t>Earnings From Continuing Operations</t>
  </si>
  <si>
    <t>Earnings Of Discontinued Operations</t>
  </si>
  <si>
    <t>Extraordinary Item &amp; Accounting Change</t>
  </si>
  <si>
    <t>Net Income to Company</t>
  </si>
  <si>
    <t>Preferred Dividend and Other Adjustments</t>
  </si>
  <si>
    <t>Net Income to Common Incl Extra Items</t>
  </si>
  <si>
    <t>% Net Income to Common Incl Extra Items Margins</t>
  </si>
  <si>
    <t>25,4 %</t>
  </si>
  <si>
    <t>25,0 %</t>
  </si>
  <si>
    <t>23,8 %</t>
  </si>
  <si>
    <t>29,6 %</t>
  </si>
  <si>
    <t>31,5 %</t>
  </si>
  <si>
    <t>26,7 %</t>
  </si>
  <si>
    <t>35,5 %</t>
  </si>
  <si>
    <t>29,3 %</t>
  </si>
  <si>
    <t>32,8 %</t>
  </si>
  <si>
    <t>34,1 %</t>
  </si>
  <si>
    <t>Net Income to Common Excl. Extra Items</t>
  </si>
  <si>
    <t>% Net Income to Common Excl. Extra Items Margins</t>
  </si>
  <si>
    <t>Supplementary Data:</t>
  </si>
  <si>
    <t>Diluted EPS Excl Extra Items</t>
  </si>
  <si>
    <t>1,9 %</t>
  </si>
  <si>
    <t>42,6 %</t>
  </si>
  <si>
    <t>(17,2 %)</t>
  </si>
  <si>
    <t>73,0 %</t>
  </si>
  <si>
    <t>(21,3 %)</t>
  </si>
  <si>
    <t>34,2 %</t>
  </si>
  <si>
    <t>21,7 %</t>
  </si>
  <si>
    <t>Weighted Average Diluted Shares Outstanding</t>
  </si>
  <si>
    <t>(2,2 %)</t>
  </si>
  <si>
    <t>(3,1 %)</t>
  </si>
  <si>
    <t>(4,6 %)</t>
  </si>
  <si>
    <t>(5,4 %)</t>
  </si>
  <si>
    <t>(4,4 %)</t>
  </si>
  <si>
    <t>(2,0 %)</t>
  </si>
  <si>
    <t>(1,9 %)</t>
  </si>
  <si>
    <t>(0,9 %)</t>
  </si>
  <si>
    <t>Weighted Average Basic Shares Outstanding</t>
  </si>
  <si>
    <t>(2,9 %)</t>
  </si>
  <si>
    <t>(5,1 %)</t>
  </si>
  <si>
    <t>(4,3 %)</t>
  </si>
  <si>
    <t>(1,8 %)</t>
  </si>
  <si>
    <t>Dividends per share</t>
  </si>
  <si>
    <t>9,3 %</t>
  </si>
  <si>
    <t>12,8 %</t>
  </si>
  <si>
    <t>28,3 %</t>
  </si>
  <si>
    <t>5,6 %</t>
  </si>
  <si>
    <t>5,3 %</t>
  </si>
  <si>
    <t>2,5 %</t>
  </si>
  <si>
    <t>17,1 %</t>
  </si>
  <si>
    <t>Payout Ratio %</t>
  </si>
  <si>
    <t>32,2 %</t>
  </si>
  <si>
    <t>34,3 %</t>
  </si>
  <si>
    <t>36,8 %</t>
  </si>
  <si>
    <t>31,1 %</t>
  </si>
  <si>
    <t>33,9 %</t>
  </si>
  <si>
    <t>43,6 %</t>
  </si>
  <si>
    <t>26,6 %</t>
  </si>
  <si>
    <t>36,0 %</t>
  </si>
  <si>
    <t>27,2 %</t>
  </si>
  <si>
    <t>25,3 %</t>
  </si>
  <si>
    <t>20,4 %</t>
  </si>
  <si>
    <t>28,4 %</t>
  </si>
  <si>
    <t>31,9 %</t>
  </si>
  <si>
    <t>20,3 %</t>
  </si>
  <si>
    <t>18,8 %</t>
  </si>
  <si>
    <t>18,7 %</t>
  </si>
  <si>
    <t>18,9 %</t>
  </si>
  <si>
    <t>18,4 %</t>
  </si>
  <si>
    <t>19,6 %</t>
  </si>
  <si>
    <t>22,1 %</t>
  </si>
  <si>
    <t>Market Cap</t>
  </si>
  <si>
    <t>Price Close</t>
  </si>
  <si>
    <t>66,03 US$</t>
  </si>
  <si>
    <t>86,29 US$</t>
  </si>
  <si>
    <t>106,94 US$</t>
  </si>
  <si>
    <t>97,62 US$</t>
  </si>
  <si>
    <t>139,40 US$</t>
  </si>
  <si>
    <t>127,07 US$</t>
  </si>
  <si>
    <t>158,35 US$</t>
  </si>
  <si>
    <t>134,10 US$</t>
  </si>
  <si>
    <t>170,10 US$</t>
  </si>
  <si>
    <t>239,71 US$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</si>
  <si>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</si>
  <si>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</si>
  <si>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</si>
  <si>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</si>
  <si>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</si>
  <si>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</si>
  <si>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</si>
  <si>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Investment Securities</t>
  </si>
  <si>
    <t>Trading Asset Securities</t>
  </si>
  <si>
    <t>Mortgage Backed Securities</t>
  </si>
  <si>
    <t>Gross Loans</t>
  </si>
  <si>
    <t>Allowance For Loan Losses</t>
  </si>
  <si>
    <t>Other Adjustments to Gross Loans</t>
  </si>
  <si>
    <t>Net Loans</t>
  </si>
  <si>
    <t>Net Property Plant And Equipment</t>
  </si>
  <si>
    <t>Goodwill</t>
  </si>
  <si>
    <t>Other Intangibles</t>
  </si>
  <si>
    <t>Loans Held For Sale</t>
  </si>
  <si>
    <t>Accrued Interest Receivable</t>
  </si>
  <si>
    <t>Other Receivables</t>
  </si>
  <si>
    <t>Restricted Cash</t>
  </si>
  <si>
    <t>Other Current Assets</t>
  </si>
  <si>
    <t>Deferred Tax Assets Long-Term (Collected)</t>
  </si>
  <si>
    <t>Other Real Estate Owned And Foreclosed</t>
  </si>
  <si>
    <t>Other Long-Term Assets</t>
  </si>
  <si>
    <t>Total Assets</t>
  </si>
  <si>
    <t>Accounts Payable</t>
  </si>
  <si>
    <t>Accrued Expenses</t>
  </si>
  <si>
    <t>Interest Bearing Deposits</t>
  </si>
  <si>
    <t>Institutional Deposits</t>
  </si>
  <si>
    <t>Non-Interest Bearing Deposits</t>
  </si>
  <si>
    <t>Total Deposits</t>
  </si>
  <si>
    <t>Short-Term Borrowings</t>
  </si>
  <si>
    <t>Current Portion of Long-Term Debt</t>
  </si>
  <si>
    <t>Current Portion of Capital Lease Obligations</t>
  </si>
  <si>
    <t>Long-Term Debt</t>
  </si>
  <si>
    <t>Federal Home Loan Bank Debt - Long-Term</t>
  </si>
  <si>
    <t>Capital Leases</t>
  </si>
  <si>
    <t>Trust Preferred Securities (BS)</t>
  </si>
  <si>
    <t>Other Liabilities</t>
  </si>
  <si>
    <t>Pension &amp; Other Post Retirement Benefits</t>
  </si>
  <si>
    <t>Total Liabilities</t>
  </si>
  <si>
    <t>Preferred Stock Redeemable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</si>
  <si>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</si>
  <si>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</si>
  <si>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</si>
  <si>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</si>
  <si>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</si>
  <si>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</si>
  <si>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</si>
  <si>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</si>
  <si>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</si>
  <si>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</si>
  <si>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</si>
  <si>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</si>
  <si>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</si>
  <si>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</si>
  <si>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</si>
  <si>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</si>
  <si>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</si>
  <si>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</si>
  <si>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</si>
  <si>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</si>
  <si>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Amortization of Goodwill and Intangible Assets</t>
  </si>
  <si>
    <t>Total Depreciation, Depletion &amp; Amortization</t>
  </si>
  <si>
    <t>(Gain) Loss On Sale of Asset</t>
  </si>
  <si>
    <t>(Gain) Loss on Sale of Investments</t>
  </si>
  <si>
    <t>Provision for Credit Losses</t>
  </si>
  <si>
    <t>Stock-Based Compensation</t>
  </si>
  <si>
    <t>Net (Increase) Decrease in Loans Originated / Sold - Operating</t>
  </si>
  <si>
    <t>Change in Trading Asset Securities</t>
  </si>
  <si>
    <t>Changes in Accrued Interest Receivable</t>
  </si>
  <si>
    <t>Change in Accounts Payable</t>
  </si>
  <si>
    <t>Change in Other Net Operating Assets</t>
  </si>
  <si>
    <t>Other Operating Activities</t>
  </si>
  <si>
    <t>Net Cash From Discontinued Operations</t>
  </si>
  <si>
    <t>Cash from Operations</t>
  </si>
  <si>
    <t>Sale of Property, Plant and Equipment</t>
  </si>
  <si>
    <t>Sale of Property, Plant, and Equipment</t>
  </si>
  <si>
    <t>Cash Acquisitions</t>
  </si>
  <si>
    <t>Divestitures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</si>
  <si>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</si>
  <si>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</si>
  <si>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</si>
  <si>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</si>
  <si>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</si>
  <si>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</si>
  <si>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</si>
  <si>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</si>
  <si>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</si>
  <si>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</si>
  <si>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Common Dividends Paid</t>
  </si>
  <si>
    <t>Common &amp; Preferred Stock Dividends Paid</t>
  </si>
  <si>
    <t>Net Increase (Decrease) in Deposit Accounts</t>
  </si>
  <si>
    <t>Other Financing Activities</t>
  </si>
  <si>
    <t>Cash from Financing</t>
  </si>
  <si>
    <t>Foreign Exchange Rate Adjustments</t>
  </si>
  <si>
    <t>Net Change in Cash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</si>
  <si>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</si>
  <si>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</si>
  <si>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</si>
  <si>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</si>
  <si>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</si>
  <si>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</si>
  <si>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</si>
  <si>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</si>
  <si>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</si>
  <si>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</si>
  <si>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</si>
  <si>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EBITDA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</si>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</sst>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1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>
      <sz val="12.0"/>
      <color rgb="FF1F497D"/>
      <name val="Arial"/>
    </font>
    <font/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b/>
      <sz val="11.0"/>
      <color rgb="FFE1E4EA"/>
      <name val="Roboto"/>
    </font>
    <font>
      <sz val="11.0"/>
      <color rgb="FFF44336"/>
      <name val="Roboto"/>
    </font>
    <font>
      <b/>
      <sz val="11.0"/>
      <color rgb="FFF44336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E1E4EA"/>
      <name val="Roboto"/>
    </font>
    <font>
      <b/>
      <i/>
      <sz val="11.0"/>
      <color rgb="FFF44336"/>
      <name val="Roboto"/>
    </font>
    <font>
      <b/>
      <i/>
      <sz val="11.0"/>
      <color rgb="FF000000"/>
      <name val="Roboto"/>
    </font>
    <font>
      <sz val="11.0"/>
      <color rgb="FF000000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E1E4EA"/>
      <name val="Roboto"/>
    </font>
    <font>
      <i/>
      <sz val="11.0"/>
      <color rgb="FFF44336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654F32"/>
        <bgColor rgb="FF654F32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164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9" fillId="5" fontId="11" numFmtId="164" xfId="0" applyAlignment="1" applyBorder="1" applyFont="1" applyNumberFormat="1">
      <alignment horizontal="center" readingOrder="0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1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1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left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4" numFmtId="0" xfId="0" applyBorder="1" applyFont="1"/>
    <xf borderId="33" fillId="5" fontId="11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4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164" xfId="0" applyAlignment="1" applyBorder="1" applyFont="1" applyNumberFormat="1">
      <alignment horizontal="center" vertical="center"/>
    </xf>
    <xf borderId="42" fillId="0" fontId="4" numFmtId="164" xfId="0" applyAlignment="1" applyBorder="1" applyFont="1" applyNumberFormat="1">
      <alignment horizontal="center" vertical="center"/>
    </xf>
    <xf borderId="2" fillId="6" fontId="18" numFmtId="0" xfId="0" applyAlignment="1" applyBorder="1" applyFill="1" applyFont="1">
      <alignment horizontal="left" vertical="center"/>
    </xf>
    <xf borderId="2" fillId="6" fontId="18" numFmtId="4" xfId="0" applyAlignment="1" applyBorder="1" applyFont="1" applyNumberFormat="1">
      <alignment horizontal="center" vertical="center"/>
    </xf>
    <xf borderId="40" fillId="6" fontId="18" numFmtId="4" xfId="0" applyAlignment="1" applyBorder="1" applyFont="1" applyNumberFormat="1">
      <alignment horizontal="center" vertical="center"/>
    </xf>
    <xf borderId="20" fillId="6" fontId="18" numFmtId="0" xfId="0" applyAlignment="1" applyBorder="1" applyFont="1">
      <alignment horizontal="left" vertical="center"/>
    </xf>
    <xf borderId="21" fillId="6" fontId="18" numFmtId="0" xfId="0" applyAlignment="1" applyBorder="1" applyFont="1">
      <alignment horizontal="left" vertical="center"/>
    </xf>
    <xf borderId="43" fillId="0" fontId="18" numFmtId="164" xfId="0" applyAlignment="1" applyBorder="1" applyFont="1" applyNumberFormat="1">
      <alignment horizontal="center" vertical="center"/>
    </xf>
    <xf borderId="21" fillId="6" fontId="18" numFmtId="9" xfId="0" applyAlignment="1" applyBorder="1" applyFont="1" applyNumberFormat="1">
      <alignment horizontal="center" vertical="center"/>
    </xf>
    <xf borderId="44" fillId="6" fontId="18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8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3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3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7" fontId="19" numFmtId="0" xfId="0" applyAlignment="1" applyFill="1" applyFont="1">
      <alignment horizontal="left" shrinkToFit="0" wrapText="0"/>
    </xf>
    <xf borderId="0" fillId="7" fontId="19" numFmtId="169" xfId="0" applyAlignment="1" applyFont="1" applyNumberFormat="1">
      <alignment horizontal="right" shrinkToFit="0" wrapText="0"/>
    </xf>
    <xf borderId="0" fillId="7" fontId="19" numFmtId="0" xfId="0" applyAlignment="1" applyFont="1">
      <alignment horizontal="right" shrinkToFit="0" wrapText="0"/>
    </xf>
    <xf borderId="0" fillId="0" fontId="20" numFmtId="0" xfId="0" applyFont="1"/>
    <xf borderId="0" fillId="0" fontId="20" numFmtId="170" xfId="0" applyAlignment="1" applyFont="1" applyNumberFormat="1">
      <alignment horizontal="center"/>
    </xf>
    <xf borderId="0" fillId="8" fontId="21" numFmtId="0" xfId="0" applyAlignment="1" applyFill="1" applyFont="1">
      <alignment horizontal="left" shrinkToFit="0" wrapText="0"/>
    </xf>
    <xf borderId="0" fillId="8" fontId="22" numFmtId="4" xfId="0" applyAlignment="1" applyFont="1" applyNumberFormat="1">
      <alignment horizontal="right" shrinkToFit="0" wrapText="0"/>
    </xf>
    <xf borderId="0" fillId="8" fontId="19" numFmtId="0" xfId="0" applyAlignment="1" applyFont="1">
      <alignment horizontal="left" shrinkToFit="0" wrapText="0"/>
    </xf>
    <xf borderId="0" fillId="8" fontId="23" numFmtId="4" xfId="0" applyAlignment="1" applyFont="1" applyNumberFormat="1">
      <alignment horizontal="right" shrinkToFit="0" wrapText="0"/>
    </xf>
    <xf borderId="0" fillId="8" fontId="24" numFmtId="4" xfId="0" applyAlignment="1" applyFont="1" applyNumberFormat="1">
      <alignment horizontal="right" shrinkToFit="0" wrapText="0"/>
    </xf>
    <xf borderId="0" fillId="8" fontId="25" numFmtId="4" xfId="0" applyAlignment="1" applyFont="1" applyNumberFormat="1">
      <alignment horizontal="right" shrinkToFit="0" wrapText="0"/>
    </xf>
    <xf borderId="45" fillId="8" fontId="19" numFmtId="0" xfId="0" applyAlignment="1" applyBorder="1" applyFont="1">
      <alignment horizontal="left" shrinkToFit="0" wrapText="0"/>
    </xf>
    <xf borderId="45" fillId="8" fontId="23" numFmtId="4" xfId="0" applyAlignment="1" applyBorder="1" applyFont="1" applyNumberFormat="1">
      <alignment horizontal="right" shrinkToFit="0" wrapText="0"/>
    </xf>
    <xf borderId="0" fillId="8" fontId="26" numFmtId="0" xfId="0" applyAlignment="1" applyFont="1">
      <alignment horizontal="left" shrinkToFit="0" wrapText="0"/>
    </xf>
    <xf borderId="0" fillId="0" fontId="27" numFmtId="4" xfId="0" applyAlignment="1" applyFont="1" applyNumberFormat="1">
      <alignment horizontal="right" shrinkToFit="0" wrapText="0"/>
    </xf>
    <xf borderId="0" fillId="8" fontId="28" numFmtId="4" xfId="0" applyAlignment="1" applyFont="1" applyNumberFormat="1">
      <alignment horizontal="right" shrinkToFit="0" wrapText="0"/>
    </xf>
    <xf borderId="0" fillId="8" fontId="29" numFmtId="4" xfId="0" applyAlignment="1" applyFont="1" applyNumberFormat="1">
      <alignment horizontal="right" shrinkToFit="0" wrapText="0"/>
    </xf>
    <xf borderId="0" fillId="8" fontId="30" numFmtId="4" xfId="0" applyAlignment="1" applyFont="1" applyNumberFormat="1">
      <alignment horizontal="right" shrinkToFit="0" wrapText="0"/>
    </xf>
    <xf borderId="0" fillId="8" fontId="31" numFmtId="4" xfId="0" applyAlignment="1" applyFont="1" applyNumberFormat="1">
      <alignment horizontal="right" shrinkToFit="0" wrapText="0"/>
    </xf>
    <xf borderId="45" fillId="8" fontId="25" numFmtId="4" xfId="0" applyAlignment="1" applyBorder="1" applyFont="1" applyNumberFormat="1">
      <alignment horizontal="right" shrinkToFit="0" wrapText="0"/>
    </xf>
    <xf borderId="0" fillId="9" fontId="26" numFmtId="0" xfId="0" applyAlignment="1" applyFill="1" applyFont="1">
      <alignment horizontal="left" shrinkToFit="0" wrapText="0"/>
    </xf>
    <xf borderId="0" fillId="0" fontId="28" numFmtId="4" xfId="0" applyAlignment="1" applyFont="1" applyNumberFormat="1">
      <alignment horizontal="right" shrinkToFit="0" wrapText="0"/>
    </xf>
    <xf borderId="0" fillId="0" fontId="29" numFmtId="4" xfId="0" applyAlignment="1" applyFont="1" applyNumberFormat="1">
      <alignment horizontal="right" shrinkToFit="0" wrapText="0"/>
    </xf>
    <xf borderId="0" fillId="0" fontId="30" numFmtId="4" xfId="0" applyAlignment="1" applyFont="1" applyNumberFormat="1">
      <alignment horizontal="right" shrinkToFit="0" wrapText="0"/>
    </xf>
    <xf borderId="0" fillId="0" fontId="5" numFmtId="0" xfId="0" applyFont="1"/>
    <xf borderId="0" fillId="0" fontId="5" numFmtId="4" xfId="0" applyAlignment="1" applyFont="1" applyNumberFormat="1">
      <alignment horizontal="center"/>
    </xf>
    <xf borderId="0" fillId="8" fontId="32" numFmtId="0" xfId="0" applyAlignment="1" applyFont="1">
      <alignment horizontal="left" shrinkToFit="0" wrapText="0"/>
    </xf>
    <xf borderId="0" fillId="0" fontId="33" numFmtId="4" xfId="0" applyAlignment="1" applyFont="1" applyNumberFormat="1">
      <alignment horizontal="right" shrinkToFit="0" wrapText="0"/>
    </xf>
    <xf borderId="0" fillId="8" fontId="34" numFmtId="4" xfId="0" applyAlignment="1" applyFont="1" applyNumberFormat="1">
      <alignment horizontal="right" shrinkToFit="0" wrapText="0"/>
    </xf>
    <xf borderId="0" fillId="8" fontId="35" numFmtId="4" xfId="0" applyAlignment="1" applyFont="1" applyNumberFormat="1">
      <alignment horizontal="right" shrinkToFit="0" wrapText="0"/>
    </xf>
    <xf borderId="0" fillId="8" fontId="36" numFmtId="4" xfId="0" applyAlignment="1" applyFont="1" applyNumberFormat="1">
      <alignment horizontal="right" shrinkToFit="0" wrapText="0"/>
    </xf>
    <xf borderId="0" fillId="8" fontId="22" numFmtId="0" xfId="0" applyAlignment="1" applyFont="1">
      <alignment horizontal="right" shrinkToFit="0" wrapText="0"/>
    </xf>
    <xf borderId="0" fillId="8" fontId="31" numFmtId="0" xfId="0" applyAlignment="1" applyFont="1">
      <alignment horizontal="right" shrinkToFit="0" wrapText="0"/>
    </xf>
    <xf borderId="0" fillId="10" fontId="37" numFmtId="0" xfId="0" applyAlignment="1" applyFill="1" applyFont="1">
      <alignment shrinkToFit="0" wrapText="1"/>
    </xf>
    <xf borderId="0" fillId="10" fontId="38" numFmtId="0" xfId="0" applyAlignment="1" applyFont="1">
      <alignment shrinkToFit="0" wrapText="1"/>
    </xf>
    <xf borderId="0" fillId="0" fontId="39" numFmtId="4" xfId="0" applyAlignment="1" applyFont="1" applyNumberFormat="1">
      <alignment horizontal="right" shrinkToFit="0" wrapText="0"/>
    </xf>
    <xf borderId="0" fillId="8" fontId="24" numFmtId="0" xfId="0" applyAlignment="1" applyFont="1">
      <alignment horizontal="right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left" vertical="center"/>
    </xf>
    <xf borderId="2" fillId="3" fontId="40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0" numFmtId="0" xfId="0" applyBorder="1" applyFont="1"/>
    <xf borderId="2" fillId="6" fontId="20" numFmtId="1" xfId="0" applyAlignment="1" applyBorder="1" applyFont="1" applyNumberFormat="1">
      <alignment horizontal="right"/>
    </xf>
    <xf borderId="0" fillId="0" fontId="20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0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0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Valor Intrínseco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PER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'4.Valoración'!$B$15:$F$15</c:f>
            </c:strRef>
          </c:cat>
          <c:val>
            <c:numRef>
              <c:f>'4.Valoración'!$B$17:$F$17</c:f>
              <c:numCache/>
            </c:numRef>
          </c:val>
          <c:smooth val="1"/>
        </c:ser>
        <c:ser>
          <c:idx val="1"/>
          <c:order val="1"/>
          <c:tx>
            <c:v>Precio actual</c:v>
          </c:tx>
          <c:spPr>
            <a:ln cmpd="sng"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'4.Valoración'!$B$15:$F$15</c:f>
            </c:strRef>
          </c:cat>
          <c:val>
            <c:numRef>
              <c:f>'TIKR_Cálculos'!$B$4:$F$4</c:f>
              <c:numCache/>
            </c:numRef>
          </c:val>
          <c:smooth val="1"/>
        </c:ser>
        <c:axId val="1001023348"/>
        <c:axId val="557550096"/>
      </c:lineChart>
      <c:catAx>
        <c:axId val="100102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7550096"/>
      </c:catAx>
      <c:valAx>
        <c:axId val="557550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10233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9</xdr:row>
      <xdr:rowOff>0</xdr:rowOff>
    </xdr:from>
    <xdr:ext cx="5591175" cy="3124200"/>
    <xdr:graphicFrame>
      <xdr:nvGraphicFramePr>
        <xdr:cNvPr id="1699741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5003100" y="2822738"/>
                <a:chExt cx="685800" cy="191452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5003100" y="2822738"/>
                  <a:ext cx="685800" cy="1914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 rot="10800000">
                  <a:off x="5003100" y="2822738"/>
                  <a:ext cx="685800" cy="191452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F5913F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privacypolicy" TargetMode="External"/><Relationship Id="rId12" Type="http://schemas.openxmlformats.org/officeDocument/2006/relationships/hyperlink" Target="https://app.tikr.com/terms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14" Type="http://schemas.openxmlformats.org/officeDocument/2006/relationships/drawing" Target="../drawings/drawing6.xm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terms" TargetMode="External"/><Relationship Id="rId2" Type="http://schemas.openxmlformats.org/officeDocument/2006/relationships/hyperlink" Target="https://app.tikr.com/privacypolic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89202</v>
      </c>
      <c r="C3" s="26">
        <f>IFERROR(VLOOKUP("Total Revenues*",'7.TIKR_IS'!$A:$K,COLUMN(C3),FALSE),"0")</f>
        <v>91208</v>
      </c>
      <c r="D3" s="26">
        <f>IFERROR(VLOOKUP("Total Revenues*",'7.TIKR_IS'!$A:$K,COLUMN(D3),FALSE),"0")</f>
        <v>94745</v>
      </c>
      <c r="E3" s="26">
        <f>IFERROR(VLOOKUP("Total Revenues*",'7.TIKR_IS'!$A:$K,COLUMN(E3),FALSE),"0")</f>
        <v>103744</v>
      </c>
      <c r="F3" s="26">
        <f>IFERROR(VLOOKUP("Total Revenues*",'7.TIKR_IS'!$A:$K,COLUMN(F3),FALSE),"0")</f>
        <v>110134</v>
      </c>
      <c r="G3" s="26">
        <f>IFERROR(VLOOKUP("Total Revenues*",'7.TIKR_IS'!$A:$K,COLUMN(G3),FALSE),"0")</f>
        <v>102471</v>
      </c>
      <c r="H3" s="26">
        <f>IFERROR(VLOOKUP("Total Revenues*",'7.TIKR_IS'!$A:$K,COLUMN(H3),FALSE),"0")</f>
        <v>130898</v>
      </c>
      <c r="I3" s="26">
        <f>IFERROR(VLOOKUP("Total Revenues*",'7.TIKR_IS'!$A:$K,COLUMN(I3),FALSE),"0")</f>
        <v>122306</v>
      </c>
      <c r="J3" s="26">
        <f>IFERROR(VLOOKUP("Total Revenues*",'7.TIKR_IS'!$A:$K,COLUMN(J3),FALSE),"0")</f>
        <v>145670</v>
      </c>
      <c r="K3" s="26">
        <f>IFERROR(VLOOKUP("Total Revenues*",'7.TIKR_IS'!$A:$K,COLUMN(K3),FALSE),"0")</f>
        <v>166775</v>
      </c>
      <c r="L3" s="27">
        <f t="shared" ref="L3:P3" si="2">IFERROR((K3*$T$3)+K3,"")</f>
        <v>180117</v>
      </c>
      <c r="M3" s="28">
        <f t="shared" si="2"/>
        <v>194526.36</v>
      </c>
      <c r="N3" s="28">
        <f t="shared" si="2"/>
        <v>210088.4688</v>
      </c>
      <c r="O3" s="28">
        <f t="shared" si="2"/>
        <v>226895.5463</v>
      </c>
      <c r="P3" s="29">
        <f t="shared" si="2"/>
        <v>245047.19</v>
      </c>
      <c r="Q3" s="23"/>
      <c r="R3" s="30" t="s">
        <v>16</v>
      </c>
      <c r="S3" s="31">
        <f>IFERROR(AVERAGE(C4:K4),"")</f>
        <v>0.0773279551</v>
      </c>
      <c r="T3" s="32">
        <v>0.08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0.02248828502</v>
      </c>
      <c r="D4" s="35">
        <f t="shared" si="3"/>
        <v>0.03877949303</v>
      </c>
      <c r="E4" s="35">
        <f t="shared" si="3"/>
        <v>0.0949812655</v>
      </c>
      <c r="F4" s="35">
        <f t="shared" si="3"/>
        <v>0.0615939235</v>
      </c>
      <c r="G4" s="35">
        <f t="shared" si="3"/>
        <v>-0.06957887664</v>
      </c>
      <c r="H4" s="35">
        <f t="shared" si="3"/>
        <v>0.2774150735</v>
      </c>
      <c r="I4" s="36">
        <f t="shared" si="3"/>
        <v>-0.06563889441</v>
      </c>
      <c r="J4" s="36">
        <f t="shared" si="3"/>
        <v>0.1910290583</v>
      </c>
      <c r="K4" s="36">
        <f t="shared" si="3"/>
        <v>0.1448822681</v>
      </c>
      <c r="L4" s="37">
        <f t="shared" ref="L4:P4" si="4">$T$3</f>
        <v>0.08</v>
      </c>
      <c r="M4" s="36">
        <f t="shared" si="4"/>
        <v>0.08</v>
      </c>
      <c r="N4" s="36">
        <f t="shared" si="4"/>
        <v>0.08</v>
      </c>
      <c r="O4" s="36">
        <f t="shared" si="4"/>
        <v>0.08</v>
      </c>
      <c r="P4" s="38">
        <f t="shared" si="4"/>
        <v>0.08</v>
      </c>
      <c r="Q4" s="23"/>
      <c r="R4" s="30" t="s">
        <v>18</v>
      </c>
      <c r="S4" s="31">
        <f>IFERROR(AVERAGE(B6:K6),"")</f>
        <v>0.3957205163</v>
      </c>
      <c r="T4" s="39">
        <v>0.39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40">
        <f>IFERROR(VLOOKUP("EBT Incl. Unusual Items*",'7.TIKR_IS'!$A:$K,COLUMN(B2),FALSE),"0")</f>
        <v>30702</v>
      </c>
      <c r="C5" s="41">
        <f>IFERROR(VLOOKUP("EBT Incl. Unusual Items*",'7.TIKR_IS'!$A:$K,COLUMN(C2),FALSE),"0")</f>
        <v>34536</v>
      </c>
      <c r="D5" s="41">
        <f>IFERROR(VLOOKUP("EBT Incl. Unusual Items*",'7.TIKR_IS'!$A:$K,COLUMN(D2),FALSE),"0")</f>
        <v>35900</v>
      </c>
      <c r="E5" s="41">
        <f>IFERROR(VLOOKUP("EBT Incl. Unusual Items*",'7.TIKR_IS'!$A:$K,COLUMN(E2),FALSE),"0")</f>
        <v>40764</v>
      </c>
      <c r="F5" s="41">
        <f>IFERROR(VLOOKUP("EBT Incl. Unusual Items*",'7.TIKR_IS'!$A:$K,COLUMN(F2),FALSE),"0")</f>
        <v>44866</v>
      </c>
      <c r="G5" s="41">
        <f>IFERROR(VLOOKUP("EBT Incl. Unusual Items*",'7.TIKR_IS'!$A:$K,COLUMN(G2),FALSE),"0")</f>
        <v>35815</v>
      </c>
      <c r="H5" s="41">
        <f>IFERROR(VLOOKUP("EBT Incl. Unusual Items*",'7.TIKR_IS'!$A:$K,COLUMN(H2),FALSE),"0")</f>
        <v>59562</v>
      </c>
      <c r="I5" s="41">
        <f>IFERROR(VLOOKUP("EBT Incl. Unusual Items*",'7.TIKR_IS'!$A:$K,COLUMN(I2),FALSE),"0")</f>
        <v>46166</v>
      </c>
      <c r="J5" s="41">
        <f>IFERROR(VLOOKUP("EBT Incl. Unusual Items*",'7.TIKR_IS'!$A:$K,COLUMN(J2),FALSE),"0")</f>
        <v>61612</v>
      </c>
      <c r="K5" s="41">
        <f>IFERROR(VLOOKUP("EBT Incl. Unusual Items*",'7.TIKR_IS'!$A:$K,COLUMN(K2),FALSE),"0")</f>
        <v>75081</v>
      </c>
      <c r="L5" s="42">
        <f t="shared" ref="L5:P5" si="5">IFERROR(L3*$T$4,"")</f>
        <v>70245.63</v>
      </c>
      <c r="M5" s="43">
        <f t="shared" si="5"/>
        <v>75865.2804</v>
      </c>
      <c r="N5" s="43">
        <f t="shared" si="5"/>
        <v>81934.50283</v>
      </c>
      <c r="O5" s="43">
        <f t="shared" si="5"/>
        <v>88489.26306</v>
      </c>
      <c r="P5" s="44">
        <f t="shared" si="5"/>
        <v>95568.4041</v>
      </c>
      <c r="Q5" s="23"/>
      <c r="R5" s="30" t="s">
        <v>20</v>
      </c>
      <c r="S5" s="31">
        <f>IFERROR(AVERAGE(B8:K8),"")</f>
        <v>0.2174312015</v>
      </c>
      <c r="T5" s="32">
        <v>0.225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0.344185108</v>
      </c>
      <c r="C6" s="35">
        <f t="shared" si="6"/>
        <v>0.3786509955</v>
      </c>
      <c r="D6" s="35">
        <f t="shared" si="6"/>
        <v>0.3789118159</v>
      </c>
      <c r="E6" s="35">
        <f t="shared" si="6"/>
        <v>0.3929287477</v>
      </c>
      <c r="F6" s="35">
        <f t="shared" si="6"/>
        <v>0.4073764687</v>
      </c>
      <c r="G6" s="35">
        <f t="shared" si="6"/>
        <v>0.3495135209</v>
      </c>
      <c r="H6" s="35">
        <f t="shared" si="6"/>
        <v>0.4550260508</v>
      </c>
      <c r="I6" s="36">
        <f t="shared" si="6"/>
        <v>0.3774630844</v>
      </c>
      <c r="J6" s="36">
        <f t="shared" si="6"/>
        <v>0.4229559964</v>
      </c>
      <c r="K6" s="36">
        <f t="shared" si="6"/>
        <v>0.4501933743</v>
      </c>
      <c r="L6" s="37">
        <f t="shared" si="6"/>
        <v>0.39</v>
      </c>
      <c r="M6" s="36">
        <f t="shared" si="6"/>
        <v>0.39</v>
      </c>
      <c r="N6" s="36">
        <f t="shared" si="6"/>
        <v>0.39</v>
      </c>
      <c r="O6" s="36">
        <f t="shared" si="6"/>
        <v>0.39</v>
      </c>
      <c r="P6" s="38">
        <f t="shared" si="6"/>
        <v>0.39</v>
      </c>
      <c r="Q6" s="23"/>
      <c r="R6" s="45" t="s">
        <v>22</v>
      </c>
      <c r="S6" s="46">
        <f>IFERROR(AVERAGE(C12:K12),"")</f>
        <v>-0.02951369762</v>
      </c>
      <c r="T6" s="47">
        <v>-0.02</v>
      </c>
      <c r="U6" s="22"/>
      <c r="V6" s="22"/>
      <c r="W6" s="22"/>
      <c r="X6" s="23"/>
      <c r="Y6" s="23"/>
      <c r="Z6" s="23"/>
    </row>
    <row r="7" ht="24.75" customHeight="1">
      <c r="A7" s="48" t="s">
        <v>23</v>
      </c>
      <c r="B7" s="49">
        <f>IFERROR(VLOOKUP("Income Tax Expense*",'7.TIKR_IS'!$A:$K,COLUMN(B2),FALSE),"0")</f>
        <v>-6260</v>
      </c>
      <c r="C7" s="50">
        <f>IFERROR(VLOOKUP("Income Tax Expense*",'7.TIKR_IS'!$A:$K,COLUMN(C2),FALSE),"0")</f>
        <v>-9803</v>
      </c>
      <c r="D7" s="50">
        <f>IFERROR(VLOOKUP("Income Tax Expense*",'7.TIKR_IS'!$A:$K,COLUMN(D2),FALSE),"0")</f>
        <v>-11459</v>
      </c>
      <c r="E7" s="50">
        <f>IFERROR(VLOOKUP("Income Tax Expense*",'7.TIKR_IS'!$A:$K,COLUMN(E2),FALSE),"0")</f>
        <v>-8290</v>
      </c>
      <c r="F7" s="50">
        <f>IFERROR(VLOOKUP("Income Tax Expense*",'7.TIKR_IS'!$A:$K,COLUMN(F2),FALSE),"0")</f>
        <v>-8435</v>
      </c>
      <c r="G7" s="50">
        <f>IFERROR(VLOOKUP("Income Tax Expense*",'7.TIKR_IS'!$A:$K,COLUMN(G2),FALSE),"0")</f>
        <v>-6684</v>
      </c>
      <c r="H7" s="50">
        <f>IFERROR(VLOOKUP("Income Tax Expense*",'7.TIKR_IS'!$A:$K,COLUMN(H2),FALSE),"0")</f>
        <v>-11228</v>
      </c>
      <c r="I7" s="50">
        <f>IFERROR(VLOOKUP("Income Tax Expense*",'7.TIKR_IS'!$A:$K,COLUMN(I2),FALSE),"0")</f>
        <v>-8490</v>
      </c>
      <c r="J7" s="50">
        <f>IFERROR(VLOOKUP("Income Tax Expense*",'7.TIKR_IS'!$A:$K,COLUMN(J2),FALSE),"0")</f>
        <v>-12060</v>
      </c>
      <c r="K7" s="50">
        <f>IFERROR(VLOOKUP("Income Tax Expense*",'7.TIKR_IS'!$A:$K,COLUMN(K2),FALSE),"0")</f>
        <v>-16610</v>
      </c>
      <c r="L7" s="51">
        <f t="shared" ref="L7:P7" si="7">IFERROR(-$T$5*L5,"")</f>
        <v>-15805.26675</v>
      </c>
      <c r="M7" s="52">
        <f t="shared" si="7"/>
        <v>-17069.68809</v>
      </c>
      <c r="N7" s="52">
        <f t="shared" si="7"/>
        <v>-18435.26314</v>
      </c>
      <c r="O7" s="52">
        <f t="shared" si="7"/>
        <v>-19910.08419</v>
      </c>
      <c r="P7" s="53">
        <f t="shared" si="7"/>
        <v>-21502.89092</v>
      </c>
      <c r="Q7" s="23"/>
      <c r="R7" s="23"/>
      <c r="S7" s="54"/>
      <c r="T7" s="54"/>
      <c r="U7" s="22"/>
      <c r="V7" s="22"/>
      <c r="W7" s="22"/>
      <c r="X7" s="23"/>
      <c r="Y7" s="23"/>
      <c r="Z7" s="23"/>
    </row>
    <row r="8" ht="24.75" customHeight="1">
      <c r="A8" s="55" t="s">
        <v>24</v>
      </c>
      <c r="B8" s="34">
        <f t="shared" ref="B8:P8" si="8">IFERROR(-B7/B5,"")</f>
        <v>0.2038955117</v>
      </c>
      <c r="C8" s="35">
        <f t="shared" si="8"/>
        <v>0.2838487375</v>
      </c>
      <c r="D8" s="35">
        <f t="shared" si="8"/>
        <v>0.3191922006</v>
      </c>
      <c r="E8" s="35">
        <f t="shared" si="8"/>
        <v>0.2033657148</v>
      </c>
      <c r="F8" s="35">
        <f t="shared" si="8"/>
        <v>0.1880042794</v>
      </c>
      <c r="G8" s="35">
        <f t="shared" si="8"/>
        <v>0.1866257155</v>
      </c>
      <c r="H8" s="35">
        <f t="shared" si="8"/>
        <v>0.1885094523</v>
      </c>
      <c r="I8" s="36">
        <f t="shared" si="8"/>
        <v>0.1839015726</v>
      </c>
      <c r="J8" s="36">
        <f t="shared" si="8"/>
        <v>0.1957410894</v>
      </c>
      <c r="K8" s="36">
        <f t="shared" si="8"/>
        <v>0.2212277407</v>
      </c>
      <c r="L8" s="37">
        <f t="shared" si="8"/>
        <v>0.225</v>
      </c>
      <c r="M8" s="36">
        <f t="shared" si="8"/>
        <v>0.225</v>
      </c>
      <c r="N8" s="36">
        <f t="shared" si="8"/>
        <v>0.225</v>
      </c>
      <c r="O8" s="36">
        <f t="shared" si="8"/>
        <v>0.225</v>
      </c>
      <c r="P8" s="38">
        <f t="shared" si="8"/>
        <v>0.225</v>
      </c>
      <c r="Q8" s="23"/>
      <c r="R8" s="23"/>
      <c r="S8" s="23"/>
      <c r="T8" s="56" t="s">
        <v>25</v>
      </c>
      <c r="U8" s="22"/>
      <c r="V8" s="22"/>
      <c r="W8" s="22"/>
      <c r="X8" s="23"/>
      <c r="Y8" s="23"/>
      <c r="Z8" s="23"/>
    </row>
    <row r="9" ht="24.75" customHeight="1">
      <c r="A9" s="48" t="s">
        <v>26</v>
      </c>
      <c r="B9" s="57">
        <f t="shared" ref="B9:K9" si="9">B5+B7</f>
        <v>24442</v>
      </c>
      <c r="C9" s="58">
        <f t="shared" si="9"/>
        <v>24733</v>
      </c>
      <c r="D9" s="58">
        <f t="shared" si="9"/>
        <v>24441</v>
      </c>
      <c r="E9" s="58">
        <f t="shared" si="9"/>
        <v>32474</v>
      </c>
      <c r="F9" s="58">
        <f t="shared" si="9"/>
        <v>36431</v>
      </c>
      <c r="G9" s="58">
        <f t="shared" si="9"/>
        <v>29131</v>
      </c>
      <c r="H9" s="58">
        <f t="shared" si="9"/>
        <v>48334</v>
      </c>
      <c r="I9" s="58">
        <f t="shared" si="9"/>
        <v>37676</v>
      </c>
      <c r="J9" s="58">
        <f t="shared" si="9"/>
        <v>49552</v>
      </c>
      <c r="K9" s="58">
        <f t="shared" si="9"/>
        <v>58471</v>
      </c>
      <c r="L9" s="59">
        <f t="shared" ref="L9:P9" si="10">IFERROR(L5+L7,"")</f>
        <v>54440.36325</v>
      </c>
      <c r="M9" s="60">
        <f t="shared" si="10"/>
        <v>58795.59231</v>
      </c>
      <c r="N9" s="60">
        <f t="shared" si="10"/>
        <v>63499.23969</v>
      </c>
      <c r="O9" s="60">
        <f t="shared" si="10"/>
        <v>68579.17887</v>
      </c>
      <c r="P9" s="61">
        <f t="shared" si="10"/>
        <v>74065.51318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0.2740073093</v>
      </c>
      <c r="C10" s="35">
        <f t="shared" si="11"/>
        <v>0.2711713885</v>
      </c>
      <c r="D10" s="35">
        <f t="shared" si="11"/>
        <v>0.2579661196</v>
      </c>
      <c r="E10" s="35">
        <f t="shared" si="11"/>
        <v>0.313020512</v>
      </c>
      <c r="F10" s="35">
        <f t="shared" si="11"/>
        <v>0.3307879492</v>
      </c>
      <c r="G10" s="35">
        <f t="shared" si="11"/>
        <v>0.28428531</v>
      </c>
      <c r="H10" s="35">
        <f t="shared" si="11"/>
        <v>0.3692493392</v>
      </c>
      <c r="I10" s="35">
        <f t="shared" si="11"/>
        <v>0.3080470296</v>
      </c>
      <c r="J10" s="35">
        <f t="shared" si="11"/>
        <v>0.3401661289</v>
      </c>
      <c r="K10" s="35">
        <f t="shared" si="11"/>
        <v>0.3505981112</v>
      </c>
      <c r="L10" s="34">
        <f t="shared" si="11"/>
        <v>0.30225</v>
      </c>
      <c r="M10" s="35">
        <f t="shared" si="11"/>
        <v>0.30225</v>
      </c>
      <c r="N10" s="35">
        <f t="shared" si="11"/>
        <v>0.30225</v>
      </c>
      <c r="O10" s="35">
        <f t="shared" si="11"/>
        <v>0.30225</v>
      </c>
      <c r="P10" s="62">
        <f t="shared" si="11"/>
        <v>0.30225</v>
      </c>
      <c r="Q10" s="23"/>
      <c r="R10" s="18"/>
      <c r="S10" s="63"/>
      <c r="T10" s="63"/>
      <c r="U10" s="22"/>
      <c r="V10" s="22"/>
      <c r="W10" s="22"/>
      <c r="X10" s="23"/>
      <c r="Y10" s="23"/>
      <c r="Z10" s="23"/>
    </row>
    <row r="11" ht="24.75" customHeight="1">
      <c r="A11" s="48" t="s">
        <v>28</v>
      </c>
      <c r="B11" s="57">
        <f>IFERROR(VLOOKUP("*Diluted Shares Outstanding*",'7.TIKR_IS'!$A:$K,COLUMN(B11),FALSE),"0")</f>
        <v>3773.6</v>
      </c>
      <c r="C11" s="58">
        <f>IFERROR(VLOOKUP("*Diluted Shares Outstanding*",'7.TIKR_IS'!$A:$K,COLUMN(C11),FALSE),"0")</f>
        <v>3690</v>
      </c>
      <c r="D11" s="58">
        <f>IFERROR(VLOOKUP("*Diluted Shares Outstanding*",'7.TIKR_IS'!$A:$K,COLUMN(D11),FALSE),"0")</f>
        <v>3576.8</v>
      </c>
      <c r="E11" s="58">
        <f>IFERROR(VLOOKUP("*Diluted Shares Outstanding*",'7.TIKR_IS'!$A:$K,COLUMN(E11),FALSE),"0")</f>
        <v>3414</v>
      </c>
      <c r="F11" s="58">
        <f>IFERROR(VLOOKUP("*Diluted Shares Outstanding*",'7.TIKR_IS'!$A:$K,COLUMN(F11),FALSE),"0")</f>
        <v>3230.4</v>
      </c>
      <c r="G11" s="58">
        <f>IFERROR(VLOOKUP("*Diluted Shares Outstanding*",'7.TIKR_IS'!$A:$K,COLUMN(G11),FALSE),"0")</f>
        <v>3087.4</v>
      </c>
      <c r="H11" s="58">
        <f>IFERROR(VLOOKUP("*Diluted Shares Outstanding*",'7.TIKR_IS'!$A:$K,COLUMN(H11),FALSE),"0")</f>
        <v>3026.6</v>
      </c>
      <c r="I11" s="58">
        <f>IFERROR(VLOOKUP("*Diluted Shares Outstanding*",'7.TIKR_IS'!$A:$K,COLUMN(I11),FALSE),"0")</f>
        <v>2970</v>
      </c>
      <c r="J11" s="58">
        <f>IFERROR(VLOOKUP("*Diluted Shares Outstanding*",'7.TIKR_IS'!$A:$K,COLUMN(J11),FALSE),"0")</f>
        <v>2943.1</v>
      </c>
      <c r="K11" s="58">
        <f>IFERROR(VLOOKUP("*Diluted Shares Outstanding*",'7.TIKR_IS'!$A:$K,COLUMN(K11),FALSE),"0")</f>
        <v>2879</v>
      </c>
      <c r="L11" s="59">
        <f t="shared" ref="L11:P11" si="12">IFERROR(K11*(1+$T$6),"")</f>
        <v>2821.42</v>
      </c>
      <c r="M11" s="60">
        <f t="shared" si="12"/>
        <v>2764.9916</v>
      </c>
      <c r="N11" s="60">
        <f t="shared" si="12"/>
        <v>2709.691768</v>
      </c>
      <c r="O11" s="60">
        <f t="shared" si="12"/>
        <v>2655.497933</v>
      </c>
      <c r="P11" s="61">
        <f t="shared" si="12"/>
        <v>2602.387974</v>
      </c>
      <c r="Q11" s="23"/>
      <c r="R11" s="23"/>
      <c r="S11" s="54"/>
      <c r="T11" s="54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-0.02215391138</v>
      </c>
      <c r="D12" s="35">
        <f t="shared" si="13"/>
        <v>-0.03067750678</v>
      </c>
      <c r="E12" s="35">
        <f t="shared" si="13"/>
        <v>-0.04551554462</v>
      </c>
      <c r="F12" s="35">
        <f t="shared" si="13"/>
        <v>-0.05377855888</v>
      </c>
      <c r="G12" s="35">
        <f t="shared" si="13"/>
        <v>-0.04426696384</v>
      </c>
      <c r="H12" s="35">
        <f t="shared" si="13"/>
        <v>-0.01969294552</v>
      </c>
      <c r="I12" s="36">
        <f t="shared" si="13"/>
        <v>-0.01870085244</v>
      </c>
      <c r="J12" s="36">
        <f t="shared" si="13"/>
        <v>-0.009057239057</v>
      </c>
      <c r="K12" s="36">
        <f t="shared" si="13"/>
        <v>-0.02177975604</v>
      </c>
      <c r="L12" s="37">
        <f t="shared" si="13"/>
        <v>-0.02</v>
      </c>
      <c r="M12" s="36">
        <f t="shared" si="13"/>
        <v>-0.02</v>
      </c>
      <c r="N12" s="36">
        <f t="shared" si="13"/>
        <v>-0.02</v>
      </c>
      <c r="O12" s="36">
        <f t="shared" si="13"/>
        <v>-0.02</v>
      </c>
      <c r="P12" s="38">
        <f t="shared" si="13"/>
        <v>-0.02</v>
      </c>
      <c r="Q12" s="23"/>
      <c r="R12" s="23"/>
      <c r="S12" s="54"/>
      <c r="T12" s="54"/>
      <c r="U12" s="22"/>
      <c r="V12" s="22"/>
      <c r="W12" s="22"/>
      <c r="X12" s="23"/>
      <c r="Y12" s="23"/>
      <c r="Z12" s="23"/>
    </row>
    <row r="13" ht="24.75" customHeight="1">
      <c r="A13" s="55" t="s">
        <v>29</v>
      </c>
      <c r="B13" s="64">
        <f t="shared" ref="B13:P13" si="14">IFERROR(B9/B11,"")</f>
        <v>6.477104092</v>
      </c>
      <c r="C13" s="65">
        <f t="shared" si="14"/>
        <v>6.702710027</v>
      </c>
      <c r="D13" s="65">
        <f t="shared" si="14"/>
        <v>6.833202863</v>
      </c>
      <c r="E13" s="65">
        <f t="shared" si="14"/>
        <v>9.512009373</v>
      </c>
      <c r="F13" s="65">
        <f t="shared" si="14"/>
        <v>11.27755077</v>
      </c>
      <c r="G13" s="65">
        <f t="shared" si="14"/>
        <v>9.435447302</v>
      </c>
      <c r="H13" s="65">
        <f t="shared" si="14"/>
        <v>15.96973502</v>
      </c>
      <c r="I13" s="65">
        <f t="shared" si="14"/>
        <v>12.68552189</v>
      </c>
      <c r="J13" s="65">
        <f t="shared" si="14"/>
        <v>16.83666882</v>
      </c>
      <c r="K13" s="65">
        <f t="shared" si="14"/>
        <v>20.30948246</v>
      </c>
      <c r="L13" s="64">
        <f t="shared" si="14"/>
        <v>19.29537724</v>
      </c>
      <c r="M13" s="65">
        <f t="shared" si="14"/>
        <v>21.26429328</v>
      </c>
      <c r="N13" s="65">
        <f t="shared" si="14"/>
        <v>23.43411913</v>
      </c>
      <c r="O13" s="65">
        <f t="shared" si="14"/>
        <v>25.82535578</v>
      </c>
      <c r="P13" s="66">
        <f t="shared" si="14"/>
        <v>28.46059616</v>
      </c>
      <c r="Q13" s="23"/>
      <c r="R13" s="23"/>
      <c r="S13" s="54"/>
      <c r="T13" s="54"/>
      <c r="U13" s="22"/>
      <c r="V13" s="22"/>
      <c r="W13" s="22"/>
      <c r="X13" s="23"/>
      <c r="Y13" s="23"/>
      <c r="Z13" s="23"/>
    </row>
    <row r="14" ht="15.75" customHeight="1">
      <c r="A14" s="67"/>
      <c r="B14" s="68"/>
      <c r="C14" s="69">
        <f t="shared" ref="C14:P14" si="15">IFERROR((C13-B13)/C13,"")</f>
        <v>0.03365891328</v>
      </c>
      <c r="D14" s="69">
        <f t="shared" si="15"/>
        <v>0.01909687718</v>
      </c>
      <c r="E14" s="69">
        <f t="shared" si="15"/>
        <v>0.2816236197</v>
      </c>
      <c r="F14" s="69">
        <f t="shared" si="15"/>
        <v>0.1565536197</v>
      </c>
      <c r="G14" s="69">
        <f t="shared" si="15"/>
        <v>-0.1952322351</v>
      </c>
      <c r="H14" s="69">
        <f t="shared" si="15"/>
        <v>0.4091669466</v>
      </c>
      <c r="I14" s="69">
        <f t="shared" si="15"/>
        <v>-0.2588946013</v>
      </c>
      <c r="J14" s="69">
        <f t="shared" si="15"/>
        <v>0.246553934</v>
      </c>
      <c r="K14" s="69">
        <f t="shared" si="15"/>
        <v>0.1709946892</v>
      </c>
      <c r="L14" s="69">
        <f t="shared" si="15"/>
        <v>-0.05255690042</v>
      </c>
      <c r="M14" s="69">
        <f t="shared" si="15"/>
        <v>0.09259259259</v>
      </c>
      <c r="N14" s="69">
        <f t="shared" si="15"/>
        <v>0.09259259259</v>
      </c>
      <c r="O14" s="69">
        <f t="shared" si="15"/>
        <v>0.09259259259</v>
      </c>
      <c r="P14" s="69">
        <f t="shared" si="15"/>
        <v>0.09259259259</v>
      </c>
      <c r="Q14" s="18"/>
      <c r="R14" s="18"/>
      <c r="S14" s="63"/>
      <c r="T14" s="63"/>
      <c r="U14" s="22"/>
      <c r="V14" s="22"/>
      <c r="W14" s="22"/>
      <c r="X14" s="23"/>
      <c r="Y14" s="23"/>
      <c r="Z14" s="23"/>
    </row>
    <row r="15" ht="9.75" customHeight="1">
      <c r="A15" s="1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18"/>
      <c r="R15" s="18"/>
      <c r="S15" s="63"/>
      <c r="T15" s="63"/>
      <c r="U15" s="22"/>
      <c r="V15" s="22"/>
      <c r="W15" s="22"/>
      <c r="X15" s="23"/>
      <c r="Y15" s="23"/>
      <c r="Z15" s="23"/>
    </row>
    <row r="16" ht="43.5" customHeight="1">
      <c r="A16" s="70" t="s">
        <v>30</v>
      </c>
      <c r="B16" s="71">
        <f>IFERROR(IF(VLOOKUP("Income Statement*",'7.TIKR_IS'!$A:$K,COLUMN(B17),FALSE)="","",IFERROR(YEAR(VLOOKUP("Income Statement*",'7.TIKR_IS'!$A:$K,COLUMN(B17),FALSE)),"2013")),"")</f>
        <v>2015</v>
      </c>
      <c r="C16" s="71">
        <f>IFERROR(IF(VLOOKUP("Income Statement*",'7.TIKR_IS'!$A:$K,COLUMN(C17),FALSE)="","",IFERROR(YEAR(VLOOKUP("Income Statement*",'7.TIKR_IS'!$A:$K,COLUMN(C17),FALSE)),"2013")),"")</f>
        <v>2016</v>
      </c>
      <c r="D16" s="71">
        <f>IFERROR(IF(VLOOKUP("Income Statement*",'7.TIKR_IS'!$A:$K,COLUMN(D17),FALSE)="","",IFERROR(YEAR(VLOOKUP("Income Statement*",'7.TIKR_IS'!$A:$K,COLUMN(D17),FALSE)),"2013")),"")</f>
        <v>2017</v>
      </c>
      <c r="E16" s="71">
        <f>IFERROR(IF(VLOOKUP("Income Statement*",'7.TIKR_IS'!$A:$K,COLUMN(E17),FALSE)="","",IFERROR(YEAR(VLOOKUP("Income Statement*",'7.TIKR_IS'!$A:$K,COLUMN(E17),FALSE)),"2013")),"")</f>
        <v>2018</v>
      </c>
      <c r="F16" s="71">
        <f>IFERROR(IF(VLOOKUP("Income Statement*",'7.TIKR_IS'!$A:$K,COLUMN(F17),FALSE)="","",IFERROR(YEAR(VLOOKUP("Income Statement*",'7.TIKR_IS'!$A:$K,COLUMN(F17),FALSE)),"2013")),"")</f>
        <v>2019</v>
      </c>
      <c r="G16" s="71">
        <f>IFERROR(IF(VLOOKUP("Income Statement*",'7.TIKR_IS'!$A:$K,COLUMN(G17),FALSE)="","",IFERROR(YEAR(VLOOKUP("Income Statement*",'7.TIKR_IS'!$A:$K,COLUMN(G17),FALSE)),"2013")),"")</f>
        <v>2020</v>
      </c>
      <c r="H16" s="71">
        <f>IFERROR(IF(VLOOKUP("Income Statement*",'7.TIKR_IS'!$A:$K,COLUMN(H17),FALSE)="","",IFERROR(YEAR(VLOOKUP("Income Statement*",'7.TIKR_IS'!$A:$K,COLUMN(H17),FALSE)),"2013")),"")</f>
        <v>2021</v>
      </c>
      <c r="I16" s="71">
        <f>IFERROR(IF(VLOOKUP("Income Statement*",'7.TIKR_IS'!$A:$K,COLUMN(I17),FALSE)="","",IFERROR(YEAR(VLOOKUP("Income Statement*",'7.TIKR_IS'!$A:$K,COLUMN(I17),FALSE)),"2013")),"")</f>
        <v>2022</v>
      </c>
      <c r="J16" s="71">
        <f>IFERROR(IF(VLOOKUP("Income Statement*",'7.TIKR_IS'!$A:$K,COLUMN(J17),FALSE)="","",IFERROR(YEAR(VLOOKUP("Income Statement*",'7.TIKR_IS'!$A:$K,COLUMN(J17),FALSE)),"2013")),"")</f>
        <v>2023</v>
      </c>
      <c r="K16" s="71">
        <f>IFERROR(IF(VLOOKUP("Income Statement*",'7.TIKR_IS'!$A:$K,COLUMN(K17),FALSE)="","",IFERROR(YEAR(VLOOKUP("Income Statement*",'7.TIKR_IS'!$A:$K,COLUMN(K17),FALSE)),"2013")),"")</f>
        <v>2024</v>
      </c>
      <c r="L16" s="72" t="str">
        <f>IF(K16&lt;&gt;"",(K16+1)&amp;"e","")</f>
        <v>2025e</v>
      </c>
      <c r="M16" s="72" t="str">
        <f t="shared" ref="M16:P16" si="16">IF(L16&lt;&gt;"",(LEFT(L16,4)+1)&amp;"e","")</f>
        <v>2026e</v>
      </c>
      <c r="N16" s="72" t="str">
        <f t="shared" si="16"/>
        <v>2027e</v>
      </c>
      <c r="O16" s="72" t="str">
        <f t="shared" si="16"/>
        <v>2028e</v>
      </c>
      <c r="P16" s="73" t="str">
        <f t="shared" si="16"/>
        <v>2029e</v>
      </c>
      <c r="Q16" s="74"/>
      <c r="R16" s="75" t="str">
        <f>"Promedio "&amp;B2&amp;" - "&amp;K2</f>
        <v>Promedio 2015 - 2024</v>
      </c>
      <c r="S16" s="74"/>
      <c r="T16" s="74"/>
      <c r="U16" s="76"/>
      <c r="V16" s="76"/>
      <c r="W16" s="76"/>
      <c r="X16" s="74"/>
      <c r="Y16" s="74"/>
      <c r="Z16" s="74"/>
    </row>
    <row r="17" ht="24.75" customHeight="1">
      <c r="A17" s="77" t="s">
        <v>31</v>
      </c>
      <c r="B17" s="78">
        <f>IFERROR(B9/VLOOKUP("Total Assets",'8.TIKR_BS'!$A:$K,COLUMN(B2),FALSE),"")</f>
        <v>0.01039334132</v>
      </c>
      <c r="C17" s="79">
        <f>IFERROR(C9/VLOOKUP("Total Assets",'8.TIKR_BS'!$A:$K,COLUMN(C2),FALSE),"")</f>
        <v>0.009929055806</v>
      </c>
      <c r="D17" s="79">
        <f>IFERROR(D9/VLOOKUP("Total Assets",'8.TIKR_BS'!$A:$K,COLUMN(D2),FALSE),"")</f>
        <v>0.009646747711</v>
      </c>
      <c r="E17" s="79">
        <f>IFERROR(E9/VLOOKUP("Total Assets",'8.TIKR_BS'!$A:$K,COLUMN(E2),FALSE),"")</f>
        <v>0.01238268971</v>
      </c>
      <c r="F17" s="79">
        <f>IFERROR(F9/VLOOKUP("Total Assets",'8.TIKR_BS'!$A:$K,COLUMN(F2),FALSE),"")</f>
        <v>0.01355633128</v>
      </c>
      <c r="G17" s="79">
        <f>IFERROR(G9/VLOOKUP("Total Assets",'8.TIKR_BS'!$A:$K,COLUMN(G2),FALSE),"")</f>
        <v>0.008606526259</v>
      </c>
      <c r="H17" s="79">
        <f>IFERROR(H9/VLOOKUP("Total Assets",'8.TIKR_BS'!$A:$K,COLUMN(H2),FALSE),"")</f>
        <v>0.01291121543</v>
      </c>
      <c r="I17" s="79">
        <f>IFERROR(I9/VLOOKUP("Total Assets",'8.TIKR_BS'!$A:$K,COLUMN(I2),FALSE),"")</f>
        <v>0.01027786181</v>
      </c>
      <c r="J17" s="79">
        <f>IFERROR(J9/VLOOKUP("Total Assets",'8.TIKR_BS'!$A:$K,COLUMN(J2),FALSE),"")</f>
        <v>0.01278631612</v>
      </c>
      <c r="K17" s="79">
        <f>IFERROR(K9/VLOOKUP("Total Assets",'8.TIKR_BS'!$A:$K,COLUMN(K2),FALSE),"")</f>
        <v>0.01460747364</v>
      </c>
      <c r="L17" s="80" t="s">
        <v>32</v>
      </c>
      <c r="M17" s="81" t="s">
        <v>32</v>
      </c>
      <c r="N17" s="81" t="s">
        <v>32</v>
      </c>
      <c r="O17" s="81" t="s">
        <v>32</v>
      </c>
      <c r="P17" s="82" t="s">
        <v>32</v>
      </c>
      <c r="Q17" s="74"/>
      <c r="R17" s="83">
        <f t="shared" ref="R17:R18" si="17">IFERROR(AVERAGE(B17:K17),"")</f>
        <v>0.01150975591</v>
      </c>
      <c r="S17" s="74"/>
      <c r="T17" s="74"/>
      <c r="U17" s="76"/>
      <c r="V17" s="76"/>
      <c r="W17" s="76"/>
      <c r="X17" s="74"/>
      <c r="Y17" s="74"/>
      <c r="Z17" s="74"/>
    </row>
    <row r="18" ht="24.75" customHeight="1">
      <c r="A18" s="84" t="s">
        <v>33</v>
      </c>
      <c r="B18" s="85">
        <f>IFERROR(B9/'TIKR_Cálculos'!B26,"")</f>
        <v>0.09872643624</v>
      </c>
      <c r="C18" s="86">
        <f>IFERROR(C9/'TIKR_Cálculos'!C26,"")</f>
        <v>0.09730123136</v>
      </c>
      <c r="D18" s="86">
        <f>IFERROR(D9/'TIKR_Cálculos'!D26,"")</f>
        <v>0.09558728632</v>
      </c>
      <c r="E18" s="86">
        <f>IFERROR(E9/'TIKR_Cálculos'!E26,"")</f>
        <v>0.1265968852</v>
      </c>
      <c r="F18" s="86">
        <f>IFERROR(F9/'TIKR_Cálculos'!F26,"")</f>
        <v>0.1394061149</v>
      </c>
      <c r="G18" s="86">
        <f>IFERROR(G9/'TIKR_Cálculos'!G26,"")</f>
        <v>0.1042798743</v>
      </c>
      <c r="H18" s="86">
        <f>IFERROR(H9/'TIKR_Cálculos'!H26,"")</f>
        <v>0.1643303743</v>
      </c>
      <c r="I18" s="86">
        <f>IFERROR(I9/'TIKR_Cálculos'!I26,"")</f>
        <v>0.1288808615</v>
      </c>
      <c r="J18" s="86">
        <f>IFERROR(J9/'TIKR_Cálculos'!J26,"")</f>
        <v>0.1511293835</v>
      </c>
      <c r="K18" s="86">
        <f>IFERROR(K9/'TIKR_Cálculos'!K26,"")</f>
        <v>0.1696001253</v>
      </c>
      <c r="L18" s="85">
        <f>IFERROR(L9/'TIKR_Cálculos'!L26,"")</f>
        <v>0.1363742146</v>
      </c>
      <c r="M18" s="87">
        <f>IFERROR(M9/'TIKR_Cálculos'!M26,"")</f>
        <v>0.1283763499</v>
      </c>
      <c r="N18" s="87">
        <f>IFERROR(N9/'TIKR_Cálculos'!N26,"")</f>
        <v>0.1217642728</v>
      </c>
      <c r="O18" s="87">
        <f>IFERROR(O9/'TIKR_Cálculos'!O26,"")</f>
        <v>0.1162216397</v>
      </c>
      <c r="P18" s="88">
        <f>IFERROR(P9/'TIKR_Cálculos'!P26,"")</f>
        <v>0.1115212889</v>
      </c>
      <c r="Q18" s="74"/>
      <c r="R18" s="89">
        <f t="shared" si="17"/>
        <v>0.1275838573</v>
      </c>
      <c r="S18" s="74"/>
      <c r="T18" s="74"/>
      <c r="U18" s="76"/>
      <c r="V18" s="76"/>
      <c r="W18" s="76"/>
      <c r="X18" s="74"/>
      <c r="Y18" s="74"/>
      <c r="Z18" s="74"/>
    </row>
    <row r="19" ht="19.5" customHeight="1">
      <c r="A19" s="74"/>
      <c r="B19" s="74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74"/>
      <c r="R19" s="74"/>
      <c r="S19" s="74"/>
      <c r="T19" s="74"/>
      <c r="U19" s="76"/>
      <c r="V19" s="76"/>
      <c r="W19" s="76"/>
      <c r="X19" s="74"/>
      <c r="Y19" s="74"/>
      <c r="Z19" s="74"/>
    </row>
    <row r="20" ht="43.5" customHeight="1">
      <c r="A20" s="70" t="s">
        <v>34</v>
      </c>
      <c r="B20" s="71">
        <f>IFERROR(IF(VLOOKUP("Income Statement*",'7.TIKR_IS'!$A:$K,COLUMN(B21),FALSE)="","",IFERROR(YEAR(VLOOKUP("Income Statement*",'7.TIKR_IS'!$A:$K,COLUMN(B21),FALSE)),"2013")),"")</f>
        <v>2015</v>
      </c>
      <c r="C20" s="71">
        <f>IFERROR(IF(VLOOKUP("Income Statement*",'7.TIKR_IS'!$A:$K,COLUMN(C21),FALSE)="","",IFERROR(YEAR(VLOOKUP("Income Statement*",'7.TIKR_IS'!$A:$K,COLUMN(C21),FALSE)),"2013")),"")</f>
        <v>2016</v>
      </c>
      <c r="D20" s="71">
        <f>IFERROR(IF(VLOOKUP("Income Statement*",'7.TIKR_IS'!$A:$K,COLUMN(D21),FALSE)="","",IFERROR(YEAR(VLOOKUP("Income Statement*",'7.TIKR_IS'!$A:$K,COLUMN(D21),FALSE)),"2013")),"")</f>
        <v>2017</v>
      </c>
      <c r="E20" s="71">
        <f>IFERROR(IF(VLOOKUP("Income Statement*",'7.TIKR_IS'!$A:$K,COLUMN(E21),FALSE)="","",IFERROR(YEAR(VLOOKUP("Income Statement*",'7.TIKR_IS'!$A:$K,COLUMN(E21),FALSE)),"2013")),"")</f>
        <v>2018</v>
      </c>
      <c r="F20" s="71">
        <f>IFERROR(IF(VLOOKUP("Income Statement*",'7.TIKR_IS'!$A:$K,COLUMN(F21),FALSE)="","",IFERROR(YEAR(VLOOKUP("Income Statement*",'7.TIKR_IS'!$A:$K,COLUMN(F21),FALSE)),"2013")),"")</f>
        <v>2019</v>
      </c>
      <c r="G20" s="71">
        <f>IFERROR(IF(VLOOKUP("Income Statement*",'7.TIKR_IS'!$A:$K,COLUMN(G21),FALSE)="","",IFERROR(YEAR(VLOOKUP("Income Statement*",'7.TIKR_IS'!$A:$K,COLUMN(G21),FALSE)),"2013")),"")</f>
        <v>2020</v>
      </c>
      <c r="H20" s="71">
        <f>IFERROR(IF(VLOOKUP("Income Statement*",'7.TIKR_IS'!$A:$K,COLUMN(H21),FALSE)="","",IFERROR(YEAR(VLOOKUP("Income Statement*",'7.TIKR_IS'!$A:$K,COLUMN(H21),FALSE)),"2013")),"")</f>
        <v>2021</v>
      </c>
      <c r="I20" s="71">
        <f>IFERROR(IF(VLOOKUP("Income Statement*",'7.TIKR_IS'!$A:$K,COLUMN(I21),FALSE)="","",IFERROR(YEAR(VLOOKUP("Income Statement*",'7.TIKR_IS'!$A:$K,COLUMN(I21),FALSE)),"2013")),"")</f>
        <v>2022</v>
      </c>
      <c r="J20" s="71">
        <f>IFERROR(IF(VLOOKUP("Income Statement*",'7.TIKR_IS'!$A:$K,COLUMN(J21),FALSE)="","",IFERROR(YEAR(VLOOKUP("Income Statement*",'7.TIKR_IS'!$A:$K,COLUMN(J21),FALSE)),"2013")),"")</f>
        <v>2023</v>
      </c>
      <c r="K20" s="71">
        <f>IFERROR(IF(VLOOKUP("Income Statement*",'7.TIKR_IS'!$A:$K,COLUMN(K21),FALSE)="","",IFERROR(YEAR(VLOOKUP("Income Statement*",'7.TIKR_IS'!$A:$K,COLUMN(K21),FALSE)),"2013")),"")</f>
        <v>2024</v>
      </c>
      <c r="L20" s="63"/>
      <c r="M20" s="63"/>
      <c r="N20" s="63"/>
      <c r="O20" s="63"/>
      <c r="P20" s="63"/>
      <c r="Q20" s="18"/>
      <c r="R20" s="18"/>
      <c r="S20" s="63"/>
      <c r="T20" s="63"/>
      <c r="U20" s="22"/>
      <c r="V20" s="22"/>
      <c r="W20" s="22"/>
      <c r="X20" s="23"/>
      <c r="Y20" s="23"/>
      <c r="Z20" s="23"/>
    </row>
    <row r="21" ht="24.75" customHeight="1">
      <c r="A21" s="84" t="s">
        <v>35</v>
      </c>
      <c r="B21" s="91">
        <f>IFERROR('TIKR_Cálculos'!B29,"")</f>
        <v>8.499008373</v>
      </c>
      <c r="C21" s="92">
        <f>IFERROR('TIKR_Cálculos'!C29,"")</f>
        <v>8.799645934</v>
      </c>
      <c r="D21" s="92">
        <f>IFERROR('TIKR_Cálculos'!D29,"")</f>
        <v>8.908757768</v>
      </c>
      <c r="E21" s="92">
        <f>IFERROR('TIKR_Cálculos'!E29,"")</f>
        <v>9.223698419</v>
      </c>
      <c r="F21" s="92">
        <f>IFERROR('TIKR_Cálculos'!F29,"")</f>
        <v>9.283469177</v>
      </c>
      <c r="G21" s="92">
        <f>IFERROR('TIKR_Cálculos'!G29,"")</f>
        <v>11.11637206</v>
      </c>
      <c r="H21" s="92">
        <f>IFERROR('TIKR_Cálculos'!H29,"")</f>
        <v>11.72772306</v>
      </c>
      <c r="I21" s="92">
        <f>IFERROR('TIKR_Cálculos'!I29,"")</f>
        <v>11.53965697</v>
      </c>
      <c r="J21" s="92">
        <f>IFERROR('TIKR_Cálculos'!J29,"")</f>
        <v>10.81961888</v>
      </c>
      <c r="K21" s="93">
        <f>IFERROR('TIKR_Cálculos'!K29,"")</f>
        <v>10.6105036</v>
      </c>
      <c r="L21" s="63"/>
      <c r="M21" s="63"/>
      <c r="N21" s="63"/>
      <c r="O21" s="63"/>
      <c r="P21" s="63"/>
      <c r="Q21" s="18"/>
      <c r="R21" s="18"/>
      <c r="S21" s="63"/>
      <c r="T21" s="63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18"/>
      <c r="R22" s="18"/>
      <c r="S22" s="63"/>
      <c r="T22" s="63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18"/>
      <c r="R23" s="18"/>
      <c r="S23" s="63"/>
      <c r="T23" s="63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18"/>
      <c r="R24" s="18"/>
      <c r="S24" s="63"/>
      <c r="T24" s="63"/>
      <c r="U24" s="22"/>
      <c r="V24" s="22"/>
      <c r="W24" s="22"/>
      <c r="X24" s="23"/>
      <c r="Y24" s="23"/>
      <c r="Z24" s="23"/>
    </row>
    <row r="25" ht="17.25" customHeight="1">
      <c r="A25" s="18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18"/>
      <c r="R25" s="18"/>
      <c r="S25" s="63"/>
      <c r="T25" s="63"/>
      <c r="U25" s="23"/>
      <c r="V25" s="23"/>
      <c r="W25" s="23"/>
      <c r="X25" s="23"/>
      <c r="Y25" s="23"/>
      <c r="Z25" s="23"/>
    </row>
    <row r="26" ht="17.25" customHeight="1">
      <c r="A26" s="18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18"/>
      <c r="R26" s="18"/>
      <c r="S26" s="63"/>
      <c r="T26" s="63"/>
      <c r="U26" s="23"/>
      <c r="V26" s="23"/>
      <c r="W26" s="23"/>
      <c r="X26" s="23"/>
      <c r="Y26" s="23"/>
      <c r="Z26" s="23"/>
    </row>
    <row r="27" ht="17.25" customHeight="1">
      <c r="A27" s="18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18"/>
      <c r="R27" s="18"/>
      <c r="S27" s="63"/>
      <c r="T27" s="63"/>
      <c r="U27" s="23"/>
      <c r="V27" s="23"/>
      <c r="W27" s="23"/>
      <c r="X27" s="23"/>
      <c r="Y27" s="23"/>
      <c r="Z27" s="23"/>
    </row>
    <row r="28" ht="17.25" customHeight="1">
      <c r="A28" s="18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18"/>
      <c r="R28" s="18"/>
      <c r="S28" s="63"/>
      <c r="T28" s="63"/>
      <c r="U28" s="23"/>
      <c r="V28" s="23"/>
      <c r="W28" s="23"/>
      <c r="X28" s="23"/>
      <c r="Y28" s="23"/>
      <c r="Z28" s="23"/>
    </row>
    <row r="29" ht="17.25" customHeight="1">
      <c r="A29" s="18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18"/>
      <c r="R29" s="18"/>
      <c r="S29" s="63"/>
      <c r="T29" s="63"/>
      <c r="U29" s="23"/>
      <c r="V29" s="23"/>
      <c r="W29" s="23"/>
      <c r="X29" s="23"/>
      <c r="Y29" s="23"/>
      <c r="Z29" s="23"/>
    </row>
    <row r="30" ht="17.25" customHeight="1">
      <c r="A30" s="18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18"/>
      <c r="R30" s="18"/>
      <c r="S30" s="63"/>
      <c r="T30" s="63"/>
      <c r="U30" s="23"/>
      <c r="V30" s="23"/>
      <c r="W30" s="23"/>
      <c r="X30" s="23"/>
      <c r="Y30" s="23"/>
      <c r="Z30" s="23"/>
    </row>
    <row r="31" ht="17.25" customHeight="1">
      <c r="A31" s="18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18"/>
      <c r="R31" s="18"/>
      <c r="S31" s="63"/>
      <c r="T31" s="63"/>
      <c r="U31" s="23"/>
      <c r="V31" s="23"/>
      <c r="W31" s="23"/>
      <c r="X31" s="23"/>
      <c r="Y31" s="23"/>
      <c r="Z31" s="23"/>
    </row>
    <row r="32" ht="17.25" customHeight="1">
      <c r="A32" s="18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18"/>
      <c r="R32" s="18"/>
      <c r="S32" s="63"/>
      <c r="T32" s="63"/>
      <c r="U32" s="23"/>
      <c r="V32" s="23"/>
      <c r="W32" s="23"/>
      <c r="X32" s="23"/>
      <c r="Y32" s="23"/>
      <c r="Z32" s="23"/>
    </row>
    <row r="33" ht="17.25" customHeight="1">
      <c r="A33" s="18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18"/>
      <c r="R33" s="18"/>
      <c r="S33" s="63"/>
      <c r="T33" s="63"/>
      <c r="U33" s="23"/>
      <c r="V33" s="23"/>
      <c r="W33" s="23"/>
      <c r="X33" s="23"/>
      <c r="Y33" s="23"/>
      <c r="Z33" s="23"/>
    </row>
    <row r="34" ht="17.25" customHeight="1">
      <c r="A34" s="18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18"/>
      <c r="R34" s="18"/>
      <c r="S34" s="63"/>
      <c r="T34" s="63"/>
      <c r="U34" s="23"/>
      <c r="V34" s="23"/>
      <c r="W34" s="23"/>
      <c r="X34" s="23"/>
      <c r="Y34" s="23"/>
      <c r="Z34" s="23"/>
    </row>
    <row r="35" ht="17.25" customHeight="1">
      <c r="A35" s="18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18"/>
      <c r="R35" s="18"/>
      <c r="S35" s="63"/>
      <c r="T35" s="63"/>
      <c r="U35" s="23"/>
      <c r="V35" s="23"/>
      <c r="W35" s="23"/>
      <c r="X35" s="23"/>
      <c r="Y35" s="23"/>
      <c r="Z35" s="23"/>
    </row>
    <row r="36" ht="17.25" customHeight="1">
      <c r="A36" s="18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18"/>
      <c r="R36" s="18"/>
      <c r="S36" s="63"/>
      <c r="T36" s="63"/>
      <c r="U36" s="23"/>
      <c r="V36" s="23"/>
      <c r="W36" s="23"/>
      <c r="X36" s="23"/>
      <c r="Y36" s="23"/>
      <c r="Z36" s="23"/>
    </row>
    <row r="37" ht="17.25" customHeight="1">
      <c r="A37" s="18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18"/>
      <c r="R37" s="18"/>
      <c r="S37" s="63"/>
      <c r="T37" s="63"/>
      <c r="U37" s="23"/>
      <c r="V37" s="23"/>
      <c r="W37" s="23"/>
      <c r="X37" s="23"/>
      <c r="Y37" s="23"/>
      <c r="Z37" s="23"/>
    </row>
    <row r="38" ht="17.25" customHeight="1">
      <c r="A38" s="18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18"/>
      <c r="R38" s="18"/>
      <c r="S38" s="63"/>
      <c r="T38" s="63"/>
      <c r="U38" s="23"/>
      <c r="V38" s="23"/>
      <c r="W38" s="23"/>
      <c r="X38" s="23"/>
      <c r="Y38" s="23"/>
      <c r="Z38" s="23"/>
    </row>
    <row r="39" ht="17.25" customHeight="1">
      <c r="A39" s="18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18"/>
      <c r="R39" s="18"/>
      <c r="S39" s="63"/>
      <c r="T39" s="63"/>
      <c r="U39" s="23"/>
      <c r="V39" s="23"/>
      <c r="W39" s="23"/>
      <c r="X39" s="23"/>
      <c r="Y39" s="23"/>
      <c r="Z39" s="23"/>
    </row>
    <row r="40" ht="17.25" customHeight="1">
      <c r="A40" s="18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18"/>
      <c r="R40" s="18"/>
      <c r="S40" s="63"/>
      <c r="T40" s="63"/>
      <c r="U40" s="23"/>
      <c r="V40" s="23"/>
      <c r="W40" s="23"/>
      <c r="X40" s="23"/>
      <c r="Y40" s="23"/>
      <c r="Z40" s="23"/>
    </row>
    <row r="41" ht="17.25" customHeight="1">
      <c r="A41" s="1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18"/>
      <c r="R41" s="18"/>
      <c r="S41" s="63"/>
      <c r="T41" s="63"/>
      <c r="U41" s="23"/>
      <c r="V41" s="23"/>
      <c r="W41" s="23"/>
      <c r="X41" s="23"/>
      <c r="Y41" s="23"/>
      <c r="Z41" s="23"/>
    </row>
    <row r="42" ht="17.25" hidden="1" customHeight="1">
      <c r="A42" s="8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18"/>
      <c r="R42" s="18"/>
      <c r="S42" s="63"/>
      <c r="T42" s="63"/>
      <c r="U42" s="23"/>
      <c r="V42" s="23"/>
      <c r="W42" s="23"/>
      <c r="X42" s="23"/>
      <c r="Y42" s="23"/>
      <c r="Z42" s="23"/>
    </row>
    <row r="43" ht="17.25" customHeight="1">
      <c r="A43" s="18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18"/>
      <c r="R43" s="18"/>
      <c r="S43" s="63"/>
      <c r="T43" s="63"/>
      <c r="U43" s="23"/>
      <c r="V43" s="23"/>
      <c r="W43" s="23"/>
      <c r="X43" s="23"/>
      <c r="Y43" s="23"/>
      <c r="Z43" s="23"/>
    </row>
    <row r="44" ht="17.25" customHeight="1">
      <c r="A44" s="18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18"/>
      <c r="R44" s="18"/>
      <c r="S44" s="63"/>
      <c r="T44" s="63"/>
      <c r="U44" s="23"/>
      <c r="V44" s="23"/>
      <c r="W44" s="23"/>
      <c r="X44" s="23"/>
      <c r="Y44" s="23"/>
      <c r="Z44" s="23"/>
    </row>
    <row r="45" ht="17.25" customHeight="1">
      <c r="A45" s="18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18"/>
      <c r="R45" s="18"/>
      <c r="S45" s="63"/>
      <c r="T45" s="63"/>
      <c r="U45" s="23"/>
      <c r="V45" s="23"/>
      <c r="W45" s="23"/>
      <c r="X45" s="23"/>
      <c r="Y45" s="23"/>
      <c r="Z45" s="23"/>
    </row>
    <row r="46" ht="17.25" customHeight="1">
      <c r="A46" s="18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18"/>
      <c r="R46" s="18"/>
      <c r="S46" s="63"/>
      <c r="T46" s="63"/>
      <c r="U46" s="23"/>
      <c r="V46" s="23"/>
      <c r="W46" s="23"/>
      <c r="X46" s="23"/>
      <c r="Y46" s="23"/>
      <c r="Z46" s="23"/>
    </row>
    <row r="47" ht="17.25" customHeight="1">
      <c r="A47" s="18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18"/>
      <c r="R47" s="18"/>
      <c r="S47" s="63"/>
      <c r="T47" s="63"/>
      <c r="U47" s="23"/>
      <c r="V47" s="23"/>
      <c r="W47" s="23"/>
      <c r="X47" s="23"/>
      <c r="Y47" s="23"/>
      <c r="Z47" s="23"/>
    </row>
    <row r="48" ht="17.25" customHeight="1">
      <c r="A48" s="18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18"/>
      <c r="R48" s="18"/>
      <c r="S48" s="63"/>
      <c r="T48" s="63"/>
      <c r="U48" s="23"/>
      <c r="V48" s="23"/>
      <c r="W48" s="23"/>
      <c r="X48" s="23"/>
      <c r="Y48" s="23"/>
      <c r="Z48" s="23"/>
    </row>
    <row r="49" ht="17.25" customHeight="1">
      <c r="A49" s="18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18"/>
      <c r="R49" s="18"/>
      <c r="S49" s="63"/>
      <c r="T49" s="63"/>
      <c r="U49" s="23"/>
      <c r="V49" s="23"/>
      <c r="W49" s="23"/>
      <c r="X49" s="23"/>
      <c r="Y49" s="23"/>
      <c r="Z49" s="23"/>
    </row>
    <row r="50" ht="17.25" customHeight="1">
      <c r="A50" s="18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18"/>
      <c r="R50" s="18"/>
      <c r="S50" s="63"/>
      <c r="T50" s="63"/>
      <c r="U50" s="23"/>
      <c r="V50" s="23"/>
      <c r="W50" s="23"/>
      <c r="X50" s="23"/>
      <c r="Y50" s="23"/>
      <c r="Z50" s="23"/>
    </row>
    <row r="51" ht="17.25" customHeight="1">
      <c r="A51" s="18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18"/>
      <c r="R51" s="18"/>
      <c r="S51" s="63"/>
      <c r="T51" s="63"/>
      <c r="U51" s="23"/>
      <c r="V51" s="23"/>
      <c r="W51" s="23"/>
      <c r="X51" s="23"/>
      <c r="Y51" s="23"/>
      <c r="Z51" s="23"/>
    </row>
    <row r="52" ht="17.25" customHeight="1">
      <c r="A52" s="18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18"/>
      <c r="R52" s="18"/>
      <c r="S52" s="63"/>
      <c r="T52" s="63"/>
      <c r="U52" s="23"/>
      <c r="V52" s="23"/>
      <c r="W52" s="23"/>
      <c r="X52" s="23"/>
      <c r="Y52" s="23"/>
      <c r="Z52" s="23"/>
    </row>
    <row r="53" ht="17.25" customHeight="1">
      <c r="A53" s="18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18"/>
      <c r="R53" s="18"/>
      <c r="S53" s="63"/>
      <c r="T53" s="63"/>
      <c r="U53" s="23"/>
      <c r="V53" s="23"/>
      <c r="W53" s="23"/>
      <c r="X53" s="23"/>
      <c r="Y53" s="23"/>
      <c r="Z53" s="23"/>
    </row>
    <row r="54" ht="17.25" customHeight="1">
      <c r="A54" s="18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18"/>
      <c r="R54" s="18"/>
      <c r="S54" s="63"/>
      <c r="T54" s="63"/>
      <c r="U54" s="23"/>
      <c r="V54" s="23"/>
      <c r="W54" s="23"/>
      <c r="X54" s="23"/>
      <c r="Y54" s="23"/>
      <c r="Z54" s="23"/>
    </row>
    <row r="55" ht="17.25" customHeight="1">
      <c r="A55" s="18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18"/>
      <c r="R55" s="18"/>
      <c r="S55" s="63"/>
      <c r="T55" s="63"/>
      <c r="U55" s="23"/>
      <c r="V55" s="23"/>
      <c r="W55" s="23"/>
      <c r="X55" s="23"/>
      <c r="Y55" s="23"/>
      <c r="Z55" s="23"/>
    </row>
    <row r="56" ht="17.25" customHeight="1">
      <c r="A56" s="18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18"/>
      <c r="R56" s="18"/>
      <c r="S56" s="63"/>
      <c r="T56" s="63"/>
      <c r="U56" s="23"/>
      <c r="V56" s="23"/>
      <c r="W56" s="23"/>
      <c r="X56" s="23"/>
      <c r="Y56" s="23"/>
      <c r="Z56" s="23"/>
    </row>
    <row r="57" ht="17.25" customHeight="1">
      <c r="A57" s="18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18"/>
      <c r="R57" s="18"/>
      <c r="S57" s="63"/>
      <c r="T57" s="63"/>
      <c r="U57" s="23"/>
      <c r="V57" s="23"/>
      <c r="W57" s="23"/>
      <c r="X57" s="23"/>
      <c r="Y57" s="23"/>
      <c r="Z57" s="23"/>
    </row>
    <row r="58" ht="17.25" customHeight="1">
      <c r="A58" s="1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18"/>
      <c r="R58" s="18"/>
      <c r="S58" s="63"/>
      <c r="T58" s="63"/>
      <c r="U58" s="23"/>
      <c r="V58" s="23"/>
      <c r="W58" s="23"/>
      <c r="X58" s="23"/>
      <c r="Y58" s="23"/>
      <c r="Z58" s="23"/>
    </row>
    <row r="59" ht="17.25" customHeight="1">
      <c r="A59" s="18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18"/>
      <c r="R59" s="18"/>
      <c r="S59" s="63"/>
      <c r="T59" s="63"/>
      <c r="U59" s="23"/>
      <c r="V59" s="23"/>
      <c r="W59" s="23"/>
      <c r="X59" s="23"/>
      <c r="Y59" s="23"/>
      <c r="Z59" s="23"/>
    </row>
    <row r="60" ht="17.25" customHeight="1">
      <c r="A60" s="18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18"/>
      <c r="R60" s="18"/>
      <c r="S60" s="63"/>
      <c r="T60" s="63"/>
      <c r="U60" s="23"/>
      <c r="V60" s="23"/>
      <c r="W60" s="23"/>
      <c r="X60" s="23"/>
      <c r="Y60" s="23"/>
      <c r="Z60" s="23"/>
    </row>
    <row r="61" ht="17.25" customHeight="1">
      <c r="A61" s="18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18"/>
      <c r="R61" s="18"/>
      <c r="S61" s="63"/>
      <c r="T61" s="63"/>
      <c r="U61" s="23"/>
      <c r="V61" s="23"/>
      <c r="W61" s="23"/>
      <c r="X61" s="23"/>
      <c r="Y61" s="23"/>
      <c r="Z61" s="23"/>
    </row>
    <row r="62" ht="17.25" customHeight="1">
      <c r="A62" s="18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18"/>
      <c r="R62" s="18"/>
      <c r="S62" s="63"/>
      <c r="T62" s="63"/>
      <c r="U62" s="23"/>
      <c r="V62" s="23"/>
      <c r="W62" s="23"/>
      <c r="X62" s="23"/>
      <c r="Y62" s="23"/>
      <c r="Z62" s="23"/>
    </row>
    <row r="63" ht="17.25" customHeight="1">
      <c r="A63" s="18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18"/>
      <c r="R63" s="18"/>
      <c r="S63" s="63"/>
      <c r="T63" s="63"/>
      <c r="U63" s="23"/>
      <c r="V63" s="23"/>
      <c r="W63" s="23"/>
      <c r="X63" s="23"/>
      <c r="Y63" s="23"/>
      <c r="Z63" s="23"/>
    </row>
    <row r="64" ht="17.25" customHeight="1">
      <c r="A64" s="18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18"/>
      <c r="R64" s="18"/>
      <c r="S64" s="63"/>
      <c r="T64" s="63"/>
      <c r="U64" s="23"/>
      <c r="V64" s="23"/>
      <c r="W64" s="23"/>
      <c r="X64" s="23"/>
      <c r="Y64" s="23"/>
      <c r="Z64" s="23"/>
    </row>
    <row r="65" ht="17.25" customHeight="1">
      <c r="A65" s="18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18"/>
      <c r="R65" s="18"/>
      <c r="S65" s="63"/>
      <c r="T65" s="63"/>
      <c r="U65" s="23"/>
      <c r="V65" s="23"/>
      <c r="W65" s="23"/>
      <c r="X65" s="23"/>
      <c r="Y65" s="23"/>
      <c r="Z65" s="23"/>
    </row>
    <row r="66" ht="17.25" customHeight="1">
      <c r="A66" s="18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18"/>
      <c r="R66" s="18"/>
      <c r="S66" s="63"/>
      <c r="T66" s="63"/>
      <c r="U66" s="23"/>
      <c r="V66" s="23"/>
      <c r="W66" s="23"/>
      <c r="X66" s="23"/>
      <c r="Y66" s="23"/>
      <c r="Z66" s="23"/>
    </row>
    <row r="67" ht="17.25" customHeight="1">
      <c r="A67" s="18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18"/>
      <c r="R67" s="18"/>
      <c r="S67" s="63"/>
      <c r="T67" s="63"/>
      <c r="U67" s="23"/>
      <c r="V67" s="23"/>
      <c r="W67" s="23"/>
      <c r="X67" s="23"/>
      <c r="Y67" s="23"/>
      <c r="Z67" s="23"/>
    </row>
    <row r="68" ht="17.25" customHeight="1">
      <c r="A68" s="18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18"/>
      <c r="R68" s="18"/>
      <c r="S68" s="63"/>
      <c r="T68" s="63"/>
      <c r="U68" s="23"/>
      <c r="V68" s="23"/>
      <c r="W68" s="23"/>
      <c r="X68" s="23"/>
      <c r="Y68" s="23"/>
      <c r="Z68" s="23"/>
    </row>
    <row r="69" ht="17.25" customHeight="1">
      <c r="A69" s="18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18"/>
      <c r="R69" s="18"/>
      <c r="S69" s="63"/>
      <c r="T69" s="63"/>
      <c r="U69" s="23"/>
      <c r="V69" s="23"/>
      <c r="W69" s="23"/>
      <c r="X69" s="23"/>
      <c r="Y69" s="23"/>
      <c r="Z69" s="23"/>
    </row>
    <row r="70" ht="17.25" customHeight="1">
      <c r="A70" s="18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18"/>
      <c r="R70" s="18"/>
      <c r="S70" s="63"/>
      <c r="T70" s="63"/>
      <c r="U70" s="23"/>
      <c r="V70" s="23"/>
      <c r="W70" s="23"/>
      <c r="X70" s="23"/>
      <c r="Y70" s="23"/>
      <c r="Z70" s="23"/>
    </row>
    <row r="71" ht="17.25" customHeight="1">
      <c r="A71" s="18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18"/>
      <c r="R71" s="18"/>
      <c r="S71" s="63"/>
      <c r="T71" s="63"/>
      <c r="U71" s="23"/>
      <c r="V71" s="23"/>
      <c r="W71" s="23"/>
      <c r="X71" s="23"/>
      <c r="Y71" s="23"/>
      <c r="Z71" s="23"/>
    </row>
    <row r="72" ht="17.25" customHeight="1">
      <c r="A72" s="18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18"/>
      <c r="R72" s="18"/>
      <c r="S72" s="63"/>
      <c r="T72" s="63"/>
      <c r="U72" s="23"/>
      <c r="V72" s="23"/>
      <c r="W72" s="23"/>
      <c r="X72" s="23"/>
      <c r="Y72" s="23"/>
      <c r="Z72" s="23"/>
    </row>
    <row r="73" ht="17.25" customHeight="1">
      <c r="A73" s="18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18"/>
      <c r="R73" s="18"/>
      <c r="S73" s="63"/>
      <c r="T73" s="63"/>
      <c r="U73" s="23"/>
      <c r="V73" s="23"/>
      <c r="W73" s="23"/>
      <c r="X73" s="23"/>
      <c r="Y73" s="23"/>
      <c r="Z73" s="23"/>
    </row>
    <row r="74" ht="17.25" customHeight="1">
      <c r="A74" s="18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18"/>
      <c r="R74" s="18"/>
      <c r="S74" s="63"/>
      <c r="T74" s="63"/>
      <c r="U74" s="23"/>
      <c r="V74" s="23"/>
      <c r="W74" s="23"/>
      <c r="X74" s="23"/>
      <c r="Y74" s="23"/>
      <c r="Z74" s="23"/>
    </row>
    <row r="75" ht="17.25" customHeight="1">
      <c r="A75" s="18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18"/>
      <c r="R75" s="18"/>
      <c r="S75" s="63"/>
      <c r="T75" s="63"/>
      <c r="U75" s="23"/>
      <c r="V75" s="23"/>
      <c r="W75" s="23"/>
      <c r="X75" s="23"/>
      <c r="Y75" s="23"/>
      <c r="Z75" s="23"/>
    </row>
    <row r="76" ht="17.25" customHeight="1">
      <c r="A76" s="18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18"/>
      <c r="R76" s="18"/>
      <c r="S76" s="63"/>
      <c r="T76" s="63"/>
      <c r="U76" s="23"/>
      <c r="V76" s="23"/>
      <c r="W76" s="23"/>
      <c r="X76" s="23"/>
      <c r="Y76" s="23"/>
      <c r="Z76" s="23"/>
    </row>
    <row r="77" ht="17.25" customHeight="1">
      <c r="A77" s="18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18"/>
      <c r="R77" s="18"/>
      <c r="S77" s="63"/>
      <c r="T77" s="63"/>
      <c r="U77" s="23"/>
      <c r="V77" s="23"/>
      <c r="W77" s="23"/>
      <c r="X77" s="23"/>
      <c r="Y77" s="23"/>
      <c r="Z77" s="23"/>
    </row>
    <row r="78" ht="17.25" customHeight="1">
      <c r="A78" s="18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18"/>
      <c r="R78" s="18"/>
      <c r="S78" s="63"/>
      <c r="T78" s="63"/>
      <c r="U78" s="23"/>
      <c r="V78" s="23"/>
      <c r="W78" s="23"/>
      <c r="X78" s="23"/>
      <c r="Y78" s="23"/>
      <c r="Z78" s="23"/>
    </row>
    <row r="79" ht="17.25" customHeight="1">
      <c r="A79" s="18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18"/>
      <c r="R79" s="18"/>
      <c r="S79" s="63"/>
      <c r="T79" s="63"/>
      <c r="U79" s="23"/>
      <c r="V79" s="23"/>
      <c r="W79" s="23"/>
      <c r="X79" s="23"/>
      <c r="Y79" s="23"/>
      <c r="Z79" s="23"/>
    </row>
    <row r="80" ht="17.25" customHeight="1">
      <c r="A80" s="18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18"/>
      <c r="R80" s="18"/>
      <c r="S80" s="63"/>
      <c r="T80" s="63"/>
      <c r="U80" s="23"/>
      <c r="V80" s="23"/>
      <c r="W80" s="23"/>
      <c r="X80" s="23"/>
      <c r="Y80" s="23"/>
      <c r="Z80" s="23"/>
    </row>
    <row r="81" ht="17.25" customHeight="1">
      <c r="A81" s="18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18"/>
      <c r="R81" s="18"/>
      <c r="S81" s="63"/>
      <c r="T81" s="63"/>
      <c r="U81" s="23"/>
      <c r="V81" s="23"/>
      <c r="W81" s="23"/>
      <c r="X81" s="23"/>
      <c r="Y81" s="23"/>
      <c r="Z81" s="23"/>
    </row>
    <row r="82" ht="17.25" customHeight="1">
      <c r="A82" s="18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18"/>
      <c r="R82" s="18"/>
      <c r="S82" s="63"/>
      <c r="T82" s="63"/>
      <c r="U82" s="23"/>
      <c r="V82" s="23"/>
      <c r="W82" s="23"/>
      <c r="X82" s="23"/>
      <c r="Y82" s="23"/>
      <c r="Z82" s="23"/>
    </row>
    <row r="83" ht="17.25" customHeight="1">
      <c r="A83" s="18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18"/>
      <c r="R83" s="18"/>
      <c r="S83" s="63"/>
      <c r="T83" s="63"/>
      <c r="U83" s="23"/>
      <c r="V83" s="23"/>
      <c r="W83" s="23"/>
      <c r="X83" s="23"/>
      <c r="Y83" s="23"/>
      <c r="Z83" s="23"/>
    </row>
    <row r="84" ht="17.25" customHeight="1">
      <c r="A84" s="18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18"/>
      <c r="R84" s="18"/>
      <c r="S84" s="63"/>
      <c r="T84" s="63"/>
      <c r="U84" s="23"/>
      <c r="V84" s="23"/>
      <c r="W84" s="23"/>
      <c r="X84" s="23"/>
      <c r="Y84" s="23"/>
      <c r="Z84" s="23"/>
    </row>
    <row r="85" ht="17.25" customHeight="1">
      <c r="A85" s="18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18"/>
      <c r="R85" s="18"/>
      <c r="S85" s="63"/>
      <c r="T85" s="63"/>
      <c r="U85" s="23"/>
      <c r="V85" s="23"/>
      <c r="W85" s="23"/>
      <c r="X85" s="23"/>
      <c r="Y85" s="23"/>
      <c r="Z85" s="23"/>
    </row>
    <row r="86" ht="17.25" customHeight="1">
      <c r="A86" s="18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18"/>
      <c r="R86" s="18"/>
      <c r="S86" s="63"/>
      <c r="T86" s="63"/>
      <c r="U86" s="23"/>
      <c r="V86" s="23"/>
      <c r="W86" s="23"/>
      <c r="X86" s="23"/>
      <c r="Y86" s="23"/>
      <c r="Z86" s="23"/>
    </row>
    <row r="87" ht="17.25" customHeight="1">
      <c r="A87" s="18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18"/>
      <c r="R87" s="18"/>
      <c r="S87" s="63"/>
      <c r="T87" s="63"/>
      <c r="U87" s="23"/>
      <c r="V87" s="23"/>
      <c r="W87" s="23"/>
      <c r="X87" s="23"/>
      <c r="Y87" s="23"/>
      <c r="Z87" s="23"/>
    </row>
    <row r="88" ht="17.25" customHeight="1">
      <c r="A88" s="18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18"/>
      <c r="R88" s="18"/>
      <c r="S88" s="63"/>
      <c r="T88" s="63"/>
      <c r="U88" s="23"/>
      <c r="V88" s="23"/>
      <c r="W88" s="23"/>
      <c r="X88" s="23"/>
      <c r="Y88" s="23"/>
      <c r="Z88" s="23"/>
    </row>
    <row r="89" ht="17.25" customHeight="1">
      <c r="A89" s="18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18"/>
      <c r="R89" s="18"/>
      <c r="S89" s="63"/>
      <c r="T89" s="63"/>
      <c r="U89" s="23"/>
      <c r="V89" s="23"/>
      <c r="W89" s="23"/>
      <c r="X89" s="23"/>
      <c r="Y89" s="23"/>
      <c r="Z89" s="23"/>
    </row>
    <row r="90" ht="17.25" customHeight="1">
      <c r="A90" s="18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18"/>
      <c r="R90" s="18"/>
      <c r="S90" s="63"/>
      <c r="T90" s="63"/>
      <c r="U90" s="23"/>
      <c r="V90" s="23"/>
      <c r="W90" s="23"/>
      <c r="X90" s="23"/>
      <c r="Y90" s="23"/>
      <c r="Z90" s="23"/>
    </row>
    <row r="91" ht="17.25" customHeight="1">
      <c r="A91" s="18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18"/>
      <c r="R91" s="18"/>
      <c r="S91" s="63"/>
      <c r="T91" s="63"/>
      <c r="U91" s="23"/>
      <c r="V91" s="23"/>
      <c r="W91" s="23"/>
      <c r="X91" s="23"/>
      <c r="Y91" s="23"/>
      <c r="Z91" s="23"/>
    </row>
    <row r="92" ht="17.25" customHeight="1">
      <c r="A92" s="18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18"/>
      <c r="R92" s="18"/>
      <c r="S92" s="63"/>
      <c r="T92" s="63"/>
      <c r="U92" s="23"/>
      <c r="V92" s="23"/>
      <c r="W92" s="23"/>
      <c r="X92" s="23"/>
      <c r="Y92" s="23"/>
      <c r="Z92" s="23"/>
    </row>
    <row r="93" ht="17.25" customHeight="1">
      <c r="A93" s="18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18"/>
      <c r="R93" s="18"/>
      <c r="S93" s="63"/>
      <c r="T93" s="63"/>
      <c r="U93" s="23"/>
      <c r="V93" s="23"/>
      <c r="W93" s="23"/>
      <c r="X93" s="23"/>
      <c r="Y93" s="23"/>
      <c r="Z93" s="23"/>
    </row>
    <row r="94" ht="17.25" customHeight="1">
      <c r="A94" s="18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18"/>
      <c r="R94" s="18"/>
      <c r="S94" s="63"/>
      <c r="T94" s="63"/>
      <c r="U94" s="23"/>
      <c r="V94" s="23"/>
      <c r="W94" s="23"/>
      <c r="X94" s="23"/>
      <c r="Y94" s="23"/>
      <c r="Z94" s="23"/>
    </row>
    <row r="95" ht="17.25" customHeight="1">
      <c r="A95" s="18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18"/>
      <c r="R95" s="18"/>
      <c r="S95" s="63"/>
      <c r="T95" s="63"/>
      <c r="U95" s="23"/>
      <c r="V95" s="23"/>
      <c r="W95" s="23"/>
      <c r="X95" s="23"/>
      <c r="Y95" s="23"/>
      <c r="Z95" s="23"/>
    </row>
    <row r="96" ht="17.25" customHeight="1">
      <c r="A96" s="18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18"/>
      <c r="R96" s="18"/>
      <c r="S96" s="63"/>
      <c r="T96" s="63"/>
      <c r="U96" s="23"/>
      <c r="V96" s="23"/>
      <c r="W96" s="23"/>
      <c r="X96" s="23"/>
      <c r="Y96" s="23"/>
      <c r="Z96" s="23"/>
    </row>
    <row r="97" ht="17.25" customHeight="1">
      <c r="A97" s="18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18"/>
      <c r="R97" s="18"/>
      <c r="S97" s="63"/>
      <c r="T97" s="63"/>
      <c r="U97" s="23"/>
      <c r="V97" s="23"/>
      <c r="W97" s="23"/>
      <c r="X97" s="23"/>
      <c r="Y97" s="23"/>
      <c r="Z97" s="23"/>
    </row>
    <row r="98" ht="17.25" customHeight="1">
      <c r="A98" s="18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18"/>
      <c r="R98" s="18"/>
      <c r="S98" s="63"/>
      <c r="T98" s="63"/>
      <c r="U98" s="23"/>
      <c r="V98" s="23"/>
      <c r="W98" s="23"/>
      <c r="X98" s="23"/>
      <c r="Y98" s="23"/>
      <c r="Z98" s="23"/>
    </row>
    <row r="99" ht="17.25" customHeight="1">
      <c r="A99" s="18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18"/>
      <c r="R99" s="18"/>
      <c r="S99" s="63"/>
      <c r="T99" s="63"/>
      <c r="U99" s="23"/>
      <c r="V99" s="23"/>
      <c r="W99" s="23"/>
      <c r="X99" s="23"/>
      <c r="Y99" s="23"/>
      <c r="Z99" s="23"/>
    </row>
    <row r="100" ht="17.25" customHeight="1">
      <c r="A100" s="18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18"/>
      <c r="R100" s="18"/>
      <c r="S100" s="63"/>
      <c r="T100" s="63"/>
      <c r="U100" s="23"/>
      <c r="V100" s="23"/>
      <c r="W100" s="23"/>
      <c r="X100" s="23"/>
      <c r="Y100" s="23"/>
      <c r="Z100" s="23"/>
    </row>
    <row r="101" ht="17.25" customHeight="1">
      <c r="A101" s="18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18"/>
      <c r="R101" s="18"/>
      <c r="S101" s="63"/>
      <c r="T101" s="63"/>
      <c r="U101" s="23"/>
      <c r="V101" s="23"/>
      <c r="W101" s="23"/>
      <c r="X101" s="23"/>
      <c r="Y101" s="23"/>
      <c r="Z101" s="23"/>
    </row>
    <row r="102" ht="17.25" customHeight="1">
      <c r="A102" s="18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18"/>
      <c r="R102" s="18"/>
      <c r="S102" s="63"/>
      <c r="T102" s="63"/>
      <c r="U102" s="23"/>
      <c r="V102" s="23"/>
      <c r="W102" s="23"/>
      <c r="X102" s="23"/>
      <c r="Y102" s="23"/>
      <c r="Z102" s="23"/>
    </row>
    <row r="103" ht="17.25" customHeight="1">
      <c r="A103" s="18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18"/>
      <c r="R103" s="18"/>
      <c r="S103" s="63"/>
      <c r="T103" s="63"/>
      <c r="U103" s="23"/>
      <c r="V103" s="23"/>
      <c r="W103" s="23"/>
      <c r="X103" s="23"/>
      <c r="Y103" s="23"/>
      <c r="Z103" s="23"/>
    </row>
    <row r="104" ht="17.25" customHeight="1">
      <c r="A104" s="18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18"/>
      <c r="R104" s="18"/>
      <c r="S104" s="63"/>
      <c r="T104" s="63"/>
      <c r="U104" s="23"/>
      <c r="V104" s="23"/>
      <c r="W104" s="23"/>
      <c r="X104" s="23"/>
      <c r="Y104" s="23"/>
      <c r="Z104" s="23"/>
    </row>
    <row r="105" ht="17.25" customHeight="1">
      <c r="A105" s="18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18"/>
      <c r="R105" s="18"/>
      <c r="S105" s="63"/>
      <c r="T105" s="63"/>
      <c r="U105" s="23"/>
      <c r="V105" s="23"/>
      <c r="W105" s="23"/>
      <c r="X105" s="23"/>
      <c r="Y105" s="23"/>
      <c r="Z105" s="23"/>
    </row>
    <row r="106" ht="17.25" customHeight="1">
      <c r="A106" s="18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18"/>
      <c r="R106" s="18"/>
      <c r="S106" s="63"/>
      <c r="T106" s="63"/>
      <c r="U106" s="23"/>
      <c r="V106" s="23"/>
      <c r="W106" s="23"/>
      <c r="X106" s="23"/>
      <c r="Y106" s="23"/>
      <c r="Z106" s="23"/>
    </row>
    <row r="107" ht="17.25" customHeight="1">
      <c r="A107" s="18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18"/>
      <c r="R107" s="18"/>
      <c r="S107" s="63"/>
      <c r="T107" s="63"/>
      <c r="U107" s="23"/>
      <c r="V107" s="23"/>
      <c r="W107" s="23"/>
      <c r="X107" s="23"/>
      <c r="Y107" s="23"/>
      <c r="Z107" s="23"/>
    </row>
    <row r="108" ht="17.25" customHeight="1">
      <c r="A108" s="18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18"/>
      <c r="R108" s="18"/>
      <c r="S108" s="63"/>
      <c r="T108" s="63"/>
      <c r="U108" s="23"/>
      <c r="V108" s="23"/>
      <c r="W108" s="23"/>
      <c r="X108" s="23"/>
      <c r="Y108" s="23"/>
      <c r="Z108" s="23"/>
    </row>
    <row r="109" ht="17.25" customHeight="1">
      <c r="A109" s="18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18"/>
      <c r="R109" s="18"/>
      <c r="S109" s="63"/>
      <c r="T109" s="63"/>
      <c r="U109" s="23"/>
      <c r="V109" s="23"/>
      <c r="W109" s="23"/>
      <c r="X109" s="23"/>
      <c r="Y109" s="23"/>
      <c r="Z109" s="23"/>
    </row>
    <row r="110" ht="17.25" customHeight="1">
      <c r="A110" s="18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18"/>
      <c r="R110" s="18"/>
      <c r="S110" s="63"/>
      <c r="T110" s="63"/>
      <c r="U110" s="23"/>
      <c r="V110" s="23"/>
      <c r="W110" s="23"/>
      <c r="X110" s="23"/>
      <c r="Y110" s="23"/>
      <c r="Z110" s="23"/>
    </row>
    <row r="111" ht="17.25" customHeight="1">
      <c r="A111" s="18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18"/>
      <c r="R111" s="18"/>
      <c r="S111" s="63"/>
      <c r="T111" s="63"/>
      <c r="U111" s="23"/>
      <c r="V111" s="23"/>
      <c r="W111" s="23"/>
      <c r="X111" s="23"/>
      <c r="Y111" s="23"/>
      <c r="Z111" s="23"/>
    </row>
    <row r="112" ht="17.25" customHeight="1">
      <c r="A112" s="18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18"/>
      <c r="R112" s="18"/>
      <c r="S112" s="63"/>
      <c r="T112" s="63"/>
      <c r="U112" s="23"/>
      <c r="V112" s="23"/>
      <c r="W112" s="23"/>
      <c r="X112" s="23"/>
      <c r="Y112" s="23"/>
      <c r="Z112" s="23"/>
    </row>
    <row r="113" ht="17.25" customHeight="1">
      <c r="A113" s="18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18"/>
      <c r="R113" s="18"/>
      <c r="S113" s="63"/>
      <c r="T113" s="63"/>
      <c r="U113" s="23"/>
      <c r="V113" s="23"/>
      <c r="W113" s="23"/>
      <c r="X113" s="23"/>
      <c r="Y113" s="23"/>
      <c r="Z113" s="23"/>
    </row>
    <row r="114" ht="17.25" customHeight="1">
      <c r="A114" s="18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18"/>
      <c r="R114" s="18"/>
      <c r="S114" s="63"/>
      <c r="T114" s="63"/>
      <c r="U114" s="23"/>
      <c r="V114" s="23"/>
      <c r="W114" s="23"/>
      <c r="X114" s="23"/>
      <c r="Y114" s="23"/>
      <c r="Z114" s="23"/>
    </row>
    <row r="115" ht="17.25" customHeight="1">
      <c r="A115" s="18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18"/>
      <c r="R115" s="18"/>
      <c r="S115" s="63"/>
      <c r="T115" s="63"/>
      <c r="U115" s="23"/>
      <c r="V115" s="23"/>
      <c r="W115" s="23"/>
      <c r="X115" s="23"/>
      <c r="Y115" s="23"/>
      <c r="Z115" s="23"/>
    </row>
    <row r="116" ht="17.25" customHeight="1">
      <c r="A116" s="18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18"/>
      <c r="R116" s="18"/>
      <c r="S116" s="63"/>
      <c r="T116" s="63"/>
      <c r="U116" s="23"/>
      <c r="V116" s="23"/>
      <c r="W116" s="23"/>
      <c r="X116" s="23"/>
      <c r="Y116" s="23"/>
      <c r="Z116" s="23"/>
    </row>
    <row r="117" ht="17.25" customHeight="1">
      <c r="A117" s="18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18"/>
      <c r="R117" s="18"/>
      <c r="S117" s="63"/>
      <c r="T117" s="63"/>
      <c r="U117" s="23"/>
      <c r="V117" s="23"/>
      <c r="W117" s="23"/>
      <c r="X117" s="23"/>
      <c r="Y117" s="23"/>
      <c r="Z117" s="23"/>
    </row>
    <row r="118" ht="17.25" customHeight="1">
      <c r="A118" s="18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18"/>
      <c r="R118" s="18"/>
      <c r="S118" s="63"/>
      <c r="T118" s="63"/>
      <c r="U118" s="23"/>
      <c r="V118" s="23"/>
      <c r="W118" s="23"/>
      <c r="X118" s="23"/>
      <c r="Y118" s="23"/>
      <c r="Z118" s="23"/>
    </row>
    <row r="119" ht="17.25" customHeight="1">
      <c r="A119" s="18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18"/>
      <c r="R119" s="18"/>
      <c r="S119" s="63"/>
      <c r="T119" s="63"/>
      <c r="U119" s="23"/>
      <c r="V119" s="23"/>
      <c r="W119" s="23"/>
      <c r="X119" s="23"/>
      <c r="Y119" s="23"/>
      <c r="Z119" s="23"/>
    </row>
    <row r="120" ht="17.25" customHeight="1">
      <c r="A120" s="18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18"/>
      <c r="R120" s="18"/>
      <c r="S120" s="63"/>
      <c r="T120" s="63"/>
      <c r="U120" s="23"/>
      <c r="V120" s="23"/>
      <c r="W120" s="23"/>
      <c r="X120" s="23"/>
      <c r="Y120" s="23"/>
      <c r="Z120" s="23"/>
    </row>
    <row r="121" ht="17.25" customHeight="1">
      <c r="A121" s="18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18"/>
      <c r="R121" s="18"/>
      <c r="S121" s="63"/>
      <c r="T121" s="63"/>
      <c r="U121" s="23"/>
      <c r="V121" s="23"/>
      <c r="W121" s="23"/>
      <c r="X121" s="23"/>
      <c r="Y121" s="23"/>
      <c r="Z121" s="23"/>
    </row>
    <row r="122" ht="17.25" customHeight="1">
      <c r="A122" s="18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18"/>
      <c r="R122" s="18"/>
      <c r="S122" s="63"/>
      <c r="T122" s="63"/>
      <c r="U122" s="23"/>
      <c r="V122" s="23"/>
      <c r="W122" s="23"/>
      <c r="X122" s="23"/>
      <c r="Y122" s="23"/>
      <c r="Z122" s="23"/>
    </row>
    <row r="123" ht="17.25" customHeight="1">
      <c r="A123" s="18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18"/>
      <c r="R123" s="18"/>
      <c r="S123" s="63"/>
      <c r="T123" s="63"/>
      <c r="U123" s="23"/>
      <c r="V123" s="23"/>
      <c r="W123" s="23"/>
      <c r="X123" s="23"/>
      <c r="Y123" s="23"/>
      <c r="Z123" s="23"/>
    </row>
    <row r="124" ht="17.25" customHeight="1">
      <c r="A124" s="18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18"/>
      <c r="R124" s="18"/>
      <c r="S124" s="63"/>
      <c r="T124" s="63"/>
      <c r="U124" s="23"/>
      <c r="V124" s="23"/>
      <c r="W124" s="23"/>
      <c r="X124" s="23"/>
      <c r="Y124" s="23"/>
      <c r="Z124" s="23"/>
    </row>
    <row r="125" ht="17.25" customHeight="1">
      <c r="A125" s="18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18"/>
      <c r="R125" s="18"/>
      <c r="S125" s="63"/>
      <c r="T125" s="63"/>
      <c r="U125" s="23"/>
      <c r="V125" s="23"/>
      <c r="W125" s="23"/>
      <c r="X125" s="23"/>
      <c r="Y125" s="23"/>
      <c r="Z125" s="23"/>
    </row>
    <row r="126" ht="17.25" customHeight="1">
      <c r="A126" s="18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18"/>
      <c r="R126" s="18"/>
      <c r="S126" s="63"/>
      <c r="T126" s="63"/>
      <c r="U126" s="23"/>
      <c r="V126" s="23"/>
      <c r="W126" s="23"/>
      <c r="X126" s="23"/>
      <c r="Y126" s="23"/>
      <c r="Z126" s="23"/>
    </row>
    <row r="127" ht="17.25" customHeight="1">
      <c r="A127" s="18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18"/>
      <c r="R127" s="18"/>
      <c r="S127" s="63"/>
      <c r="T127" s="63"/>
      <c r="U127" s="23"/>
      <c r="V127" s="23"/>
      <c r="W127" s="23"/>
      <c r="X127" s="23"/>
      <c r="Y127" s="23"/>
      <c r="Z127" s="23"/>
    </row>
    <row r="128" ht="17.25" customHeight="1">
      <c r="A128" s="18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18"/>
      <c r="R128" s="18"/>
      <c r="S128" s="63"/>
      <c r="T128" s="63"/>
      <c r="U128" s="23"/>
      <c r="V128" s="23"/>
      <c r="W128" s="23"/>
      <c r="X128" s="23"/>
      <c r="Y128" s="23"/>
      <c r="Z128" s="23"/>
    </row>
    <row r="129" ht="17.25" customHeight="1">
      <c r="A129" s="18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18"/>
      <c r="R129" s="18"/>
      <c r="S129" s="63"/>
      <c r="T129" s="63"/>
      <c r="U129" s="23"/>
      <c r="V129" s="23"/>
      <c r="W129" s="23"/>
      <c r="X129" s="23"/>
      <c r="Y129" s="23"/>
      <c r="Z129" s="23"/>
    </row>
    <row r="130" ht="17.25" customHeight="1">
      <c r="A130" s="18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18"/>
      <c r="R130" s="18"/>
      <c r="S130" s="63"/>
      <c r="T130" s="63"/>
      <c r="U130" s="23"/>
      <c r="V130" s="23"/>
      <c r="W130" s="23"/>
      <c r="X130" s="23"/>
      <c r="Y130" s="23"/>
      <c r="Z130" s="23"/>
    </row>
    <row r="131" ht="17.25" customHeight="1">
      <c r="A131" s="18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18"/>
      <c r="R131" s="18"/>
      <c r="S131" s="63"/>
      <c r="T131" s="63"/>
      <c r="U131" s="23"/>
      <c r="V131" s="23"/>
      <c r="W131" s="23"/>
      <c r="X131" s="23"/>
      <c r="Y131" s="23"/>
      <c r="Z131" s="23"/>
    </row>
    <row r="132" ht="17.25" customHeight="1">
      <c r="A132" s="18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18"/>
      <c r="R132" s="18"/>
      <c r="S132" s="63"/>
      <c r="T132" s="63"/>
      <c r="U132" s="23"/>
      <c r="V132" s="23"/>
      <c r="W132" s="23"/>
      <c r="X132" s="23"/>
      <c r="Y132" s="23"/>
      <c r="Z132" s="23"/>
    </row>
    <row r="133" ht="17.25" customHeight="1">
      <c r="A133" s="18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18"/>
      <c r="R133" s="18"/>
      <c r="S133" s="63"/>
      <c r="T133" s="63"/>
      <c r="U133" s="23"/>
      <c r="V133" s="23"/>
      <c r="W133" s="23"/>
      <c r="X133" s="23"/>
      <c r="Y133" s="23"/>
      <c r="Z133" s="23"/>
    </row>
    <row r="134" ht="17.25" customHeight="1">
      <c r="A134" s="18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18"/>
      <c r="R134" s="18"/>
      <c r="S134" s="63"/>
      <c r="T134" s="63"/>
      <c r="U134" s="23"/>
      <c r="V134" s="23"/>
      <c r="W134" s="23"/>
      <c r="X134" s="23"/>
      <c r="Y134" s="23"/>
      <c r="Z134" s="23"/>
    </row>
    <row r="135" ht="17.25" customHeight="1">
      <c r="A135" s="18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18"/>
      <c r="R135" s="18"/>
      <c r="S135" s="63"/>
      <c r="T135" s="63"/>
      <c r="U135" s="23"/>
      <c r="V135" s="23"/>
      <c r="W135" s="23"/>
      <c r="X135" s="23"/>
      <c r="Y135" s="23"/>
      <c r="Z135" s="23"/>
    </row>
    <row r="136" ht="17.25" customHeight="1">
      <c r="A136" s="18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18"/>
      <c r="R136" s="18"/>
      <c r="S136" s="63"/>
      <c r="T136" s="63"/>
      <c r="U136" s="23"/>
      <c r="V136" s="23"/>
      <c r="W136" s="23"/>
      <c r="X136" s="23"/>
      <c r="Y136" s="23"/>
      <c r="Z136" s="23"/>
    </row>
    <row r="137" ht="17.25" customHeight="1">
      <c r="A137" s="18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18"/>
      <c r="R137" s="18"/>
      <c r="S137" s="63"/>
      <c r="T137" s="63"/>
      <c r="U137" s="23"/>
      <c r="V137" s="23"/>
      <c r="W137" s="23"/>
      <c r="X137" s="23"/>
      <c r="Y137" s="23"/>
      <c r="Z137" s="23"/>
    </row>
    <row r="138" ht="17.25" customHeight="1">
      <c r="A138" s="18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18"/>
      <c r="R138" s="18"/>
      <c r="S138" s="63"/>
      <c r="T138" s="63"/>
      <c r="U138" s="23"/>
      <c r="V138" s="23"/>
      <c r="W138" s="23"/>
      <c r="X138" s="23"/>
      <c r="Y138" s="23"/>
      <c r="Z138" s="23"/>
    </row>
    <row r="139" ht="17.25" customHeight="1">
      <c r="A139" s="18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18"/>
      <c r="R139" s="18"/>
      <c r="S139" s="63"/>
      <c r="T139" s="63"/>
      <c r="U139" s="23"/>
      <c r="V139" s="23"/>
      <c r="W139" s="23"/>
      <c r="X139" s="23"/>
      <c r="Y139" s="23"/>
      <c r="Z139" s="23"/>
    </row>
    <row r="140" ht="17.25" customHeight="1">
      <c r="A140" s="18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18"/>
      <c r="R140" s="18"/>
      <c r="S140" s="63"/>
      <c r="T140" s="63"/>
      <c r="U140" s="23"/>
      <c r="V140" s="23"/>
      <c r="W140" s="23"/>
      <c r="X140" s="23"/>
      <c r="Y140" s="23"/>
      <c r="Z140" s="23"/>
    </row>
    <row r="141" ht="17.25" customHeight="1">
      <c r="A141" s="18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18"/>
      <c r="R141" s="18"/>
      <c r="S141" s="63"/>
      <c r="T141" s="63"/>
      <c r="U141" s="23"/>
      <c r="V141" s="23"/>
      <c r="W141" s="23"/>
      <c r="X141" s="23"/>
      <c r="Y141" s="23"/>
      <c r="Z141" s="23"/>
    </row>
    <row r="142" ht="17.25" customHeight="1">
      <c r="A142" s="18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18"/>
      <c r="R142" s="18"/>
      <c r="S142" s="63"/>
      <c r="T142" s="63"/>
      <c r="U142" s="23"/>
      <c r="V142" s="23"/>
      <c r="W142" s="23"/>
      <c r="X142" s="23"/>
      <c r="Y142" s="23"/>
      <c r="Z142" s="23"/>
    </row>
    <row r="143" ht="17.25" customHeight="1">
      <c r="A143" s="18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18"/>
      <c r="R143" s="18"/>
      <c r="S143" s="63"/>
      <c r="T143" s="63"/>
      <c r="U143" s="23"/>
      <c r="V143" s="23"/>
      <c r="W143" s="23"/>
      <c r="X143" s="23"/>
      <c r="Y143" s="23"/>
      <c r="Z143" s="23"/>
    </row>
    <row r="144" ht="17.25" customHeight="1">
      <c r="A144" s="18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18"/>
      <c r="R144" s="18"/>
      <c r="S144" s="63"/>
      <c r="T144" s="63"/>
      <c r="U144" s="23"/>
      <c r="V144" s="23"/>
      <c r="W144" s="23"/>
      <c r="X144" s="23"/>
      <c r="Y144" s="23"/>
      <c r="Z144" s="23"/>
    </row>
    <row r="145" ht="17.25" customHeight="1">
      <c r="A145" s="18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18"/>
      <c r="R145" s="18"/>
      <c r="S145" s="63"/>
      <c r="T145" s="63"/>
      <c r="U145" s="23"/>
      <c r="V145" s="23"/>
      <c r="W145" s="23"/>
      <c r="X145" s="23"/>
      <c r="Y145" s="23"/>
      <c r="Z145" s="23"/>
    </row>
    <row r="146" ht="17.25" customHeight="1">
      <c r="A146" s="18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18"/>
      <c r="R146" s="18"/>
      <c r="S146" s="63"/>
      <c r="T146" s="63"/>
      <c r="U146" s="23"/>
      <c r="V146" s="23"/>
      <c r="W146" s="23"/>
      <c r="X146" s="23"/>
      <c r="Y146" s="23"/>
      <c r="Z146" s="23"/>
    </row>
    <row r="147" ht="17.25" customHeight="1">
      <c r="A147" s="18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18"/>
      <c r="R147" s="18"/>
      <c r="S147" s="63"/>
      <c r="T147" s="63"/>
      <c r="U147" s="23"/>
      <c r="V147" s="23"/>
      <c r="W147" s="23"/>
      <c r="X147" s="23"/>
      <c r="Y147" s="23"/>
      <c r="Z147" s="23"/>
    </row>
    <row r="148" ht="17.25" customHeight="1">
      <c r="A148" s="18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18"/>
      <c r="R148" s="18"/>
      <c r="S148" s="63"/>
      <c r="T148" s="63"/>
      <c r="U148" s="23"/>
      <c r="V148" s="23"/>
      <c r="W148" s="23"/>
      <c r="X148" s="23"/>
      <c r="Y148" s="23"/>
      <c r="Z148" s="23"/>
    </row>
    <row r="149" ht="17.25" customHeight="1">
      <c r="A149" s="18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18"/>
      <c r="R149" s="18"/>
      <c r="S149" s="63"/>
      <c r="T149" s="63"/>
      <c r="U149" s="23"/>
      <c r="V149" s="23"/>
      <c r="W149" s="23"/>
      <c r="X149" s="23"/>
      <c r="Y149" s="23"/>
      <c r="Z149" s="23"/>
    </row>
    <row r="150" ht="17.25" customHeight="1">
      <c r="A150" s="18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18"/>
      <c r="R150" s="18"/>
      <c r="S150" s="63"/>
      <c r="T150" s="63"/>
      <c r="U150" s="23"/>
      <c r="V150" s="23"/>
      <c r="W150" s="23"/>
      <c r="X150" s="23"/>
      <c r="Y150" s="23"/>
      <c r="Z150" s="23"/>
    </row>
    <row r="151" ht="17.25" customHeight="1">
      <c r="A151" s="18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18"/>
      <c r="R151" s="18"/>
      <c r="S151" s="63"/>
      <c r="T151" s="63"/>
      <c r="U151" s="23"/>
      <c r="V151" s="23"/>
      <c r="W151" s="23"/>
      <c r="X151" s="23"/>
      <c r="Y151" s="23"/>
      <c r="Z151" s="23"/>
    </row>
    <row r="152" ht="17.25" customHeight="1">
      <c r="A152" s="18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18"/>
      <c r="R152" s="18"/>
      <c r="S152" s="63"/>
      <c r="T152" s="63"/>
      <c r="U152" s="23"/>
      <c r="V152" s="23"/>
      <c r="W152" s="23"/>
      <c r="X152" s="23"/>
      <c r="Y152" s="23"/>
      <c r="Z152" s="23"/>
    </row>
    <row r="153" ht="17.25" customHeight="1">
      <c r="A153" s="18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18"/>
      <c r="R153" s="18"/>
      <c r="S153" s="63"/>
      <c r="T153" s="63"/>
      <c r="U153" s="23"/>
      <c r="V153" s="23"/>
      <c r="W153" s="23"/>
      <c r="X153" s="23"/>
      <c r="Y153" s="23"/>
      <c r="Z153" s="23"/>
    </row>
    <row r="154" ht="17.25" customHeight="1">
      <c r="A154" s="18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18"/>
      <c r="R154" s="18"/>
      <c r="S154" s="63"/>
      <c r="T154" s="63"/>
      <c r="U154" s="23"/>
      <c r="V154" s="23"/>
      <c r="W154" s="23"/>
      <c r="X154" s="23"/>
      <c r="Y154" s="23"/>
      <c r="Z154" s="23"/>
    </row>
    <row r="155" ht="17.25" customHeight="1">
      <c r="A155" s="18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18"/>
      <c r="R155" s="18"/>
      <c r="S155" s="63"/>
      <c r="T155" s="63"/>
      <c r="U155" s="23"/>
      <c r="V155" s="23"/>
      <c r="W155" s="23"/>
      <c r="X155" s="23"/>
      <c r="Y155" s="23"/>
      <c r="Z155" s="23"/>
    </row>
    <row r="156" ht="17.25" customHeight="1">
      <c r="A156" s="18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18"/>
      <c r="R156" s="18"/>
      <c r="S156" s="63"/>
      <c r="T156" s="63"/>
      <c r="U156" s="23"/>
      <c r="V156" s="23"/>
      <c r="W156" s="23"/>
      <c r="X156" s="23"/>
      <c r="Y156" s="23"/>
      <c r="Z156" s="23"/>
    </row>
    <row r="157" ht="17.25" customHeight="1">
      <c r="A157" s="18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18"/>
      <c r="R157" s="18"/>
      <c r="S157" s="63"/>
      <c r="T157" s="63"/>
      <c r="U157" s="23"/>
      <c r="V157" s="23"/>
      <c r="W157" s="23"/>
      <c r="X157" s="23"/>
      <c r="Y157" s="23"/>
      <c r="Z157" s="23"/>
    </row>
    <row r="158" ht="17.25" customHeight="1">
      <c r="A158" s="18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18"/>
      <c r="R158" s="18"/>
      <c r="S158" s="63"/>
      <c r="T158" s="63"/>
      <c r="U158" s="23"/>
      <c r="V158" s="23"/>
      <c r="W158" s="23"/>
      <c r="X158" s="23"/>
      <c r="Y158" s="23"/>
      <c r="Z158" s="23"/>
    </row>
    <row r="159" ht="17.25" customHeight="1">
      <c r="A159" s="18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18"/>
      <c r="R159" s="18"/>
      <c r="S159" s="63"/>
      <c r="T159" s="63"/>
      <c r="U159" s="23"/>
      <c r="V159" s="23"/>
      <c r="W159" s="23"/>
      <c r="X159" s="23"/>
      <c r="Y159" s="23"/>
      <c r="Z159" s="23"/>
    </row>
    <row r="160" ht="17.25" customHeight="1">
      <c r="A160" s="18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18"/>
      <c r="R160" s="18"/>
      <c r="S160" s="63"/>
      <c r="T160" s="63"/>
      <c r="U160" s="23"/>
      <c r="V160" s="23"/>
      <c r="W160" s="23"/>
      <c r="X160" s="23"/>
      <c r="Y160" s="23"/>
      <c r="Z160" s="23"/>
    </row>
    <row r="161" ht="17.25" customHeight="1">
      <c r="A161" s="18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18"/>
      <c r="R161" s="18"/>
      <c r="S161" s="63"/>
      <c r="T161" s="63"/>
      <c r="U161" s="23"/>
      <c r="V161" s="23"/>
      <c r="W161" s="23"/>
      <c r="X161" s="23"/>
      <c r="Y161" s="23"/>
      <c r="Z161" s="23"/>
    </row>
    <row r="162" ht="17.25" customHeight="1">
      <c r="A162" s="18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18"/>
      <c r="R162" s="18"/>
      <c r="S162" s="63"/>
      <c r="T162" s="63"/>
      <c r="U162" s="23"/>
      <c r="V162" s="23"/>
      <c r="W162" s="23"/>
      <c r="X162" s="23"/>
      <c r="Y162" s="23"/>
      <c r="Z162" s="23"/>
    </row>
    <row r="163" ht="17.25" customHeight="1">
      <c r="A163" s="18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18"/>
      <c r="R163" s="18"/>
      <c r="S163" s="63"/>
      <c r="T163" s="63"/>
      <c r="U163" s="23"/>
      <c r="V163" s="23"/>
      <c r="W163" s="23"/>
      <c r="X163" s="23"/>
      <c r="Y163" s="23"/>
      <c r="Z163" s="23"/>
    </row>
    <row r="164" ht="17.25" customHeight="1">
      <c r="A164" s="18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18"/>
      <c r="R164" s="18"/>
      <c r="S164" s="63"/>
      <c r="T164" s="63"/>
      <c r="U164" s="23"/>
      <c r="V164" s="23"/>
      <c r="W164" s="23"/>
      <c r="X164" s="23"/>
      <c r="Y164" s="23"/>
      <c r="Z164" s="23"/>
    </row>
    <row r="165" ht="17.25" customHeight="1">
      <c r="A165" s="18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18"/>
      <c r="R165" s="18"/>
      <c r="S165" s="63"/>
      <c r="T165" s="63"/>
      <c r="U165" s="23"/>
      <c r="V165" s="23"/>
      <c r="W165" s="23"/>
      <c r="X165" s="23"/>
      <c r="Y165" s="23"/>
      <c r="Z165" s="23"/>
    </row>
    <row r="166" ht="17.25" customHeight="1">
      <c r="A166" s="18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18"/>
      <c r="R166" s="18"/>
      <c r="S166" s="63"/>
      <c r="T166" s="63"/>
      <c r="U166" s="23"/>
      <c r="V166" s="23"/>
      <c r="W166" s="23"/>
      <c r="X166" s="23"/>
      <c r="Y166" s="23"/>
      <c r="Z166" s="23"/>
    </row>
    <row r="167" ht="17.25" customHeight="1">
      <c r="A167" s="18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18"/>
      <c r="R167" s="18"/>
      <c r="S167" s="63"/>
      <c r="T167" s="63"/>
      <c r="U167" s="23"/>
      <c r="V167" s="23"/>
      <c r="W167" s="23"/>
      <c r="X167" s="23"/>
      <c r="Y167" s="23"/>
      <c r="Z167" s="23"/>
    </row>
    <row r="168" ht="17.25" customHeight="1">
      <c r="A168" s="18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18"/>
      <c r="R168" s="18"/>
      <c r="S168" s="63"/>
      <c r="T168" s="63"/>
      <c r="U168" s="23"/>
      <c r="V168" s="23"/>
      <c r="W168" s="23"/>
      <c r="X168" s="23"/>
      <c r="Y168" s="23"/>
      <c r="Z168" s="23"/>
    </row>
    <row r="169" ht="17.25" customHeight="1">
      <c r="A169" s="18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18"/>
      <c r="R169" s="18"/>
      <c r="S169" s="63"/>
      <c r="T169" s="63"/>
      <c r="U169" s="23"/>
      <c r="V169" s="23"/>
      <c r="W169" s="23"/>
      <c r="X169" s="23"/>
      <c r="Y169" s="23"/>
      <c r="Z169" s="23"/>
    </row>
    <row r="170" ht="17.25" customHeight="1">
      <c r="A170" s="18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18"/>
      <c r="R170" s="18"/>
      <c r="S170" s="63"/>
      <c r="T170" s="63"/>
      <c r="U170" s="23"/>
      <c r="V170" s="23"/>
      <c r="W170" s="23"/>
      <c r="X170" s="23"/>
      <c r="Y170" s="23"/>
      <c r="Z170" s="23"/>
    </row>
    <row r="171" ht="17.25" customHeight="1">
      <c r="A171" s="18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18"/>
      <c r="R171" s="18"/>
      <c r="S171" s="63"/>
      <c r="T171" s="63"/>
      <c r="U171" s="23"/>
      <c r="V171" s="23"/>
      <c r="W171" s="23"/>
      <c r="X171" s="23"/>
      <c r="Y171" s="23"/>
      <c r="Z171" s="23"/>
    </row>
    <row r="172" ht="17.25" customHeight="1">
      <c r="A172" s="18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18"/>
      <c r="R172" s="18"/>
      <c r="S172" s="63"/>
      <c r="T172" s="63"/>
      <c r="U172" s="23"/>
      <c r="V172" s="23"/>
      <c r="W172" s="23"/>
      <c r="X172" s="23"/>
      <c r="Y172" s="23"/>
      <c r="Z172" s="23"/>
    </row>
    <row r="173" ht="17.25" customHeight="1">
      <c r="A173" s="18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18"/>
      <c r="R173" s="18"/>
      <c r="S173" s="63"/>
      <c r="T173" s="63"/>
      <c r="U173" s="23"/>
      <c r="V173" s="23"/>
      <c r="W173" s="23"/>
      <c r="X173" s="23"/>
      <c r="Y173" s="23"/>
      <c r="Z173" s="23"/>
    </row>
    <row r="174" ht="17.25" customHeight="1">
      <c r="A174" s="18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18"/>
      <c r="R174" s="18"/>
      <c r="S174" s="63"/>
      <c r="T174" s="63"/>
      <c r="U174" s="23"/>
      <c r="V174" s="23"/>
      <c r="W174" s="23"/>
      <c r="X174" s="23"/>
      <c r="Y174" s="23"/>
      <c r="Z174" s="23"/>
    </row>
    <row r="175" ht="17.25" customHeight="1">
      <c r="A175" s="18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18"/>
      <c r="R175" s="18"/>
      <c r="S175" s="63"/>
      <c r="T175" s="63"/>
      <c r="U175" s="23"/>
      <c r="V175" s="23"/>
      <c r="W175" s="23"/>
      <c r="X175" s="23"/>
      <c r="Y175" s="23"/>
      <c r="Z175" s="23"/>
    </row>
    <row r="176" ht="17.25" customHeight="1">
      <c r="A176" s="18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18"/>
      <c r="R176" s="18"/>
      <c r="S176" s="63"/>
      <c r="T176" s="63"/>
      <c r="U176" s="23"/>
      <c r="V176" s="23"/>
      <c r="W176" s="23"/>
      <c r="X176" s="23"/>
      <c r="Y176" s="23"/>
      <c r="Z176" s="23"/>
    </row>
    <row r="177" ht="17.25" customHeight="1">
      <c r="A177" s="18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18"/>
      <c r="R177" s="18"/>
      <c r="S177" s="63"/>
      <c r="T177" s="63"/>
      <c r="U177" s="23"/>
      <c r="V177" s="23"/>
      <c r="W177" s="23"/>
      <c r="X177" s="23"/>
      <c r="Y177" s="23"/>
      <c r="Z177" s="23"/>
    </row>
    <row r="178" ht="17.25" customHeight="1">
      <c r="A178" s="18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18"/>
      <c r="R178" s="18"/>
      <c r="S178" s="63"/>
      <c r="T178" s="63"/>
      <c r="U178" s="23"/>
      <c r="V178" s="23"/>
      <c r="W178" s="23"/>
      <c r="X178" s="23"/>
      <c r="Y178" s="23"/>
      <c r="Z178" s="23"/>
    </row>
    <row r="179" ht="17.25" customHeight="1">
      <c r="A179" s="18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18"/>
      <c r="R179" s="18"/>
      <c r="S179" s="63"/>
      <c r="T179" s="63"/>
      <c r="U179" s="23"/>
      <c r="V179" s="23"/>
      <c r="W179" s="23"/>
      <c r="X179" s="23"/>
      <c r="Y179" s="23"/>
      <c r="Z179" s="23"/>
    </row>
    <row r="180" ht="17.25" customHeight="1">
      <c r="A180" s="18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18"/>
      <c r="R180" s="18"/>
      <c r="S180" s="63"/>
      <c r="T180" s="63"/>
      <c r="U180" s="23"/>
      <c r="V180" s="23"/>
      <c r="W180" s="23"/>
      <c r="X180" s="23"/>
      <c r="Y180" s="23"/>
      <c r="Z180" s="23"/>
    </row>
    <row r="181" ht="17.25" customHeight="1">
      <c r="A181" s="18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18"/>
      <c r="R181" s="18"/>
      <c r="S181" s="63"/>
      <c r="T181" s="63"/>
      <c r="U181" s="23"/>
      <c r="V181" s="23"/>
      <c r="W181" s="23"/>
      <c r="X181" s="23"/>
      <c r="Y181" s="23"/>
      <c r="Z181" s="23"/>
    </row>
    <row r="182" ht="17.25" customHeight="1">
      <c r="A182" s="18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18"/>
      <c r="R182" s="18"/>
      <c r="S182" s="63"/>
      <c r="T182" s="63"/>
      <c r="U182" s="23"/>
      <c r="V182" s="23"/>
      <c r="W182" s="23"/>
      <c r="X182" s="23"/>
      <c r="Y182" s="23"/>
      <c r="Z182" s="23"/>
    </row>
    <row r="183" ht="17.25" customHeight="1">
      <c r="A183" s="18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18"/>
      <c r="R183" s="18"/>
      <c r="S183" s="63"/>
      <c r="T183" s="63"/>
      <c r="U183" s="23"/>
      <c r="V183" s="23"/>
      <c r="W183" s="23"/>
      <c r="X183" s="23"/>
      <c r="Y183" s="23"/>
      <c r="Z183" s="23"/>
    </row>
    <row r="184" ht="17.25" customHeight="1">
      <c r="A184" s="18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18"/>
      <c r="R184" s="18"/>
      <c r="S184" s="63"/>
      <c r="T184" s="63"/>
      <c r="U184" s="23"/>
      <c r="V184" s="23"/>
      <c r="W184" s="23"/>
      <c r="X184" s="23"/>
      <c r="Y184" s="23"/>
      <c r="Z184" s="23"/>
    </row>
    <row r="185" ht="17.25" customHeight="1">
      <c r="A185" s="18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18"/>
      <c r="R185" s="18"/>
      <c r="S185" s="63"/>
      <c r="T185" s="63"/>
      <c r="U185" s="23"/>
      <c r="V185" s="23"/>
      <c r="W185" s="23"/>
      <c r="X185" s="23"/>
      <c r="Y185" s="23"/>
      <c r="Z185" s="23"/>
    </row>
    <row r="186" ht="17.25" customHeight="1">
      <c r="A186" s="18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18"/>
      <c r="R186" s="18"/>
      <c r="S186" s="63"/>
      <c r="T186" s="63"/>
      <c r="U186" s="23"/>
      <c r="V186" s="23"/>
      <c r="W186" s="23"/>
      <c r="X186" s="23"/>
      <c r="Y186" s="23"/>
      <c r="Z186" s="23"/>
    </row>
    <row r="187" ht="17.25" customHeight="1">
      <c r="A187" s="18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18"/>
      <c r="R187" s="18"/>
      <c r="S187" s="63"/>
      <c r="T187" s="63"/>
      <c r="U187" s="23"/>
      <c r="V187" s="23"/>
      <c r="W187" s="23"/>
      <c r="X187" s="23"/>
      <c r="Y187" s="23"/>
      <c r="Z187" s="23"/>
    </row>
    <row r="188" ht="17.25" customHeight="1">
      <c r="A188" s="18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18"/>
      <c r="R188" s="18"/>
      <c r="S188" s="63"/>
      <c r="T188" s="63"/>
      <c r="U188" s="23"/>
      <c r="V188" s="23"/>
      <c r="W188" s="23"/>
      <c r="X188" s="23"/>
      <c r="Y188" s="23"/>
      <c r="Z188" s="23"/>
    </row>
    <row r="189" ht="17.25" customHeight="1">
      <c r="A189" s="18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18"/>
      <c r="R189" s="18"/>
      <c r="S189" s="63"/>
      <c r="T189" s="63"/>
      <c r="U189" s="23"/>
      <c r="V189" s="23"/>
      <c r="W189" s="23"/>
      <c r="X189" s="23"/>
      <c r="Y189" s="23"/>
      <c r="Z189" s="23"/>
    </row>
    <row r="190" ht="17.25" customHeight="1">
      <c r="A190" s="18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18"/>
      <c r="R190" s="18"/>
      <c r="S190" s="63"/>
      <c r="T190" s="63"/>
      <c r="U190" s="23"/>
      <c r="V190" s="23"/>
      <c r="W190" s="23"/>
      <c r="X190" s="23"/>
      <c r="Y190" s="23"/>
      <c r="Z190" s="23"/>
    </row>
    <row r="191" ht="17.25" customHeight="1">
      <c r="A191" s="18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18"/>
      <c r="R191" s="18"/>
      <c r="S191" s="63"/>
      <c r="T191" s="63"/>
      <c r="U191" s="23"/>
      <c r="V191" s="23"/>
      <c r="W191" s="23"/>
      <c r="X191" s="23"/>
      <c r="Y191" s="23"/>
      <c r="Z191" s="23"/>
    </row>
    <row r="192" ht="17.25" customHeight="1">
      <c r="A192" s="18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18"/>
      <c r="R192" s="18"/>
      <c r="S192" s="63"/>
      <c r="T192" s="63"/>
      <c r="U192" s="23"/>
      <c r="V192" s="23"/>
      <c r="W192" s="23"/>
      <c r="X192" s="23"/>
      <c r="Y192" s="23"/>
      <c r="Z192" s="23"/>
    </row>
    <row r="193" ht="17.25" customHeight="1">
      <c r="A193" s="18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18"/>
      <c r="R193" s="18"/>
      <c r="S193" s="63"/>
      <c r="T193" s="63"/>
      <c r="U193" s="23"/>
      <c r="V193" s="23"/>
      <c r="W193" s="23"/>
      <c r="X193" s="23"/>
      <c r="Y193" s="23"/>
      <c r="Z193" s="23"/>
    </row>
    <row r="194" ht="17.25" customHeight="1">
      <c r="A194" s="18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18"/>
      <c r="R194" s="18"/>
      <c r="S194" s="63"/>
      <c r="T194" s="63"/>
      <c r="U194" s="23"/>
      <c r="V194" s="23"/>
      <c r="W194" s="23"/>
      <c r="X194" s="23"/>
      <c r="Y194" s="23"/>
      <c r="Z194" s="23"/>
    </row>
    <row r="195" ht="17.25" customHeight="1">
      <c r="A195" s="18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18"/>
      <c r="R195" s="18"/>
      <c r="S195" s="63"/>
      <c r="T195" s="63"/>
      <c r="U195" s="23"/>
      <c r="V195" s="23"/>
      <c r="W195" s="23"/>
      <c r="X195" s="23"/>
      <c r="Y195" s="23"/>
      <c r="Z195" s="23"/>
    </row>
    <row r="196" ht="17.25" customHeight="1">
      <c r="A196" s="18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18"/>
      <c r="R196" s="18"/>
      <c r="S196" s="63"/>
      <c r="T196" s="63"/>
      <c r="U196" s="23"/>
      <c r="V196" s="23"/>
      <c r="W196" s="23"/>
      <c r="X196" s="23"/>
      <c r="Y196" s="23"/>
      <c r="Z196" s="23"/>
    </row>
    <row r="197" ht="17.25" customHeight="1">
      <c r="A197" s="18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18"/>
      <c r="R197" s="18"/>
      <c r="S197" s="63"/>
      <c r="T197" s="63"/>
      <c r="U197" s="23"/>
      <c r="V197" s="23"/>
      <c r="W197" s="23"/>
      <c r="X197" s="23"/>
      <c r="Y197" s="23"/>
      <c r="Z197" s="23"/>
    </row>
    <row r="198" ht="17.25" customHeight="1">
      <c r="A198" s="18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18"/>
      <c r="R198" s="18"/>
      <c r="S198" s="63"/>
      <c r="T198" s="63"/>
      <c r="U198" s="23"/>
      <c r="V198" s="23"/>
      <c r="W198" s="23"/>
      <c r="X198" s="23"/>
      <c r="Y198" s="23"/>
      <c r="Z198" s="23"/>
    </row>
    <row r="199" ht="17.25" customHeight="1">
      <c r="A199" s="18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18"/>
      <c r="R199" s="18"/>
      <c r="S199" s="63"/>
      <c r="T199" s="63"/>
      <c r="U199" s="23"/>
      <c r="V199" s="23"/>
      <c r="W199" s="23"/>
      <c r="X199" s="23"/>
      <c r="Y199" s="23"/>
      <c r="Z199" s="23"/>
    </row>
    <row r="200" ht="17.25" customHeight="1">
      <c r="A200" s="18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18"/>
      <c r="R200" s="18"/>
      <c r="S200" s="63"/>
      <c r="T200" s="63"/>
      <c r="U200" s="23"/>
      <c r="V200" s="23"/>
      <c r="W200" s="23"/>
      <c r="X200" s="23"/>
      <c r="Y200" s="23"/>
      <c r="Z200" s="23"/>
    </row>
    <row r="201" ht="17.25" customHeight="1">
      <c r="A201" s="18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18"/>
      <c r="R201" s="18"/>
      <c r="S201" s="63"/>
      <c r="T201" s="63"/>
      <c r="U201" s="23"/>
      <c r="V201" s="23"/>
      <c r="W201" s="23"/>
      <c r="X201" s="23"/>
      <c r="Y201" s="23"/>
      <c r="Z201" s="23"/>
    </row>
    <row r="202" ht="17.25" customHeight="1">
      <c r="A202" s="18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18"/>
      <c r="R202" s="18"/>
      <c r="S202" s="63"/>
      <c r="T202" s="63"/>
      <c r="U202" s="23"/>
      <c r="V202" s="23"/>
      <c r="W202" s="23"/>
      <c r="X202" s="23"/>
      <c r="Y202" s="23"/>
      <c r="Z202" s="23"/>
    </row>
    <row r="203" ht="17.25" customHeight="1">
      <c r="A203" s="18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18"/>
      <c r="R203" s="18"/>
      <c r="S203" s="63"/>
      <c r="T203" s="63"/>
      <c r="U203" s="23"/>
      <c r="V203" s="23"/>
      <c r="W203" s="23"/>
      <c r="X203" s="23"/>
      <c r="Y203" s="23"/>
      <c r="Z203" s="23"/>
    </row>
    <row r="204" ht="17.25" customHeight="1">
      <c r="A204" s="18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18"/>
      <c r="R204" s="18"/>
      <c r="S204" s="63"/>
      <c r="T204" s="63"/>
      <c r="U204" s="23"/>
      <c r="V204" s="23"/>
      <c r="W204" s="23"/>
      <c r="X204" s="23"/>
      <c r="Y204" s="23"/>
      <c r="Z204" s="23"/>
    </row>
    <row r="205" ht="17.25" customHeight="1">
      <c r="A205" s="18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18"/>
      <c r="R205" s="18"/>
      <c r="S205" s="63"/>
      <c r="T205" s="63"/>
      <c r="U205" s="23"/>
      <c r="V205" s="23"/>
      <c r="W205" s="23"/>
      <c r="X205" s="23"/>
      <c r="Y205" s="23"/>
      <c r="Z205" s="23"/>
    </row>
    <row r="206" ht="17.25" customHeight="1">
      <c r="A206" s="18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18"/>
      <c r="R206" s="18"/>
      <c r="S206" s="63"/>
      <c r="T206" s="63"/>
      <c r="U206" s="23"/>
      <c r="V206" s="23"/>
      <c r="W206" s="23"/>
      <c r="X206" s="23"/>
      <c r="Y206" s="23"/>
      <c r="Z206" s="23"/>
    </row>
    <row r="207" ht="17.25" customHeight="1">
      <c r="A207" s="18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18"/>
      <c r="R207" s="18"/>
      <c r="S207" s="63"/>
      <c r="T207" s="63"/>
      <c r="U207" s="23"/>
      <c r="V207" s="23"/>
      <c r="W207" s="23"/>
      <c r="X207" s="23"/>
      <c r="Y207" s="23"/>
      <c r="Z207" s="23"/>
    </row>
    <row r="208" ht="17.25" customHeight="1">
      <c r="A208" s="18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18"/>
      <c r="R208" s="18"/>
      <c r="S208" s="63"/>
      <c r="T208" s="63"/>
      <c r="U208" s="23"/>
      <c r="V208" s="23"/>
      <c r="W208" s="23"/>
      <c r="X208" s="23"/>
      <c r="Y208" s="23"/>
      <c r="Z208" s="23"/>
    </row>
    <row r="209" ht="17.25" customHeight="1">
      <c r="A209" s="18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18"/>
      <c r="R209" s="18"/>
      <c r="S209" s="63"/>
      <c r="T209" s="63"/>
      <c r="U209" s="23"/>
      <c r="V209" s="23"/>
      <c r="W209" s="23"/>
      <c r="X209" s="23"/>
      <c r="Y209" s="23"/>
      <c r="Z209" s="23"/>
    </row>
    <row r="210" ht="17.25" customHeight="1">
      <c r="A210" s="18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18"/>
      <c r="R210" s="18"/>
      <c r="S210" s="63"/>
      <c r="T210" s="63"/>
      <c r="U210" s="23"/>
      <c r="V210" s="23"/>
      <c r="W210" s="23"/>
      <c r="X210" s="23"/>
      <c r="Y210" s="23"/>
      <c r="Z210" s="23"/>
    </row>
    <row r="211" ht="17.25" customHeight="1">
      <c r="A211" s="18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18"/>
      <c r="R211" s="18"/>
      <c r="S211" s="63"/>
      <c r="T211" s="63"/>
      <c r="U211" s="23"/>
      <c r="V211" s="23"/>
      <c r="W211" s="23"/>
      <c r="X211" s="23"/>
      <c r="Y211" s="23"/>
      <c r="Z211" s="23"/>
    </row>
    <row r="212" ht="17.25" customHeight="1">
      <c r="A212" s="18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18"/>
      <c r="R212" s="18"/>
      <c r="S212" s="63"/>
      <c r="T212" s="63"/>
      <c r="U212" s="23"/>
      <c r="V212" s="23"/>
      <c r="W212" s="23"/>
      <c r="X212" s="23"/>
      <c r="Y212" s="23"/>
      <c r="Z212" s="23"/>
    </row>
    <row r="213" ht="17.25" customHeight="1">
      <c r="A213" s="18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18"/>
      <c r="R213" s="18"/>
      <c r="S213" s="63"/>
      <c r="T213" s="63"/>
      <c r="U213" s="23"/>
      <c r="V213" s="23"/>
      <c r="W213" s="23"/>
      <c r="X213" s="23"/>
      <c r="Y213" s="23"/>
      <c r="Z213" s="23"/>
    </row>
    <row r="214" ht="17.25" customHeight="1">
      <c r="A214" s="18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18"/>
      <c r="R214" s="18"/>
      <c r="S214" s="63"/>
      <c r="T214" s="63"/>
      <c r="U214" s="23"/>
      <c r="V214" s="23"/>
      <c r="W214" s="23"/>
      <c r="X214" s="23"/>
      <c r="Y214" s="23"/>
      <c r="Z214" s="23"/>
    </row>
    <row r="215" ht="17.25" customHeight="1">
      <c r="A215" s="18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18"/>
      <c r="R215" s="18"/>
      <c r="S215" s="63"/>
      <c r="T215" s="63"/>
      <c r="U215" s="23"/>
      <c r="V215" s="23"/>
      <c r="W215" s="23"/>
      <c r="X215" s="23"/>
      <c r="Y215" s="23"/>
      <c r="Z215" s="23"/>
    </row>
    <row r="216" ht="17.25" customHeight="1">
      <c r="A216" s="18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18"/>
      <c r="R216" s="18"/>
      <c r="S216" s="63"/>
      <c r="T216" s="63"/>
      <c r="U216" s="23"/>
      <c r="V216" s="23"/>
      <c r="W216" s="23"/>
      <c r="X216" s="23"/>
      <c r="Y216" s="23"/>
      <c r="Z216" s="23"/>
    </row>
    <row r="217" ht="17.25" customHeight="1">
      <c r="A217" s="18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18"/>
      <c r="R217" s="18"/>
      <c r="S217" s="63"/>
      <c r="T217" s="63"/>
      <c r="U217" s="23"/>
      <c r="V217" s="23"/>
      <c r="W217" s="23"/>
      <c r="X217" s="23"/>
      <c r="Y217" s="23"/>
      <c r="Z217" s="23"/>
    </row>
    <row r="218" ht="17.25" customHeight="1">
      <c r="A218" s="18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18"/>
      <c r="R218" s="18"/>
      <c r="S218" s="63"/>
      <c r="T218" s="63"/>
      <c r="U218" s="23"/>
      <c r="V218" s="23"/>
      <c r="W218" s="23"/>
      <c r="X218" s="23"/>
      <c r="Y218" s="23"/>
      <c r="Z218" s="23"/>
    </row>
    <row r="219" ht="17.25" customHeight="1">
      <c r="A219" s="18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18"/>
      <c r="R219" s="18"/>
      <c r="S219" s="63"/>
      <c r="T219" s="63"/>
      <c r="U219" s="23"/>
      <c r="V219" s="23"/>
      <c r="W219" s="23"/>
      <c r="X219" s="23"/>
      <c r="Y219" s="23"/>
      <c r="Z219" s="23"/>
    </row>
    <row r="220" ht="17.25" customHeight="1">
      <c r="A220" s="18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18"/>
      <c r="R220" s="18"/>
      <c r="S220" s="63"/>
      <c r="T220" s="63"/>
      <c r="U220" s="23"/>
      <c r="V220" s="23"/>
      <c r="W220" s="23"/>
      <c r="X220" s="23"/>
      <c r="Y220" s="23"/>
      <c r="Z220" s="23"/>
    </row>
    <row r="221" ht="17.25" customHeight="1">
      <c r="A221" s="18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18"/>
      <c r="R221" s="18"/>
      <c r="S221" s="63"/>
      <c r="T221" s="63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4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5" t="s">
        <v>37</v>
      </c>
      <c r="B2" s="96">
        <f>'1.IS'!K$2</f>
        <v>2024</v>
      </c>
      <c r="C2" s="97" t="str">
        <f>'1.IS'!L$2</f>
        <v>2025e</v>
      </c>
      <c r="D2" s="97" t="str">
        <f>'1.IS'!M$2</f>
        <v>2026e</v>
      </c>
      <c r="E2" s="97" t="str">
        <f>'1.IS'!N$2</f>
        <v>2027e</v>
      </c>
      <c r="F2" s="97" t="str">
        <f>'1.IS'!O$2</f>
        <v>2028e</v>
      </c>
      <c r="G2" s="97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8" t="s">
        <v>38</v>
      </c>
      <c r="B3" s="99">
        <f>$D$7*'1.IS'!K11</f>
        <v>714308.69</v>
      </c>
      <c r="C3" s="100">
        <f>IFERROR($D$7*'1.IS'!L11,"")</f>
        <v>700022.5162</v>
      </c>
      <c r="D3" s="101">
        <f>IFERROR($D$7*'1.IS'!M11,"")</f>
        <v>686022.0659</v>
      </c>
      <c r="E3" s="101">
        <f>IFERROR($D$7*'1.IS'!N11,"")</f>
        <v>672301.6246</v>
      </c>
      <c r="F3" s="101">
        <f>IFERROR($D$7*'1.IS'!O11,"")</f>
        <v>658855.5921</v>
      </c>
      <c r="G3" s="102">
        <f>IFERROR($D$7*'1.IS'!P11,"")</f>
        <v>645678.4802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3" t="s">
        <v>39</v>
      </c>
      <c r="B4" s="104">
        <f>IF($D$7&lt;&gt;"",'TIKR_Cálculos'!K26/'1.IS'!K11,"")</f>
        <v>119.7492185</v>
      </c>
      <c r="C4" s="105">
        <f>IF($D$7&lt;&gt;"",'TIKR_Cálculos'!L26/'1.IS'!L11,"")</f>
        <v>141.4884573</v>
      </c>
      <c r="D4" s="106">
        <f>IF($D$7&lt;&gt;"",'TIKR_Cálculos'!M26/'1.IS'!M11,"")</f>
        <v>165.6402701</v>
      </c>
      <c r="E4" s="106">
        <f>IF($D$7&lt;&gt;"",'TIKR_Cálculos'!N26/'1.IS'!N11,"")</f>
        <v>192.4548029</v>
      </c>
      <c r="F4" s="106">
        <f>IF($D$7&lt;&gt;"",'TIKR_Cálculos'!O26/'1.IS'!O11,"")</f>
        <v>222.2078078</v>
      </c>
      <c r="G4" s="107">
        <f>IF($D$7&lt;&gt;"",'TIKR_Cálculos'!P26/'1.IS'!P11,"")</f>
        <v>255.2032571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8" t="s">
        <v>40</v>
      </c>
      <c r="B5" s="109">
        <f>'1.IS'!K13</f>
        <v>20.30948246</v>
      </c>
      <c r="C5" s="110">
        <f>'1.IS'!L13</f>
        <v>19.29537724</v>
      </c>
      <c r="D5" s="111">
        <f>'1.IS'!M13</f>
        <v>21.26429328</v>
      </c>
      <c r="E5" s="111">
        <f>'1.IS'!N13</f>
        <v>23.43411913</v>
      </c>
      <c r="F5" s="111">
        <f>'1.IS'!O13</f>
        <v>25.82535578</v>
      </c>
      <c r="G5" s="112">
        <f>'1.IS'!P13</f>
        <v>28.46059616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74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5" t="s">
        <v>41</v>
      </c>
      <c r="B7" s="116"/>
      <c r="C7" s="116"/>
      <c r="D7" s="117">
        <v>248.11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74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8"/>
      <c r="B8" s="118"/>
      <c r="C8" s="118"/>
      <c r="D8" s="11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74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20" t="s">
        <v>42</v>
      </c>
      <c r="B9" s="116"/>
      <c r="C9" s="116"/>
      <c r="D9" s="121">
        <f>IF($D$7&lt;&gt;"",IF(K17&lt;15%,F17/2,D7),"")</f>
        <v>184.993875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74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3" t="s">
        <v>43</v>
      </c>
      <c r="B11" s="124" t="s">
        <v>44</v>
      </c>
      <c r="C11" s="124" t="s">
        <v>45</v>
      </c>
      <c r="D11" s="125" t="s">
        <v>46</v>
      </c>
      <c r="E11" s="126"/>
      <c r="F11" s="2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7" t="s">
        <v>47</v>
      </c>
      <c r="B12" s="128">
        <f>IF($D$7&lt;&gt;"",D7/B4,"")</f>
        <v>2.071913313</v>
      </c>
      <c r="C12" s="128">
        <f>IF($D$7&lt;&gt;"",D7/C4,"")</f>
        <v>1.753570607</v>
      </c>
      <c r="D12" s="129">
        <v>1.5</v>
      </c>
      <c r="E12" s="130"/>
      <c r="F12" s="23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8" t="s">
        <v>48</v>
      </c>
      <c r="B13" s="131">
        <f>IF($D$7&lt;&gt;"",$D$7/'1.IS'!K13,"")</f>
        <v>12.21646098</v>
      </c>
      <c r="C13" s="132">
        <f>IF($D$7&lt;&gt;"",$D$7/'1.IS'!L13,"")</f>
        <v>12.8585203</v>
      </c>
      <c r="D13" s="133">
        <v>13.0</v>
      </c>
      <c r="E13" s="134"/>
      <c r="F13" s="135" t="s">
        <v>25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6"/>
      <c r="B14" s="137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3" t="s">
        <v>49</v>
      </c>
      <c r="B15" s="124" t="str">
        <f t="shared" ref="B15:F15" si="1">C2</f>
        <v>2025e</v>
      </c>
      <c r="C15" s="124" t="str">
        <f t="shared" si="1"/>
        <v>2026e</v>
      </c>
      <c r="D15" s="124" t="str">
        <f t="shared" si="1"/>
        <v>2027e</v>
      </c>
      <c r="E15" s="124" t="str">
        <f t="shared" si="1"/>
        <v>2028e</v>
      </c>
      <c r="F15" s="138" t="str">
        <f t="shared" si="1"/>
        <v>2029e</v>
      </c>
      <c r="G15" s="23"/>
      <c r="H15" s="139" t="str">
        <f>"Retorno Anualizado"&amp;CHAR(10)&amp;"valorando por..."</f>
        <v>Retorno Anualizado
valorando por...</v>
      </c>
      <c r="I15" s="140"/>
      <c r="J15" s="140"/>
      <c r="K15" s="124" t="str">
        <f>"CAGR"&amp;CHAR(10)&amp;"5 años"</f>
        <v>CAGR
5 años</v>
      </c>
      <c r="L15" s="23"/>
      <c r="M15" s="23"/>
      <c r="N15" s="23"/>
      <c r="O15" s="54"/>
      <c r="P15" s="54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3" t="s">
        <v>47</v>
      </c>
      <c r="B16" s="141">
        <f t="shared" ref="B16:F16" si="2">IF($D$7&lt;&gt;"",IFERROR($D$12*C4,""),"")</f>
        <v>212.232686</v>
      </c>
      <c r="C16" s="141">
        <f t="shared" si="2"/>
        <v>248.4604052</v>
      </c>
      <c r="D16" s="141">
        <f t="shared" si="2"/>
        <v>288.6822044</v>
      </c>
      <c r="E16" s="141">
        <f t="shared" si="2"/>
        <v>333.3117116</v>
      </c>
      <c r="F16" s="142">
        <f t="shared" si="2"/>
        <v>382.8048857</v>
      </c>
      <c r="G16" s="23"/>
      <c r="H16" s="143" t="s">
        <v>50</v>
      </c>
      <c r="I16" s="144"/>
      <c r="J16" s="144"/>
      <c r="K16" s="145">
        <f t="shared" ref="K16:K17" si="4">IFERROR((F16/$D$7)^(1/5)-1,"")</f>
        <v>0.09060288111</v>
      </c>
      <c r="L16" s="23"/>
      <c r="M16" s="23"/>
      <c r="N16" s="23"/>
      <c r="O16" s="54"/>
      <c r="P16" s="54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3" t="s">
        <v>48</v>
      </c>
      <c r="B17" s="141">
        <f t="shared" ref="B17:F17" si="3">IF($D$7&lt;&gt;"",IFERROR($D$13*C5,""),"")</f>
        <v>250.8399041</v>
      </c>
      <c r="C17" s="141">
        <f t="shared" si="3"/>
        <v>276.4358127</v>
      </c>
      <c r="D17" s="141">
        <f t="shared" si="3"/>
        <v>304.6435487</v>
      </c>
      <c r="E17" s="141">
        <f t="shared" si="3"/>
        <v>335.7296251</v>
      </c>
      <c r="F17" s="142">
        <f t="shared" si="3"/>
        <v>369.9877501</v>
      </c>
      <c r="G17" s="23"/>
      <c r="H17" s="127" t="s">
        <v>48</v>
      </c>
      <c r="I17" s="113"/>
      <c r="J17" s="113"/>
      <c r="K17" s="146">
        <f t="shared" si="4"/>
        <v>0.08319991012</v>
      </c>
      <c r="L17" s="23"/>
      <c r="M17" s="23"/>
      <c r="N17" s="23"/>
      <c r="O17" s="54"/>
      <c r="P17" s="54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7" t="s">
        <v>51</v>
      </c>
      <c r="B18" s="148">
        <f t="shared" ref="B18:F18" si="5">IFERROR(AVERAGE(B16:B17),"")</f>
        <v>231.536295</v>
      </c>
      <c r="C18" s="148">
        <f t="shared" si="5"/>
        <v>262.448109</v>
      </c>
      <c r="D18" s="148">
        <f t="shared" si="5"/>
        <v>296.6628765</v>
      </c>
      <c r="E18" s="148">
        <f t="shared" si="5"/>
        <v>334.5206684</v>
      </c>
      <c r="F18" s="149">
        <f t="shared" si="5"/>
        <v>376.3963179</v>
      </c>
      <c r="G18" s="23"/>
      <c r="H18" s="150" t="s">
        <v>51</v>
      </c>
      <c r="I18" s="151"/>
      <c r="J18" s="151"/>
      <c r="K18" s="152">
        <f>IFERROR(AVERAGE(K16:K17),"")</f>
        <v>0.08690139562</v>
      </c>
      <c r="L18" s="23"/>
      <c r="M18" s="23"/>
      <c r="N18" s="23"/>
      <c r="O18" s="54"/>
      <c r="P18" s="54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1" t="s">
        <v>52</v>
      </c>
      <c r="B19" s="153">
        <f t="shared" ref="B19:F19" si="6">IFERROR((B18/$D$7)-1,"")</f>
        <v>-0.06679982651</v>
      </c>
      <c r="C19" s="153">
        <f t="shared" si="6"/>
        <v>0.05778932309</v>
      </c>
      <c r="D19" s="153">
        <f t="shared" si="6"/>
        <v>0.1956909296</v>
      </c>
      <c r="E19" s="153">
        <f t="shared" si="6"/>
        <v>0.3482756373</v>
      </c>
      <c r="F19" s="154">
        <f t="shared" si="6"/>
        <v>0.5170542014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4"/>
      <c r="I20" s="54"/>
      <c r="J20" s="54"/>
      <c r="K20" s="54"/>
      <c r="L20" s="54"/>
      <c r="M20" s="54"/>
      <c r="N20" s="54"/>
      <c r="O20" s="54"/>
      <c r="P20" s="54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4"/>
      <c r="I21" s="54"/>
      <c r="J21" s="54"/>
      <c r="K21" s="54"/>
      <c r="L21" s="54"/>
      <c r="M21" s="54"/>
      <c r="N21" s="54"/>
      <c r="O21" s="54"/>
      <c r="P21" s="54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4"/>
      <c r="I22" s="54"/>
      <c r="J22" s="54"/>
      <c r="K22" s="54"/>
      <c r="L22" s="54"/>
      <c r="M22" s="54"/>
      <c r="N22" s="54"/>
      <c r="O22" s="54"/>
      <c r="P22" s="54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4"/>
      <c r="I23" s="54"/>
      <c r="J23" s="54"/>
      <c r="K23" s="54"/>
      <c r="L23" s="54"/>
      <c r="M23" s="54"/>
      <c r="N23" s="54"/>
      <c r="O23" s="54"/>
      <c r="P23" s="54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4"/>
      <c r="I24" s="54"/>
      <c r="J24" s="54"/>
      <c r="K24" s="54"/>
      <c r="L24" s="54"/>
      <c r="M24" s="54"/>
      <c r="N24" s="54"/>
      <c r="O24" s="54"/>
      <c r="P24" s="54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4"/>
      <c r="I25" s="54"/>
      <c r="J25" s="54"/>
      <c r="K25" s="54"/>
      <c r="L25" s="54"/>
      <c r="M25" s="54"/>
      <c r="N25" s="54"/>
      <c r="O25" s="54"/>
      <c r="P25" s="54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4"/>
      <c r="B35" s="155"/>
      <c r="C35" s="155"/>
      <c r="D35" s="155"/>
      <c r="F35" s="155"/>
      <c r="G35" s="155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4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4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4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4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4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4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4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4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4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4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4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4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4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4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4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4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4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4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4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4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4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4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4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4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4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4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4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4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4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4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4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4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4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4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4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4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4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4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4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4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4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4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4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4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4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4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4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4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4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4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4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4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4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4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4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4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4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4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4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4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4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4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4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4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4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4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4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4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4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4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4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4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4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7:C7"/>
    <mergeCell ref="A9:C9"/>
    <mergeCell ref="H15:J15"/>
    <mergeCell ref="D35:E35"/>
  </mergeCells>
  <conditionalFormatting sqref="K16:K18">
    <cfRule type="cellIs" dxfId="3" priority="1" operator="greaterThan">
      <formula>0.15</formula>
    </cfRule>
  </conditionalFormatting>
  <conditionalFormatting sqref="K16:K18">
    <cfRule type="cellIs" dxfId="4" priority="2" operator="between">
      <formula>0</formula>
      <formula>0.15</formula>
    </cfRule>
  </conditionalFormatting>
  <conditionalFormatting sqref="K16:K18">
    <cfRule type="cellIs" dxfId="5" priority="3" operator="between">
      <formula>-1</formula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53</v>
      </c>
      <c r="C1" s="63"/>
      <c r="D1" s="63"/>
      <c r="E1" s="63"/>
      <c r="F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5" t="s">
        <v>54</v>
      </c>
      <c r="B2" s="96">
        <f>'1.IS'!B$2</f>
        <v>2015</v>
      </c>
      <c r="C2" s="96">
        <f>'1.IS'!C$2</f>
        <v>2016</v>
      </c>
      <c r="D2" s="96">
        <f>'1.IS'!D$2</f>
        <v>2017</v>
      </c>
      <c r="E2" s="96">
        <f>'1.IS'!E$2</f>
        <v>2018</v>
      </c>
      <c r="F2" s="96">
        <f>'1.IS'!F$2</f>
        <v>2019</v>
      </c>
      <c r="G2" s="96">
        <f>'1.IS'!G$2</f>
        <v>2020</v>
      </c>
      <c r="H2" s="96">
        <f>'1.IS'!H$2</f>
        <v>2021</v>
      </c>
      <c r="I2" s="96">
        <f>'1.IS'!I$2</f>
        <v>2022</v>
      </c>
      <c r="J2" s="96">
        <f>'1.IS'!J$2</f>
        <v>2023</v>
      </c>
      <c r="K2" s="96">
        <f>'1.IS'!K$2</f>
        <v>2024</v>
      </c>
      <c r="L2" s="18"/>
      <c r="M2" s="18"/>
      <c r="N2" s="156"/>
      <c r="O2" s="156"/>
      <c r="P2" s="156"/>
      <c r="Q2" s="157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58" t="s">
        <v>55</v>
      </c>
      <c r="B3" s="159"/>
      <c r="C3" s="160"/>
      <c r="D3" s="160"/>
      <c r="E3" s="160"/>
      <c r="F3" s="160"/>
      <c r="G3" s="160"/>
      <c r="H3" s="160"/>
      <c r="I3" s="160"/>
      <c r="J3" s="160"/>
      <c r="K3" s="161"/>
      <c r="L3" s="18"/>
      <c r="M3" s="18"/>
      <c r="N3" s="156"/>
      <c r="O3" s="156"/>
      <c r="P3" s="156"/>
      <c r="Q3" s="157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2" t="s">
        <v>56</v>
      </c>
      <c r="B4" s="163">
        <f>IFERROR(VLOOKUP("Stock-based compensation*",'9.TIKR_CF'!$A:$K,COLUMN(B1),FALSE)/'1.IS'!B2,"")</f>
        <v>0</v>
      </c>
      <c r="C4" s="164">
        <f>IFERROR(VLOOKUP("Stock-based compensation*",'9.TIKR_CF'!$A:$K,COLUMN(C1),FALSE)/'1.IS'!C2,"")</f>
        <v>0</v>
      </c>
      <c r="D4" s="164">
        <f>IFERROR(VLOOKUP("Stock-based compensation*",'9.TIKR_CF'!$A:$K,COLUMN(D1),FALSE)/'1.IS'!D2,"")</f>
        <v>0</v>
      </c>
      <c r="E4" s="164">
        <f>IFERROR(VLOOKUP("Stock-based compensation*",'9.TIKR_CF'!$A:$K,COLUMN(E1),FALSE)/'1.IS'!E2,"")</f>
        <v>0</v>
      </c>
      <c r="F4" s="164">
        <f>IFERROR(VLOOKUP("Stock-based compensation*",'9.TIKR_CF'!$A:$K,COLUMN(F1),FALSE)/'1.IS'!F2,"")</f>
        <v>0</v>
      </c>
      <c r="G4" s="164">
        <f>IFERROR(VLOOKUP("Stock-based compensation*",'9.TIKR_CF'!$A:$K,COLUMN(G1),FALSE)/'1.IS'!G2,"")</f>
        <v>0</v>
      </c>
      <c r="H4" s="164">
        <f>IFERROR(VLOOKUP("Stock-based compensation*",'9.TIKR_CF'!$A:$K,COLUMN(H1),FALSE)/'1.IS'!H2,"")</f>
        <v>0</v>
      </c>
      <c r="I4" s="164">
        <f>IFERROR(VLOOKUP("Stock-based compensation*",'9.TIKR_CF'!$A:$K,COLUMN(I1),FALSE)/'1.IS'!I2,"")</f>
        <v>0</v>
      </c>
      <c r="J4" s="164">
        <f>IFERROR(VLOOKUP("Stock-based compensation*",'9.TIKR_CF'!$A:$K,COLUMN(J1),FALSE)/'1.IS'!J2,"")</f>
        <v>0</v>
      </c>
      <c r="K4" s="165">
        <f>IFERROR(VLOOKUP("Stock-based compensation*",'9.TIKR_CF'!$A:$K,COLUMN(K1),FALSE)/'1.IS'!K2,"")</f>
        <v>0</v>
      </c>
      <c r="L4" s="18"/>
      <c r="M4" s="18"/>
      <c r="N4" s="156"/>
      <c r="O4" s="156"/>
      <c r="P4" s="156"/>
      <c r="Q4" s="157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66" t="s">
        <v>57</v>
      </c>
      <c r="B5" s="167">
        <f>IFERROR(VLOOKUP("Issuance of Common Stock*",'9.TIKR_CF'!$A:$K,COLUMN(B2),FALSE)/'1.IS'!B3,"")</f>
        <v>0</v>
      </c>
      <c r="C5" s="87">
        <f>IFERROR(VLOOKUP("Issuance of Common Stock*",'9.TIKR_CF'!$A:$K,COLUMN(C2),FALSE)/'1.IS'!C3,"")</f>
        <v>0</v>
      </c>
      <c r="D5" s="87">
        <f>IFERROR(VLOOKUP("Issuance of Common Stock*",'9.TIKR_CF'!$A:$K,COLUMN(D2),FALSE)/'1.IS'!D3,"")</f>
        <v>0</v>
      </c>
      <c r="E5" s="87">
        <f>IFERROR(VLOOKUP("Issuance of Common Stock*",'9.TIKR_CF'!$A:$K,COLUMN(E2),FALSE)/'1.IS'!E3,"")</f>
        <v>0</v>
      </c>
      <c r="F5" s="87">
        <f>IFERROR(VLOOKUP("Issuance of Common Stock*",'9.TIKR_CF'!$A:$K,COLUMN(F2),FALSE)/'1.IS'!F3,"")</f>
        <v>0</v>
      </c>
      <c r="G5" s="87">
        <f>IFERROR(VLOOKUP("Issuance of Common Stock*",'9.TIKR_CF'!$A:$K,COLUMN(G2),FALSE)/'1.IS'!G3,"")</f>
        <v>0</v>
      </c>
      <c r="H5" s="87">
        <f>IFERROR(VLOOKUP("Issuance of Common Stock*",'9.TIKR_CF'!$A:$K,COLUMN(H2),FALSE)/'1.IS'!H3,"")</f>
        <v>0</v>
      </c>
      <c r="I5" s="87">
        <f>IFERROR(VLOOKUP("Issuance of Common Stock*",'9.TIKR_CF'!$A:$K,COLUMN(I2),FALSE)/'1.IS'!I3,"")</f>
        <v>0</v>
      </c>
      <c r="J5" s="87">
        <f>IFERROR(VLOOKUP("Issuance of Common Stock*",'9.TIKR_CF'!$A:$K,COLUMN(J2),FALSE)/'1.IS'!J3,"")</f>
        <v>0</v>
      </c>
      <c r="K5" s="88">
        <f>IFERROR(VLOOKUP("Issuance of Common Stock*",'9.TIKR_CF'!$A:$K,COLUMN(K2),FALSE)/'1.IS'!K3,"")</f>
        <v>0</v>
      </c>
      <c r="L5" s="18"/>
      <c r="M5" s="18"/>
      <c r="N5" s="23"/>
      <c r="O5" s="63"/>
      <c r="P5" s="63"/>
      <c r="Q5" s="63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8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63"/>
      <c r="O6" s="63"/>
      <c r="P6" s="63"/>
      <c r="Q6" s="63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5" t="s">
        <v>58</v>
      </c>
      <c r="B7" s="96" t="s">
        <v>59</v>
      </c>
      <c r="C7" s="168"/>
      <c r="D7" s="168"/>
      <c r="E7" s="168"/>
      <c r="F7" s="168"/>
      <c r="G7" s="168"/>
      <c r="H7" s="168"/>
      <c r="I7" s="168"/>
      <c r="J7" s="168"/>
      <c r="K7" s="168"/>
      <c r="L7" s="18"/>
      <c r="M7" s="18"/>
      <c r="N7" s="156"/>
      <c r="O7" s="156"/>
      <c r="P7" s="156"/>
      <c r="Q7" s="157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58" t="s">
        <v>60</v>
      </c>
      <c r="B8" s="169"/>
      <c r="C8" s="164"/>
      <c r="D8" s="164"/>
      <c r="E8" s="164"/>
      <c r="F8" s="164"/>
      <c r="G8" s="164"/>
      <c r="H8" s="164"/>
      <c r="I8" s="164"/>
      <c r="J8" s="164"/>
      <c r="K8" s="164"/>
      <c r="L8" s="170"/>
      <c r="M8" s="157"/>
      <c r="N8" s="23"/>
      <c r="O8" s="63"/>
      <c r="P8" s="63"/>
      <c r="Q8" s="63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2" t="s">
        <v>61</v>
      </c>
      <c r="B9" s="171">
        <f>'TIKR_Cálculos'!L20</f>
        <v>2</v>
      </c>
      <c r="C9" s="164"/>
      <c r="D9" s="164"/>
      <c r="E9" s="164"/>
      <c r="F9" s="164"/>
      <c r="G9" s="164"/>
      <c r="H9" s="164"/>
      <c r="I9" s="164"/>
      <c r="J9" s="164"/>
      <c r="K9" s="164"/>
      <c r="L9" s="170"/>
      <c r="M9" s="157"/>
      <c r="N9" s="23"/>
      <c r="O9" s="63"/>
      <c r="P9" s="63"/>
      <c r="Q9" s="63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2" t="s">
        <v>62</v>
      </c>
      <c r="B10" s="171">
        <f>'TIKR_Cálculos'!L21</f>
        <v>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2" t="s">
        <v>63</v>
      </c>
      <c r="B11" s="171">
        <f>'TIKR_Cálculos'!L22</f>
        <v>0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66" t="s">
        <v>64</v>
      </c>
      <c r="B12" s="172">
        <f>'TIKR_Cálculos'!L23</f>
        <v>3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63"/>
      <c r="M14" s="63"/>
      <c r="N14" s="63"/>
      <c r="O14" s="63"/>
      <c r="P14" s="63"/>
      <c r="Q14" s="63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18"/>
      <c r="S16" s="18"/>
      <c r="T16" s="18"/>
      <c r="U16" s="63"/>
      <c r="V16" s="63"/>
      <c r="W16" s="63"/>
      <c r="X16" s="63"/>
      <c r="Y16" s="63"/>
      <c r="Z16" s="63"/>
    </row>
    <row r="17" ht="24.75" customHeight="1">
      <c r="A17" s="18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18"/>
      <c r="S17" s="18"/>
      <c r="T17" s="18"/>
      <c r="U17" s="63"/>
      <c r="V17" s="63"/>
      <c r="W17" s="63"/>
      <c r="X17" s="63"/>
      <c r="Y17" s="63"/>
      <c r="Z17" s="63"/>
    </row>
    <row r="18" ht="24.75" customHeight="1">
      <c r="A18" s="18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18"/>
      <c r="S18" s="18"/>
      <c r="T18" s="18"/>
      <c r="U18" s="63"/>
      <c r="V18" s="63"/>
      <c r="W18" s="63"/>
      <c r="X18" s="63"/>
      <c r="Y18" s="63"/>
      <c r="Z18" s="63"/>
    </row>
    <row r="19" ht="24.75" customHeight="1">
      <c r="A19" s="18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18"/>
      <c r="S19" s="18"/>
      <c r="T19" s="18"/>
      <c r="U19" s="63"/>
      <c r="V19" s="63"/>
      <c r="W19" s="63"/>
      <c r="X19" s="63"/>
      <c r="Y19" s="63"/>
      <c r="Z19" s="63"/>
    </row>
    <row r="20" ht="24.75" customHeight="1">
      <c r="A20" s="18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18"/>
      <c r="S20" s="18"/>
      <c r="T20" s="18"/>
      <c r="U20" s="63"/>
      <c r="V20" s="63"/>
      <c r="W20" s="63"/>
      <c r="X20" s="63"/>
      <c r="Y20" s="63"/>
      <c r="Z20" s="63"/>
    </row>
    <row r="21" ht="24.75" customHeight="1">
      <c r="A21" s="18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18"/>
      <c r="S21" s="18"/>
      <c r="T21" s="18"/>
      <c r="U21" s="63"/>
      <c r="V21" s="63"/>
      <c r="W21" s="63"/>
      <c r="X21" s="63"/>
      <c r="Y21" s="63"/>
      <c r="Z21" s="63"/>
    </row>
    <row r="22" ht="24.75" customHeight="1">
      <c r="A22" s="18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18"/>
      <c r="S22" s="18"/>
      <c r="T22" s="18"/>
      <c r="U22" s="63"/>
      <c r="V22" s="63"/>
      <c r="W22" s="63"/>
      <c r="X22" s="63"/>
      <c r="Y22" s="63"/>
      <c r="Z22" s="63"/>
    </row>
    <row r="23" ht="24.75" customHeight="1">
      <c r="A23" s="18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18"/>
      <c r="S23" s="18"/>
      <c r="T23" s="18"/>
      <c r="U23" s="63"/>
      <c r="V23" s="63"/>
      <c r="W23" s="63"/>
      <c r="X23" s="63"/>
      <c r="Y23" s="63"/>
      <c r="Z23" s="63"/>
    </row>
    <row r="24" ht="24.75" customHeight="1">
      <c r="A24" s="18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18"/>
      <c r="S24" s="18"/>
      <c r="T24" s="18"/>
      <c r="U24" s="63"/>
      <c r="V24" s="63"/>
      <c r="W24" s="63"/>
      <c r="X24" s="63"/>
      <c r="Y24" s="63"/>
      <c r="Z24" s="63"/>
    </row>
    <row r="25" ht="24.75" customHeight="1">
      <c r="A25" s="18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18"/>
      <c r="S25" s="18"/>
      <c r="T25" s="18"/>
      <c r="U25" s="63"/>
      <c r="V25" s="63"/>
      <c r="W25" s="63"/>
      <c r="X25" s="63"/>
      <c r="Y25" s="63"/>
      <c r="Z25" s="63"/>
    </row>
    <row r="26" ht="17.25" customHeight="1">
      <c r="A26" s="18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126"/>
      <c r="M28" s="126"/>
      <c r="N28" s="63"/>
      <c r="O28" s="63"/>
      <c r="P28" s="63"/>
      <c r="Q28" s="63"/>
      <c r="R28" s="18"/>
      <c r="S28" s="18"/>
      <c r="T28" s="18"/>
      <c r="U28" s="63"/>
      <c r="V28" s="63"/>
      <c r="W28" s="63"/>
      <c r="X28" s="63"/>
      <c r="Y28" s="63"/>
      <c r="Z28" s="63"/>
    </row>
    <row r="29" ht="17.25" customHeight="1">
      <c r="A29" s="18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170"/>
      <c r="M29" s="170"/>
      <c r="N29" s="63"/>
      <c r="O29" s="63"/>
      <c r="P29" s="63"/>
      <c r="Q29" s="63"/>
      <c r="R29" s="18"/>
      <c r="S29" s="18"/>
      <c r="T29" s="18"/>
      <c r="U29" s="63"/>
      <c r="V29" s="63"/>
      <c r="W29" s="63"/>
      <c r="X29" s="63"/>
      <c r="Y29" s="63"/>
      <c r="Z29" s="63"/>
    </row>
    <row r="30" ht="17.25" customHeight="1">
      <c r="A30" s="18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170"/>
      <c r="M30" s="170"/>
      <c r="N30" s="63"/>
      <c r="O30" s="63"/>
      <c r="P30" s="63"/>
      <c r="Q30" s="63"/>
      <c r="R30" s="18"/>
      <c r="S30" s="18"/>
      <c r="T30" s="18"/>
      <c r="U30" s="63"/>
      <c r="V30" s="63"/>
      <c r="W30" s="63"/>
      <c r="X30" s="63"/>
      <c r="Y30" s="63"/>
      <c r="Z30" s="63"/>
    </row>
    <row r="31" ht="17.25" customHeight="1">
      <c r="A31" s="18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170"/>
      <c r="M31" s="170"/>
      <c r="N31" s="63"/>
      <c r="O31" s="63"/>
      <c r="P31" s="63"/>
      <c r="Q31" s="63"/>
      <c r="R31" s="18"/>
      <c r="S31" s="18"/>
      <c r="T31" s="18"/>
      <c r="U31" s="63"/>
      <c r="V31" s="63"/>
      <c r="W31" s="63"/>
      <c r="X31" s="63"/>
      <c r="Y31" s="63"/>
      <c r="Z31" s="63"/>
    </row>
    <row r="32" ht="17.25" customHeight="1">
      <c r="A32" s="18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170"/>
      <c r="M32" s="170"/>
      <c r="N32" s="63"/>
      <c r="O32" s="63"/>
      <c r="P32" s="63"/>
      <c r="Q32" s="63"/>
      <c r="R32" s="18"/>
      <c r="S32" s="18"/>
      <c r="T32" s="18"/>
      <c r="U32" s="63"/>
      <c r="V32" s="63"/>
      <c r="W32" s="63"/>
      <c r="X32" s="63"/>
      <c r="Y32" s="63"/>
      <c r="Z32" s="63"/>
    </row>
    <row r="33" ht="17.25" customHeight="1">
      <c r="A33" s="18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170"/>
      <c r="M33" s="170"/>
      <c r="N33" s="63"/>
      <c r="O33" s="63"/>
      <c r="P33" s="63"/>
      <c r="Q33" s="63"/>
      <c r="R33" s="18"/>
      <c r="S33" s="18"/>
      <c r="T33" s="18"/>
      <c r="U33" s="63"/>
      <c r="V33" s="63"/>
      <c r="W33" s="63"/>
      <c r="X33" s="63"/>
      <c r="Y33" s="63"/>
      <c r="Z33" s="63"/>
    </row>
    <row r="34" ht="17.25" customHeight="1">
      <c r="A34" s="18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6" width="10.71"/>
  </cols>
  <sheetData>
    <row r="1">
      <c r="A1" s="174" t="s">
        <v>65</v>
      </c>
      <c r="B1" s="175">
        <v>42369.0</v>
      </c>
      <c r="C1" s="175">
        <v>42735.0</v>
      </c>
      <c r="D1" s="175">
        <v>43100.0</v>
      </c>
      <c r="E1" s="175">
        <v>43465.0</v>
      </c>
      <c r="F1" s="175">
        <v>43830.0</v>
      </c>
      <c r="G1" s="175">
        <v>44196.0</v>
      </c>
      <c r="H1" s="175">
        <v>44561.0</v>
      </c>
      <c r="I1" s="175">
        <v>44926.0</v>
      </c>
      <c r="J1" s="175">
        <v>45291.0</v>
      </c>
      <c r="K1" s="175">
        <v>45657.0</v>
      </c>
      <c r="L1" s="176" t="s">
        <v>44</v>
      </c>
    </row>
    <row r="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>
      <c r="A3" s="179" t="s">
        <v>66</v>
      </c>
      <c r="B3" s="180">
        <v>50973.0</v>
      </c>
      <c r="C3" s="180">
        <v>55901.0</v>
      </c>
      <c r="D3" s="180">
        <v>63971.0</v>
      </c>
      <c r="E3" s="180">
        <v>76100.0</v>
      </c>
      <c r="F3" s="180">
        <v>84040.0</v>
      </c>
      <c r="G3" s="180">
        <v>64523.0</v>
      </c>
      <c r="H3" s="180">
        <v>57864.0</v>
      </c>
      <c r="I3" s="180">
        <v>92807.0</v>
      </c>
      <c r="J3" s="180">
        <v>170588.0</v>
      </c>
      <c r="K3" s="180">
        <v>193933.0</v>
      </c>
      <c r="L3" s="180">
        <v>193933.0</v>
      </c>
    </row>
    <row r="4">
      <c r="A4" s="181" t="s">
        <v>67</v>
      </c>
      <c r="B4" s="182">
        <v>50973.0</v>
      </c>
      <c r="C4" s="182">
        <v>55901.0</v>
      </c>
      <c r="D4" s="182">
        <v>63971.0</v>
      </c>
      <c r="E4" s="182">
        <v>76100.0</v>
      </c>
      <c r="F4" s="182">
        <v>84040.0</v>
      </c>
      <c r="G4" s="182">
        <v>64523.0</v>
      </c>
      <c r="H4" s="182">
        <v>57864.0</v>
      </c>
      <c r="I4" s="182">
        <v>92807.0</v>
      </c>
      <c r="J4" s="182">
        <v>170588.0</v>
      </c>
      <c r="K4" s="182">
        <v>193933.0</v>
      </c>
      <c r="L4" s="182">
        <v>193933.0</v>
      </c>
    </row>
    <row r="5">
      <c r="A5" s="179" t="s">
        <v>68</v>
      </c>
      <c r="B5" s="183">
        <v>-7463.0</v>
      </c>
      <c r="C5" s="183">
        <v>-9818.0</v>
      </c>
      <c r="D5" s="183">
        <v>-13874.0</v>
      </c>
      <c r="E5" s="183">
        <v>-21041.0</v>
      </c>
      <c r="F5" s="183">
        <v>-26795.0</v>
      </c>
      <c r="G5" s="183">
        <v>-9960.0</v>
      </c>
      <c r="H5" s="183">
        <v>-5553.0</v>
      </c>
      <c r="I5" s="183">
        <v>-26097.0</v>
      </c>
      <c r="J5" s="183">
        <v>-81321.0</v>
      </c>
      <c r="K5" s="183">
        <v>-101350.0</v>
      </c>
      <c r="L5" s="183">
        <v>-101350.0</v>
      </c>
    </row>
    <row r="6">
      <c r="A6" s="181" t="s">
        <v>69</v>
      </c>
      <c r="B6" s="184">
        <v>-7463.0</v>
      </c>
      <c r="C6" s="184">
        <v>-9818.0</v>
      </c>
      <c r="D6" s="184">
        <v>-13874.0</v>
      </c>
      <c r="E6" s="184">
        <v>-21041.0</v>
      </c>
      <c r="F6" s="184">
        <v>-26795.0</v>
      </c>
      <c r="G6" s="184">
        <v>-9960.0</v>
      </c>
      <c r="H6" s="184">
        <v>-5553.0</v>
      </c>
      <c r="I6" s="184">
        <v>-26097.0</v>
      </c>
      <c r="J6" s="184">
        <v>-81321.0</v>
      </c>
      <c r="K6" s="184">
        <v>-101350.0</v>
      </c>
      <c r="L6" s="184">
        <v>-101350.0</v>
      </c>
    </row>
    <row r="7">
      <c r="A7" s="185" t="s">
        <v>70</v>
      </c>
      <c r="B7" s="186">
        <v>43510.0</v>
      </c>
      <c r="C7" s="186">
        <v>46083.0</v>
      </c>
      <c r="D7" s="186">
        <v>50097.0</v>
      </c>
      <c r="E7" s="186">
        <v>55059.0</v>
      </c>
      <c r="F7" s="186">
        <v>57245.0</v>
      </c>
      <c r="G7" s="186">
        <v>54563.0</v>
      </c>
      <c r="H7" s="186">
        <v>52311.0</v>
      </c>
      <c r="I7" s="186">
        <v>66710.0</v>
      </c>
      <c r="J7" s="186">
        <v>89267.0</v>
      </c>
      <c r="K7" s="186">
        <v>92583.0</v>
      </c>
      <c r="L7" s="186">
        <v>92583.0</v>
      </c>
    </row>
    <row r="8">
      <c r="A8" s="187" t="s">
        <v>71</v>
      </c>
      <c r="B8" s="188"/>
      <c r="C8" s="189" t="s">
        <v>72</v>
      </c>
      <c r="D8" s="189" t="s">
        <v>73</v>
      </c>
      <c r="E8" s="189" t="s">
        <v>74</v>
      </c>
      <c r="F8" s="189" t="s">
        <v>75</v>
      </c>
      <c r="G8" s="190" t="s">
        <v>76</v>
      </c>
      <c r="H8" s="190" t="s">
        <v>77</v>
      </c>
      <c r="I8" s="189" t="s">
        <v>78</v>
      </c>
      <c r="J8" s="189" t="s">
        <v>79</v>
      </c>
      <c r="K8" s="189" t="s">
        <v>80</v>
      </c>
      <c r="L8" s="191"/>
    </row>
    <row r="9">
      <c r="A9" s="179" t="s">
        <v>81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</row>
    <row r="10">
      <c r="A10" s="179" t="s">
        <v>82</v>
      </c>
      <c r="B10" s="180">
        <v>15509.0</v>
      </c>
      <c r="C10" s="180">
        <v>15364.0</v>
      </c>
      <c r="D10" s="180">
        <v>16287.0</v>
      </c>
      <c r="E10" s="180">
        <v>16793.0</v>
      </c>
      <c r="F10" s="180">
        <v>16908.0</v>
      </c>
      <c r="G10" s="180">
        <v>18177.0</v>
      </c>
      <c r="H10" s="180">
        <v>14405.0</v>
      </c>
      <c r="I10" s="180">
        <v>14096.0</v>
      </c>
      <c r="J10" s="180">
        <v>15220.0</v>
      </c>
      <c r="K10" s="180">
        <v>17801.0</v>
      </c>
      <c r="L10" s="180">
        <v>17801.0</v>
      </c>
    </row>
    <row r="11">
      <c r="A11" s="179" t="s">
        <v>83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</row>
    <row r="12">
      <c r="A12" s="179" t="s">
        <v>84</v>
      </c>
      <c r="B12" s="180">
        <v>2513.0</v>
      </c>
      <c r="C12" s="180">
        <v>2491.0</v>
      </c>
      <c r="D12" s="180">
        <v>1616.0</v>
      </c>
      <c r="E12" s="180">
        <v>1254.0</v>
      </c>
      <c r="F12" s="180">
        <v>2036.0</v>
      </c>
      <c r="G12" s="180">
        <v>3091.0</v>
      </c>
      <c r="H12" s="180">
        <v>2170.0</v>
      </c>
      <c r="I12" s="180">
        <v>1250.0</v>
      </c>
      <c r="J12" s="180">
        <v>1176.0</v>
      </c>
      <c r="K12" s="180">
        <v>1401.0</v>
      </c>
      <c r="L12" s="180">
        <v>1401.0</v>
      </c>
    </row>
    <row r="13">
      <c r="A13" s="179" t="s">
        <v>85</v>
      </c>
      <c r="B13" s="180">
        <v>10408.0</v>
      </c>
      <c r="C13" s="180">
        <v>11566.0</v>
      </c>
      <c r="D13" s="180">
        <v>11347.0</v>
      </c>
      <c r="E13" s="180">
        <v>12059.0</v>
      </c>
      <c r="F13" s="180">
        <v>14018.0</v>
      </c>
      <c r="G13" s="180">
        <v>18021.0</v>
      </c>
      <c r="H13" s="180">
        <v>16304.0</v>
      </c>
      <c r="I13" s="180">
        <v>19912.0</v>
      </c>
      <c r="J13" s="180">
        <v>24460.0</v>
      </c>
      <c r="K13" s="180">
        <v>24787.0</v>
      </c>
      <c r="L13" s="180">
        <v>24787.0</v>
      </c>
    </row>
    <row r="14">
      <c r="A14" s="179" t="s">
        <v>86</v>
      </c>
      <c r="B14" s="192"/>
      <c r="C14" s="192"/>
      <c r="D14" s="183">
        <v>-25.0</v>
      </c>
      <c r="E14" s="183">
        <v>-168.0</v>
      </c>
      <c r="F14" s="180">
        <v>6.0</v>
      </c>
      <c r="G14" s="180">
        <v>6.0</v>
      </c>
      <c r="H14" s="183">
        <v>-7.0</v>
      </c>
      <c r="I14" s="180">
        <v>38.0</v>
      </c>
      <c r="J14" s="192"/>
      <c r="K14" s="192"/>
      <c r="L14" s="192"/>
    </row>
    <row r="15">
      <c r="A15" s="179" t="s">
        <v>87</v>
      </c>
      <c r="B15" s="180">
        <v>202.0</v>
      </c>
      <c r="C15" s="180">
        <v>141.0</v>
      </c>
      <c r="D15" s="183">
        <v>-66.0</v>
      </c>
      <c r="E15" s="183">
        <v>-395.0</v>
      </c>
      <c r="F15" s="180">
        <v>258.0</v>
      </c>
      <c r="G15" s="180">
        <v>802.0</v>
      </c>
      <c r="H15" s="183">
        <v>-1915.0</v>
      </c>
      <c r="I15" s="183">
        <v>-2957.0</v>
      </c>
      <c r="J15" s="183">
        <v>-4950.0</v>
      </c>
      <c r="K15" s="180">
        <v>6675.0</v>
      </c>
      <c r="L15" s="180">
        <v>6675.0</v>
      </c>
    </row>
    <row r="16">
      <c r="A16" s="179" t="s">
        <v>88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</row>
    <row r="17">
      <c r="A17" s="179" t="s">
        <v>89</v>
      </c>
      <c r="B17" s="180">
        <v>20887.0</v>
      </c>
      <c r="C17" s="180">
        <v>20924.0</v>
      </c>
      <c r="D17" s="180">
        <v>20779.0</v>
      </c>
      <c r="E17" s="180">
        <v>24013.0</v>
      </c>
      <c r="F17" s="180">
        <v>25248.0</v>
      </c>
      <c r="G17" s="180">
        <v>25291.0</v>
      </c>
      <c r="H17" s="180">
        <v>38374.0</v>
      </c>
      <c r="I17" s="180">
        <v>29646.0</v>
      </c>
      <c r="J17" s="180">
        <v>29817.0</v>
      </c>
      <c r="K17" s="180">
        <v>34206.0</v>
      </c>
      <c r="L17" s="180">
        <v>34206.0</v>
      </c>
    </row>
    <row r="18">
      <c r="A18" s="181" t="s">
        <v>90</v>
      </c>
      <c r="B18" s="182">
        <v>49519.0</v>
      </c>
      <c r="C18" s="182">
        <v>50486.0</v>
      </c>
      <c r="D18" s="182">
        <v>49938.0</v>
      </c>
      <c r="E18" s="182">
        <v>53556.0</v>
      </c>
      <c r="F18" s="182">
        <v>58474.0</v>
      </c>
      <c r="G18" s="182">
        <v>65388.0</v>
      </c>
      <c r="H18" s="182">
        <v>69331.0</v>
      </c>
      <c r="I18" s="182">
        <v>61985.0</v>
      </c>
      <c r="J18" s="182">
        <v>65723.0</v>
      </c>
      <c r="K18" s="182">
        <v>84870.0</v>
      </c>
      <c r="L18" s="182">
        <v>84870.0</v>
      </c>
    </row>
    <row r="19">
      <c r="A19" s="185" t="s">
        <v>91</v>
      </c>
      <c r="B19" s="186">
        <v>93029.0</v>
      </c>
      <c r="C19" s="186">
        <v>96569.0</v>
      </c>
      <c r="D19" s="186">
        <v>100035.0</v>
      </c>
      <c r="E19" s="186">
        <v>108615.0</v>
      </c>
      <c r="F19" s="186">
        <v>115719.0</v>
      </c>
      <c r="G19" s="186">
        <v>119951.0</v>
      </c>
      <c r="H19" s="186">
        <v>121642.0</v>
      </c>
      <c r="I19" s="186">
        <v>128695.0</v>
      </c>
      <c r="J19" s="186">
        <v>154990.0</v>
      </c>
      <c r="K19" s="186">
        <v>177453.0</v>
      </c>
      <c r="L19" s="186">
        <v>177453.0</v>
      </c>
    </row>
    <row r="20">
      <c r="A20" s="179" t="s">
        <v>92</v>
      </c>
      <c r="B20" s="183">
        <v>-3827.0</v>
      </c>
      <c r="C20" s="183">
        <v>-5361.0</v>
      </c>
      <c r="D20" s="183">
        <v>-5290.0</v>
      </c>
      <c r="E20" s="183">
        <v>-4871.0</v>
      </c>
      <c r="F20" s="183">
        <v>-5585.0</v>
      </c>
      <c r="G20" s="183">
        <v>-17480.0</v>
      </c>
      <c r="H20" s="180">
        <v>9256.0</v>
      </c>
      <c r="I20" s="183">
        <v>-6389.0</v>
      </c>
      <c r="J20" s="183">
        <v>-9320.0</v>
      </c>
      <c r="K20" s="183">
        <v>-10678.0</v>
      </c>
      <c r="L20" s="183">
        <v>-10678.0</v>
      </c>
    </row>
    <row r="21" ht="15.75" customHeight="1">
      <c r="A21" s="185" t="s">
        <v>93</v>
      </c>
      <c r="B21" s="186">
        <v>89202.0</v>
      </c>
      <c r="C21" s="186">
        <v>91208.0</v>
      </c>
      <c r="D21" s="186">
        <v>94745.0</v>
      </c>
      <c r="E21" s="186">
        <v>103744.0</v>
      </c>
      <c r="F21" s="186">
        <v>110134.0</v>
      </c>
      <c r="G21" s="186">
        <v>102471.0</v>
      </c>
      <c r="H21" s="186">
        <v>130898.0</v>
      </c>
      <c r="I21" s="186">
        <v>122306.0</v>
      </c>
      <c r="J21" s="186">
        <v>145670.0</v>
      </c>
      <c r="K21" s="186">
        <v>166775.0</v>
      </c>
      <c r="L21" s="186">
        <v>166775.0</v>
      </c>
    </row>
    <row r="22" ht="15.75" customHeight="1">
      <c r="A22" s="187" t="s">
        <v>71</v>
      </c>
      <c r="B22" s="188"/>
      <c r="C22" s="189" t="s">
        <v>94</v>
      </c>
      <c r="D22" s="189" t="s">
        <v>95</v>
      </c>
      <c r="E22" s="189" t="s">
        <v>96</v>
      </c>
      <c r="F22" s="189" t="s">
        <v>97</v>
      </c>
      <c r="G22" s="190" t="s">
        <v>98</v>
      </c>
      <c r="H22" s="189" t="s">
        <v>99</v>
      </c>
      <c r="I22" s="190" t="s">
        <v>100</v>
      </c>
      <c r="J22" s="189" t="s">
        <v>101</v>
      </c>
      <c r="K22" s="189" t="s">
        <v>102</v>
      </c>
      <c r="L22" s="191"/>
    </row>
    <row r="23" ht="15.75" customHeight="1">
      <c r="A23" s="179" t="s">
        <v>103</v>
      </c>
      <c r="B23" s="183">
        <v>-27762.0</v>
      </c>
      <c r="C23" s="183">
        <v>-28263.0</v>
      </c>
      <c r="D23" s="183">
        <v>-29138.0</v>
      </c>
      <c r="E23" s="183">
        <v>-30795.0</v>
      </c>
      <c r="F23" s="183">
        <v>-31899.0</v>
      </c>
      <c r="G23" s="183">
        <v>-32537.0</v>
      </c>
      <c r="H23" s="183">
        <v>-35638.0</v>
      </c>
      <c r="I23" s="183">
        <v>-38842.0</v>
      </c>
      <c r="J23" s="183">
        <v>-43348.0</v>
      </c>
      <c r="K23" s="183">
        <v>-47853.0</v>
      </c>
      <c r="L23" s="183">
        <v>-47853.0</v>
      </c>
    </row>
    <row r="24" ht="15.75" customHeight="1">
      <c r="A24" s="179" t="s">
        <v>104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</row>
    <row r="25" ht="15.75" customHeight="1">
      <c r="A25" s="179" t="s">
        <v>105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</row>
    <row r="26" ht="15.75" customHeight="1">
      <c r="A26" s="179" t="s">
        <v>106</v>
      </c>
      <c r="B26" s="183">
        <v>-21658.0</v>
      </c>
      <c r="C26" s="183">
        <v>-22854.0</v>
      </c>
      <c r="D26" s="183">
        <v>-24298.0</v>
      </c>
      <c r="E26" s="183">
        <v>-26622.0</v>
      </c>
      <c r="F26" s="183">
        <v>-28283.0</v>
      </c>
      <c r="G26" s="183">
        <v>-28178.0</v>
      </c>
      <c r="H26" s="183">
        <v>-30236.0</v>
      </c>
      <c r="I26" s="183">
        <v>-30933.0</v>
      </c>
      <c r="J26" s="183">
        <v>-31779.0</v>
      </c>
      <c r="K26" s="183">
        <v>-34392.0</v>
      </c>
      <c r="L26" s="183">
        <v>-34392.0</v>
      </c>
    </row>
    <row r="27" ht="15.75" customHeight="1">
      <c r="A27" s="179" t="s">
        <v>107</v>
      </c>
      <c r="B27" s="183">
        <v>-6624.0</v>
      </c>
      <c r="C27" s="183">
        <v>-5872.0</v>
      </c>
      <c r="D27" s="183">
        <v>-6089.0</v>
      </c>
      <c r="E27" s="183">
        <v>-5491.0</v>
      </c>
      <c r="F27" s="183">
        <v>-4847.0</v>
      </c>
      <c r="G27" s="183">
        <v>-4826.0</v>
      </c>
      <c r="H27" s="183">
        <v>-5462.0</v>
      </c>
      <c r="I27" s="183">
        <v>-6365.0</v>
      </c>
      <c r="J27" s="183">
        <v>-8085.0</v>
      </c>
      <c r="K27" s="183">
        <v>-8775.0</v>
      </c>
      <c r="L27" s="183">
        <v>-8775.0</v>
      </c>
    </row>
    <row r="28" ht="15.75" customHeight="1">
      <c r="A28" s="185" t="s">
        <v>108</v>
      </c>
      <c r="B28" s="193">
        <v>-56044.0</v>
      </c>
      <c r="C28" s="193">
        <v>-56989.0</v>
      </c>
      <c r="D28" s="193">
        <v>-59525.0</v>
      </c>
      <c r="E28" s="193">
        <v>-62908.0</v>
      </c>
      <c r="F28" s="193">
        <v>-65029.0</v>
      </c>
      <c r="G28" s="193">
        <v>-65541.0</v>
      </c>
      <c r="H28" s="193">
        <v>-71336.0</v>
      </c>
      <c r="I28" s="193">
        <v>-76140.0</v>
      </c>
      <c r="J28" s="193">
        <v>-83212.0</v>
      </c>
      <c r="K28" s="193">
        <v>-91020.0</v>
      </c>
      <c r="L28" s="193">
        <v>-91020.0</v>
      </c>
    </row>
    <row r="29" ht="15.75" customHeight="1">
      <c r="A29" s="181" t="s">
        <v>109</v>
      </c>
      <c r="B29" s="182">
        <v>33158.0</v>
      </c>
      <c r="C29" s="182">
        <v>34219.0</v>
      </c>
      <c r="D29" s="182">
        <v>35220.0</v>
      </c>
      <c r="E29" s="182">
        <v>40836.0</v>
      </c>
      <c r="F29" s="182">
        <v>45105.0</v>
      </c>
      <c r="G29" s="182">
        <v>36930.0</v>
      </c>
      <c r="H29" s="182">
        <v>59562.0</v>
      </c>
      <c r="I29" s="182">
        <v>46166.0</v>
      </c>
      <c r="J29" s="182">
        <v>62458.0</v>
      </c>
      <c r="K29" s="182">
        <v>75755.0</v>
      </c>
      <c r="L29" s="182">
        <v>75755.0</v>
      </c>
    </row>
    <row r="30" ht="15.75" customHeight="1">
      <c r="A30" s="194" t="s">
        <v>71</v>
      </c>
      <c r="B30" s="188"/>
      <c r="C30" s="195" t="s">
        <v>110</v>
      </c>
      <c r="D30" s="195" t="s">
        <v>111</v>
      </c>
      <c r="E30" s="195" t="s">
        <v>112</v>
      </c>
      <c r="F30" s="195" t="s">
        <v>113</v>
      </c>
      <c r="G30" s="196" t="s">
        <v>114</v>
      </c>
      <c r="H30" s="195" t="s">
        <v>115</v>
      </c>
      <c r="I30" s="196" t="s">
        <v>116</v>
      </c>
      <c r="J30" s="195" t="s">
        <v>117</v>
      </c>
      <c r="K30" s="195" t="s">
        <v>118</v>
      </c>
      <c r="L30" s="197"/>
    </row>
    <row r="31" ht="15.75" customHeight="1">
      <c r="A31" s="179" t="s">
        <v>119</v>
      </c>
      <c r="B31" s="192"/>
      <c r="C31" s="192"/>
      <c r="D31" s="192"/>
      <c r="E31" s="192"/>
      <c r="F31" s="192"/>
      <c r="G31" s="192"/>
      <c r="H31" s="192"/>
      <c r="I31" s="192"/>
      <c r="J31" s="183">
        <v>-1060.0</v>
      </c>
      <c r="K31" s="183">
        <v>-777.0</v>
      </c>
      <c r="L31" s="183">
        <v>-777.0</v>
      </c>
    </row>
    <row r="32" ht="15.75" customHeight="1">
      <c r="A32" s="179" t="s">
        <v>120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</row>
    <row r="33" ht="15.75" customHeight="1">
      <c r="A33" s="179" t="s">
        <v>121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</row>
    <row r="34" ht="15.75" customHeight="1">
      <c r="A34" s="179" t="s">
        <v>122</v>
      </c>
      <c r="B34" s="183">
        <v>-2455.0</v>
      </c>
      <c r="C34" s="180">
        <v>317.0</v>
      </c>
      <c r="D34" s="180">
        <v>680.0</v>
      </c>
      <c r="E34" s="183">
        <v>-72.0</v>
      </c>
      <c r="F34" s="183">
        <v>-239.0</v>
      </c>
      <c r="G34" s="183">
        <v>-1115.0</v>
      </c>
      <c r="H34" s="192"/>
      <c r="I34" s="192"/>
      <c r="J34" s="192"/>
      <c r="K34" s="192"/>
      <c r="L34" s="192"/>
    </row>
    <row r="35" ht="15.75" customHeight="1">
      <c r="A35" s="179" t="s">
        <v>123</v>
      </c>
      <c r="B35" s="183">
        <v>-1.0</v>
      </c>
      <c r="C35" s="192"/>
      <c r="D35" s="192"/>
      <c r="E35" s="192"/>
      <c r="F35" s="192"/>
      <c r="G35" s="192"/>
      <c r="H35" s="192"/>
      <c r="I35" s="192"/>
      <c r="J35" s="180">
        <v>214.0</v>
      </c>
      <c r="K35" s="180">
        <v>103.0</v>
      </c>
      <c r="L35" s="180">
        <v>103.0</v>
      </c>
    </row>
    <row r="36" ht="15.75" customHeight="1">
      <c r="A36" s="185" t="s">
        <v>124</v>
      </c>
      <c r="B36" s="186">
        <v>30702.0</v>
      </c>
      <c r="C36" s="186">
        <v>34536.0</v>
      </c>
      <c r="D36" s="186">
        <v>35900.0</v>
      </c>
      <c r="E36" s="186">
        <v>40764.0</v>
      </c>
      <c r="F36" s="186">
        <v>44866.0</v>
      </c>
      <c r="G36" s="186">
        <v>35815.0</v>
      </c>
      <c r="H36" s="186">
        <v>59562.0</v>
      </c>
      <c r="I36" s="186">
        <v>46166.0</v>
      </c>
      <c r="J36" s="186">
        <v>61612.0</v>
      </c>
      <c r="K36" s="186">
        <v>75081.0</v>
      </c>
      <c r="L36" s="186">
        <v>75081.0</v>
      </c>
    </row>
    <row r="37" ht="15.75" customHeight="1">
      <c r="A37" s="179" t="s">
        <v>125</v>
      </c>
      <c r="B37" s="183">
        <v>-6260.0</v>
      </c>
      <c r="C37" s="183">
        <v>-9803.0</v>
      </c>
      <c r="D37" s="183">
        <v>-11459.0</v>
      </c>
      <c r="E37" s="183">
        <v>-8290.0</v>
      </c>
      <c r="F37" s="183">
        <v>-8435.0</v>
      </c>
      <c r="G37" s="183">
        <v>-6684.0</v>
      </c>
      <c r="H37" s="183">
        <v>-11228.0</v>
      </c>
      <c r="I37" s="183">
        <v>-8490.0</v>
      </c>
      <c r="J37" s="183">
        <v>-12060.0</v>
      </c>
      <c r="K37" s="183">
        <v>-16610.0</v>
      </c>
      <c r="L37" s="183">
        <v>-16610.0</v>
      </c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ht="15.75" customHeight="1">
      <c r="A38" s="185" t="s">
        <v>126</v>
      </c>
      <c r="B38" s="186">
        <v>24442.0</v>
      </c>
      <c r="C38" s="186">
        <v>24733.0</v>
      </c>
      <c r="D38" s="186">
        <v>24441.0</v>
      </c>
      <c r="E38" s="186">
        <v>32474.0</v>
      </c>
      <c r="F38" s="186">
        <v>36431.0</v>
      </c>
      <c r="G38" s="186">
        <v>29131.0</v>
      </c>
      <c r="H38" s="186">
        <v>48334.0</v>
      </c>
      <c r="I38" s="186">
        <v>37676.0</v>
      </c>
      <c r="J38" s="186">
        <v>49552.0</v>
      </c>
      <c r="K38" s="186">
        <v>58471.0</v>
      </c>
      <c r="L38" s="186">
        <v>58471.0</v>
      </c>
    </row>
    <row r="39" ht="15.75" customHeight="1">
      <c r="A39" s="179" t="s">
        <v>127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</row>
    <row r="40" ht="15.75" customHeight="1">
      <c r="A40" s="179" t="s">
        <v>128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</row>
    <row r="41" ht="15.75" customHeight="1">
      <c r="A41" s="185" t="s">
        <v>129</v>
      </c>
      <c r="B41" s="186">
        <v>24442.0</v>
      </c>
      <c r="C41" s="186">
        <v>24733.0</v>
      </c>
      <c r="D41" s="186">
        <v>24441.0</v>
      </c>
      <c r="E41" s="186">
        <v>32474.0</v>
      </c>
      <c r="F41" s="186">
        <v>36431.0</v>
      </c>
      <c r="G41" s="186">
        <v>29131.0</v>
      </c>
      <c r="H41" s="186">
        <v>48334.0</v>
      </c>
      <c r="I41" s="186">
        <v>37676.0</v>
      </c>
      <c r="J41" s="186">
        <v>49552.0</v>
      </c>
      <c r="K41" s="186">
        <v>58471.0</v>
      </c>
      <c r="L41" s="186">
        <v>58471.0</v>
      </c>
    </row>
    <row r="42" ht="15.75" customHeight="1">
      <c r="A42" s="181" t="s">
        <v>26</v>
      </c>
      <c r="B42" s="182">
        <v>24442.0</v>
      </c>
      <c r="C42" s="182">
        <v>24733.0</v>
      </c>
      <c r="D42" s="182">
        <v>24441.0</v>
      </c>
      <c r="E42" s="182">
        <v>32474.0</v>
      </c>
      <c r="F42" s="182">
        <v>36431.0</v>
      </c>
      <c r="G42" s="182">
        <v>29131.0</v>
      </c>
      <c r="H42" s="182">
        <v>48334.0</v>
      </c>
      <c r="I42" s="182">
        <v>37676.0</v>
      </c>
      <c r="J42" s="182">
        <v>49552.0</v>
      </c>
      <c r="K42" s="182">
        <v>58471.0</v>
      </c>
      <c r="L42" s="182">
        <v>58471.0</v>
      </c>
    </row>
    <row r="43" ht="15.75" customHeight="1">
      <c r="A43" s="179" t="s">
        <v>130</v>
      </c>
      <c r="B43" s="183">
        <v>-1791.0</v>
      </c>
      <c r="C43" s="183">
        <v>-1899.0</v>
      </c>
      <c r="D43" s="183">
        <v>-1874.0</v>
      </c>
      <c r="E43" s="183">
        <v>-1765.0</v>
      </c>
      <c r="F43" s="183">
        <v>-1789.0</v>
      </c>
      <c r="G43" s="183">
        <v>-1721.0</v>
      </c>
      <c r="H43" s="183">
        <v>-1831.0</v>
      </c>
      <c r="I43" s="183">
        <v>-1784.0</v>
      </c>
      <c r="J43" s="183">
        <v>-1792.0</v>
      </c>
      <c r="K43" s="183">
        <v>-1603.0</v>
      </c>
      <c r="L43" s="183">
        <v>-1603.0</v>
      </c>
    </row>
    <row r="44" ht="15.75" customHeight="1">
      <c r="A44" s="181" t="s">
        <v>131</v>
      </c>
      <c r="B44" s="182">
        <v>22651.0</v>
      </c>
      <c r="C44" s="182">
        <v>22834.0</v>
      </c>
      <c r="D44" s="182">
        <v>22567.0</v>
      </c>
      <c r="E44" s="182">
        <v>30709.0</v>
      </c>
      <c r="F44" s="182">
        <v>34642.0</v>
      </c>
      <c r="G44" s="182">
        <v>27410.0</v>
      </c>
      <c r="H44" s="182">
        <v>46503.0</v>
      </c>
      <c r="I44" s="182">
        <v>35892.0</v>
      </c>
      <c r="J44" s="182">
        <v>47760.0</v>
      </c>
      <c r="K44" s="182">
        <v>56868.0</v>
      </c>
      <c r="L44" s="182">
        <v>56868.0</v>
      </c>
    </row>
    <row r="45" ht="15.75" customHeight="1">
      <c r="A45" s="187" t="s">
        <v>132</v>
      </c>
      <c r="B45" s="189" t="s">
        <v>133</v>
      </c>
      <c r="C45" s="189" t="s">
        <v>134</v>
      </c>
      <c r="D45" s="189" t="s">
        <v>135</v>
      </c>
      <c r="E45" s="189" t="s">
        <v>136</v>
      </c>
      <c r="F45" s="189" t="s">
        <v>137</v>
      </c>
      <c r="G45" s="189" t="s">
        <v>138</v>
      </c>
      <c r="H45" s="189" t="s">
        <v>139</v>
      </c>
      <c r="I45" s="189" t="s">
        <v>140</v>
      </c>
      <c r="J45" s="189" t="s">
        <v>141</v>
      </c>
      <c r="K45" s="189" t="s">
        <v>142</v>
      </c>
      <c r="L45" s="189" t="s">
        <v>142</v>
      </c>
    </row>
    <row r="46" ht="15.75" customHeight="1">
      <c r="A46" s="181" t="s">
        <v>143</v>
      </c>
      <c r="B46" s="182">
        <v>22651.0</v>
      </c>
      <c r="C46" s="182">
        <v>22834.0</v>
      </c>
      <c r="D46" s="182">
        <v>22567.0</v>
      </c>
      <c r="E46" s="182">
        <v>30709.0</v>
      </c>
      <c r="F46" s="182">
        <v>34642.0</v>
      </c>
      <c r="G46" s="182">
        <v>27410.0</v>
      </c>
      <c r="H46" s="182">
        <v>46503.0</v>
      </c>
      <c r="I46" s="182">
        <v>35892.0</v>
      </c>
      <c r="J46" s="182">
        <v>47760.0</v>
      </c>
      <c r="K46" s="182">
        <v>56868.0</v>
      </c>
      <c r="L46" s="182">
        <v>56868.0</v>
      </c>
    </row>
    <row r="47" ht="15.75" customHeight="1">
      <c r="A47" s="187" t="s">
        <v>144</v>
      </c>
      <c r="B47" s="189" t="s">
        <v>133</v>
      </c>
      <c r="C47" s="189" t="s">
        <v>134</v>
      </c>
      <c r="D47" s="189" t="s">
        <v>135</v>
      </c>
      <c r="E47" s="189" t="s">
        <v>136</v>
      </c>
      <c r="F47" s="189" t="s">
        <v>137</v>
      </c>
      <c r="G47" s="189" t="s">
        <v>138</v>
      </c>
      <c r="H47" s="189" t="s">
        <v>139</v>
      </c>
      <c r="I47" s="189" t="s">
        <v>140</v>
      </c>
      <c r="J47" s="189" t="s">
        <v>141</v>
      </c>
      <c r="K47" s="189" t="s">
        <v>142</v>
      </c>
      <c r="L47" s="189" t="s">
        <v>142</v>
      </c>
    </row>
    <row r="48" ht="15.75" customHeight="1">
      <c r="A48" s="187" t="s">
        <v>145</v>
      </c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</row>
    <row r="49" ht="15.75" customHeight="1">
      <c r="A49" s="179" t="s">
        <v>146</v>
      </c>
      <c r="B49" s="180">
        <v>6.0</v>
      </c>
      <c r="C49" s="180">
        <v>6.19</v>
      </c>
      <c r="D49" s="180">
        <v>6.31</v>
      </c>
      <c r="E49" s="180">
        <v>9.0</v>
      </c>
      <c r="F49" s="180">
        <v>10.72</v>
      </c>
      <c r="G49" s="180">
        <v>8.88</v>
      </c>
      <c r="H49" s="180">
        <v>15.36</v>
      </c>
      <c r="I49" s="180">
        <v>12.09</v>
      </c>
      <c r="J49" s="180">
        <v>16.23</v>
      </c>
      <c r="K49" s="180">
        <v>19.75</v>
      </c>
      <c r="L49" s="180">
        <v>19.75</v>
      </c>
    </row>
    <row r="50" ht="15.75" customHeight="1">
      <c r="A50" s="200" t="s">
        <v>71</v>
      </c>
      <c r="B50" s="201"/>
      <c r="C50" s="202" t="s">
        <v>110</v>
      </c>
      <c r="D50" s="202" t="s">
        <v>147</v>
      </c>
      <c r="E50" s="202" t="s">
        <v>148</v>
      </c>
      <c r="F50" s="202" t="s">
        <v>101</v>
      </c>
      <c r="G50" s="203" t="s">
        <v>149</v>
      </c>
      <c r="H50" s="202" t="s">
        <v>150</v>
      </c>
      <c r="I50" s="203" t="s">
        <v>151</v>
      </c>
      <c r="J50" s="202" t="s">
        <v>152</v>
      </c>
      <c r="K50" s="202" t="s">
        <v>153</v>
      </c>
      <c r="L50" s="204"/>
    </row>
    <row r="51" ht="15.75" customHeight="1">
      <c r="A51" s="179" t="s">
        <v>154</v>
      </c>
      <c r="B51" s="180">
        <v>3773.6</v>
      </c>
      <c r="C51" s="180">
        <v>3690.0</v>
      </c>
      <c r="D51" s="180">
        <v>3576.8</v>
      </c>
      <c r="E51" s="180">
        <v>3414.0</v>
      </c>
      <c r="F51" s="180">
        <v>3230.4</v>
      </c>
      <c r="G51" s="180">
        <v>3087.4</v>
      </c>
      <c r="H51" s="180">
        <v>3026.6</v>
      </c>
      <c r="I51" s="180">
        <v>2970.0</v>
      </c>
      <c r="J51" s="180">
        <v>2943.1</v>
      </c>
      <c r="K51" s="180">
        <v>2879.0</v>
      </c>
      <c r="L51" s="180">
        <v>2879.0</v>
      </c>
    </row>
    <row r="52" ht="15.75" customHeight="1">
      <c r="A52" s="200" t="s">
        <v>71</v>
      </c>
      <c r="B52" s="201"/>
      <c r="C52" s="203" t="s">
        <v>155</v>
      </c>
      <c r="D52" s="203" t="s">
        <v>156</v>
      </c>
      <c r="E52" s="203" t="s">
        <v>157</v>
      </c>
      <c r="F52" s="203" t="s">
        <v>158</v>
      </c>
      <c r="G52" s="203" t="s">
        <v>159</v>
      </c>
      <c r="H52" s="203" t="s">
        <v>160</v>
      </c>
      <c r="I52" s="203" t="s">
        <v>161</v>
      </c>
      <c r="J52" s="203" t="s">
        <v>162</v>
      </c>
      <c r="K52" s="203" t="s">
        <v>155</v>
      </c>
      <c r="L52" s="204"/>
    </row>
    <row r="53" ht="15.75" customHeight="1">
      <c r="A53" s="179" t="s">
        <v>163</v>
      </c>
      <c r="B53" s="180">
        <v>3741.2</v>
      </c>
      <c r="C53" s="180">
        <v>3658.8</v>
      </c>
      <c r="D53" s="180">
        <v>3551.6</v>
      </c>
      <c r="E53" s="180">
        <v>3396.4</v>
      </c>
      <c r="F53" s="180">
        <v>3221.5</v>
      </c>
      <c r="G53" s="180">
        <v>3082.4</v>
      </c>
      <c r="H53" s="180">
        <v>3021.5</v>
      </c>
      <c r="I53" s="180">
        <v>2965.8</v>
      </c>
      <c r="J53" s="180">
        <v>2938.6</v>
      </c>
      <c r="K53" s="180">
        <v>2873.9</v>
      </c>
      <c r="L53" s="180">
        <v>2873.9</v>
      </c>
    </row>
    <row r="54" ht="15.75" customHeight="1">
      <c r="A54" s="200" t="s">
        <v>71</v>
      </c>
      <c r="B54" s="201"/>
      <c r="C54" s="203" t="s">
        <v>155</v>
      </c>
      <c r="D54" s="203" t="s">
        <v>164</v>
      </c>
      <c r="E54" s="203" t="s">
        <v>159</v>
      </c>
      <c r="F54" s="203" t="s">
        <v>165</v>
      </c>
      <c r="G54" s="203" t="s">
        <v>166</v>
      </c>
      <c r="H54" s="203" t="s">
        <v>160</v>
      </c>
      <c r="I54" s="203" t="s">
        <v>167</v>
      </c>
      <c r="J54" s="203" t="s">
        <v>162</v>
      </c>
      <c r="K54" s="203" t="s">
        <v>155</v>
      </c>
      <c r="L54" s="204"/>
    </row>
    <row r="55" ht="15.75" customHeight="1">
      <c r="A55" s="179" t="s">
        <v>168</v>
      </c>
      <c r="B55" s="180">
        <v>1.72</v>
      </c>
      <c r="C55" s="180">
        <v>1.88</v>
      </c>
      <c r="D55" s="180">
        <v>2.12</v>
      </c>
      <c r="E55" s="180">
        <v>2.72</v>
      </c>
      <c r="F55" s="180">
        <v>3.4</v>
      </c>
      <c r="G55" s="180">
        <v>3.6</v>
      </c>
      <c r="H55" s="180">
        <v>3.8</v>
      </c>
      <c r="I55" s="180">
        <v>4.0</v>
      </c>
      <c r="J55" s="180">
        <v>4.1</v>
      </c>
      <c r="K55" s="180">
        <v>4.8</v>
      </c>
      <c r="L55" s="180">
        <v>4.8</v>
      </c>
    </row>
    <row r="56" ht="15.75" customHeight="1">
      <c r="A56" s="200" t="s">
        <v>71</v>
      </c>
      <c r="B56" s="201"/>
      <c r="C56" s="202" t="s">
        <v>169</v>
      </c>
      <c r="D56" s="202" t="s">
        <v>170</v>
      </c>
      <c r="E56" s="202" t="s">
        <v>171</v>
      </c>
      <c r="F56" s="202" t="s">
        <v>134</v>
      </c>
      <c r="G56" s="202" t="s">
        <v>72</v>
      </c>
      <c r="H56" s="202" t="s">
        <v>172</v>
      </c>
      <c r="I56" s="202" t="s">
        <v>173</v>
      </c>
      <c r="J56" s="202" t="s">
        <v>174</v>
      </c>
      <c r="K56" s="202" t="s">
        <v>175</v>
      </c>
      <c r="L56" s="204"/>
    </row>
    <row r="57" ht="15.75" customHeight="1">
      <c r="A57" s="179" t="s">
        <v>176</v>
      </c>
      <c r="B57" s="180" t="s">
        <v>177</v>
      </c>
      <c r="C57" s="180" t="s">
        <v>178</v>
      </c>
      <c r="D57" s="180" t="s">
        <v>179</v>
      </c>
      <c r="E57" s="180" t="s">
        <v>180</v>
      </c>
      <c r="F57" s="180" t="s">
        <v>181</v>
      </c>
      <c r="G57" s="180" t="s">
        <v>182</v>
      </c>
      <c r="H57" s="180" t="s">
        <v>183</v>
      </c>
      <c r="I57" s="180" t="s">
        <v>184</v>
      </c>
      <c r="J57" s="180" t="s">
        <v>185</v>
      </c>
      <c r="K57" s="180" t="s">
        <v>186</v>
      </c>
      <c r="L57" s="180" t="s">
        <v>186</v>
      </c>
    </row>
    <row r="58" ht="15.75" customHeight="1">
      <c r="A58" s="179" t="s">
        <v>24</v>
      </c>
      <c r="B58" s="205" t="s">
        <v>187</v>
      </c>
      <c r="C58" s="205" t="s">
        <v>188</v>
      </c>
      <c r="D58" s="205" t="s">
        <v>189</v>
      </c>
      <c r="E58" s="205" t="s">
        <v>190</v>
      </c>
      <c r="F58" s="205" t="s">
        <v>191</v>
      </c>
      <c r="G58" s="205" t="s">
        <v>192</v>
      </c>
      <c r="H58" s="205" t="s">
        <v>193</v>
      </c>
      <c r="I58" s="205" t="s">
        <v>194</v>
      </c>
      <c r="J58" s="205" t="s">
        <v>195</v>
      </c>
      <c r="K58" s="180" t="s">
        <v>196</v>
      </c>
      <c r="L58" s="180" t="s">
        <v>196</v>
      </c>
    </row>
    <row r="59" ht="15.75" customHeight="1">
      <c r="A59" s="179" t="s">
        <v>197</v>
      </c>
      <c r="B59" s="180">
        <v>243033.77</v>
      </c>
      <c r="C59" s="180">
        <v>308727.24</v>
      </c>
      <c r="D59" s="180">
        <v>371047.87</v>
      </c>
      <c r="E59" s="180">
        <v>324580.43</v>
      </c>
      <c r="F59" s="180">
        <v>437160.07</v>
      </c>
      <c r="G59" s="180">
        <v>387335.16</v>
      </c>
      <c r="H59" s="180">
        <v>467966.38</v>
      </c>
      <c r="I59" s="180">
        <v>393342.78</v>
      </c>
      <c r="J59" s="180">
        <v>491760.52</v>
      </c>
      <c r="K59" s="180">
        <v>674865.25</v>
      </c>
      <c r="L59" s="180">
        <v>674865.25</v>
      </c>
    </row>
    <row r="60" ht="15.75" customHeight="1">
      <c r="A60" s="179" t="s">
        <v>198</v>
      </c>
      <c r="B60" s="180" t="s">
        <v>199</v>
      </c>
      <c r="C60" s="180" t="s">
        <v>200</v>
      </c>
      <c r="D60" s="180" t="s">
        <v>201</v>
      </c>
      <c r="E60" s="180" t="s">
        <v>202</v>
      </c>
      <c r="F60" s="180" t="s">
        <v>203</v>
      </c>
      <c r="G60" s="180" t="s">
        <v>204</v>
      </c>
      <c r="H60" s="180" t="s">
        <v>205</v>
      </c>
      <c r="I60" s="180" t="s">
        <v>206</v>
      </c>
      <c r="J60" s="180" t="s">
        <v>207</v>
      </c>
      <c r="K60" s="180" t="s">
        <v>208</v>
      </c>
      <c r="L60" s="180" t="s">
        <v>208</v>
      </c>
    </row>
    <row r="61" ht="15.75" customHeight="1">
      <c r="A61" s="179" t="s">
        <v>209</v>
      </c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</row>
    <row r="62" ht="15.75" customHeight="1">
      <c r="A62" s="207" t="s">
        <v>210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</row>
    <row r="63" ht="15.75" customHeight="1">
      <c r="A63" s="207" t="s">
        <v>211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A64" s="208" t="s">
        <v>212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A65" s="208" t="s">
        <v>213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ht="15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ht="15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ht="15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ht="15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ht="15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8"/>
    <hyperlink r:id="rId2" ref="B22"/>
    <hyperlink r:id="rId3" ref="B30"/>
    <hyperlink r:id="rId4" ref="B50"/>
    <hyperlink r:id="rId5" ref="B52"/>
    <hyperlink r:id="rId6" ref="B54"/>
    <hyperlink r:id="rId7" ref="B56"/>
    <hyperlink r:id="rId8" ref="A64"/>
    <hyperlink r:id="rId9" ref="A65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4" t="s">
        <v>214</v>
      </c>
      <c r="B1" s="175">
        <v>42369.0</v>
      </c>
      <c r="C1" s="175">
        <v>42735.0</v>
      </c>
      <c r="D1" s="175">
        <v>43100.0</v>
      </c>
      <c r="E1" s="175">
        <v>43465.0</v>
      </c>
      <c r="F1" s="175">
        <v>43830.0</v>
      </c>
      <c r="G1" s="175">
        <v>44196.0</v>
      </c>
      <c r="H1" s="175">
        <v>44561.0</v>
      </c>
      <c r="I1" s="175">
        <v>44926.0</v>
      </c>
      <c r="J1" s="175">
        <v>45291.0</v>
      </c>
      <c r="K1" s="175">
        <v>45657.0</v>
      </c>
      <c r="L1" s="176" t="s">
        <v>44</v>
      </c>
    </row>
    <row r="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>
      <c r="A3" s="179" t="s">
        <v>215</v>
      </c>
      <c r="B3" s="205">
        <v>6775.0</v>
      </c>
      <c r="C3" s="205">
        <v>4637.0</v>
      </c>
      <c r="D3" s="180">
        <v>385823.0</v>
      </c>
      <c r="E3" s="180">
        <v>238077.0</v>
      </c>
      <c r="F3" s="180">
        <v>217142.0</v>
      </c>
      <c r="G3" s="180">
        <v>503209.0</v>
      </c>
      <c r="H3" s="180">
        <v>721201.0</v>
      </c>
      <c r="I3" s="180">
        <v>540525.0</v>
      </c>
      <c r="J3" s="180">
        <v>604576.0</v>
      </c>
      <c r="K3" s="180">
        <v>441847.0</v>
      </c>
      <c r="L3" s="180">
        <v>441847.0</v>
      </c>
    </row>
    <row r="4">
      <c r="A4" s="179" t="s">
        <v>216</v>
      </c>
      <c r="B4" s="180">
        <v>710439.0</v>
      </c>
      <c r="C4" s="180">
        <v>770279.0</v>
      </c>
      <c r="D4" s="180">
        <v>335829.0</v>
      </c>
      <c r="E4" s="180">
        <v>480802.0</v>
      </c>
      <c r="F4" s="180">
        <v>491167.0</v>
      </c>
      <c r="G4" s="180">
        <v>655375.0</v>
      </c>
      <c r="H4" s="180">
        <v>748249.0</v>
      </c>
      <c r="I4" s="180">
        <v>747233.0</v>
      </c>
      <c r="J4" s="180">
        <v>634667.0</v>
      </c>
      <c r="K4" s="180">
        <v>764660.0</v>
      </c>
      <c r="L4" s="180">
        <v>764660.0</v>
      </c>
    </row>
    <row r="5">
      <c r="A5" s="179" t="s">
        <v>217</v>
      </c>
      <c r="B5" s="180">
        <v>343839.0</v>
      </c>
      <c r="C5" s="180">
        <v>372130.0</v>
      </c>
      <c r="D5" s="180">
        <v>381844.0</v>
      </c>
      <c r="E5" s="180">
        <v>413714.0</v>
      </c>
      <c r="F5" s="180">
        <v>369687.0</v>
      </c>
      <c r="G5" s="180">
        <v>503126.0</v>
      </c>
      <c r="H5" s="180">
        <v>433575.0</v>
      </c>
      <c r="I5" s="180">
        <v>453799.0</v>
      </c>
      <c r="J5" s="180">
        <v>540607.0</v>
      </c>
      <c r="K5" s="180">
        <v>637784.0</v>
      </c>
      <c r="L5" s="180">
        <v>637784.0</v>
      </c>
    </row>
    <row r="6">
      <c r="A6" s="179" t="s">
        <v>218</v>
      </c>
      <c r="B6" s="180">
        <v>141853.0</v>
      </c>
      <c r="C6" s="180">
        <v>123245.0</v>
      </c>
      <c r="D6" s="180">
        <v>120032.0</v>
      </c>
      <c r="E6" s="180">
        <v>110430.0</v>
      </c>
      <c r="F6" s="180">
        <v>164818.0</v>
      </c>
      <c r="G6" s="180">
        <v>241226.0</v>
      </c>
      <c r="H6" s="180">
        <v>197164.0</v>
      </c>
      <c r="I6" s="180">
        <v>212437.0</v>
      </c>
      <c r="J6" s="180">
        <v>217469.0</v>
      </c>
      <c r="K6" s="180">
        <v>215368.0</v>
      </c>
      <c r="L6" s="180">
        <v>215368.0</v>
      </c>
    </row>
    <row r="7">
      <c r="A7" s="179" t="s">
        <v>219</v>
      </c>
      <c r="B7" s="180">
        <v>835653.0</v>
      </c>
      <c r="C7" s="180">
        <v>892137.0</v>
      </c>
      <c r="D7" s="180">
        <v>954145.0</v>
      </c>
      <c r="E7" s="180">
        <v>1003144.0</v>
      </c>
      <c r="F7" s="180">
        <v>1024460.0</v>
      </c>
      <c r="G7" s="180">
        <v>1052754.0</v>
      </c>
      <c r="H7" s="180">
        <v>1128707.0</v>
      </c>
      <c r="I7" s="180">
        <v>1180961.0</v>
      </c>
      <c r="J7" s="180">
        <v>1367368.0</v>
      </c>
      <c r="K7" s="180">
        <v>1392879.0</v>
      </c>
      <c r="L7" s="180">
        <v>1392879.0</v>
      </c>
    </row>
    <row r="8">
      <c r="A8" s="179" t="s">
        <v>220</v>
      </c>
      <c r="B8" s="183">
        <v>-13555.0</v>
      </c>
      <c r="C8" s="183">
        <v>-13776.0</v>
      </c>
      <c r="D8" s="183">
        <v>-13604.0</v>
      </c>
      <c r="E8" s="183">
        <v>-13445.0</v>
      </c>
      <c r="F8" s="183">
        <v>-13123.0</v>
      </c>
      <c r="G8" s="183">
        <v>-28328.0</v>
      </c>
      <c r="H8" s="183">
        <v>-16386.0</v>
      </c>
      <c r="I8" s="183">
        <v>-19726.0</v>
      </c>
      <c r="J8" s="183">
        <v>-22420.0</v>
      </c>
      <c r="K8" s="183">
        <v>-24345.0</v>
      </c>
      <c r="L8" s="183">
        <v>-24345.0</v>
      </c>
    </row>
    <row r="9">
      <c r="A9" s="179" t="s">
        <v>221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</row>
    <row r="10">
      <c r="A10" s="181" t="s">
        <v>222</v>
      </c>
      <c r="B10" s="182">
        <v>822098.0</v>
      </c>
      <c r="C10" s="182">
        <v>878361.0</v>
      </c>
      <c r="D10" s="182">
        <v>940541.0</v>
      </c>
      <c r="E10" s="182">
        <v>989699.0</v>
      </c>
      <c r="F10" s="182">
        <v>1011337.0</v>
      </c>
      <c r="G10" s="182">
        <v>1024426.0</v>
      </c>
      <c r="H10" s="182">
        <v>1112321.0</v>
      </c>
      <c r="I10" s="182">
        <v>1161235.0</v>
      </c>
      <c r="J10" s="182">
        <v>1344948.0</v>
      </c>
      <c r="K10" s="182">
        <v>1368534.0</v>
      </c>
      <c r="L10" s="182">
        <v>1368534.0</v>
      </c>
    </row>
    <row r="11">
      <c r="A11" s="181" t="s">
        <v>223</v>
      </c>
      <c r="B11" s="182">
        <v>14362.0</v>
      </c>
      <c r="C11" s="182">
        <v>14131.0</v>
      </c>
      <c r="D11" s="182">
        <v>14159.0</v>
      </c>
      <c r="E11" s="182">
        <v>36362.0</v>
      </c>
      <c r="F11" s="182">
        <v>49400.0</v>
      </c>
      <c r="G11" s="182">
        <v>48264.0</v>
      </c>
      <c r="H11" s="182">
        <v>44623.0</v>
      </c>
      <c r="I11" s="182">
        <v>40036.0</v>
      </c>
      <c r="J11" s="182">
        <v>41334.0</v>
      </c>
      <c r="K11" s="182">
        <v>45775.0</v>
      </c>
      <c r="L11" s="182">
        <v>45775.0</v>
      </c>
    </row>
    <row r="12">
      <c r="A12" s="179" t="s">
        <v>224</v>
      </c>
      <c r="B12" s="180">
        <v>47325.0</v>
      </c>
      <c r="C12" s="180">
        <v>47288.0</v>
      </c>
      <c r="D12" s="180">
        <v>47507.0</v>
      </c>
      <c r="E12" s="180">
        <v>47471.0</v>
      </c>
      <c r="F12" s="180">
        <v>47823.0</v>
      </c>
      <c r="G12" s="180">
        <v>49248.0</v>
      </c>
      <c r="H12" s="180">
        <v>50315.0</v>
      </c>
      <c r="I12" s="180">
        <v>51662.0</v>
      </c>
      <c r="J12" s="180">
        <v>52634.0</v>
      </c>
      <c r="K12" s="180">
        <v>52565.0</v>
      </c>
      <c r="L12" s="180">
        <v>52565.0</v>
      </c>
    </row>
    <row r="13">
      <c r="A13" s="179" t="s">
        <v>225</v>
      </c>
      <c r="B13" s="180">
        <v>1015.0</v>
      </c>
      <c r="C13" s="180">
        <v>862.0</v>
      </c>
      <c r="D13" s="180">
        <v>855.0</v>
      </c>
      <c r="E13" s="180">
        <v>748.0</v>
      </c>
      <c r="F13" s="180">
        <v>819.0</v>
      </c>
      <c r="G13" s="180">
        <v>904.0</v>
      </c>
      <c r="H13" s="180">
        <v>882.0</v>
      </c>
      <c r="I13" s="180">
        <v>1224.0</v>
      </c>
      <c r="J13" s="180">
        <v>3225.0</v>
      </c>
      <c r="K13" s="180">
        <v>2874.0</v>
      </c>
      <c r="L13" s="180">
        <v>2874.0</v>
      </c>
    </row>
    <row r="14">
      <c r="A14" s="179" t="s">
        <v>226</v>
      </c>
      <c r="B14" s="180">
        <v>1646.0</v>
      </c>
      <c r="C14" s="180">
        <v>2628.0</v>
      </c>
      <c r="D14" s="180">
        <v>3351.0</v>
      </c>
      <c r="E14" s="180">
        <v>11988.0</v>
      </c>
      <c r="F14" s="180">
        <v>7064.0</v>
      </c>
      <c r="G14" s="180">
        <v>7873.0</v>
      </c>
      <c r="H14" s="180">
        <v>8688.0</v>
      </c>
      <c r="I14" s="180">
        <v>3970.0</v>
      </c>
      <c r="J14" s="180">
        <v>3985.0</v>
      </c>
      <c r="K14" s="180">
        <v>7048.0</v>
      </c>
      <c r="L14" s="180">
        <v>7048.0</v>
      </c>
    </row>
    <row r="15">
      <c r="A15" s="179" t="s">
        <v>227</v>
      </c>
      <c r="B15" s="180">
        <v>46605.0</v>
      </c>
      <c r="C15" s="180">
        <v>52330.0</v>
      </c>
      <c r="D15" s="180">
        <v>40930.0</v>
      </c>
      <c r="E15" s="180">
        <v>42622.0</v>
      </c>
      <c r="F15" s="180">
        <v>38957.0</v>
      </c>
      <c r="G15" s="180">
        <v>42729.0</v>
      </c>
      <c r="H15" s="180">
        <v>42889.0</v>
      </c>
      <c r="I15" s="180">
        <v>75905.0</v>
      </c>
      <c r="J15" s="180">
        <v>59716.0</v>
      </c>
      <c r="K15" s="180">
        <v>49284.0</v>
      </c>
      <c r="L15" s="180">
        <v>49284.0</v>
      </c>
    </row>
    <row r="16">
      <c r="A16" s="179" t="s">
        <v>228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</row>
    <row r="17">
      <c r="A17" s="179" t="s">
        <v>229</v>
      </c>
      <c r="B17" s="180">
        <v>14400.0</v>
      </c>
      <c r="C17" s="180">
        <v>19300.0</v>
      </c>
      <c r="D17" s="180">
        <v>45800.0</v>
      </c>
      <c r="E17" s="180">
        <v>40800.0</v>
      </c>
      <c r="F17" s="180">
        <v>46500.0</v>
      </c>
      <c r="G17" s="180">
        <v>24400.0</v>
      </c>
      <c r="H17" s="180">
        <v>19700.0</v>
      </c>
      <c r="I17" s="180">
        <v>26800.0</v>
      </c>
      <c r="J17" s="180">
        <v>19600.0</v>
      </c>
      <c r="K17" s="180">
        <v>27500.0</v>
      </c>
      <c r="L17" s="180">
        <v>27500.0</v>
      </c>
    </row>
    <row r="18">
      <c r="A18" s="179" t="s">
        <v>230</v>
      </c>
      <c r="B18" s="180">
        <v>98721.0</v>
      </c>
      <c r="C18" s="180">
        <v>96409.0</v>
      </c>
      <c r="D18" s="180">
        <v>105112.0</v>
      </c>
      <c r="E18" s="180">
        <v>111995.0</v>
      </c>
      <c r="F18" s="180">
        <v>139758.0</v>
      </c>
      <c r="G18" s="180">
        <v>160635.0</v>
      </c>
      <c r="H18" s="180">
        <v>206071.0</v>
      </c>
      <c r="I18" s="180">
        <v>185369.0</v>
      </c>
      <c r="J18" s="180">
        <v>200436.0</v>
      </c>
      <c r="K18" s="180">
        <v>219546.0</v>
      </c>
      <c r="L18" s="180">
        <v>219546.0</v>
      </c>
    </row>
    <row r="19">
      <c r="A19" s="179" t="s">
        <v>231</v>
      </c>
      <c r="B19" s="192"/>
      <c r="C19" s="192"/>
      <c r="D19" s="192"/>
      <c r="E19" s="192"/>
      <c r="F19" s="192"/>
      <c r="G19" s="192"/>
      <c r="H19" s="192"/>
      <c r="I19" s="192"/>
      <c r="J19" s="180">
        <v>10148.0</v>
      </c>
      <c r="K19" s="180">
        <v>12175.0</v>
      </c>
      <c r="L19" s="180">
        <v>12175.0</v>
      </c>
    </row>
    <row r="20">
      <c r="A20" s="179" t="s">
        <v>232</v>
      </c>
      <c r="B20" s="180">
        <v>325.0</v>
      </c>
      <c r="C20" s="180">
        <v>349.0</v>
      </c>
      <c r="D20" s="180">
        <v>265.0</v>
      </c>
      <c r="E20" s="180">
        <v>226.0</v>
      </c>
      <c r="F20" s="180">
        <v>253.0</v>
      </c>
      <c r="G20" s="180">
        <v>152.0</v>
      </c>
      <c r="H20" s="180">
        <v>134.0</v>
      </c>
      <c r="I20" s="180">
        <v>157.0</v>
      </c>
      <c r="J20" s="180">
        <v>162.0</v>
      </c>
      <c r="K20" s="180">
        <v>112.0</v>
      </c>
      <c r="L20" s="180">
        <v>112.0</v>
      </c>
    </row>
    <row r="21" ht="15.75" customHeight="1">
      <c r="A21" s="179" t="s">
        <v>233</v>
      </c>
      <c r="B21" s="180">
        <v>102295.0</v>
      </c>
      <c r="C21" s="180">
        <v>109023.0</v>
      </c>
      <c r="D21" s="180">
        <v>111552.0</v>
      </c>
      <c r="E21" s="180">
        <v>97598.0</v>
      </c>
      <c r="F21" s="180">
        <v>102654.0</v>
      </c>
      <c r="G21" s="180">
        <v>123190.0</v>
      </c>
      <c r="H21" s="180">
        <v>157755.0</v>
      </c>
      <c r="I21" s="180">
        <v>165391.0</v>
      </c>
      <c r="J21" s="180">
        <v>141886.0</v>
      </c>
      <c r="K21" s="180">
        <v>157742.0</v>
      </c>
      <c r="L21" s="180">
        <v>157742.0</v>
      </c>
    </row>
    <row r="22" ht="15.75" customHeight="1">
      <c r="A22" s="185" t="s">
        <v>234</v>
      </c>
      <c r="B22" s="186">
        <v>2351698.0</v>
      </c>
      <c r="C22" s="186">
        <v>2490972.0</v>
      </c>
      <c r="D22" s="186">
        <v>2533600.0</v>
      </c>
      <c r="E22" s="186">
        <v>2622532.0</v>
      </c>
      <c r="F22" s="186">
        <v>2687379.0</v>
      </c>
      <c r="G22" s="186">
        <v>3384757.0</v>
      </c>
      <c r="H22" s="186">
        <v>3743567.0</v>
      </c>
      <c r="I22" s="186">
        <v>3665743.0</v>
      </c>
      <c r="J22" s="186">
        <v>3875393.0</v>
      </c>
      <c r="K22" s="186">
        <v>4002814.0</v>
      </c>
      <c r="L22" s="186">
        <v>4002814.0</v>
      </c>
    </row>
    <row r="23" ht="15.75" customHeight="1">
      <c r="A23" s="179" t="s">
        <v>235</v>
      </c>
      <c r="B23" s="180">
        <v>65606.0</v>
      </c>
      <c r="C23" s="180">
        <v>67781.0</v>
      </c>
      <c r="D23" s="180">
        <v>72548.0</v>
      </c>
      <c r="E23" s="180">
        <v>72816.0</v>
      </c>
      <c r="F23" s="180">
        <v>73427.0</v>
      </c>
      <c r="G23" s="180">
        <v>68966.0</v>
      </c>
      <c r="H23" s="180">
        <v>62994.0</v>
      </c>
      <c r="I23" s="180">
        <v>77184.0</v>
      </c>
      <c r="J23" s="180">
        <v>97640.0</v>
      </c>
      <c r="K23" s="180">
        <v>95519.0</v>
      </c>
      <c r="L23" s="180">
        <v>95519.0</v>
      </c>
    </row>
    <row r="24" ht="15.75" customHeight="1">
      <c r="A24" s="179" t="s">
        <v>236</v>
      </c>
      <c r="B24" s="180">
        <v>107632.0</v>
      </c>
      <c r="C24" s="180">
        <v>113642.0</v>
      </c>
      <c r="D24" s="180">
        <v>107627.0</v>
      </c>
      <c r="E24" s="180">
        <v>120594.0</v>
      </c>
      <c r="F24" s="180">
        <v>124775.0</v>
      </c>
      <c r="G24" s="180">
        <v>147991.0</v>
      </c>
      <c r="H24" s="180">
        <v>178972.0</v>
      </c>
      <c r="I24" s="180">
        <v>199992.0</v>
      </c>
      <c r="J24" s="180">
        <v>175160.0</v>
      </c>
      <c r="K24" s="180">
        <v>167553.0</v>
      </c>
      <c r="L24" s="180">
        <v>167553.0</v>
      </c>
    </row>
    <row r="25" ht="15.75" customHeight="1">
      <c r="A25" s="179" t="s">
        <v>237</v>
      </c>
      <c r="B25" s="180">
        <v>759895.0</v>
      </c>
      <c r="C25" s="180">
        <v>903752.0</v>
      </c>
      <c r="D25" s="180">
        <v>975041.0</v>
      </c>
      <c r="E25" s="180">
        <v>995718.0</v>
      </c>
      <c r="F25" s="180">
        <v>1051710.0</v>
      </c>
      <c r="G25" s="180">
        <v>1463523.0</v>
      </c>
      <c r="H25" s="180">
        <v>1631044.0</v>
      </c>
      <c r="I25" s="180">
        <v>1525743.0</v>
      </c>
      <c r="J25" s="180">
        <v>1511002.0</v>
      </c>
      <c r="K25" s="180">
        <v>1637487.0</v>
      </c>
      <c r="L25" s="180">
        <v>1637487.0</v>
      </c>
    </row>
    <row r="26" ht="15.75" customHeight="1">
      <c r="A26" s="179" t="s">
        <v>238</v>
      </c>
      <c r="B26" s="180">
        <v>112610.0</v>
      </c>
      <c r="C26" s="180">
        <v>55832.0</v>
      </c>
      <c r="D26" s="180">
        <v>59720.0</v>
      </c>
      <c r="E26" s="180">
        <v>66780.0</v>
      </c>
      <c r="F26" s="180">
        <v>94967.0</v>
      </c>
      <c r="G26" s="180">
        <v>84588.0</v>
      </c>
      <c r="H26" s="180">
        <v>93505.0</v>
      </c>
      <c r="I26" s="180">
        <v>142529.0</v>
      </c>
      <c r="J26" s="180">
        <v>222841.0</v>
      </c>
      <c r="K26" s="180">
        <v>149239.0</v>
      </c>
      <c r="L26" s="180">
        <v>149239.0</v>
      </c>
    </row>
    <row r="27" ht="15.75" customHeight="1">
      <c r="A27" s="179" t="s">
        <v>239</v>
      </c>
      <c r="B27" s="180">
        <v>407210.0</v>
      </c>
      <c r="C27" s="180">
        <v>415595.0</v>
      </c>
      <c r="D27" s="180">
        <v>409221.0</v>
      </c>
      <c r="E27" s="180">
        <v>408168.0</v>
      </c>
      <c r="F27" s="180">
        <v>415754.0</v>
      </c>
      <c r="G27" s="180">
        <v>596146.0</v>
      </c>
      <c r="H27" s="180">
        <v>737754.0</v>
      </c>
      <c r="I27" s="180">
        <v>671907.0</v>
      </c>
      <c r="J27" s="180">
        <v>666845.0</v>
      </c>
      <c r="K27" s="180">
        <v>619306.0</v>
      </c>
      <c r="L27" s="180">
        <v>619306.0</v>
      </c>
    </row>
    <row r="28" ht="15.75" customHeight="1">
      <c r="A28" s="181" t="s">
        <v>240</v>
      </c>
      <c r="B28" s="182">
        <v>1279715.0</v>
      </c>
      <c r="C28" s="182">
        <v>1375179.0</v>
      </c>
      <c r="D28" s="182">
        <v>1443982.0</v>
      </c>
      <c r="E28" s="182">
        <v>1470666.0</v>
      </c>
      <c r="F28" s="182">
        <v>1562431.0</v>
      </c>
      <c r="G28" s="182">
        <v>2144257.0</v>
      </c>
      <c r="H28" s="182">
        <v>2462303.0</v>
      </c>
      <c r="I28" s="182">
        <v>2340179.0</v>
      </c>
      <c r="J28" s="182">
        <v>2400688.0</v>
      </c>
      <c r="K28" s="182">
        <v>2406032.0</v>
      </c>
      <c r="L28" s="182">
        <v>2406032.0</v>
      </c>
    </row>
    <row r="29" ht="15.75" customHeight="1">
      <c r="A29" s="179" t="s">
        <v>241</v>
      </c>
      <c r="B29" s="180">
        <v>246535.0</v>
      </c>
      <c r="C29" s="180">
        <v>258460.0</v>
      </c>
      <c r="D29" s="180">
        <v>257703.0</v>
      </c>
      <c r="E29" s="180">
        <v>296665.0</v>
      </c>
      <c r="F29" s="180">
        <v>272003.0</v>
      </c>
      <c r="G29" s="180">
        <v>334440.0</v>
      </c>
      <c r="H29" s="180">
        <v>303650.0</v>
      </c>
      <c r="I29" s="180">
        <v>304781.0</v>
      </c>
      <c r="J29" s="180">
        <v>307694.0</v>
      </c>
      <c r="K29" s="180">
        <v>395289.0</v>
      </c>
      <c r="L29" s="180">
        <v>395289.0</v>
      </c>
    </row>
    <row r="30" ht="15.75" customHeight="1">
      <c r="A30" s="179" t="s">
        <v>242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80">
        <v>19251.0</v>
      </c>
      <c r="L30" s="180">
        <v>19251.0</v>
      </c>
    </row>
    <row r="31" ht="15.75" customHeight="1">
      <c r="A31" s="179" t="s">
        <v>243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80">
        <v>1709.0</v>
      </c>
      <c r="L31" s="180">
        <v>1709.0</v>
      </c>
    </row>
    <row r="32" ht="15.75" customHeight="1">
      <c r="A32" s="179" t="s">
        <v>244</v>
      </c>
      <c r="B32" s="180">
        <v>254980.0</v>
      </c>
      <c r="C32" s="180">
        <v>252428.0</v>
      </c>
      <c r="D32" s="180">
        <v>247269.0</v>
      </c>
      <c r="E32" s="180">
        <v>255692.0</v>
      </c>
      <c r="F32" s="180">
        <v>278581.0</v>
      </c>
      <c r="G32" s="180">
        <v>228927.0</v>
      </c>
      <c r="H32" s="180">
        <v>298670.0</v>
      </c>
      <c r="I32" s="180">
        <v>295534.0</v>
      </c>
      <c r="J32" s="180">
        <v>371871.0</v>
      </c>
      <c r="K32" s="180">
        <v>390212.0</v>
      </c>
      <c r="L32" s="180">
        <v>390212.0</v>
      </c>
    </row>
    <row r="33" ht="15.75" customHeight="1">
      <c r="A33" s="179" t="s">
        <v>245</v>
      </c>
      <c r="B33" s="180">
        <v>71581.0</v>
      </c>
      <c r="C33" s="180">
        <v>79519.0</v>
      </c>
      <c r="D33" s="180">
        <v>60617.0</v>
      </c>
      <c r="E33" s="180">
        <v>44455.0</v>
      </c>
      <c r="F33" s="180">
        <v>28635.0</v>
      </c>
      <c r="G33" s="180">
        <v>68301.0</v>
      </c>
      <c r="H33" s="180">
        <v>11110.0</v>
      </c>
      <c r="I33" s="180">
        <v>11093.0</v>
      </c>
      <c r="J33" s="180">
        <v>41246.0</v>
      </c>
      <c r="K33" s="180">
        <v>17675.0</v>
      </c>
      <c r="L33" s="180">
        <v>17675.0</v>
      </c>
    </row>
    <row r="34" ht="15.75" customHeight="1">
      <c r="A34" s="179" t="s">
        <v>246</v>
      </c>
      <c r="B34" s="192"/>
      <c r="C34" s="192"/>
      <c r="D34" s="192"/>
      <c r="E34" s="192"/>
      <c r="F34" s="180">
        <v>8505.0</v>
      </c>
      <c r="G34" s="180">
        <v>8508.0</v>
      </c>
      <c r="H34" s="180">
        <v>8328.0</v>
      </c>
      <c r="I34" s="180">
        <v>8183.0</v>
      </c>
      <c r="J34" s="180">
        <v>8833.0</v>
      </c>
      <c r="K34" s="180">
        <v>7191.0</v>
      </c>
      <c r="L34" s="180">
        <v>7191.0</v>
      </c>
    </row>
    <row r="35" ht="15.75" customHeight="1">
      <c r="A35" s="179" t="s">
        <v>247</v>
      </c>
      <c r="B35" s="180">
        <v>3969.0</v>
      </c>
      <c r="C35" s="180">
        <v>2345.0</v>
      </c>
      <c r="D35" s="180">
        <v>2275.0</v>
      </c>
      <c r="E35" s="180">
        <v>2125.0</v>
      </c>
      <c r="F35" s="180">
        <v>2123.0</v>
      </c>
      <c r="G35" s="180">
        <v>2035.0</v>
      </c>
      <c r="H35" s="180">
        <v>1975.0</v>
      </c>
      <c r="I35" s="180">
        <v>1848.0</v>
      </c>
      <c r="J35" s="180">
        <v>1728.0</v>
      </c>
      <c r="K35" s="180">
        <v>1603.0</v>
      </c>
      <c r="L35" s="180">
        <v>1603.0</v>
      </c>
    </row>
    <row r="36" ht="15.75" customHeight="1">
      <c r="A36" s="179" t="s">
        <v>248</v>
      </c>
      <c r="B36" s="180">
        <v>74107.0</v>
      </c>
      <c r="C36" s="180">
        <v>87428.0</v>
      </c>
      <c r="D36" s="180">
        <v>85886.0</v>
      </c>
      <c r="E36" s="180">
        <v>103004.0</v>
      </c>
      <c r="F36" s="180">
        <v>75569.0</v>
      </c>
      <c r="G36" s="180">
        <v>101978.0</v>
      </c>
      <c r="H36" s="180">
        <v>121438.0</v>
      </c>
      <c r="I36" s="180">
        <v>134617.0</v>
      </c>
      <c r="J36" s="180">
        <v>142655.0</v>
      </c>
      <c r="K36" s="180">
        <v>156022.0</v>
      </c>
      <c r="L36" s="180">
        <v>156022.0</v>
      </c>
    </row>
    <row r="37" ht="15.75" customHeight="1">
      <c r="A37" s="179" t="s">
        <v>249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</row>
    <row r="38" ht="15.75" customHeight="1">
      <c r="A38" s="185" t="s">
        <v>250</v>
      </c>
      <c r="B38" s="186">
        <v>2104125.0</v>
      </c>
      <c r="C38" s="186">
        <v>2236782.0</v>
      </c>
      <c r="D38" s="186">
        <v>2277907.0</v>
      </c>
      <c r="E38" s="186">
        <v>2366017.0</v>
      </c>
      <c r="F38" s="186">
        <v>2426049.0</v>
      </c>
      <c r="G38" s="186">
        <v>3105403.0</v>
      </c>
      <c r="H38" s="186">
        <v>3449440.0</v>
      </c>
      <c r="I38" s="186">
        <v>3373411.0</v>
      </c>
      <c r="J38" s="186">
        <v>3547515.0</v>
      </c>
      <c r="K38" s="186">
        <v>3658056.0</v>
      </c>
      <c r="L38" s="186">
        <v>3658056.0</v>
      </c>
    </row>
    <row r="39" ht="15.75" customHeight="1">
      <c r="A39" s="179" t="s">
        <v>251</v>
      </c>
      <c r="B39" s="180">
        <v>26068.0</v>
      </c>
      <c r="C39" s="180">
        <v>26068.0</v>
      </c>
      <c r="D39" s="180">
        <v>26068.0</v>
      </c>
      <c r="E39" s="180">
        <v>26068.0</v>
      </c>
      <c r="F39" s="180">
        <v>26993.0</v>
      </c>
      <c r="G39" s="180">
        <v>30063.0</v>
      </c>
      <c r="H39" s="180">
        <v>34838.0</v>
      </c>
      <c r="I39" s="180">
        <v>27404.0</v>
      </c>
      <c r="J39" s="180">
        <v>27404.0</v>
      </c>
      <c r="K39" s="180">
        <v>20050.0</v>
      </c>
      <c r="L39" s="180">
        <v>20050.0</v>
      </c>
    </row>
    <row r="40" ht="15.75" customHeight="1">
      <c r="A40" s="181" t="s">
        <v>252</v>
      </c>
      <c r="B40" s="182">
        <v>26068.0</v>
      </c>
      <c r="C40" s="182">
        <v>26068.0</v>
      </c>
      <c r="D40" s="182">
        <v>26068.0</v>
      </c>
      <c r="E40" s="182">
        <v>26068.0</v>
      </c>
      <c r="F40" s="182">
        <v>26993.0</v>
      </c>
      <c r="G40" s="182">
        <v>30063.0</v>
      </c>
      <c r="H40" s="182">
        <v>34838.0</v>
      </c>
      <c r="I40" s="182">
        <v>27404.0</v>
      </c>
      <c r="J40" s="182">
        <v>27404.0</v>
      </c>
      <c r="K40" s="182">
        <v>20050.0</v>
      </c>
      <c r="L40" s="182">
        <v>20050.0</v>
      </c>
    </row>
    <row r="41" ht="15.75" customHeight="1">
      <c r="A41" s="179" t="s">
        <v>253</v>
      </c>
      <c r="B41" s="180">
        <v>4105.0</v>
      </c>
      <c r="C41" s="180">
        <v>4105.0</v>
      </c>
      <c r="D41" s="180">
        <v>4105.0</v>
      </c>
      <c r="E41" s="180">
        <v>4105.0</v>
      </c>
      <c r="F41" s="180">
        <v>4105.0</v>
      </c>
      <c r="G41" s="180">
        <v>4105.0</v>
      </c>
      <c r="H41" s="180">
        <v>4105.0</v>
      </c>
      <c r="I41" s="180">
        <v>4105.0</v>
      </c>
      <c r="J41" s="180">
        <v>4105.0</v>
      </c>
      <c r="K41" s="180">
        <v>4105.0</v>
      </c>
      <c r="L41" s="180">
        <v>4105.0</v>
      </c>
    </row>
    <row r="42" ht="15.75" customHeight="1">
      <c r="A42" s="179" t="s">
        <v>254</v>
      </c>
      <c r="B42" s="180">
        <v>92500.0</v>
      </c>
      <c r="C42" s="180">
        <v>91627.0</v>
      </c>
      <c r="D42" s="180">
        <v>90579.0</v>
      </c>
      <c r="E42" s="180">
        <v>89162.0</v>
      </c>
      <c r="F42" s="180">
        <v>88522.0</v>
      </c>
      <c r="G42" s="180">
        <v>88394.0</v>
      </c>
      <c r="H42" s="180">
        <v>88415.0</v>
      </c>
      <c r="I42" s="180">
        <v>89044.0</v>
      </c>
      <c r="J42" s="180">
        <v>90128.0</v>
      </c>
      <c r="K42" s="180">
        <v>90911.0</v>
      </c>
      <c r="L42" s="180">
        <v>90911.0</v>
      </c>
    </row>
    <row r="43" ht="15.75" customHeight="1">
      <c r="A43" s="179" t="s">
        <v>255</v>
      </c>
      <c r="B43" s="180">
        <v>146420.0</v>
      </c>
      <c r="C43" s="180">
        <v>162440.0</v>
      </c>
      <c r="D43" s="180">
        <v>177676.0</v>
      </c>
      <c r="E43" s="180">
        <v>199202.0</v>
      </c>
      <c r="F43" s="180">
        <v>223211.0</v>
      </c>
      <c r="G43" s="180">
        <v>236990.0</v>
      </c>
      <c r="H43" s="180">
        <v>272268.0</v>
      </c>
      <c r="I43" s="180">
        <v>296456.0</v>
      </c>
      <c r="J43" s="180">
        <v>332901.0</v>
      </c>
      <c r="K43" s="180">
        <v>376166.0</v>
      </c>
      <c r="L43" s="180">
        <v>376166.0</v>
      </c>
    </row>
    <row r="44" ht="15.75" customHeight="1">
      <c r="A44" s="179" t="s">
        <v>256</v>
      </c>
      <c r="B44" s="183">
        <v>-21691.0</v>
      </c>
      <c r="C44" s="183">
        <v>-28854.0</v>
      </c>
      <c r="D44" s="183">
        <v>-42595.0</v>
      </c>
      <c r="E44" s="183">
        <v>-60494.0</v>
      </c>
      <c r="F44" s="183">
        <v>-83049.0</v>
      </c>
      <c r="G44" s="183">
        <v>-88184.0</v>
      </c>
      <c r="H44" s="183">
        <v>-105415.0</v>
      </c>
      <c r="I44" s="183">
        <v>-107336.0</v>
      </c>
      <c r="J44" s="183">
        <v>-116217.0</v>
      </c>
      <c r="K44" s="183">
        <v>-134018.0</v>
      </c>
      <c r="L44" s="183">
        <v>-134018.0</v>
      </c>
    </row>
    <row r="45" ht="15.75" customHeight="1">
      <c r="A45" s="179" t="s">
        <v>257</v>
      </c>
      <c r="B45" s="180">
        <v>171.0</v>
      </c>
      <c r="C45" s="183">
        <v>-1196.0</v>
      </c>
      <c r="D45" s="183">
        <v>-140.0</v>
      </c>
      <c r="E45" s="183">
        <v>-1528.0</v>
      </c>
      <c r="F45" s="180">
        <v>1548.0</v>
      </c>
      <c r="G45" s="180">
        <v>7986.0</v>
      </c>
      <c r="H45" s="183">
        <v>-84.0</v>
      </c>
      <c r="I45" s="183">
        <v>-17341.0</v>
      </c>
      <c r="J45" s="183">
        <v>-10443.0</v>
      </c>
      <c r="K45" s="183">
        <v>-12456.0</v>
      </c>
      <c r="L45" s="183">
        <v>-12456.0</v>
      </c>
    </row>
    <row r="46" ht="15.75" customHeight="1">
      <c r="A46" s="181" t="s">
        <v>258</v>
      </c>
      <c r="B46" s="182">
        <v>221505.0</v>
      </c>
      <c r="C46" s="182">
        <v>228122.0</v>
      </c>
      <c r="D46" s="182">
        <v>229625.0</v>
      </c>
      <c r="E46" s="182">
        <v>230447.0</v>
      </c>
      <c r="F46" s="182">
        <v>234337.0</v>
      </c>
      <c r="G46" s="182">
        <v>249291.0</v>
      </c>
      <c r="H46" s="182">
        <v>259289.0</v>
      </c>
      <c r="I46" s="182">
        <v>264928.0</v>
      </c>
      <c r="J46" s="182">
        <v>300474.0</v>
      </c>
      <c r="K46" s="182">
        <v>324708.0</v>
      </c>
      <c r="L46" s="182">
        <v>324708.0</v>
      </c>
    </row>
    <row r="47" ht="15.75" customHeight="1">
      <c r="A47" s="185" t="s">
        <v>259</v>
      </c>
      <c r="B47" s="186">
        <v>247573.0</v>
      </c>
      <c r="C47" s="186">
        <v>254190.0</v>
      </c>
      <c r="D47" s="186">
        <v>255693.0</v>
      </c>
      <c r="E47" s="186">
        <v>256515.0</v>
      </c>
      <c r="F47" s="186">
        <v>261330.0</v>
      </c>
      <c r="G47" s="186">
        <v>279354.0</v>
      </c>
      <c r="H47" s="186">
        <v>294127.0</v>
      </c>
      <c r="I47" s="186">
        <v>292332.0</v>
      </c>
      <c r="J47" s="186">
        <v>327878.0</v>
      </c>
      <c r="K47" s="186">
        <v>344758.0</v>
      </c>
      <c r="L47" s="186">
        <v>344758.0</v>
      </c>
    </row>
    <row r="48" ht="15.75" customHeight="1">
      <c r="A48" s="185" t="s">
        <v>260</v>
      </c>
      <c r="B48" s="186">
        <v>2351698.0</v>
      </c>
      <c r="C48" s="186">
        <v>2490972.0</v>
      </c>
      <c r="D48" s="186">
        <v>2533600.0</v>
      </c>
      <c r="E48" s="186">
        <v>2622532.0</v>
      </c>
      <c r="F48" s="186">
        <v>2687379.0</v>
      </c>
      <c r="G48" s="186">
        <v>3384757.0</v>
      </c>
      <c r="H48" s="186">
        <v>3743567.0</v>
      </c>
      <c r="I48" s="186">
        <v>3665743.0</v>
      </c>
      <c r="J48" s="186">
        <v>3875393.0</v>
      </c>
      <c r="K48" s="186">
        <v>4002814.0</v>
      </c>
      <c r="L48" s="186">
        <v>4002814.0</v>
      </c>
    </row>
    <row r="49" ht="15.75" customHeight="1">
      <c r="A49" s="187" t="s">
        <v>145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</row>
    <row r="50" ht="15.75" customHeight="1">
      <c r="A50" s="179" t="s">
        <v>261</v>
      </c>
      <c r="B50" s="192"/>
      <c r="C50" s="192"/>
      <c r="D50" s="192"/>
      <c r="E50" s="192"/>
      <c r="F50" s="180">
        <v>3073.98</v>
      </c>
      <c r="G50" s="180">
        <v>3051.51</v>
      </c>
      <c r="H50" s="180">
        <v>2952.81</v>
      </c>
      <c r="I50" s="180">
        <v>2943.36</v>
      </c>
      <c r="J50" s="180">
        <v>2880.37</v>
      </c>
      <c r="K50" s="180">
        <v>2796.11</v>
      </c>
      <c r="L50" s="180">
        <v>2796.11</v>
      </c>
    </row>
    <row r="51" ht="15.75" customHeight="1">
      <c r="A51" s="179" t="s">
        <v>262</v>
      </c>
      <c r="B51" s="180">
        <v>60.47</v>
      </c>
      <c r="C51" s="180">
        <v>64.07</v>
      </c>
      <c r="D51" s="180">
        <v>67.05</v>
      </c>
      <c r="E51" s="180">
        <v>70.36</v>
      </c>
      <c r="F51" s="180">
        <v>76.0</v>
      </c>
      <c r="G51" s="180">
        <v>81.75</v>
      </c>
      <c r="H51" s="180">
        <v>88.07</v>
      </c>
      <c r="I51" s="180">
        <v>90.29</v>
      </c>
      <c r="J51" s="180">
        <v>104.45</v>
      </c>
      <c r="K51" s="180">
        <v>116.07</v>
      </c>
      <c r="L51" s="180">
        <v>116.07</v>
      </c>
    </row>
    <row r="52" ht="15.75" customHeight="1">
      <c r="A52" s="179" t="s">
        <v>263</v>
      </c>
      <c r="B52" s="180">
        <v>173165.0</v>
      </c>
      <c r="C52" s="180">
        <v>179972.0</v>
      </c>
      <c r="D52" s="180">
        <v>181263.0</v>
      </c>
      <c r="E52" s="180">
        <v>182228.0</v>
      </c>
      <c r="F52" s="180">
        <v>185695.0</v>
      </c>
      <c r="G52" s="180">
        <v>199139.0</v>
      </c>
      <c r="H52" s="180">
        <v>208092.0</v>
      </c>
      <c r="I52" s="180">
        <v>212042.0</v>
      </c>
      <c r="J52" s="180">
        <v>244615.0</v>
      </c>
      <c r="K52" s="180">
        <v>269269.0</v>
      </c>
      <c r="L52" s="180">
        <v>269269.0</v>
      </c>
    </row>
    <row r="53" ht="15.75" customHeight="1">
      <c r="A53" s="179" t="s">
        <v>264</v>
      </c>
      <c r="B53" s="180">
        <v>47.27</v>
      </c>
      <c r="C53" s="180">
        <v>50.54</v>
      </c>
      <c r="D53" s="180">
        <v>52.93</v>
      </c>
      <c r="E53" s="180">
        <v>55.64</v>
      </c>
      <c r="F53" s="180">
        <v>60.22</v>
      </c>
      <c r="G53" s="180">
        <v>65.3</v>
      </c>
      <c r="H53" s="180">
        <v>70.68</v>
      </c>
      <c r="I53" s="180">
        <v>72.27</v>
      </c>
      <c r="J53" s="180">
        <v>85.03</v>
      </c>
      <c r="K53" s="180">
        <v>96.25</v>
      </c>
      <c r="L53" s="180">
        <v>96.25</v>
      </c>
    </row>
    <row r="54" ht="15.75" customHeight="1">
      <c r="A54" s="179" t="s">
        <v>265</v>
      </c>
      <c r="B54" s="180">
        <v>577065.0</v>
      </c>
      <c r="C54" s="180">
        <v>592752.0</v>
      </c>
      <c r="D54" s="180">
        <v>567864.0</v>
      </c>
      <c r="E54" s="180">
        <v>598937.0</v>
      </c>
      <c r="F54" s="180">
        <v>589847.0</v>
      </c>
      <c r="G54" s="180">
        <v>642211.0</v>
      </c>
      <c r="H54" s="180">
        <v>623733.0</v>
      </c>
      <c r="I54" s="180">
        <v>621439.0</v>
      </c>
      <c r="J54" s="180">
        <v>731372.0</v>
      </c>
      <c r="K54" s="180">
        <v>832930.0</v>
      </c>
      <c r="L54" s="180">
        <v>832930.0</v>
      </c>
    </row>
    <row r="55" ht="15.75" customHeight="1">
      <c r="A55" s="179" t="s">
        <v>266</v>
      </c>
      <c r="B55" s="183">
        <v>-325737.0</v>
      </c>
      <c r="C55" s="183">
        <v>-379786.0</v>
      </c>
      <c r="D55" s="183">
        <v>-397965.0</v>
      </c>
      <c r="E55" s="183">
        <v>-374433.0</v>
      </c>
      <c r="F55" s="183">
        <v>-246205.0</v>
      </c>
      <c r="G55" s="183">
        <v>-660408.0</v>
      </c>
      <c r="H55" s="183">
        <v>-792674.0</v>
      </c>
      <c r="I55" s="183">
        <v>-688386.0</v>
      </c>
      <c r="J55" s="183">
        <v>-689938.0</v>
      </c>
      <c r="K55" s="183">
        <v>-541672.0</v>
      </c>
      <c r="L55" s="183">
        <v>-541672.0</v>
      </c>
    </row>
    <row r="56" ht="15.75" customHeight="1">
      <c r="A56" s="179" t="s">
        <v>267</v>
      </c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</row>
    <row r="57" ht="15.75" customHeight="1">
      <c r="A57" s="207" t="s">
        <v>210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</row>
    <row r="58" ht="15.75" customHeight="1">
      <c r="A58" s="207" t="s">
        <v>211</v>
      </c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</row>
    <row r="59" ht="15.75" customHeight="1">
      <c r="A59" s="208" t="s">
        <v>268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</row>
    <row r="60" ht="15.75" customHeight="1">
      <c r="A60" s="208" t="s">
        <v>269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</row>
    <row r="61" ht="15.75" customHeight="1"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</row>
    <row r="62" ht="15.75" customHeight="1"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</row>
    <row r="63" ht="15.75" customHeight="1"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</row>
    <row r="64" ht="15.75" customHeight="1"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</row>
    <row r="65" ht="15.75" customHeight="1"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6"/>
    <hyperlink r:id="rId2" ref="C56"/>
    <hyperlink r:id="rId3" ref="D56"/>
    <hyperlink r:id="rId4" ref="E56"/>
    <hyperlink r:id="rId5" ref="F56"/>
    <hyperlink r:id="rId6" ref="G56"/>
    <hyperlink r:id="rId7" ref="H56"/>
    <hyperlink r:id="rId8" ref="I56"/>
    <hyperlink r:id="rId9" ref="J56"/>
    <hyperlink r:id="rId10" ref="K56"/>
    <hyperlink r:id="rId11" ref="L56"/>
    <hyperlink r:id="rId12" ref="A59"/>
    <hyperlink r:id="rId13" ref="A60"/>
  </hyperlinks>
  <printOptions/>
  <pageMargins bottom="0.75" footer="0.0" header="0.0" left="0.7" right="0.7" top="0.75"/>
  <pageSetup paperSize="9" orientation="portrait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4" t="s">
        <v>270</v>
      </c>
      <c r="B1" s="175">
        <v>42369.0</v>
      </c>
      <c r="C1" s="175">
        <v>42735.0</v>
      </c>
      <c r="D1" s="175">
        <v>43100.0</v>
      </c>
      <c r="E1" s="175">
        <v>43465.0</v>
      </c>
      <c r="F1" s="175">
        <v>43830.0</v>
      </c>
      <c r="G1" s="175">
        <v>44196.0</v>
      </c>
      <c r="H1" s="175">
        <v>44561.0</v>
      </c>
      <c r="I1" s="175">
        <v>44926.0</v>
      </c>
      <c r="J1" s="175">
        <v>45291.0</v>
      </c>
      <c r="K1" s="175">
        <v>45657.0</v>
      </c>
      <c r="L1" s="176" t="s">
        <v>44</v>
      </c>
    </row>
    <row r="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>
      <c r="A3" s="181" t="s">
        <v>26</v>
      </c>
      <c r="B3" s="182">
        <v>24442.0</v>
      </c>
      <c r="C3" s="182">
        <v>24733.0</v>
      </c>
      <c r="D3" s="182">
        <v>24441.0</v>
      </c>
      <c r="E3" s="182">
        <v>32474.0</v>
      </c>
      <c r="F3" s="182">
        <v>36431.0</v>
      </c>
      <c r="G3" s="182">
        <v>29131.0</v>
      </c>
      <c r="H3" s="182">
        <v>48334.0</v>
      </c>
      <c r="I3" s="182">
        <v>37676.0</v>
      </c>
      <c r="J3" s="182">
        <v>49552.0</v>
      </c>
      <c r="K3" s="182">
        <v>58471.0</v>
      </c>
      <c r="L3" s="182">
        <v>58471.0</v>
      </c>
    </row>
    <row r="4">
      <c r="A4" s="179" t="s">
        <v>271</v>
      </c>
      <c r="B4" s="180">
        <v>4940.0</v>
      </c>
      <c r="C4" s="180">
        <v>5478.0</v>
      </c>
      <c r="D4" s="180">
        <v>6179.0</v>
      </c>
      <c r="E4" s="180">
        <v>7791.0</v>
      </c>
      <c r="F4" s="180">
        <v>8368.0</v>
      </c>
      <c r="G4" s="180">
        <v>8614.0</v>
      </c>
      <c r="H4" s="180">
        <v>7932.0</v>
      </c>
      <c r="I4" s="180">
        <v>7051.0</v>
      </c>
      <c r="J4" s="180">
        <v>7512.0</v>
      </c>
      <c r="K4" s="180">
        <v>7938.0</v>
      </c>
      <c r="L4" s="180">
        <v>7938.0</v>
      </c>
    </row>
    <row r="5">
      <c r="A5" s="179" t="s">
        <v>272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</row>
    <row r="6">
      <c r="A6" s="181" t="s">
        <v>273</v>
      </c>
      <c r="B6" s="182">
        <v>4940.0</v>
      </c>
      <c r="C6" s="182">
        <v>5478.0</v>
      </c>
      <c r="D6" s="182">
        <v>6179.0</v>
      </c>
      <c r="E6" s="182">
        <v>7791.0</v>
      </c>
      <c r="F6" s="182">
        <v>8368.0</v>
      </c>
      <c r="G6" s="182">
        <v>8614.0</v>
      </c>
      <c r="H6" s="182">
        <v>7932.0</v>
      </c>
      <c r="I6" s="182">
        <v>7051.0</v>
      </c>
      <c r="J6" s="182">
        <v>7512.0</v>
      </c>
      <c r="K6" s="182">
        <v>7938.0</v>
      </c>
      <c r="L6" s="182">
        <v>7938.0</v>
      </c>
    </row>
    <row r="7">
      <c r="A7" s="179" t="s">
        <v>274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</row>
    <row r="8">
      <c r="A8" s="179" t="s">
        <v>275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</row>
    <row r="9">
      <c r="A9" s="179" t="s">
        <v>276</v>
      </c>
      <c r="B9" s="180">
        <v>3827.0</v>
      </c>
      <c r="C9" s="180">
        <v>5361.0</v>
      </c>
      <c r="D9" s="180">
        <v>5290.0</v>
      </c>
      <c r="E9" s="180">
        <v>4871.0</v>
      </c>
      <c r="F9" s="180">
        <v>5585.0</v>
      </c>
      <c r="G9" s="180">
        <v>17480.0</v>
      </c>
      <c r="H9" s="183">
        <v>-9256.0</v>
      </c>
      <c r="I9" s="180">
        <v>6389.0</v>
      </c>
      <c r="J9" s="180">
        <v>9320.0</v>
      </c>
      <c r="K9" s="180">
        <v>10678.0</v>
      </c>
      <c r="L9" s="180">
        <v>10678.0</v>
      </c>
    </row>
    <row r="10">
      <c r="A10" s="179" t="s">
        <v>277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</row>
    <row r="11">
      <c r="A11" s="179" t="s">
        <v>278</v>
      </c>
      <c r="B11" s="180">
        <v>1254.0</v>
      </c>
      <c r="C11" s="183">
        <v>-911.0</v>
      </c>
      <c r="D11" s="183">
        <v>-1358.0</v>
      </c>
      <c r="E11" s="183">
        <v>-8981.0</v>
      </c>
      <c r="F11" s="180">
        <v>2126.0</v>
      </c>
      <c r="G11" s="180">
        <v>8986.0</v>
      </c>
      <c r="H11" s="183">
        <v>-11451.0</v>
      </c>
      <c r="I11" s="180">
        <v>18542.0</v>
      </c>
      <c r="J11" s="180">
        <v>1185.0</v>
      </c>
      <c r="K11" s="183">
        <v>-6935.0</v>
      </c>
      <c r="L11" s="183">
        <v>-6935.0</v>
      </c>
    </row>
    <row r="12">
      <c r="A12" s="179" t="s">
        <v>279</v>
      </c>
      <c r="B12" s="180">
        <v>62212.0</v>
      </c>
      <c r="C12" s="183">
        <v>-20007.0</v>
      </c>
      <c r="D12" s="180">
        <v>5673.0</v>
      </c>
      <c r="E12" s="183">
        <v>-35067.0</v>
      </c>
      <c r="F12" s="180">
        <v>6551.0</v>
      </c>
      <c r="G12" s="183">
        <v>-148749.0</v>
      </c>
      <c r="H12" s="180">
        <v>85710.0</v>
      </c>
      <c r="I12" s="183">
        <v>-31449.0</v>
      </c>
      <c r="J12" s="183">
        <v>-74091.0</v>
      </c>
      <c r="K12" s="183">
        <v>-95729.0</v>
      </c>
      <c r="L12" s="183">
        <v>-95729.0</v>
      </c>
    </row>
    <row r="13">
      <c r="A13" s="179" t="s">
        <v>280</v>
      </c>
      <c r="B13" s="180">
        <v>22664.0</v>
      </c>
      <c r="C13" s="183">
        <v>-5815.0</v>
      </c>
      <c r="D13" s="183">
        <v>-15868.0</v>
      </c>
      <c r="E13" s="210">
        <v>-5849.0</v>
      </c>
      <c r="F13" s="183">
        <v>-78.0</v>
      </c>
      <c r="G13" s="183">
        <v>-18012.0</v>
      </c>
      <c r="H13" s="183">
        <v>-12401.0</v>
      </c>
      <c r="I13" s="183">
        <v>-22970.0</v>
      </c>
      <c r="J13" s="180">
        <v>19928.0</v>
      </c>
      <c r="K13" s="180">
        <v>5735.0</v>
      </c>
      <c r="L13" s="180">
        <v>5735.0</v>
      </c>
    </row>
    <row r="14">
      <c r="A14" s="179" t="s">
        <v>281</v>
      </c>
      <c r="B14" s="183">
        <v>-23361.0</v>
      </c>
      <c r="C14" s="180">
        <v>5087.0</v>
      </c>
      <c r="D14" s="183">
        <v>-16508.0</v>
      </c>
      <c r="E14" s="180">
        <v>14630.0</v>
      </c>
      <c r="F14" s="183">
        <v>-466.0</v>
      </c>
      <c r="G14" s="205">
        <v>7415.0</v>
      </c>
      <c r="H14" s="180">
        <v>43162.0</v>
      </c>
      <c r="I14" s="180">
        <v>58614.0</v>
      </c>
      <c r="J14" s="183">
        <v>-25388.0</v>
      </c>
      <c r="K14" s="183">
        <v>-90.0</v>
      </c>
      <c r="L14" s="183">
        <v>-90.0</v>
      </c>
    </row>
    <row r="15">
      <c r="A15" s="179" t="s">
        <v>282</v>
      </c>
      <c r="B15" s="183">
        <v>-20508.0</v>
      </c>
      <c r="C15" s="180">
        <v>3335.0</v>
      </c>
      <c r="D15" s="183">
        <v>-30927.0</v>
      </c>
      <c r="E15" s="180">
        <v>2650.0</v>
      </c>
      <c r="F15" s="183">
        <v>-59924.0</v>
      </c>
      <c r="G15" s="180">
        <v>14034.0</v>
      </c>
      <c r="H15" s="183">
        <v>-80968.0</v>
      </c>
      <c r="I15" s="180">
        <v>28491.0</v>
      </c>
      <c r="J15" s="180">
        <v>23383.0</v>
      </c>
      <c r="K15" s="183">
        <v>-24136.0</v>
      </c>
      <c r="L15" s="183">
        <v>-24136.0</v>
      </c>
    </row>
    <row r="16">
      <c r="A16" s="179" t="s">
        <v>283</v>
      </c>
      <c r="B16" s="183">
        <v>-2004.0</v>
      </c>
      <c r="C16" s="180">
        <v>4623.0</v>
      </c>
      <c r="D16" s="180">
        <v>12251.0</v>
      </c>
      <c r="E16" s="180">
        <v>3095.0</v>
      </c>
      <c r="F16" s="180">
        <v>5499.0</v>
      </c>
      <c r="G16" s="180">
        <v>1191.0</v>
      </c>
      <c r="H16" s="180">
        <v>7022.0</v>
      </c>
      <c r="I16" s="180">
        <v>4775.0</v>
      </c>
      <c r="J16" s="180">
        <v>1573.0</v>
      </c>
      <c r="K16" s="180">
        <v>2056.0</v>
      </c>
      <c r="L16" s="180">
        <v>2056.0</v>
      </c>
    </row>
    <row r="17">
      <c r="A17" s="179" t="s">
        <v>284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</row>
    <row r="18">
      <c r="A18" s="185" t="s">
        <v>285</v>
      </c>
      <c r="B18" s="186">
        <v>73466.0</v>
      </c>
      <c r="C18" s="186">
        <v>21884.0</v>
      </c>
      <c r="D18" s="193">
        <v>-10827.0</v>
      </c>
      <c r="E18" s="186">
        <v>15614.0</v>
      </c>
      <c r="F18" s="186">
        <v>4092.0</v>
      </c>
      <c r="G18" s="193">
        <v>-79910.0</v>
      </c>
      <c r="H18" s="186">
        <v>78084.0</v>
      </c>
      <c r="I18" s="186">
        <v>107119.0</v>
      </c>
      <c r="J18" s="186">
        <v>12974.0</v>
      </c>
      <c r="K18" s="193">
        <v>-42012.0</v>
      </c>
      <c r="L18" s="193">
        <v>-42012.0</v>
      </c>
    </row>
    <row r="19">
      <c r="A19" s="179" t="s">
        <v>286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</row>
    <row r="20">
      <c r="A20" s="179" t="s">
        <v>287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</row>
    <row r="21" ht="15.75" customHeight="1">
      <c r="A21" s="179" t="s">
        <v>288</v>
      </c>
      <c r="B21" s="192"/>
      <c r="C21" s="192"/>
      <c r="D21" s="192"/>
      <c r="E21" s="192"/>
      <c r="F21" s="192"/>
      <c r="G21" s="192"/>
      <c r="H21" s="192"/>
      <c r="I21" s="192"/>
      <c r="J21" s="183">
        <v>-9920.0</v>
      </c>
      <c r="K21" s="183">
        <v>-2362.0</v>
      </c>
      <c r="L21" s="183">
        <v>-2362.0</v>
      </c>
    </row>
    <row r="22" ht="15.75" customHeight="1">
      <c r="A22" s="179" t="s">
        <v>289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</row>
    <row r="23" ht="15.75" customHeight="1">
      <c r="A23" s="179" t="s">
        <v>290</v>
      </c>
      <c r="B23" s="180">
        <v>190445.0</v>
      </c>
      <c r="C23" s="183">
        <v>-3342.0</v>
      </c>
      <c r="D23" s="180">
        <v>43223.0</v>
      </c>
      <c r="E23" s="183">
        <v>-18046.0</v>
      </c>
      <c r="F23" s="183">
        <v>-129772.0</v>
      </c>
      <c r="G23" s="183">
        <v>-180752.0</v>
      </c>
      <c r="H23" s="183">
        <v>-96821.0</v>
      </c>
      <c r="I23" s="180">
        <v>12467.0</v>
      </c>
      <c r="J23" s="180">
        <v>95594.0</v>
      </c>
      <c r="K23" s="183">
        <v>-114934.0</v>
      </c>
      <c r="L23" s="183">
        <v>-114934.0</v>
      </c>
    </row>
    <row r="24" ht="15.75" customHeight="1">
      <c r="A24" s="179" t="s">
        <v>291</v>
      </c>
      <c r="B24" s="183">
        <v>-90358.0</v>
      </c>
      <c r="C24" s="183">
        <v>-65567.0</v>
      </c>
      <c r="D24" s="183">
        <v>-45859.0</v>
      </c>
      <c r="E24" s="183">
        <v>-53187.0</v>
      </c>
      <c r="F24" s="180">
        <v>10352.0</v>
      </c>
      <c r="G24" s="183">
        <v>-26704.0</v>
      </c>
      <c r="H24" s="183">
        <v>-55952.0</v>
      </c>
      <c r="I24" s="183">
        <v>-84076.0</v>
      </c>
      <c r="J24" s="183">
        <v>-41031.0</v>
      </c>
      <c r="K24" s="183">
        <v>-25255.0</v>
      </c>
      <c r="L24" s="183">
        <v>-25255.0</v>
      </c>
    </row>
    <row r="25" ht="15.75" customHeight="1">
      <c r="A25" s="179" t="s">
        <v>292</v>
      </c>
      <c r="B25" s="180">
        <v>6893.0</v>
      </c>
      <c r="C25" s="183">
        <v>-20293.0</v>
      </c>
      <c r="D25" s="180">
        <v>30885.0</v>
      </c>
      <c r="E25" s="183">
        <v>-128187.0</v>
      </c>
      <c r="F25" s="180">
        <v>67361.0</v>
      </c>
      <c r="G25" s="183">
        <v>-54456.0</v>
      </c>
      <c r="H25" s="180">
        <v>23429.0</v>
      </c>
      <c r="I25" s="183">
        <v>-66210.0</v>
      </c>
      <c r="J25" s="180">
        <v>23000.0</v>
      </c>
      <c r="K25" s="183">
        <v>-20852.0</v>
      </c>
      <c r="L25" s="183">
        <v>-20852.0</v>
      </c>
    </row>
    <row r="26" ht="15.75" customHeight="1">
      <c r="A26" s="185" t="s">
        <v>293</v>
      </c>
      <c r="B26" s="186">
        <v>106980.0</v>
      </c>
      <c r="C26" s="193">
        <v>-89202.0</v>
      </c>
      <c r="D26" s="186">
        <v>28249.0</v>
      </c>
      <c r="E26" s="193">
        <v>-199420.0</v>
      </c>
      <c r="F26" s="193">
        <v>-52059.0</v>
      </c>
      <c r="G26" s="193">
        <v>-261912.0</v>
      </c>
      <c r="H26" s="193">
        <v>-129344.0</v>
      </c>
      <c r="I26" s="193">
        <v>-137819.0</v>
      </c>
      <c r="J26" s="186">
        <v>67643.0</v>
      </c>
      <c r="K26" s="193">
        <v>-163403.0</v>
      </c>
      <c r="L26" s="193">
        <v>-163403.0</v>
      </c>
    </row>
    <row r="27" ht="15.75" customHeight="1">
      <c r="A27" s="179" t="s">
        <v>294</v>
      </c>
      <c r="B27" s="180">
        <v>79611.0</v>
      </c>
      <c r="C27" s="180">
        <v>96077.0</v>
      </c>
      <c r="D27" s="180">
        <v>72811.0</v>
      </c>
      <c r="E27" s="180">
        <v>115265.0</v>
      </c>
      <c r="F27" s="180">
        <v>66721.0</v>
      </c>
      <c r="G27" s="180">
        <v>115999.0</v>
      </c>
      <c r="H27" s="180">
        <v>90182.0</v>
      </c>
      <c r="I27" s="180">
        <v>89102.0</v>
      </c>
      <c r="J27" s="180">
        <v>98247.0</v>
      </c>
      <c r="K27" s="180">
        <v>199185.0</v>
      </c>
      <c r="L27" s="180">
        <v>199185.0</v>
      </c>
    </row>
    <row r="28" ht="15.75" customHeight="1">
      <c r="A28" s="179" t="s">
        <v>295</v>
      </c>
      <c r="B28" s="183">
        <v>-170122.0</v>
      </c>
      <c r="C28" s="183">
        <v>-77117.0</v>
      </c>
      <c r="D28" s="183">
        <v>-91195.0</v>
      </c>
      <c r="E28" s="183">
        <v>-76313.0</v>
      </c>
      <c r="F28" s="183">
        <v>-98171.0</v>
      </c>
      <c r="G28" s="183">
        <v>-105055.0</v>
      </c>
      <c r="H28" s="183">
        <v>-79985.0</v>
      </c>
      <c r="I28" s="183">
        <v>-54540.0</v>
      </c>
      <c r="J28" s="183">
        <v>-66814.0</v>
      </c>
      <c r="K28" s="183">
        <v>-96605.0</v>
      </c>
      <c r="L28" s="183">
        <v>-96605.0</v>
      </c>
    </row>
    <row r="29" ht="15.75" customHeight="1">
      <c r="A29" s="179" t="s">
        <v>296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</row>
    <row r="30" ht="15.75" customHeight="1">
      <c r="A30" s="179" t="s">
        <v>297</v>
      </c>
      <c r="B30" s="183">
        <v>-5616.0</v>
      </c>
      <c r="C30" s="183">
        <v>-9082.0</v>
      </c>
      <c r="D30" s="183">
        <v>-15410.0</v>
      </c>
      <c r="E30" s="183">
        <v>-19983.0</v>
      </c>
      <c r="F30" s="183">
        <v>-24001.0</v>
      </c>
      <c r="G30" s="183">
        <v>-6517.0</v>
      </c>
      <c r="H30" s="183">
        <v>-18408.0</v>
      </c>
      <c r="I30" s="183">
        <v>-3162.0</v>
      </c>
      <c r="J30" s="183">
        <v>-9824.0</v>
      </c>
      <c r="K30" s="183">
        <v>-18830.0</v>
      </c>
      <c r="L30" s="183">
        <v>-18830.0</v>
      </c>
    </row>
    <row r="31" ht="15.75" customHeight="1">
      <c r="A31" s="179" t="s">
        <v>298</v>
      </c>
      <c r="B31" s="180">
        <v>5893.0</v>
      </c>
      <c r="C31" s="192"/>
      <c r="D31" s="180">
        <v>1258.0</v>
      </c>
      <c r="E31" s="180">
        <v>1696.0</v>
      </c>
      <c r="F31" s="180">
        <v>5000.0</v>
      </c>
      <c r="G31" s="180">
        <v>4500.0</v>
      </c>
      <c r="H31" s="180">
        <v>7350.0</v>
      </c>
      <c r="I31" s="192"/>
      <c r="J31" s="192"/>
      <c r="K31" s="180">
        <v>2500.0</v>
      </c>
      <c r="L31" s="180">
        <v>2500.0</v>
      </c>
    </row>
    <row r="32" ht="15.75" customHeight="1">
      <c r="A32" s="179" t="s">
        <v>299</v>
      </c>
      <c r="B32" s="192"/>
      <c r="C32" s="192"/>
      <c r="D32" s="183">
        <v>-1258.0</v>
      </c>
      <c r="E32" s="183">
        <v>-1696.0</v>
      </c>
      <c r="F32" s="183">
        <v>-4075.0</v>
      </c>
      <c r="G32" s="183">
        <v>-1430.0</v>
      </c>
      <c r="H32" s="183">
        <v>-2575.0</v>
      </c>
      <c r="I32" s="183">
        <v>-7434.0</v>
      </c>
      <c r="J32" s="192"/>
      <c r="K32" s="183">
        <v>-9850.0</v>
      </c>
      <c r="L32" s="183">
        <v>-9850.0</v>
      </c>
    </row>
    <row r="33" ht="15.75" customHeight="1">
      <c r="A33" s="179" t="s">
        <v>300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</row>
    <row r="34" ht="15.75" customHeight="1">
      <c r="A34" s="179" t="s">
        <v>301</v>
      </c>
      <c r="B34" s="183">
        <v>-7873.0</v>
      </c>
      <c r="C34" s="183">
        <v>-8476.0</v>
      </c>
      <c r="D34" s="183">
        <v>-8993.0</v>
      </c>
      <c r="E34" s="183">
        <v>-10109.0</v>
      </c>
      <c r="F34" s="183">
        <v>-12343.0</v>
      </c>
      <c r="G34" s="183">
        <v>-12690.0</v>
      </c>
      <c r="H34" s="183">
        <v>-12858.0</v>
      </c>
      <c r="I34" s="183">
        <v>-13562.0</v>
      </c>
      <c r="J34" s="183">
        <v>-13463.0</v>
      </c>
      <c r="K34" s="183">
        <v>-14783.0</v>
      </c>
      <c r="L34" s="183">
        <v>-14783.0</v>
      </c>
    </row>
    <row r="35" ht="15.75" customHeight="1">
      <c r="A35" s="179" t="s">
        <v>302</v>
      </c>
      <c r="B35" s="183">
        <v>-88678.0</v>
      </c>
      <c r="C35" s="180">
        <v>97336.0</v>
      </c>
      <c r="D35" s="180">
        <v>57022.0</v>
      </c>
      <c r="E35" s="180">
        <v>26728.0</v>
      </c>
      <c r="F35" s="180">
        <v>101002.0</v>
      </c>
      <c r="G35" s="180">
        <v>602765.0</v>
      </c>
      <c r="H35" s="180">
        <v>293764.0</v>
      </c>
      <c r="I35" s="183">
        <v>-136895.0</v>
      </c>
      <c r="J35" s="183">
        <v>-32196.0</v>
      </c>
      <c r="K35" s="180">
        <v>3299.0</v>
      </c>
      <c r="L35" s="180">
        <v>3299.0</v>
      </c>
    </row>
    <row r="36" ht="15.75" customHeight="1">
      <c r="A36" s="179" t="s">
        <v>303</v>
      </c>
      <c r="B36" s="183">
        <v>-726.0</v>
      </c>
      <c r="C36" s="183">
        <v>-467.0</v>
      </c>
      <c r="D36" s="180">
        <v>407.0</v>
      </c>
      <c r="E36" s="183">
        <v>-1430.0</v>
      </c>
      <c r="F36" s="183">
        <v>-1146.0</v>
      </c>
      <c r="G36" s="183">
        <v>-927.0</v>
      </c>
      <c r="H36" s="183">
        <v>-1477.0</v>
      </c>
      <c r="I36" s="180">
        <v>234.0</v>
      </c>
      <c r="J36" s="183">
        <v>-1521.0</v>
      </c>
      <c r="K36" s="183">
        <v>-1469.0</v>
      </c>
      <c r="L36" s="183">
        <v>-1469.0</v>
      </c>
    </row>
    <row r="37" ht="15.75" customHeight="1">
      <c r="A37" s="185" t="s">
        <v>304</v>
      </c>
      <c r="B37" s="193">
        <v>-187511.0</v>
      </c>
      <c r="C37" s="186">
        <v>98271.0</v>
      </c>
      <c r="D37" s="186">
        <v>14642.0</v>
      </c>
      <c r="E37" s="186">
        <v>34158.0</v>
      </c>
      <c r="F37" s="186">
        <v>32987.0</v>
      </c>
      <c r="G37" s="186">
        <v>596645.0</v>
      </c>
      <c r="H37" s="186">
        <v>275993.0</v>
      </c>
      <c r="I37" s="193">
        <v>-126257.0</v>
      </c>
      <c r="J37" s="193">
        <v>-25571.0</v>
      </c>
      <c r="K37" s="186">
        <v>63447.0</v>
      </c>
      <c r="L37" s="186">
        <v>63447.0</v>
      </c>
    </row>
    <row r="38" ht="15.75" customHeight="1">
      <c r="A38" s="179" t="s">
        <v>305</v>
      </c>
      <c r="B38" s="183">
        <v>-276.0</v>
      </c>
      <c r="C38" s="183">
        <v>-1482.0</v>
      </c>
      <c r="D38" s="180">
        <v>8086.0</v>
      </c>
      <c r="E38" s="183">
        <v>-2863.0</v>
      </c>
      <c r="F38" s="183">
        <v>-182.0</v>
      </c>
      <c r="G38" s="180">
        <v>9155.0</v>
      </c>
      <c r="H38" s="183">
        <v>-11508.0</v>
      </c>
      <c r="I38" s="183">
        <v>-16643.0</v>
      </c>
      <c r="J38" s="180">
        <v>1871.0</v>
      </c>
      <c r="K38" s="183">
        <v>-12866.0</v>
      </c>
      <c r="L38" s="183">
        <v>-12866.0</v>
      </c>
    </row>
    <row r="39" ht="15.75" customHeight="1">
      <c r="A39" s="185" t="s">
        <v>306</v>
      </c>
      <c r="B39" s="193">
        <v>-7341.0</v>
      </c>
      <c r="C39" s="186">
        <v>29471.0</v>
      </c>
      <c r="D39" s="186">
        <v>40150.0</v>
      </c>
      <c r="E39" s="193">
        <v>-152511.0</v>
      </c>
      <c r="F39" s="193">
        <v>-15162.0</v>
      </c>
      <c r="G39" s="186">
        <v>263978.0</v>
      </c>
      <c r="H39" s="186">
        <v>213225.0</v>
      </c>
      <c r="I39" s="193">
        <v>-173600.0</v>
      </c>
      <c r="J39" s="186">
        <v>56917.0</v>
      </c>
      <c r="K39" s="193">
        <v>-154834.0</v>
      </c>
      <c r="L39" s="193">
        <v>-154834.0</v>
      </c>
    </row>
    <row r="40" ht="15.75" customHeight="1">
      <c r="A40" s="187" t="s">
        <v>145</v>
      </c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</row>
    <row r="41" ht="15.75" customHeight="1">
      <c r="A41" s="179" t="s">
        <v>307</v>
      </c>
      <c r="B41" s="180">
        <v>27831.0</v>
      </c>
      <c r="C41" s="180">
        <v>361683.0</v>
      </c>
      <c r="D41" s="180">
        <v>391154.0</v>
      </c>
      <c r="E41" s="180">
        <v>431304.0</v>
      </c>
      <c r="F41" s="180">
        <v>278793.0</v>
      </c>
      <c r="G41" s="180">
        <v>263631.0</v>
      </c>
      <c r="H41" s="180">
        <v>527609.0</v>
      </c>
      <c r="I41" s="180">
        <v>740834.0</v>
      </c>
      <c r="J41" s="180">
        <v>567234.0</v>
      </c>
      <c r="K41" s="180">
        <v>624151.0</v>
      </c>
      <c r="L41" s="180">
        <v>624151.0</v>
      </c>
    </row>
    <row r="42" ht="15.75" customHeight="1">
      <c r="A42" s="179" t="s">
        <v>308</v>
      </c>
      <c r="B42" s="180">
        <v>20490.0</v>
      </c>
      <c r="C42" s="180">
        <v>391154.0</v>
      </c>
      <c r="D42" s="180">
        <v>431304.0</v>
      </c>
      <c r="E42" s="180">
        <v>278793.0</v>
      </c>
      <c r="F42" s="180">
        <v>263631.0</v>
      </c>
      <c r="G42" s="180">
        <v>527609.0</v>
      </c>
      <c r="H42" s="180">
        <v>740834.0</v>
      </c>
      <c r="I42" s="180">
        <v>567234.0</v>
      </c>
      <c r="J42" s="180">
        <v>624151.0</v>
      </c>
      <c r="K42" s="180">
        <v>469317.0</v>
      </c>
      <c r="L42" s="180">
        <v>469317.0</v>
      </c>
    </row>
    <row r="43" ht="15.75" customHeight="1">
      <c r="A43" s="179" t="s">
        <v>309</v>
      </c>
      <c r="B43" s="180">
        <v>7220.0</v>
      </c>
      <c r="C43" s="180">
        <v>9508.0</v>
      </c>
      <c r="D43" s="180">
        <v>14153.0</v>
      </c>
      <c r="E43" s="180">
        <v>21152.0</v>
      </c>
      <c r="F43" s="180">
        <v>29918.0</v>
      </c>
      <c r="G43" s="180">
        <v>13077.0</v>
      </c>
      <c r="H43" s="180">
        <v>5142.0</v>
      </c>
      <c r="I43" s="180">
        <v>23143.0</v>
      </c>
      <c r="J43" s="180">
        <v>77114.0</v>
      </c>
      <c r="K43" s="180">
        <v>99642.0</v>
      </c>
      <c r="L43" s="180">
        <v>99642.0</v>
      </c>
    </row>
    <row r="44" ht="15.75" customHeight="1">
      <c r="A44" s="179" t="s">
        <v>310</v>
      </c>
      <c r="B44" s="180">
        <v>9423.0</v>
      </c>
      <c r="C44" s="180">
        <v>2405.0</v>
      </c>
      <c r="D44" s="180">
        <v>4325.0</v>
      </c>
      <c r="E44" s="180">
        <v>3542.0</v>
      </c>
      <c r="F44" s="180">
        <v>6224.0</v>
      </c>
      <c r="G44" s="180">
        <v>8140.0</v>
      </c>
      <c r="H44" s="180">
        <v>18737.0</v>
      </c>
      <c r="I44" s="180">
        <v>4355.0</v>
      </c>
      <c r="J44" s="180">
        <v>9908.0</v>
      </c>
      <c r="K44" s="180">
        <v>11715.0</v>
      </c>
      <c r="L44" s="180">
        <v>11715.0</v>
      </c>
    </row>
    <row r="45" ht="15.75" customHeight="1">
      <c r="A45" s="179" t="s">
        <v>311</v>
      </c>
      <c r="B45" s="180">
        <v>19.64</v>
      </c>
      <c r="C45" s="205">
        <v>5.98</v>
      </c>
      <c r="D45" s="183">
        <v>-3.05</v>
      </c>
      <c r="E45" s="180">
        <v>4.6</v>
      </c>
      <c r="F45" s="205">
        <v>1.27</v>
      </c>
      <c r="G45" s="183">
        <v>-25.92</v>
      </c>
      <c r="H45" s="180">
        <v>25.84</v>
      </c>
      <c r="I45" s="180">
        <v>36.12</v>
      </c>
      <c r="J45" s="180">
        <v>4.42</v>
      </c>
      <c r="K45" s="183">
        <v>-14.62</v>
      </c>
      <c r="L45" s="183">
        <v>-14.62</v>
      </c>
    </row>
    <row r="46" ht="15.75" customHeight="1">
      <c r="A46" s="207" t="s">
        <v>210</v>
      </c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</row>
    <row r="47" ht="15.75" customHeight="1">
      <c r="A47" s="207" t="s">
        <v>211</v>
      </c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</row>
    <row r="48" ht="15.75" customHeight="1">
      <c r="A48" s="208" t="s">
        <v>312</v>
      </c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</row>
    <row r="49" ht="15.75" customHeight="1">
      <c r="A49" s="208" t="s">
        <v>313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</row>
    <row r="50" ht="15.75" customHeight="1">
      <c r="A50" s="198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</row>
    <row r="51" ht="15.75" customHeight="1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</row>
    <row r="52" ht="15.75" customHeight="1">
      <c r="A52" s="19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198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</row>
    <row r="54" ht="15.75" customHeight="1">
      <c r="A54" s="198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</row>
    <row r="55" ht="15.75" customHeight="1">
      <c r="A55" s="198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</row>
    <row r="56" ht="15.75" customHeight="1">
      <c r="A56" s="198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</row>
    <row r="57" ht="15.75" customHeight="1">
      <c r="A57" s="19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</row>
    <row r="58" ht="15.75" customHeight="1">
      <c r="A58" s="198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</row>
    <row r="59" ht="15.75" customHeight="1">
      <c r="A59" s="198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</row>
    <row r="60" ht="15.75" customHeight="1">
      <c r="A60" s="198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</row>
    <row r="61" ht="15.75" customHeight="1">
      <c r="A61" s="19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8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</row>
    <row r="63" ht="15.75" customHeight="1">
      <c r="A63" s="19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</row>
    <row r="64" ht="15.75" customHeight="1">
      <c r="A64" s="198"/>
      <c r="B64" s="11"/>
      <c r="C64" s="11"/>
      <c r="D64" s="11"/>
      <c r="E64" s="11"/>
      <c r="F64" s="11"/>
      <c r="G64" s="11"/>
      <c r="H64" s="11"/>
      <c r="I64" s="11"/>
      <c r="J64" s="11"/>
      <c r="K64" s="199"/>
      <c r="L64" s="199"/>
    </row>
    <row r="65" ht="15.75" customHeight="1">
      <c r="A65" s="198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</row>
    <row r="66" ht="15.75" customHeight="1">
      <c r="A66" s="19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8"/>
      <c r="B68" s="11"/>
      <c r="C68" s="11"/>
      <c r="D68" s="11"/>
      <c r="E68" s="11"/>
      <c r="F68" s="11"/>
      <c r="G68" s="11"/>
      <c r="H68" s="11"/>
      <c r="I68" s="11"/>
      <c r="J68" s="11"/>
      <c r="K68" s="199"/>
      <c r="L68" s="199"/>
    </row>
    <row r="69" ht="15.75" customHeight="1">
      <c r="A69" s="198"/>
      <c r="B69" s="11"/>
      <c r="C69" s="11"/>
      <c r="D69" s="11"/>
      <c r="E69" s="11"/>
      <c r="F69" s="11"/>
      <c r="G69" s="11"/>
      <c r="H69" s="11"/>
      <c r="I69" s="11"/>
      <c r="J69" s="11"/>
      <c r="K69" s="199"/>
      <c r="L69" s="199"/>
    </row>
    <row r="70" ht="15.75" customHeight="1">
      <c r="A70" s="198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</row>
    <row r="71" ht="15.75" customHeight="1">
      <c r="A71" s="19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8"/>
    <hyperlink r:id="rId2" ref="A49"/>
  </hyperlinks>
  <printOptions/>
  <pageMargins bottom="0.75" footer="0.0" header="0.0" left="0.7" right="0.7" top="0.75"/>
  <pageSetup paperSize="9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6"/>
      <c r="D1" s="76"/>
      <c r="E1" s="76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5" t="s">
        <v>314</v>
      </c>
      <c r="C2" s="95" t="s">
        <v>315</v>
      </c>
      <c r="D2" s="95" t="s">
        <v>316</v>
      </c>
      <c r="E2" s="95" t="s">
        <v>317</v>
      </c>
      <c r="F2" s="211"/>
      <c r="G2" s="211"/>
      <c r="H2" s="211"/>
      <c r="I2" s="211"/>
      <c r="J2" s="211"/>
      <c r="K2" s="211"/>
      <c r="L2" s="211"/>
      <c r="M2" s="212"/>
      <c r="N2" s="212"/>
      <c r="O2" s="213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14" t="s">
        <v>318</v>
      </c>
      <c r="C3" s="215" t="s">
        <v>319</v>
      </c>
      <c r="D3" s="215" t="s">
        <v>320</v>
      </c>
      <c r="E3" s="215" t="s">
        <v>321</v>
      </c>
      <c r="F3" s="216"/>
      <c r="G3" s="216"/>
      <c r="H3" s="216"/>
      <c r="I3" s="216"/>
      <c r="J3" s="216"/>
      <c r="K3" s="216"/>
      <c r="L3" s="216"/>
      <c r="M3" s="216"/>
      <c r="N3" s="216"/>
      <c r="O3" s="76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17" t="s">
        <v>322</v>
      </c>
      <c r="C4" s="218" t="s">
        <v>323</v>
      </c>
      <c r="D4" s="218" t="s">
        <v>324</v>
      </c>
      <c r="E4" s="218" t="s">
        <v>325</v>
      </c>
      <c r="F4" s="216"/>
      <c r="G4" s="216"/>
      <c r="H4" s="216"/>
      <c r="I4" s="216"/>
      <c r="J4" s="216"/>
      <c r="K4" s="216"/>
      <c r="L4" s="216"/>
      <c r="M4" s="216"/>
      <c r="N4" s="216"/>
      <c r="O4" s="76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14" t="s">
        <v>326</v>
      </c>
      <c r="C5" s="215" t="s">
        <v>327</v>
      </c>
      <c r="D5" s="215" t="s">
        <v>328</v>
      </c>
      <c r="E5" s="215" t="s">
        <v>329</v>
      </c>
      <c r="F5" s="216"/>
      <c r="G5" s="216"/>
      <c r="H5" s="216"/>
      <c r="I5" s="216"/>
      <c r="J5" s="216"/>
      <c r="K5" s="216"/>
      <c r="L5" s="216"/>
      <c r="M5" s="216"/>
      <c r="N5" s="216"/>
      <c r="O5" s="76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17" t="s">
        <v>26</v>
      </c>
      <c r="C6" s="218" t="s">
        <v>330</v>
      </c>
      <c r="D6" s="218" t="s">
        <v>331</v>
      </c>
      <c r="E6" s="218"/>
      <c r="F6" s="216"/>
      <c r="G6" s="216"/>
      <c r="H6" s="216"/>
      <c r="I6" s="216"/>
      <c r="J6" s="216"/>
      <c r="K6" s="216"/>
      <c r="L6" s="216"/>
      <c r="M6" s="216"/>
      <c r="N6" s="216"/>
      <c r="O6" s="76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14" t="s">
        <v>40</v>
      </c>
      <c r="C7" s="219" t="s">
        <v>332</v>
      </c>
      <c r="D7" s="215"/>
      <c r="E7" s="215"/>
      <c r="F7" s="216"/>
      <c r="G7" s="216"/>
      <c r="H7" s="216"/>
      <c r="I7" s="216"/>
      <c r="J7" s="216"/>
      <c r="K7" s="216"/>
      <c r="L7" s="216"/>
      <c r="M7" s="216"/>
      <c r="N7" s="216"/>
      <c r="O7" s="76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16"/>
      <c r="G8" s="216"/>
      <c r="H8" s="216"/>
      <c r="I8" s="216"/>
      <c r="J8" s="216"/>
      <c r="K8" s="216"/>
      <c r="L8" s="216"/>
      <c r="M8" s="216"/>
      <c r="N8" s="216"/>
      <c r="O8" s="76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0" t="s">
        <v>36</v>
      </c>
      <c r="C9" s="95" t="s">
        <v>315</v>
      </c>
      <c r="D9" s="95" t="s">
        <v>316</v>
      </c>
      <c r="E9" s="95" t="s">
        <v>317</v>
      </c>
      <c r="F9" s="216"/>
      <c r="G9" s="216"/>
      <c r="H9" s="216"/>
      <c r="I9" s="216"/>
      <c r="J9" s="216"/>
      <c r="K9" s="216"/>
      <c r="L9" s="216"/>
      <c r="M9" s="216"/>
      <c r="N9" s="216"/>
      <c r="O9" s="76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14" t="s">
        <v>333</v>
      </c>
      <c r="C10" s="215" t="s">
        <v>334</v>
      </c>
      <c r="D10" s="219"/>
      <c r="E10" s="220"/>
      <c r="F10" s="216"/>
      <c r="G10" s="216"/>
      <c r="H10" s="216"/>
      <c r="I10" s="216"/>
      <c r="J10" s="216"/>
      <c r="K10" s="216"/>
      <c r="L10" s="216"/>
      <c r="M10" s="216"/>
      <c r="N10" s="216"/>
      <c r="O10" s="76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17" t="s">
        <v>335</v>
      </c>
      <c r="C11" s="221" t="s">
        <v>336</v>
      </c>
      <c r="D11" s="221"/>
      <c r="E11" s="222"/>
      <c r="F11" s="216"/>
      <c r="G11" s="216"/>
      <c r="H11" s="216"/>
      <c r="I11" s="216"/>
      <c r="J11" s="216"/>
      <c r="K11" s="216"/>
      <c r="L11" s="216"/>
      <c r="M11" s="216"/>
      <c r="N11" s="216"/>
      <c r="O11" s="76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14" t="s">
        <v>337</v>
      </c>
      <c r="C12" s="215" t="s">
        <v>338</v>
      </c>
      <c r="D12" s="215" t="s">
        <v>339</v>
      </c>
      <c r="E12" s="223"/>
      <c r="F12" s="216"/>
      <c r="G12" s="216"/>
      <c r="H12" s="216"/>
      <c r="I12" s="216"/>
      <c r="J12" s="216"/>
      <c r="K12" s="216"/>
      <c r="L12" s="216"/>
      <c r="M12" s="216"/>
      <c r="N12" s="216"/>
      <c r="O12" s="76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17" t="s">
        <v>340</v>
      </c>
      <c r="C13" s="221" t="s">
        <v>341</v>
      </c>
      <c r="D13" s="221"/>
      <c r="E13" s="222"/>
      <c r="F13" s="216"/>
      <c r="G13" s="216"/>
      <c r="H13" s="216"/>
      <c r="I13" s="216"/>
      <c r="J13" s="216"/>
      <c r="K13" s="216"/>
      <c r="L13" s="216"/>
      <c r="M13" s="216"/>
      <c r="N13" s="216"/>
      <c r="O13" s="76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14" t="s">
        <v>342</v>
      </c>
      <c r="C14" s="219" t="s">
        <v>343</v>
      </c>
      <c r="D14" s="219"/>
      <c r="E14" s="220"/>
      <c r="F14" s="216"/>
      <c r="G14" s="216"/>
      <c r="H14" s="216"/>
      <c r="I14" s="216"/>
      <c r="J14" s="216"/>
      <c r="K14" s="216"/>
      <c r="L14" s="216"/>
      <c r="M14" s="216"/>
      <c r="N14" s="216"/>
      <c r="O14" s="76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17" t="s">
        <v>344</v>
      </c>
      <c r="C15" s="221" t="s">
        <v>345</v>
      </c>
      <c r="D15" s="221"/>
      <c r="E15" s="222"/>
      <c r="F15" s="216"/>
      <c r="G15" s="216"/>
      <c r="H15" s="216"/>
      <c r="I15" s="216"/>
      <c r="J15" s="216"/>
      <c r="K15" s="216"/>
      <c r="L15" s="216"/>
      <c r="M15" s="216"/>
      <c r="N15" s="216"/>
      <c r="O15" s="76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14" t="s">
        <v>48</v>
      </c>
      <c r="C16" s="219" t="s">
        <v>346</v>
      </c>
      <c r="D16" s="219" t="s">
        <v>347</v>
      </c>
      <c r="E16" s="220"/>
      <c r="F16" s="216"/>
      <c r="G16" s="216"/>
      <c r="H16" s="216"/>
      <c r="I16" s="216"/>
      <c r="J16" s="216"/>
      <c r="K16" s="216"/>
      <c r="L16" s="216"/>
      <c r="M16" s="216"/>
      <c r="N16" s="216"/>
      <c r="O16" s="76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0" t="s">
        <v>348</v>
      </c>
      <c r="C18" s="95" t="s">
        <v>315</v>
      </c>
      <c r="D18" s="95" t="s">
        <v>316</v>
      </c>
      <c r="E18" s="95" t="s">
        <v>317</v>
      </c>
      <c r="F18" s="226"/>
      <c r="G18" s="226"/>
      <c r="H18" s="226"/>
      <c r="I18" s="226"/>
      <c r="J18" s="226"/>
      <c r="K18" s="226"/>
      <c r="L18" s="226"/>
      <c r="M18" s="226"/>
      <c r="N18" s="226"/>
      <c r="O18" s="225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14" t="s">
        <v>318</v>
      </c>
      <c r="C19" s="219" t="s">
        <v>349</v>
      </c>
      <c r="D19" s="219"/>
      <c r="E19" s="220"/>
      <c r="F19" s="216"/>
      <c r="G19" s="216"/>
      <c r="H19" s="216"/>
      <c r="I19" s="216"/>
      <c r="J19" s="216"/>
      <c r="K19" s="216"/>
      <c r="L19" s="216"/>
      <c r="M19" s="216"/>
      <c r="N19" s="216"/>
      <c r="O19" s="225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17" t="s">
        <v>322</v>
      </c>
      <c r="C20" s="221" t="s">
        <v>350</v>
      </c>
      <c r="D20" s="221"/>
      <c r="E20" s="222"/>
      <c r="F20" s="216"/>
      <c r="G20" s="216"/>
      <c r="H20" s="216"/>
      <c r="I20" s="216"/>
      <c r="J20" s="216"/>
      <c r="K20" s="216"/>
      <c r="L20" s="216"/>
      <c r="M20" s="216"/>
      <c r="N20" s="216"/>
      <c r="O20" s="225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14" t="s">
        <v>351</v>
      </c>
      <c r="C21" s="219" t="s">
        <v>352</v>
      </c>
      <c r="D21" s="219"/>
      <c r="E21" s="220"/>
      <c r="F21" s="216"/>
      <c r="G21" s="216"/>
      <c r="H21" s="216"/>
      <c r="I21" s="216"/>
      <c r="J21" s="216"/>
      <c r="K21" s="216"/>
      <c r="L21" s="216"/>
      <c r="M21" s="216"/>
      <c r="N21" s="216"/>
      <c r="O21" s="225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17" t="s">
        <v>353</v>
      </c>
      <c r="C22" s="221" t="s">
        <v>354</v>
      </c>
      <c r="D22" s="221"/>
      <c r="E22" s="222"/>
      <c r="F22" s="216"/>
      <c r="G22" s="216"/>
      <c r="H22" s="216"/>
      <c r="I22" s="216"/>
      <c r="J22" s="216"/>
      <c r="K22" s="216"/>
      <c r="L22" s="216"/>
      <c r="M22" s="216"/>
      <c r="N22" s="216"/>
      <c r="O22" s="225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14"/>
      <c r="C23" s="219"/>
      <c r="D23" s="219"/>
      <c r="E23" s="220"/>
      <c r="F23" s="216"/>
      <c r="G23" s="216"/>
      <c r="H23" s="216"/>
      <c r="I23" s="216"/>
      <c r="J23" s="216"/>
      <c r="K23" s="216"/>
      <c r="L23" s="216"/>
      <c r="M23" s="216"/>
      <c r="N23" s="216"/>
      <c r="O23" s="225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0" t="s">
        <v>355</v>
      </c>
      <c r="C24" s="95" t="s">
        <v>315</v>
      </c>
      <c r="D24" s="95" t="s">
        <v>316</v>
      </c>
      <c r="E24" s="95" t="s">
        <v>317</v>
      </c>
      <c r="F24" s="212"/>
      <c r="G24" s="212"/>
      <c r="H24" s="212"/>
      <c r="I24" s="212"/>
      <c r="J24" s="212"/>
      <c r="K24" s="212"/>
      <c r="L24" s="212"/>
      <c r="M24" s="212"/>
      <c r="N24" s="212"/>
      <c r="O24" s="76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14" t="s">
        <v>356</v>
      </c>
      <c r="C25" s="227" t="s">
        <v>357</v>
      </c>
      <c r="D25" s="227" t="s">
        <v>358</v>
      </c>
      <c r="E25" s="228"/>
      <c r="F25" s="229"/>
      <c r="G25" s="140"/>
      <c r="H25" s="140"/>
      <c r="I25" s="230"/>
      <c r="J25" s="230"/>
      <c r="K25" s="230"/>
      <c r="L25" s="230"/>
      <c r="M25" s="230"/>
      <c r="N25" s="230"/>
      <c r="O25" s="225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17" t="s">
        <v>33</v>
      </c>
      <c r="C26" s="231" t="s">
        <v>359</v>
      </c>
      <c r="D26" s="231"/>
      <c r="E26" s="232"/>
      <c r="F26" s="229"/>
      <c r="G26" s="140"/>
      <c r="H26" s="140"/>
      <c r="I26" s="230"/>
      <c r="J26" s="230"/>
      <c r="K26" s="230"/>
      <c r="L26" s="230"/>
      <c r="M26" s="230"/>
      <c r="N26" s="230"/>
      <c r="O26" s="225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14" t="s">
        <v>31</v>
      </c>
      <c r="C27" s="227" t="s">
        <v>360</v>
      </c>
      <c r="D27" s="233"/>
      <c r="E27" s="228"/>
      <c r="F27" s="229"/>
      <c r="G27" s="140"/>
      <c r="H27" s="140"/>
      <c r="I27" s="230"/>
      <c r="J27" s="230"/>
      <c r="K27" s="230"/>
      <c r="L27" s="230"/>
      <c r="M27" s="230"/>
      <c r="N27" s="230"/>
      <c r="O27" s="213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14"/>
      <c r="C28" s="227"/>
      <c r="D28" s="233"/>
      <c r="E28" s="228"/>
      <c r="F28" s="225"/>
      <c r="G28" s="225"/>
      <c r="H28" s="225"/>
      <c r="I28" s="230"/>
      <c r="J28" s="230"/>
      <c r="K28" s="230"/>
      <c r="L28" s="230"/>
      <c r="M28" s="230"/>
      <c r="N28" s="230"/>
      <c r="O28" s="213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0" t="s">
        <v>353</v>
      </c>
      <c r="C29" s="95" t="s">
        <v>315</v>
      </c>
      <c r="D29" s="95" t="s">
        <v>316</v>
      </c>
      <c r="E29" s="95" t="s">
        <v>317</v>
      </c>
      <c r="F29" s="229"/>
      <c r="G29" s="140"/>
      <c r="H29" s="140"/>
      <c r="I29" s="230"/>
      <c r="J29" s="230"/>
      <c r="K29" s="230"/>
      <c r="L29" s="230"/>
      <c r="M29" s="230"/>
      <c r="N29" s="230"/>
      <c r="O29" s="213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14" t="s">
        <v>361</v>
      </c>
      <c r="C30" s="215" t="s">
        <v>362</v>
      </c>
      <c r="D30" s="228" t="s">
        <v>363</v>
      </c>
      <c r="E30" s="228" t="s">
        <v>364</v>
      </c>
      <c r="F30" s="212"/>
      <c r="G30" s="212"/>
      <c r="H30" s="212"/>
      <c r="I30" s="212"/>
      <c r="J30" s="212"/>
      <c r="K30" s="212"/>
      <c r="L30" s="212"/>
      <c r="M30" s="212"/>
      <c r="N30" s="21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17" t="s">
        <v>365</v>
      </c>
      <c r="C31" s="218" t="s">
        <v>366</v>
      </c>
      <c r="D31" s="231" t="s">
        <v>367</v>
      </c>
      <c r="E31" s="232" t="s">
        <v>368</v>
      </c>
      <c r="F31" s="212"/>
      <c r="G31" s="212"/>
      <c r="H31" s="212"/>
      <c r="I31" s="212"/>
      <c r="J31" s="212"/>
      <c r="K31" s="212"/>
      <c r="L31" s="212"/>
      <c r="M31" s="212"/>
      <c r="N31" s="21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14" t="s">
        <v>369</v>
      </c>
      <c r="C32" s="215" t="s">
        <v>370</v>
      </c>
      <c r="D32" s="215" t="s">
        <v>371</v>
      </c>
      <c r="E32" s="228"/>
      <c r="F32" s="212"/>
      <c r="G32" s="212"/>
      <c r="H32" s="212"/>
      <c r="I32" s="212"/>
      <c r="J32" s="212"/>
      <c r="K32" s="212"/>
      <c r="L32" s="212"/>
      <c r="M32" s="212"/>
      <c r="N32" s="21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17" t="s">
        <v>353</v>
      </c>
      <c r="C33" s="218" t="s">
        <v>372</v>
      </c>
      <c r="D33" s="232"/>
      <c r="E33" s="232"/>
      <c r="F33" s="212"/>
      <c r="G33" s="212"/>
      <c r="H33" s="212"/>
      <c r="I33" s="212"/>
      <c r="J33" s="212"/>
      <c r="K33" s="212"/>
      <c r="L33" s="212"/>
      <c r="M33" s="212"/>
      <c r="N33" s="21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34"/>
      <c r="C34" s="113"/>
      <c r="D34" s="113"/>
      <c r="E34" s="11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34"/>
      <c r="C35" s="113"/>
      <c r="D35" s="113"/>
      <c r="E35" s="113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35"/>
      <c r="C36" s="113"/>
      <c r="D36" s="113"/>
      <c r="E36" s="1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35"/>
      <c r="C37" s="113"/>
      <c r="D37" s="113"/>
      <c r="E37" s="11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35"/>
      <c r="C38" s="113"/>
      <c r="D38" s="113"/>
      <c r="E38" s="1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35"/>
      <c r="C39" s="113"/>
      <c r="D39" s="113"/>
      <c r="E39" s="113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35"/>
      <c r="C40" s="113"/>
      <c r="D40" s="113"/>
      <c r="E40" s="11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35"/>
      <c r="C41" s="113"/>
      <c r="D41" s="113"/>
      <c r="E41" s="113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35"/>
      <c r="C42" s="113"/>
      <c r="D42" s="113"/>
      <c r="E42" s="11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35"/>
      <c r="C43" s="113"/>
      <c r="D43" s="113"/>
      <c r="E43" s="11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35"/>
      <c r="C44" s="113"/>
      <c r="D44" s="113"/>
      <c r="E44" s="1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35"/>
      <c r="C45" s="113"/>
      <c r="D45" s="113"/>
      <c r="E45" s="113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35"/>
      <c r="C46" s="113"/>
      <c r="D46" s="113"/>
      <c r="E46" s="11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35"/>
      <c r="C47" s="113"/>
      <c r="D47" s="113"/>
      <c r="E47" s="11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35"/>
      <c r="C48" s="113"/>
      <c r="D48" s="113"/>
      <c r="E48" s="113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35"/>
      <c r="C49" s="113"/>
      <c r="D49" s="113"/>
      <c r="E49" s="113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35"/>
      <c r="C50" s="113"/>
      <c r="D50" s="113"/>
      <c r="E50" s="11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35"/>
      <c r="C51" s="113"/>
      <c r="D51" s="113"/>
      <c r="E51" s="11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35"/>
      <c r="C52" s="113"/>
      <c r="D52" s="113"/>
      <c r="E52" s="11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35"/>
      <c r="C53" s="113"/>
      <c r="D53" s="113"/>
      <c r="E53" s="113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35"/>
      <c r="C54" s="113"/>
      <c r="D54" s="113"/>
      <c r="E54" s="113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36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36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36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36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36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36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36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36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36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36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4"/>
      <c r="D65" s="74"/>
      <c r="E65" s="74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4"/>
      <c r="D66" s="74"/>
      <c r="E66" s="74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4"/>
      <c r="D67" s="74"/>
      <c r="E67" s="74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4"/>
      <c r="D68" s="74"/>
      <c r="E68" s="74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4"/>
      <c r="D69" s="74"/>
      <c r="E69" s="74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4"/>
      <c r="D70" s="74"/>
      <c r="E70" s="74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4"/>
      <c r="D71" s="74"/>
      <c r="E71" s="74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4"/>
      <c r="D72" s="74"/>
      <c r="E72" s="7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4"/>
      <c r="D73" s="74"/>
      <c r="E73" s="7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4"/>
      <c r="D74" s="74"/>
      <c r="E74" s="74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4"/>
      <c r="D75" s="74"/>
      <c r="E75" s="7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4"/>
      <c r="D76" s="74"/>
      <c r="E76" s="74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4"/>
      <c r="D77" s="74"/>
      <c r="E77" s="74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4"/>
      <c r="D78" s="74"/>
      <c r="E78" s="7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4"/>
      <c r="D79" s="74"/>
      <c r="E79" s="7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4"/>
      <c r="D80" s="74"/>
      <c r="E80" s="7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4"/>
      <c r="D81" s="74"/>
      <c r="E81" s="7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4"/>
      <c r="D82" s="74"/>
      <c r="E82" s="74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4"/>
      <c r="D83" s="74"/>
      <c r="E83" s="74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4"/>
      <c r="D84" s="74"/>
      <c r="E84" s="7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4"/>
      <c r="D85" s="74"/>
      <c r="E85" s="74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4"/>
      <c r="D86" s="74"/>
      <c r="E86" s="74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4"/>
      <c r="D87" s="74"/>
      <c r="E87" s="74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4"/>
      <c r="D88" s="74"/>
      <c r="E88" s="74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4"/>
      <c r="D89" s="74"/>
      <c r="E89" s="74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4"/>
      <c r="D90" s="74"/>
      <c r="E90" s="74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4"/>
      <c r="D91" s="74"/>
      <c r="E91" s="74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4"/>
      <c r="D92" s="74"/>
      <c r="E92" s="7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4"/>
      <c r="D93" s="74"/>
      <c r="E93" s="74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4"/>
      <c r="D94" s="74"/>
      <c r="E94" s="7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4"/>
      <c r="D95" s="74"/>
      <c r="E95" s="7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4"/>
      <c r="D96" s="74"/>
      <c r="E96" s="7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4"/>
      <c r="D97" s="74"/>
      <c r="E97" s="7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4"/>
      <c r="D98" s="74"/>
      <c r="E98" s="74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4"/>
      <c r="D99" s="74"/>
      <c r="E99" s="74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4"/>
      <c r="D100" s="74"/>
      <c r="E100" s="74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4"/>
      <c r="D101" s="74"/>
      <c r="E101" s="74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4"/>
      <c r="D102" s="74"/>
      <c r="E102" s="74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4"/>
      <c r="D103" s="74"/>
      <c r="E103" s="7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4"/>
      <c r="D104" s="74"/>
      <c r="E104" s="7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4"/>
      <c r="D105" s="74"/>
      <c r="E105" s="74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4"/>
      <c r="D106" s="74"/>
      <c r="E106" s="7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4"/>
      <c r="D107" s="74"/>
      <c r="E107" s="74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4"/>
      <c r="D108" s="74"/>
      <c r="E108" s="74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4"/>
      <c r="D109" s="74"/>
      <c r="E109" s="74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4"/>
      <c r="D110" s="74"/>
      <c r="E110" s="74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4"/>
      <c r="D111" s="74"/>
      <c r="E111" s="7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4"/>
      <c r="D112" s="74"/>
      <c r="E112" s="74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4"/>
      <c r="D113" s="74"/>
      <c r="E113" s="74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4"/>
      <c r="D114" s="74"/>
      <c r="E114" s="74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4"/>
      <c r="D115" s="74"/>
      <c r="E115" s="74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4"/>
      <c r="D116" s="74"/>
      <c r="E116" s="74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4"/>
      <c r="D117" s="74"/>
      <c r="E117" s="74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4"/>
      <c r="D118" s="74"/>
      <c r="E118" s="74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4"/>
      <c r="D119" s="74"/>
      <c r="E119" s="7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4"/>
      <c r="D120" s="74"/>
      <c r="E120" s="74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4"/>
      <c r="D121" s="74"/>
      <c r="E121" s="74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4"/>
      <c r="D122" s="74"/>
      <c r="E122" s="74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4"/>
      <c r="D123" s="74"/>
      <c r="E123" s="74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4"/>
      <c r="D124" s="74"/>
      <c r="E124" s="74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4"/>
      <c r="D125" s="74"/>
      <c r="E125" s="74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4"/>
      <c r="D126" s="74"/>
      <c r="E126" s="74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4"/>
      <c r="D127" s="74"/>
      <c r="E127" s="7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4"/>
      <c r="D128" s="74"/>
      <c r="E128" s="74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4"/>
      <c r="D129" s="74"/>
      <c r="E129" s="74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4"/>
      <c r="D130" s="74"/>
      <c r="E130" s="74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4"/>
      <c r="D131" s="74"/>
      <c r="E131" s="74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4"/>
      <c r="D132" s="74"/>
      <c r="E132" s="74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4"/>
      <c r="D133" s="74"/>
      <c r="E133" s="74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4"/>
      <c r="D134" s="74"/>
      <c r="E134" s="74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4"/>
      <c r="D135" s="74"/>
      <c r="E135" s="7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4"/>
      <c r="D136" s="74"/>
      <c r="E136" s="74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4"/>
      <c r="D137" s="74"/>
      <c r="E137" s="74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4"/>
      <c r="D138" s="74"/>
      <c r="E138" s="74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4"/>
      <c r="D139" s="74"/>
      <c r="E139" s="74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4"/>
      <c r="D140" s="74"/>
      <c r="E140" s="74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4"/>
      <c r="D141" s="74"/>
      <c r="E141" s="74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4"/>
      <c r="D142" s="74"/>
      <c r="E142" s="74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4"/>
      <c r="D143" s="74"/>
      <c r="E143" s="7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4"/>
      <c r="D144" s="74"/>
      <c r="E144" s="7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4"/>
      <c r="D145" s="74"/>
      <c r="E145" s="74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4"/>
      <c r="D146" s="74"/>
      <c r="E146" s="74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4"/>
      <c r="D147" s="74"/>
      <c r="E147" s="74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4"/>
      <c r="D148" s="74"/>
      <c r="E148" s="74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4"/>
      <c r="D149" s="74"/>
      <c r="E149" s="74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4"/>
      <c r="D150" s="74"/>
      <c r="E150" s="74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4"/>
      <c r="D151" s="74"/>
      <c r="E151" s="74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4"/>
      <c r="D152" s="74"/>
      <c r="E152" s="74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4"/>
      <c r="D153" s="74"/>
      <c r="E153" s="74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4"/>
      <c r="D154" s="74"/>
      <c r="E154" s="74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4"/>
      <c r="D155" s="74"/>
      <c r="E155" s="74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4"/>
      <c r="D156" s="74"/>
      <c r="E156" s="74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4"/>
      <c r="D157" s="74"/>
      <c r="E157" s="74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4"/>
      <c r="D158" s="74"/>
      <c r="E158" s="74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4"/>
      <c r="D159" s="74"/>
      <c r="E159" s="74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4"/>
      <c r="D160" s="74"/>
      <c r="E160" s="74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4"/>
      <c r="D161" s="74"/>
      <c r="E161" s="74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4"/>
      <c r="D162" s="74"/>
      <c r="E162" s="74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4"/>
      <c r="D163" s="74"/>
      <c r="E163" s="74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4"/>
      <c r="D164" s="74"/>
      <c r="E164" s="74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4"/>
      <c r="D165" s="74"/>
      <c r="E165" s="74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4"/>
      <c r="D166" s="74"/>
      <c r="E166" s="74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4"/>
      <c r="D167" s="74"/>
      <c r="E167" s="74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4"/>
      <c r="D168" s="74"/>
      <c r="E168" s="74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4"/>
      <c r="D169" s="74"/>
      <c r="E169" s="74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4"/>
      <c r="D170" s="74"/>
      <c r="E170" s="74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4"/>
      <c r="D171" s="74"/>
      <c r="E171" s="74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4"/>
      <c r="D172" s="74"/>
      <c r="E172" s="74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4"/>
      <c r="D173" s="74"/>
      <c r="E173" s="74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4"/>
      <c r="D174" s="74"/>
      <c r="E174" s="74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4"/>
      <c r="D175" s="74"/>
      <c r="E175" s="74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4"/>
      <c r="D176" s="74"/>
      <c r="E176" s="74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4"/>
      <c r="D177" s="74"/>
      <c r="E177" s="74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4"/>
      <c r="D178" s="74"/>
      <c r="E178" s="74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4"/>
      <c r="D179" s="74"/>
      <c r="E179" s="74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4"/>
      <c r="D180" s="74"/>
      <c r="E180" s="7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4"/>
      <c r="D181" s="74"/>
      <c r="E181" s="74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4"/>
      <c r="D182" s="74"/>
      <c r="E182" s="74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4"/>
      <c r="D183" s="74"/>
      <c r="E183" s="74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4"/>
      <c r="D184" s="74"/>
      <c r="E184" s="74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4"/>
      <c r="D185" s="74"/>
      <c r="E185" s="74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4"/>
      <c r="D186" s="74"/>
      <c r="E186" s="74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4"/>
      <c r="D187" s="74"/>
      <c r="E187" s="74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4"/>
      <c r="D188" s="74"/>
      <c r="E188" s="74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4"/>
      <c r="D189" s="74"/>
      <c r="E189" s="74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4"/>
      <c r="D190" s="74"/>
      <c r="E190" s="74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4"/>
      <c r="D191" s="74"/>
      <c r="E191" s="74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4"/>
      <c r="D192" s="74"/>
      <c r="E192" s="74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4"/>
      <c r="D193" s="74"/>
      <c r="E193" s="74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4"/>
      <c r="D194" s="74"/>
      <c r="E194" s="74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4"/>
      <c r="D195" s="74"/>
      <c r="E195" s="74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4"/>
      <c r="D196" s="74"/>
      <c r="E196" s="74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4"/>
      <c r="D197" s="74"/>
      <c r="E197" s="74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4"/>
      <c r="D198" s="74"/>
      <c r="E198" s="74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4"/>
      <c r="D199" s="74"/>
      <c r="E199" s="74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4"/>
      <c r="D200" s="74"/>
      <c r="E200" s="74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4"/>
      <c r="D201" s="74"/>
      <c r="E201" s="74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4"/>
      <c r="D202" s="74"/>
      <c r="E202" s="74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4"/>
      <c r="D203" s="74"/>
      <c r="E203" s="74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4"/>
      <c r="D204" s="74"/>
      <c r="E204" s="74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4"/>
      <c r="D205" s="74"/>
      <c r="E205" s="74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4"/>
      <c r="D206" s="74"/>
      <c r="E206" s="74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4"/>
      <c r="D207" s="74"/>
      <c r="E207" s="74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4"/>
      <c r="D208" s="74"/>
      <c r="E208" s="74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4"/>
      <c r="D209" s="74"/>
      <c r="E209" s="74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4"/>
      <c r="D210" s="74"/>
      <c r="E210" s="74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4"/>
      <c r="D211" s="74"/>
      <c r="E211" s="74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4"/>
      <c r="D212" s="74"/>
      <c r="E212" s="7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4"/>
      <c r="D213" s="74"/>
      <c r="E213" s="7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4"/>
      <c r="D214" s="74"/>
      <c r="E214" s="7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4"/>
      <c r="D215" s="74"/>
      <c r="E215" s="74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4"/>
      <c r="D216" s="74"/>
      <c r="E216" s="74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4"/>
      <c r="D217" s="74"/>
      <c r="E217" s="74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4"/>
      <c r="D218" s="74"/>
      <c r="E218" s="74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4"/>
      <c r="D219" s="74"/>
      <c r="E219" s="74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4"/>
      <c r="D220" s="74"/>
      <c r="E220" s="74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4"/>
      <c r="D221" s="74"/>
      <c r="E221" s="74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4"/>
      <c r="D222" s="74"/>
      <c r="E222" s="74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4"/>
      <c r="D223" s="74"/>
      <c r="E223" s="74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4"/>
      <c r="D224" s="74"/>
      <c r="E224" s="74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4"/>
      <c r="D225" s="74"/>
      <c r="E225" s="74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4"/>
      <c r="D226" s="74"/>
      <c r="E226" s="74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4"/>
      <c r="D227" s="74"/>
      <c r="E227" s="74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4"/>
      <c r="D228" s="74"/>
      <c r="E228" s="74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4"/>
      <c r="D229" s="74"/>
      <c r="E229" s="74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4"/>
      <c r="D230" s="74"/>
      <c r="E230" s="74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4"/>
      <c r="D231" s="74"/>
      <c r="E231" s="74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4"/>
      <c r="D232" s="74"/>
      <c r="E232" s="74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4"/>
      <c r="D233" s="74"/>
      <c r="E233" s="74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</row>
    <row r="3">
      <c r="A3" s="238" t="s">
        <v>36</v>
      </c>
      <c r="B3" s="239" t="str">
        <f>'1.IS'!L2</f>
        <v>2025e</v>
      </c>
      <c r="C3" s="239" t="str">
        <f>'1.IS'!M2</f>
        <v>2026e</v>
      </c>
      <c r="D3" s="239" t="str">
        <f>'1.IS'!N2</f>
        <v>2027e</v>
      </c>
      <c r="E3" s="239" t="str">
        <f>'1.IS'!O2</f>
        <v>2028e</v>
      </c>
      <c r="F3" s="239" t="str">
        <f>'1.IS'!P2</f>
        <v>2029e</v>
      </c>
      <c r="G3" s="240"/>
      <c r="H3" s="240"/>
      <c r="I3" s="240"/>
      <c r="J3" s="240"/>
      <c r="K3" s="240"/>
      <c r="L3" s="237"/>
    </row>
    <row r="4">
      <c r="A4" s="94" t="s">
        <v>373</v>
      </c>
      <c r="B4" s="241">
        <f>'4.Valoración'!$D$7</f>
        <v>248.11</v>
      </c>
      <c r="C4" s="241">
        <f>'4.Valoración'!$D$7</f>
        <v>248.11</v>
      </c>
      <c r="D4" s="241">
        <f>'4.Valoración'!$D$7</f>
        <v>248.11</v>
      </c>
      <c r="E4" s="241">
        <f>'4.Valoración'!$D$7</f>
        <v>248.11</v>
      </c>
      <c r="F4" s="241">
        <f>'4.Valoración'!$D$7</f>
        <v>248.11</v>
      </c>
      <c r="G4" s="237"/>
      <c r="H4" s="237"/>
      <c r="I4" s="237"/>
      <c r="J4" s="237"/>
      <c r="K4" s="237"/>
      <c r="L4" s="237"/>
    </row>
    <row r="5"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</row>
    <row r="6">
      <c r="B6" s="242"/>
      <c r="C6" s="237"/>
      <c r="D6" s="237"/>
      <c r="E6" s="237"/>
      <c r="F6" s="237"/>
      <c r="G6" s="237"/>
      <c r="H6" s="237"/>
      <c r="I6" s="237"/>
      <c r="J6" s="237"/>
      <c r="K6" s="237"/>
      <c r="L6" s="237"/>
    </row>
    <row r="7">
      <c r="A7" s="238" t="s">
        <v>374</v>
      </c>
      <c r="B7" s="239">
        <f>'1.IS'!B2</f>
        <v>2015</v>
      </c>
      <c r="C7" s="239">
        <f>'1.IS'!C2</f>
        <v>2016</v>
      </c>
      <c r="D7" s="239">
        <f>'1.IS'!D2</f>
        <v>2017</v>
      </c>
      <c r="E7" s="239">
        <f>'1.IS'!E2</f>
        <v>2018</v>
      </c>
      <c r="F7" s="239">
        <f>'1.IS'!F2</f>
        <v>2019</v>
      </c>
      <c r="G7" s="239">
        <f>'1.IS'!G2</f>
        <v>2020</v>
      </c>
      <c r="H7" s="239">
        <f>'1.IS'!H2</f>
        <v>2021</v>
      </c>
      <c r="I7" s="239">
        <f>'1.IS'!I2</f>
        <v>2022</v>
      </c>
      <c r="J7" s="239">
        <f>'1.IS'!J2</f>
        <v>2023</v>
      </c>
      <c r="K7" s="239">
        <f>'1.IS'!K2</f>
        <v>2024</v>
      </c>
      <c r="L7" s="243" t="s">
        <v>375</v>
      </c>
    </row>
    <row r="8">
      <c r="A8" s="1" t="s">
        <v>376</v>
      </c>
      <c r="B8" s="237">
        <f>IFERROR(ABS(VLOOKUP("Common &amp; Preferred Stock Dividends Paid*",'9.TIKR_CF'!$A:$K,COLUMN(B8),FALSE)),"0")</f>
        <v>7873</v>
      </c>
      <c r="C8" s="237">
        <f>IFERROR(ABS(VLOOKUP("Common &amp; Preferred Stock Dividends Paid*",'9.TIKR_CF'!$A:$K,COLUMN(C8),FALSE)),"0")</f>
        <v>8476</v>
      </c>
      <c r="D8" s="237">
        <f>IFERROR(ABS(VLOOKUP("Common &amp; Preferred Stock Dividends Paid*",'9.TIKR_CF'!$A:$K,COLUMN(D8),FALSE)),"0")</f>
        <v>8993</v>
      </c>
      <c r="E8" s="237">
        <f>IFERROR(ABS(VLOOKUP("Common &amp; Preferred Stock Dividends Paid*",'9.TIKR_CF'!$A:$K,COLUMN(E8),FALSE)),"0")</f>
        <v>10109</v>
      </c>
      <c r="F8" s="237">
        <f>IFERROR(ABS(VLOOKUP("Common &amp; Preferred Stock Dividends Paid*",'9.TIKR_CF'!$A:$K,COLUMN(F8),FALSE)),"0")</f>
        <v>12343</v>
      </c>
      <c r="G8" s="237">
        <f>IFERROR(ABS(VLOOKUP("Common &amp; Preferred Stock Dividends Paid*",'9.TIKR_CF'!$A:$K,COLUMN(G8),FALSE)),"0")</f>
        <v>12690</v>
      </c>
      <c r="H8" s="237">
        <f>IFERROR(ABS(VLOOKUP("Common &amp; Preferred Stock Dividends Paid*",'9.TIKR_CF'!$A:$K,COLUMN(H8),FALSE)),"0")</f>
        <v>12858</v>
      </c>
      <c r="I8" s="237">
        <f>IFERROR(ABS(VLOOKUP("Common &amp; Preferred Stock Dividends Paid*",'9.TIKR_CF'!$A:$K,COLUMN(I8),FALSE)),"0")</f>
        <v>13562</v>
      </c>
      <c r="J8" s="237">
        <f>IFERROR(ABS(VLOOKUP("Common &amp; Preferred Stock Dividends Paid*",'9.TIKR_CF'!$A:$K,COLUMN(J8),FALSE)),"0")</f>
        <v>13463</v>
      </c>
      <c r="K8" s="237">
        <f>IFERROR(ABS(VLOOKUP("Common &amp; Preferred Stock Dividends Paid*",'9.TIKR_CF'!$A:$K,COLUMN(K8),FALSE)),"0")</f>
        <v>14783</v>
      </c>
      <c r="L8" s="244">
        <f t="shared" ref="L8:L11" si="1">SUM(B8:K8)</f>
        <v>115150</v>
      </c>
    </row>
    <row r="9">
      <c r="A9" s="1" t="s">
        <v>377</v>
      </c>
      <c r="B9" s="237">
        <f>IFERROR(ABS(VLOOKUP("Repurchase of Common Stock*",'9.TIKR_CF'!$A:$K,COLUMN(B9),FALSE)),"0")</f>
        <v>5616</v>
      </c>
      <c r="C9" s="237">
        <f>IFERROR(ABS(VLOOKUP("Repurchase of Common Stock*",'9.TIKR_CF'!$A:$K,COLUMN(C9),FALSE)),"0")</f>
        <v>9082</v>
      </c>
      <c r="D9" s="237">
        <f>IFERROR(ABS(VLOOKUP("Repurchase of Common Stock*",'9.TIKR_CF'!$A:$K,COLUMN(D9),FALSE)),"0")</f>
        <v>15410</v>
      </c>
      <c r="E9" s="237">
        <f>IFERROR(ABS(VLOOKUP("Repurchase of Common Stock*",'9.TIKR_CF'!$A:$K,COLUMN(E9),FALSE)),"0")</f>
        <v>19983</v>
      </c>
      <c r="F9" s="237">
        <f>IFERROR(ABS(VLOOKUP("Repurchase of Common Stock*",'9.TIKR_CF'!$A:$K,COLUMN(F9),FALSE)),"0")</f>
        <v>24001</v>
      </c>
      <c r="G9" s="237">
        <f>IFERROR(ABS(VLOOKUP("Repurchase of Common Stock*",'9.TIKR_CF'!$A:$K,COLUMN(G9),FALSE)),"0")</f>
        <v>6517</v>
      </c>
      <c r="H9" s="237">
        <f>IFERROR(ABS(VLOOKUP("Repurchase of Common Stock*",'9.TIKR_CF'!$A:$K,COLUMN(H9),FALSE)),"0")</f>
        <v>18408</v>
      </c>
      <c r="I9" s="237">
        <f>IFERROR(ABS(VLOOKUP("Repurchase of Common Stock*",'9.TIKR_CF'!$A:$K,COLUMN(I9),FALSE)),"0")</f>
        <v>3162</v>
      </c>
      <c r="J9" s="237">
        <f>IFERROR(ABS(VLOOKUP("Repurchase of Common Stock*",'9.TIKR_CF'!$A:$K,COLUMN(J9),FALSE)),"0")</f>
        <v>9824</v>
      </c>
      <c r="K9" s="237">
        <f>IFERROR(ABS(VLOOKUP("Repurchase of Common Stock*",'9.TIKR_CF'!$A:$K,COLUMN(K9),FALSE)),"0")</f>
        <v>18830</v>
      </c>
      <c r="L9" s="244">
        <f t="shared" si="1"/>
        <v>130833</v>
      </c>
    </row>
    <row r="10">
      <c r="A10" s="1" t="s">
        <v>378</v>
      </c>
      <c r="B10" s="245">
        <f>ABS(IFERROR(VLOOKUP("Cash Acquisitions*",'9.TIKR_CF'!$A:$K,COLUMN(B10),FALSE),"0"))</f>
        <v>0</v>
      </c>
      <c r="C10" s="245">
        <f>ABS(IFERROR(VLOOKUP("Cash Acquisitions*",'9.TIKR_CF'!$A:$K,COLUMN(C10),FALSE),"0"))</f>
        <v>0</v>
      </c>
      <c r="D10" s="245">
        <f>ABS(IFERROR(VLOOKUP("Cash Acquisitions*",'9.TIKR_CF'!$A:$K,COLUMN(D10),FALSE),"0"))</f>
        <v>0</v>
      </c>
      <c r="E10" s="245">
        <f>ABS(IFERROR(VLOOKUP("Cash Acquisitions*",'9.TIKR_CF'!$A:$K,COLUMN(E10),FALSE),"0"))</f>
        <v>0</v>
      </c>
      <c r="F10" s="245">
        <f>ABS(IFERROR(VLOOKUP("Cash Acquisitions*",'9.TIKR_CF'!$A:$K,COLUMN(F10),FALSE),"0"))</f>
        <v>0</v>
      </c>
      <c r="G10" s="245">
        <f>ABS(IFERROR(VLOOKUP("Cash Acquisitions*",'9.TIKR_CF'!$A:$K,COLUMN(G10),FALSE),"0"))</f>
        <v>0</v>
      </c>
      <c r="H10" s="245">
        <f>ABS(IFERROR(VLOOKUP("Cash Acquisitions*",'9.TIKR_CF'!$A:$K,COLUMN(H10),FALSE),"0"))</f>
        <v>0</v>
      </c>
      <c r="I10" s="245">
        <f>ABS(IFERROR(VLOOKUP("Cash Acquisitions*",'9.TIKR_CF'!$A:$K,COLUMN(I10),FALSE),"0"))</f>
        <v>0</v>
      </c>
      <c r="J10" s="245">
        <f>ABS(IFERROR(VLOOKUP("Cash Acquisitions*",'9.TIKR_CF'!$A:$K,COLUMN(J10),FALSE),"0"))</f>
        <v>9920</v>
      </c>
      <c r="K10" s="245">
        <f>ABS(IFERROR(VLOOKUP("Cash Acquisitions*",'9.TIKR_CF'!$A:$K,COLUMN(K10),FALSE),"0"))</f>
        <v>2362</v>
      </c>
      <c r="L10" s="244">
        <f t="shared" si="1"/>
        <v>12282</v>
      </c>
    </row>
    <row r="11">
      <c r="A11" s="1" t="s">
        <v>379</v>
      </c>
      <c r="B11" s="237">
        <f>IFERROR(ABS(VLOOKUP("Total Debt Repaid*",'9.TIKR_CF'!$A:$K,COLUMN(B11),FALSE))-VLOOKUP("Total Debt Issued*",'9.TIKR_CF'!$A:$K,COLUMN(B11),FALSE),0)</f>
        <v>90511</v>
      </c>
      <c r="C11" s="237">
        <f>IFERROR(ABS(VLOOKUP("Total Debt Repaid*",'9.TIKR_CF'!$A:$K,COLUMN(C11),FALSE))-VLOOKUP("Total Debt Issued*",'9.TIKR_CF'!$A:$K,COLUMN(C11),FALSE),0)</f>
        <v>-18960</v>
      </c>
      <c r="D11" s="237">
        <f>IFERROR(ABS(VLOOKUP("Total Debt Repaid*",'9.TIKR_CF'!$A:$K,COLUMN(D11),FALSE))-VLOOKUP("Total Debt Issued*",'9.TIKR_CF'!$A:$K,COLUMN(D11),FALSE),0)</f>
        <v>18384</v>
      </c>
      <c r="E11" s="237">
        <f>IFERROR(ABS(VLOOKUP("Total Debt Repaid*",'9.TIKR_CF'!$A:$K,COLUMN(E11),FALSE))-VLOOKUP("Total Debt Issued*",'9.TIKR_CF'!$A:$K,COLUMN(E11),FALSE),0)</f>
        <v>-38952</v>
      </c>
      <c r="F11" s="237">
        <f>IFERROR(ABS(VLOOKUP("Total Debt Repaid*",'9.TIKR_CF'!$A:$K,COLUMN(F11),FALSE))-VLOOKUP("Total Debt Issued*",'9.TIKR_CF'!$A:$K,COLUMN(F11),FALSE),0)</f>
        <v>31450</v>
      </c>
      <c r="G11" s="237">
        <f>IFERROR(ABS(VLOOKUP("Total Debt Repaid*",'9.TIKR_CF'!$A:$K,COLUMN(G11),FALSE))-VLOOKUP("Total Debt Issued*",'9.TIKR_CF'!$A:$K,COLUMN(G11),FALSE),0)</f>
        <v>-10944</v>
      </c>
      <c r="H11" s="237">
        <f>IFERROR(ABS(VLOOKUP("Total Debt Repaid*",'9.TIKR_CF'!$A:$K,COLUMN(H11),FALSE))-VLOOKUP("Total Debt Issued*",'9.TIKR_CF'!$A:$K,COLUMN(H11),FALSE),0)</f>
        <v>-10197</v>
      </c>
      <c r="I11" s="237">
        <f>IFERROR(ABS(VLOOKUP("Total Debt Repaid*",'9.TIKR_CF'!$A:$K,COLUMN(I11),FALSE))-VLOOKUP("Total Debt Issued*",'9.TIKR_CF'!$A:$K,COLUMN(I11),FALSE),0)</f>
        <v>-34562</v>
      </c>
      <c r="J11" s="237">
        <f>IFERROR(ABS(VLOOKUP("Total Debt Repaid*",'9.TIKR_CF'!$A:$K,COLUMN(J11),FALSE))-VLOOKUP("Total Debt Issued*",'9.TIKR_CF'!$A:$K,COLUMN(J11),FALSE),0)</f>
        <v>-31433</v>
      </c>
      <c r="K11" s="237">
        <f>IFERROR(ABS(VLOOKUP("Total Debt Repaid*",'9.TIKR_CF'!$A:$K,COLUMN(K11),FALSE))-VLOOKUP("Total Debt Issued*",'9.TIKR_CF'!$A:$K,COLUMN(K11),FALSE),0)</f>
        <v>-102580</v>
      </c>
      <c r="L11" s="244">
        <f t="shared" si="1"/>
        <v>-107283</v>
      </c>
    </row>
    <row r="12"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</row>
    <row r="13">
      <c r="A13" s="177" t="s">
        <v>380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</row>
    <row r="14">
      <c r="A14" s="238"/>
      <c r="B14" s="239">
        <f>'1.IS'!C$2</f>
        <v>2016</v>
      </c>
      <c r="C14" s="239">
        <f>'1.IS'!D$2</f>
        <v>2017</v>
      </c>
      <c r="D14" s="239">
        <f>'1.IS'!E$2</f>
        <v>2018</v>
      </c>
      <c r="E14" s="239">
        <f>'1.IS'!F$2</f>
        <v>2019</v>
      </c>
      <c r="F14" s="239">
        <f>'1.IS'!G$2</f>
        <v>2020</v>
      </c>
      <c r="G14" s="239">
        <f>'1.IS'!H$2</f>
        <v>2021</v>
      </c>
      <c r="H14" s="239">
        <f>'1.IS'!I$2</f>
        <v>2022</v>
      </c>
      <c r="I14" s="239">
        <f>'1.IS'!J$2</f>
        <v>2023</v>
      </c>
      <c r="J14" s="239">
        <f>'1.IS'!K$2</f>
        <v>2024</v>
      </c>
      <c r="K14" s="239"/>
      <c r="L14" s="246"/>
    </row>
    <row r="15">
      <c r="A15" s="9" t="s">
        <v>381</v>
      </c>
      <c r="B15" s="247">
        <f>'1.IS'!C4</f>
        <v>0.02248828502</v>
      </c>
      <c r="C15" s="247">
        <f>'1.IS'!D4</f>
        <v>0.03877949303</v>
      </c>
      <c r="D15" s="247">
        <f>'1.IS'!E4</f>
        <v>0.0949812655</v>
      </c>
      <c r="E15" s="247">
        <f>'1.IS'!F4</f>
        <v>0.0615939235</v>
      </c>
      <c r="F15" s="247">
        <f>'1.IS'!G4</f>
        <v>-0.06957887664</v>
      </c>
      <c r="G15" s="247">
        <f>'1.IS'!H4</f>
        <v>0.2774150735</v>
      </c>
      <c r="H15" s="247">
        <f>'1.IS'!I4</f>
        <v>-0.06563889441</v>
      </c>
      <c r="I15" s="247">
        <f>'1.IS'!J4</f>
        <v>0.1910290583</v>
      </c>
      <c r="J15" s="247">
        <f>'1.IS'!K4</f>
        <v>0.1448822681</v>
      </c>
      <c r="K15" s="237"/>
      <c r="L15" s="247"/>
    </row>
    <row r="16">
      <c r="A16" s="9" t="s">
        <v>40</v>
      </c>
      <c r="B16" s="247"/>
      <c r="C16" s="247"/>
      <c r="D16" s="247"/>
      <c r="E16" s="247"/>
      <c r="F16" s="247"/>
      <c r="G16" s="247"/>
      <c r="H16" s="247"/>
      <c r="I16" s="247"/>
      <c r="J16" s="247"/>
      <c r="K16" s="237"/>
      <c r="L16" s="247"/>
    </row>
    <row r="17">
      <c r="A17" s="14"/>
      <c r="B17" s="248"/>
      <c r="C17" s="248"/>
      <c r="D17" s="248"/>
      <c r="E17" s="248"/>
      <c r="F17" s="248"/>
      <c r="G17" s="248"/>
      <c r="H17" s="248"/>
      <c r="I17" s="248"/>
      <c r="J17" s="237"/>
      <c r="K17" s="237"/>
      <c r="L17" s="237"/>
    </row>
    <row r="18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</row>
    <row r="19">
      <c r="A19" s="238" t="s">
        <v>382</v>
      </c>
      <c r="B19" s="246">
        <f>'1.IS'!B2</f>
        <v>2015</v>
      </c>
      <c r="C19" s="246">
        <f>'1.IS'!C2</f>
        <v>2016</v>
      </c>
      <c r="D19" s="246">
        <f>'1.IS'!D2</f>
        <v>2017</v>
      </c>
      <c r="E19" s="246">
        <f>'1.IS'!E2</f>
        <v>2018</v>
      </c>
      <c r="F19" s="246">
        <f>'1.IS'!F2</f>
        <v>2019</v>
      </c>
      <c r="G19" s="246">
        <f>'1.IS'!G2</f>
        <v>2020</v>
      </c>
      <c r="H19" s="246">
        <f>'1.IS'!H2</f>
        <v>2021</v>
      </c>
      <c r="I19" s="246">
        <f>'1.IS'!I2</f>
        <v>2022</v>
      </c>
      <c r="J19" s="246">
        <f>'1.IS'!J2</f>
        <v>2023</v>
      </c>
      <c r="K19" s="246">
        <f>'1.IS'!K2</f>
        <v>2024</v>
      </c>
      <c r="L19" s="243" t="s">
        <v>59</v>
      </c>
    </row>
    <row r="20">
      <c r="A20" s="9" t="s">
        <v>383</v>
      </c>
      <c r="B20" s="237"/>
      <c r="C20" s="237">
        <f>IF('1.IS'!C4&lt;0,1,0)</f>
        <v>0</v>
      </c>
      <c r="D20" s="237">
        <f>IF('1.IS'!D4&lt;0,1,0)</f>
        <v>0</v>
      </c>
      <c r="E20" s="237">
        <f>IF('1.IS'!E4&lt;0,1,0)</f>
        <v>0</v>
      </c>
      <c r="F20" s="237">
        <f>IF('1.IS'!F4&lt;0,1,0)</f>
        <v>0</v>
      </c>
      <c r="G20" s="237">
        <f>IF('1.IS'!G4&lt;0,1,0)</f>
        <v>1</v>
      </c>
      <c r="H20" s="237">
        <f>IF('1.IS'!H4&lt;0,1,0)</f>
        <v>0</v>
      </c>
      <c r="I20" s="237">
        <f>IF('1.IS'!I4&lt;0,1,0)</f>
        <v>1</v>
      </c>
      <c r="J20" s="237">
        <f>IF('1.IS'!J4&lt;0,1,0)</f>
        <v>0</v>
      </c>
      <c r="K20" s="237">
        <f>IF('1.IS'!K4&lt;0,1,0)</f>
        <v>0</v>
      </c>
      <c r="L20" s="249">
        <f t="shared" ref="L20:L23" si="2">SUM(B20:K20)</f>
        <v>2</v>
      </c>
    </row>
    <row r="21" ht="15.75" customHeight="1">
      <c r="A21" s="9" t="s">
        <v>384</v>
      </c>
      <c r="B21" s="237"/>
      <c r="C21" s="237">
        <f>IF('1.IS'!C6&lt;'1.IS'!B6,1,0)</f>
        <v>0</v>
      </c>
      <c r="D21" s="237">
        <f>IF('1.IS'!D6&lt;'1.IS'!C6,1,0)</f>
        <v>0</v>
      </c>
      <c r="E21" s="237">
        <f>IF('1.IS'!E6&lt;'1.IS'!D6,1,0)</f>
        <v>0</v>
      </c>
      <c r="F21" s="237">
        <f>IF('1.IS'!F6&lt;'1.IS'!E6,1,0)</f>
        <v>0</v>
      </c>
      <c r="G21" s="237">
        <f>IF('1.IS'!G6&lt;'1.IS'!F6,1,0)</f>
        <v>1</v>
      </c>
      <c r="H21" s="237">
        <f>IF('1.IS'!H6&lt;'1.IS'!G6,1,0)</f>
        <v>0</v>
      </c>
      <c r="I21" s="237">
        <f>IF('1.IS'!I6&lt;'1.IS'!H6,1,0)</f>
        <v>1</v>
      </c>
      <c r="J21" s="237">
        <f>IF('1.IS'!J6&lt;'1.IS'!I6,1,0)</f>
        <v>0</v>
      </c>
      <c r="K21" s="237">
        <f>IF('1.IS'!K6&lt;'1.IS'!J6,1,0)</f>
        <v>0</v>
      </c>
      <c r="L21" s="249">
        <f t="shared" si="2"/>
        <v>2</v>
      </c>
    </row>
    <row r="22" ht="15.75" customHeight="1">
      <c r="A22" s="9" t="s">
        <v>63</v>
      </c>
      <c r="B22" s="237">
        <f>IF('1.IS'!B9&lt;0,1,0)</f>
        <v>0</v>
      </c>
      <c r="C22" s="237">
        <f>IF('1.IS'!C9&lt;0,1,0)</f>
        <v>0</v>
      </c>
      <c r="D22" s="237">
        <f>IF('1.IS'!D9&lt;0,1,0)</f>
        <v>0</v>
      </c>
      <c r="E22" s="237">
        <f>IF('1.IS'!E9&lt;0,1,0)</f>
        <v>0</v>
      </c>
      <c r="F22" s="237">
        <f>IF('1.IS'!F9&lt;0,1,0)</f>
        <v>0</v>
      </c>
      <c r="G22" s="237">
        <f>IF('1.IS'!G9&lt;0,1,0)</f>
        <v>0</v>
      </c>
      <c r="H22" s="237">
        <f>IF('1.IS'!H9&lt;0,1,0)</f>
        <v>0</v>
      </c>
      <c r="I22" s="237">
        <f>IF('1.IS'!I9&lt;0,1,0)</f>
        <v>0</v>
      </c>
      <c r="J22" s="237">
        <f>IF('1.IS'!J9&lt;0,1,0)</f>
        <v>0</v>
      </c>
      <c r="K22" s="237">
        <f>IF('1.IS'!K9&lt;0,1,0)</f>
        <v>0</v>
      </c>
      <c r="L22" s="249">
        <f t="shared" si="2"/>
        <v>0</v>
      </c>
    </row>
    <row r="23" ht="15.75" customHeight="1">
      <c r="A23" s="9" t="s">
        <v>64</v>
      </c>
      <c r="B23" s="237">
        <f>IF('1.IS'!B18&lt;10%,1,0)</f>
        <v>1</v>
      </c>
      <c r="C23" s="237">
        <f>IF('1.IS'!C18&lt;10%,1,0)</f>
        <v>1</v>
      </c>
      <c r="D23" s="237">
        <f>IF('1.IS'!D18&lt;10%,1,0)</f>
        <v>1</v>
      </c>
      <c r="E23" s="237">
        <f>IF('1.IS'!E18&lt;10%,1,0)</f>
        <v>0</v>
      </c>
      <c r="F23" s="237">
        <f>IF('1.IS'!F18&lt;10%,1,0)</f>
        <v>0</v>
      </c>
      <c r="G23" s="237">
        <f>IF('1.IS'!G18&lt;10%,1,0)</f>
        <v>0</v>
      </c>
      <c r="H23" s="237">
        <f>IF('1.IS'!H18&lt;10%,1,0)</f>
        <v>0</v>
      </c>
      <c r="I23" s="237">
        <f>IF('1.IS'!I18&lt;10%,1,0)</f>
        <v>0</v>
      </c>
      <c r="J23" s="237">
        <f>IF('1.IS'!J18&lt;10%,1,0)</f>
        <v>0</v>
      </c>
      <c r="K23" s="237">
        <f>IF('1.IS'!K18&lt;10%,1,0)</f>
        <v>0</v>
      </c>
      <c r="L23" s="249">
        <f t="shared" si="2"/>
        <v>3</v>
      </c>
    </row>
    <row r="24" ht="15.75" customHeight="1"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</row>
    <row r="25" ht="15.75" customHeight="1">
      <c r="A25" s="238" t="s">
        <v>36</v>
      </c>
      <c r="B25" s="246">
        <f>'1.IS'!B2</f>
        <v>2015</v>
      </c>
      <c r="C25" s="246">
        <f>'1.IS'!C2</f>
        <v>2016</v>
      </c>
      <c r="D25" s="246">
        <f>'1.IS'!D2</f>
        <v>2017</v>
      </c>
      <c r="E25" s="246">
        <f>'1.IS'!E2</f>
        <v>2018</v>
      </c>
      <c r="F25" s="246">
        <f>'1.IS'!F2</f>
        <v>2019</v>
      </c>
      <c r="G25" s="246">
        <f>'1.IS'!G2</f>
        <v>2020</v>
      </c>
      <c r="H25" s="246">
        <f>'1.IS'!H2</f>
        <v>2021</v>
      </c>
      <c r="I25" s="246">
        <f>'1.IS'!I2</f>
        <v>2022</v>
      </c>
      <c r="J25" s="246">
        <f>'1.IS'!J2</f>
        <v>2023</v>
      </c>
      <c r="K25" s="246">
        <f>'1.IS'!K2</f>
        <v>2024</v>
      </c>
      <c r="L25" s="246" t="str">
        <f>'1.IS'!L2</f>
        <v>2025e</v>
      </c>
      <c r="M25" s="246" t="str">
        <f>'1.IS'!M2</f>
        <v>2026e</v>
      </c>
      <c r="N25" s="246" t="str">
        <f>'1.IS'!N2</f>
        <v>2027e</v>
      </c>
      <c r="O25" s="246" t="str">
        <f>'1.IS'!O2</f>
        <v>2028e</v>
      </c>
      <c r="P25" s="246" t="str">
        <f>'1.IS'!P2</f>
        <v>2029e</v>
      </c>
    </row>
    <row r="26" ht="15.75" customHeight="1">
      <c r="A26" s="9" t="s">
        <v>385</v>
      </c>
      <c r="B26" s="250">
        <f>VLOOKUP("Total Equity*",'8.TIKR_BS'!$A:$K,COLUMN(B2),FALSE)</f>
        <v>247573</v>
      </c>
      <c r="C26" s="250">
        <f>VLOOKUP("Total Equity*",'8.TIKR_BS'!$A:$K,COLUMN(C2),FALSE)</f>
        <v>254190</v>
      </c>
      <c r="D26" s="250">
        <f>VLOOKUP("Total Equity*",'8.TIKR_BS'!$A:$K,COLUMN(D2),FALSE)</f>
        <v>255693</v>
      </c>
      <c r="E26" s="250">
        <f>VLOOKUP("Total Equity*",'8.TIKR_BS'!$A:$K,COLUMN(E2),FALSE)</f>
        <v>256515</v>
      </c>
      <c r="F26" s="250">
        <f>VLOOKUP("Total Equity*",'8.TIKR_BS'!$A:$K,COLUMN(F2),FALSE)</f>
        <v>261330</v>
      </c>
      <c r="G26" s="250">
        <f>VLOOKUP("Total Equity*",'8.TIKR_BS'!$A:$K,COLUMN(G2),FALSE)</f>
        <v>279354</v>
      </c>
      <c r="H26" s="250">
        <f>VLOOKUP("Total Equity*",'8.TIKR_BS'!$A:$K,COLUMN(H2),FALSE)</f>
        <v>294127</v>
      </c>
      <c r="I26" s="250">
        <f>VLOOKUP("Total Equity*",'8.TIKR_BS'!$A:$K,COLUMN(I2),FALSE)</f>
        <v>292332</v>
      </c>
      <c r="J26" s="250">
        <f>VLOOKUP("Total Equity*",'8.TIKR_BS'!$A:$K,COLUMN(J2),FALSE)</f>
        <v>327878</v>
      </c>
      <c r="K26" s="250">
        <f>VLOOKUP("Total Equity*",'8.TIKR_BS'!$A:$K,COLUMN(K2),FALSE)</f>
        <v>344758</v>
      </c>
      <c r="L26" s="250">
        <f>K26+'1.IS'!L9</f>
        <v>399198.3633</v>
      </c>
      <c r="M26" s="250">
        <f>L26+'1.IS'!M9</f>
        <v>457993.9556</v>
      </c>
      <c r="N26" s="250">
        <f>M26+'1.IS'!N9</f>
        <v>521493.1953</v>
      </c>
      <c r="O26" s="250">
        <f>N26+'1.IS'!O9</f>
        <v>590072.3741</v>
      </c>
      <c r="P26" s="250">
        <f>O26+'1.IS'!P9</f>
        <v>664137.8873</v>
      </c>
    </row>
    <row r="27" ht="15.75" customHeight="1"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</row>
    <row r="28" ht="15.75" customHeight="1">
      <c r="A28" s="238" t="s">
        <v>34</v>
      </c>
      <c r="B28" s="246">
        <f>'1.IS'!B2</f>
        <v>2015</v>
      </c>
      <c r="C28" s="246">
        <f>'1.IS'!C2</f>
        <v>2016</v>
      </c>
      <c r="D28" s="246">
        <f>'1.IS'!D2</f>
        <v>2017</v>
      </c>
      <c r="E28" s="246">
        <f>'1.IS'!E2</f>
        <v>2018</v>
      </c>
      <c r="F28" s="246">
        <f>'1.IS'!F2</f>
        <v>2019</v>
      </c>
      <c r="G28" s="246">
        <f>'1.IS'!G2</f>
        <v>2020</v>
      </c>
      <c r="H28" s="246">
        <f>'1.IS'!H2</f>
        <v>2021</v>
      </c>
      <c r="I28" s="246">
        <f>'1.IS'!I2</f>
        <v>2022</v>
      </c>
      <c r="J28" s="246">
        <f>'1.IS'!J2</f>
        <v>2023</v>
      </c>
      <c r="K28" s="246">
        <f>'1.IS'!K2</f>
        <v>2024</v>
      </c>
      <c r="L28" s="237"/>
    </row>
    <row r="29" ht="15.75" customHeight="1">
      <c r="A29" s="9" t="s">
        <v>35</v>
      </c>
      <c r="B29" s="251">
        <f>VLOOKUP("Total Liabilities*",'8.TIKR_BS'!$A:$K,COLUMN(B2),FALSE)/B26</f>
        <v>8.499008373</v>
      </c>
      <c r="C29" s="251">
        <f>VLOOKUP("Total Liabilities*",'8.TIKR_BS'!$A:$K,COLUMN(C2),FALSE)/C26</f>
        <v>8.799645934</v>
      </c>
      <c r="D29" s="251">
        <f>VLOOKUP("Total Liabilities*",'8.TIKR_BS'!$A:$K,COLUMN(D2),FALSE)/D26</f>
        <v>8.908757768</v>
      </c>
      <c r="E29" s="251">
        <f>VLOOKUP("Total Liabilities*",'8.TIKR_BS'!$A:$K,COLUMN(E2),FALSE)/E26</f>
        <v>9.223698419</v>
      </c>
      <c r="F29" s="251">
        <f>VLOOKUP("Total Liabilities*",'8.TIKR_BS'!$A:$K,COLUMN(F2),FALSE)/F26</f>
        <v>9.283469177</v>
      </c>
      <c r="G29" s="251">
        <f>VLOOKUP("Total Liabilities*",'8.TIKR_BS'!$A:$K,COLUMN(G2),FALSE)/G26</f>
        <v>11.11637206</v>
      </c>
      <c r="H29" s="251">
        <f>VLOOKUP("Total Liabilities*",'8.TIKR_BS'!$A:$K,COLUMN(H2),FALSE)/H26</f>
        <v>11.72772306</v>
      </c>
      <c r="I29" s="251">
        <f>VLOOKUP("Total Liabilities*",'8.TIKR_BS'!$A:$K,COLUMN(I2),FALSE)/I26</f>
        <v>11.53965697</v>
      </c>
      <c r="J29" s="251">
        <f>VLOOKUP("Total Liabilities*",'8.TIKR_BS'!$A:$K,COLUMN(J2),FALSE)/J26</f>
        <v>10.81961888</v>
      </c>
      <c r="K29" s="251">
        <f>VLOOKUP("Total Liabilities*",'8.TIKR_BS'!$A:$K,COLUMN(K2),FALSE)/K26</f>
        <v>10.6105036</v>
      </c>
      <c r="L29" s="237"/>
    </row>
    <row r="30" ht="15.75" customHeight="1"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ht="15.75" customHeight="1"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</row>
    <row r="32" ht="15.75" customHeight="1"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</row>
    <row r="33" ht="15.75" customHeight="1"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</row>
    <row r="34" ht="15.75" customHeight="1"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</row>
    <row r="35" ht="15.75" customHeight="1"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</row>
    <row r="36" ht="15.75" customHeight="1"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</row>
    <row r="37" ht="15.75" customHeight="1"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</row>
    <row r="38" ht="15.75" customHeight="1"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</row>
    <row r="39" ht="15.75" customHeight="1"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</row>
    <row r="40" ht="15.75" customHeight="1"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</row>
    <row r="41" ht="15.75" customHeight="1"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</row>
    <row r="42" ht="15.75" customHeight="1"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</row>
    <row r="43" ht="15.75" customHeight="1"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</row>
    <row r="44" ht="15.75" customHeight="1"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</row>
    <row r="45" ht="15.75" customHeight="1"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</row>
    <row r="46" ht="15.75" customHeight="1"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</row>
    <row r="47" ht="15.75" customHeight="1"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</row>
    <row r="48" ht="15.75" customHeight="1"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</row>
    <row r="49" ht="15.75" customHeight="1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</row>
    <row r="50" ht="15.75" customHeight="1"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</row>
    <row r="51" ht="15.75" customHeight="1"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</row>
    <row r="52" ht="15.75" customHeight="1"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</row>
    <row r="53" ht="15.75" customHeight="1"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</row>
    <row r="54" ht="15.75" customHeight="1"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</row>
    <row r="55" ht="15.75" customHeight="1"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</row>
    <row r="56" ht="15.75" customHeight="1"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</row>
    <row r="57" ht="15.75" customHeight="1"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</row>
    <row r="58" ht="15.75" customHeight="1"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</row>
    <row r="59" ht="15.75" customHeight="1"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</row>
    <row r="60" ht="15.75" customHeight="1"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</row>
    <row r="61" ht="15.75" customHeight="1"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</row>
    <row r="62" ht="15.75" customHeight="1"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</row>
    <row r="63" ht="15.75" customHeight="1"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</row>
    <row r="64" ht="15.75" customHeight="1"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</row>
    <row r="65" ht="15.75" customHeight="1"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</row>
    <row r="66" ht="15.75" customHeight="1"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</row>
    <row r="67" ht="15.75" customHeight="1"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</row>
    <row r="68" ht="15.75" customHeight="1"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</row>
    <row r="69" ht="15.75" customHeight="1"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</row>
    <row r="70" ht="15.75" customHeight="1"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</row>
    <row r="71" ht="15.75" customHeight="1"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</row>
    <row r="72" ht="15.75" customHeight="1"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</row>
    <row r="73" ht="15.75" customHeight="1"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</row>
    <row r="74" ht="15.75" customHeight="1"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</row>
    <row r="75" ht="15.75" customHeight="1"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</row>
    <row r="76" ht="15.75" customHeight="1"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</row>
    <row r="77" ht="15.75" customHeight="1"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</row>
    <row r="78" ht="15.75" customHeight="1"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</row>
    <row r="79" ht="15.75" customHeight="1"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</row>
    <row r="80" ht="15.75" customHeight="1"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</row>
    <row r="81" ht="15.75" customHeight="1"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</row>
    <row r="82" ht="15.75" customHeight="1"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</row>
    <row r="83" ht="15.75" customHeight="1"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</row>
    <row r="84" ht="15.75" customHeight="1"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</row>
    <row r="85" ht="15.75" customHeight="1"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</row>
    <row r="86" ht="15.75" customHeight="1"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</row>
    <row r="87" ht="15.75" customHeight="1"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</row>
    <row r="88" ht="15.75" customHeight="1"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</row>
    <row r="89" ht="15.75" customHeight="1"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</row>
    <row r="90" ht="15.75" customHeight="1"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</row>
    <row r="91" ht="15.75" customHeight="1"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</row>
    <row r="92" ht="15.75" customHeight="1"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</row>
    <row r="93" ht="15.75" customHeight="1"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</row>
    <row r="94" ht="15.75" customHeight="1"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</row>
    <row r="95" ht="15.75" customHeight="1"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</row>
    <row r="96" ht="15.75" customHeight="1"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</row>
    <row r="97" ht="15.75" customHeight="1"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</row>
    <row r="98" ht="15.75" customHeight="1"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</row>
    <row r="99" ht="15.75" customHeight="1"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</row>
    <row r="100" ht="15.75" customHeight="1"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</row>
    <row r="101" ht="15.75" customHeight="1"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</row>
    <row r="102" ht="15.75" customHeight="1"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</row>
    <row r="103" ht="15.75" customHeight="1"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</row>
    <row r="104" ht="15.75" customHeight="1"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</row>
    <row r="105" ht="15.75" customHeight="1"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</row>
    <row r="106" ht="15.75" customHeight="1"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</row>
    <row r="107" ht="15.75" customHeight="1"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</row>
    <row r="108" ht="15.75" customHeight="1"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</row>
    <row r="109" ht="15.75" customHeight="1"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</row>
    <row r="110" ht="15.75" customHeight="1"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</row>
    <row r="111" ht="15.75" customHeight="1"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</row>
    <row r="112" ht="15.75" customHeight="1"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</row>
    <row r="113" ht="15.75" customHeight="1"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</row>
    <row r="114" ht="15.75" customHeight="1"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</row>
    <row r="115" ht="15.75" customHeight="1"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</row>
    <row r="116" ht="15.75" customHeight="1"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</row>
    <row r="117" ht="15.75" customHeight="1"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</row>
    <row r="118" ht="15.75" customHeight="1"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</row>
    <row r="119" ht="15.75" customHeight="1"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</row>
    <row r="120" ht="15.75" customHeight="1"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</row>
    <row r="121" ht="15.75" customHeight="1"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</row>
    <row r="122" ht="15.75" customHeight="1"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</row>
    <row r="123" ht="15.75" customHeight="1"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</row>
    <row r="124" ht="15.75" customHeight="1"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</row>
    <row r="125" ht="15.75" customHeight="1"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</row>
    <row r="126" ht="15.75" customHeight="1"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</row>
    <row r="127" ht="15.75" customHeight="1"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</row>
    <row r="128" ht="15.75" customHeight="1"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</row>
    <row r="129" ht="15.75" customHeight="1"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</row>
    <row r="130" ht="15.75" customHeight="1"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</row>
    <row r="131" ht="15.75" customHeight="1"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</row>
    <row r="132" ht="15.75" customHeight="1"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</row>
    <row r="133" ht="15.75" customHeight="1"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</row>
    <row r="134" ht="15.75" customHeight="1"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</row>
    <row r="135" ht="15.75" customHeight="1"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</row>
    <row r="136" ht="15.75" customHeight="1"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</row>
    <row r="137" ht="15.75" customHeight="1"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</row>
    <row r="138" ht="15.75" customHeight="1"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</row>
    <row r="139" ht="15.75" customHeight="1"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</row>
    <row r="140" ht="15.75" customHeight="1"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</row>
    <row r="141" ht="15.75" customHeight="1"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</row>
    <row r="142" ht="15.75" customHeight="1"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</row>
    <row r="143" ht="15.75" customHeight="1"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</row>
    <row r="144" ht="15.75" customHeight="1"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</row>
    <row r="145" ht="15.75" customHeight="1"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</row>
    <row r="146" ht="15.75" customHeight="1"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</row>
    <row r="147" ht="15.75" customHeight="1">
      <c r="B147" s="237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</row>
    <row r="148" ht="15.75" customHeight="1"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</row>
    <row r="149" ht="15.75" customHeight="1"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</row>
    <row r="150" ht="15.75" customHeight="1"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</row>
    <row r="151" ht="15.75" customHeight="1"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</row>
    <row r="152" ht="15.75" customHeight="1"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</row>
    <row r="153" ht="15.75" customHeight="1">
      <c r="B153" s="237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</row>
    <row r="154" ht="15.75" customHeight="1">
      <c r="B154" s="237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</row>
    <row r="155" ht="15.75" customHeight="1"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</row>
    <row r="156" ht="15.75" customHeight="1"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</row>
    <row r="157" ht="15.75" customHeight="1"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</row>
    <row r="158" ht="15.75" customHeight="1"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</row>
    <row r="159" ht="15.75" customHeight="1"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</row>
    <row r="160" ht="15.75" customHeight="1"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</row>
    <row r="161" ht="15.75" customHeight="1"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</row>
    <row r="162" ht="15.75" customHeight="1"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</row>
    <row r="163" ht="15.75" customHeight="1"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</row>
    <row r="164" ht="15.75" customHeight="1"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</row>
    <row r="165" ht="15.75" customHeight="1"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</row>
    <row r="166" ht="15.75" customHeight="1"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</row>
    <row r="167" ht="15.75" customHeight="1"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</row>
    <row r="168" ht="15.75" customHeight="1"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</row>
    <row r="169" ht="15.75" customHeight="1"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</row>
    <row r="170" ht="15.75" customHeight="1"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</row>
    <row r="171" ht="15.75" customHeight="1"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</row>
    <row r="172" ht="15.75" customHeight="1"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</row>
    <row r="173" ht="15.75" customHeight="1"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</row>
    <row r="174" ht="15.75" customHeight="1"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</row>
    <row r="175" ht="15.75" customHeight="1"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</row>
    <row r="176" ht="15.75" customHeight="1"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</row>
    <row r="177" ht="15.75" customHeight="1"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</row>
    <row r="178" ht="15.75" customHeight="1"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</row>
    <row r="179" ht="15.75" customHeight="1"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</row>
    <row r="180" ht="15.75" customHeight="1"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</row>
    <row r="181" ht="15.75" customHeight="1"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</row>
    <row r="182" ht="15.75" customHeight="1"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</row>
    <row r="183" ht="15.75" customHeight="1"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</row>
    <row r="184" ht="15.75" customHeight="1">
      <c r="B184" s="237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</row>
    <row r="185" ht="15.75" customHeight="1">
      <c r="B185" s="237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</row>
    <row r="186" ht="15.75" customHeight="1"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</row>
    <row r="187" ht="15.75" customHeight="1">
      <c r="B187" s="237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</row>
    <row r="188" ht="15.75" customHeight="1">
      <c r="B188" s="237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</row>
    <row r="189" ht="15.75" customHeight="1">
      <c r="B189" s="237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</row>
    <row r="190" ht="15.75" customHeight="1"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</row>
    <row r="191" ht="15.75" customHeight="1"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</row>
    <row r="192" ht="15.75" customHeight="1">
      <c r="B192" s="237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</row>
    <row r="193" ht="15.75" customHeight="1">
      <c r="B193" s="237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</row>
    <row r="194" ht="15.75" customHeight="1"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</row>
    <row r="195" ht="15.75" customHeight="1">
      <c r="B195" s="237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</row>
    <row r="196" ht="15.75" customHeight="1">
      <c r="B196" s="237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</row>
    <row r="197" ht="15.75" customHeight="1">
      <c r="B197" s="237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</row>
    <row r="198" ht="15.75" customHeight="1">
      <c r="B198" s="237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</row>
    <row r="199" ht="15.75" customHeight="1">
      <c r="B199" s="237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</row>
    <row r="200" ht="15.75" customHeight="1"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</row>
    <row r="201" ht="15.75" customHeight="1">
      <c r="B201" s="237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</row>
    <row r="202" ht="15.75" customHeight="1"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</row>
    <row r="203" ht="15.75" customHeight="1">
      <c r="B203" s="237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</row>
    <row r="204" ht="15.75" customHeight="1">
      <c r="B204" s="237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</row>
    <row r="205" ht="15.75" customHeight="1">
      <c r="B205" s="237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</row>
    <row r="206" ht="15.75" customHeight="1">
      <c r="B206" s="237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</row>
    <row r="207" ht="15.75" customHeight="1">
      <c r="B207" s="237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</row>
    <row r="208" ht="15.75" customHeight="1"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</row>
    <row r="209" ht="15.75" customHeight="1">
      <c r="B209" s="237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</row>
    <row r="210" ht="15.75" customHeight="1">
      <c r="B210" s="237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</row>
    <row r="211" ht="15.75" customHeight="1">
      <c r="B211" s="237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</row>
    <row r="212" ht="15.75" customHeight="1">
      <c r="B212" s="237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</row>
    <row r="213" ht="15.75" customHeight="1">
      <c r="B213" s="237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</row>
    <row r="214" ht="15.75" customHeight="1">
      <c r="B214" s="237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</row>
    <row r="215" ht="15.75" customHeight="1"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</row>
    <row r="216" ht="15.75" customHeight="1">
      <c r="B216" s="237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</row>
    <row r="217" ht="15.75" customHeight="1">
      <c r="B217" s="237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</row>
    <row r="218" ht="15.75" customHeight="1">
      <c r="B218" s="237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</row>
    <row r="219" ht="15.75" customHeight="1">
      <c r="B219" s="237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</row>
    <row r="220" ht="15.75" customHeight="1"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</row>
    <row r="221" ht="15.75" customHeight="1">
      <c r="B221" s="237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</row>
    <row r="222" ht="15.75" customHeight="1">
      <c r="B222" s="237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</row>
    <row r="223" ht="15.75" customHeight="1">
      <c r="B223" s="237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</row>
    <row r="224" ht="15.75" customHeight="1">
      <c r="B224" s="237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</row>
    <row r="225" ht="15.75" customHeight="1">
      <c r="B225" s="237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</row>
    <row r="226" ht="15.75" customHeight="1">
      <c r="B226" s="237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</row>
    <row r="227" ht="15.75" customHeight="1">
      <c r="B227" s="237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</row>
    <row r="228" ht="15.75" customHeight="1"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</row>
    <row r="229" ht="15.75" customHeight="1">
      <c r="B229" s="237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